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iem-ds.iem.gov.lv\U disks\ipotjomkina\Dokumenti datorā\2022 radari\"/>
    </mc:Choice>
  </mc:AlternateContent>
  <bookViews>
    <workbookView xWindow="0" yWindow="0" windowWidth="23040" windowHeight="9070" tabRatio="835" firstSheet="1" activeTab="1"/>
  </bookViews>
  <sheets>
    <sheet name="Pakalpojuma apraksts" sheetId="1" state="hidden" r:id="rId1"/>
    <sheet name="Cenas aprēķins" sheetId="9" r:id="rId2"/>
    <sheet name="Arhīva sadalījums" sheetId="10" state="hidden" r:id="rId3"/>
    <sheet name="legend" sheetId="6" state="hidden" r:id="rId4"/>
  </sheets>
  <definedNames>
    <definedName name="_xlnm.Print_Area" localSheetId="1">'Cenas aprēķins'!$B$2:$F$34</definedName>
    <definedName name="_xlnm.Print_Area" localSheetId="0">'Pakalpojuma apraksts'!$B$2:$C$23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3" i="9" l="1"/>
  <c r="E6" i="9" l="1"/>
  <c r="D18" i="9" l="1"/>
  <c r="F15" i="9"/>
  <c r="D13" i="9"/>
  <c r="D8" i="9"/>
  <c r="M15" i="9" l="1"/>
  <c r="C14" i="10"/>
  <c r="D13" i="10"/>
  <c r="D12" i="10"/>
  <c r="D11" i="10"/>
  <c r="D10" i="10"/>
  <c r="D9" i="10"/>
  <c r="D8" i="10"/>
  <c r="D7" i="10"/>
  <c r="E6" i="10"/>
  <c r="D6" i="10"/>
  <c r="D5" i="10"/>
  <c r="D4" i="10"/>
  <c r="E3" i="10"/>
  <c r="D3" i="10"/>
  <c r="D15" i="9" l="1"/>
  <c r="F18" i="9"/>
  <c r="F17" i="9" l="1"/>
  <c r="D9" i="9"/>
  <c r="D11" i="9"/>
  <c r="I14" i="9" l="1"/>
  <c r="J14" i="9"/>
  <c r="K14" i="9"/>
  <c r="L14" i="9"/>
  <c r="M14" i="9"/>
  <c r="F14" i="9" s="1"/>
  <c r="F13" i="9" s="1"/>
  <c r="D14" i="9" l="1"/>
  <c r="F9" i="9" l="1"/>
  <c r="K30" i="9"/>
  <c r="I30" i="9" l="1"/>
  <c r="M23" i="9" l="1"/>
  <c r="L23" i="9"/>
  <c r="K23" i="9"/>
  <c r="J23" i="9"/>
  <c r="I23" i="9"/>
  <c r="D23" i="9" l="1"/>
  <c r="D32" i="9" l="1"/>
  <c r="D30" i="9"/>
  <c r="K27" i="9"/>
  <c r="L27" i="9"/>
  <c r="M27" i="9"/>
  <c r="I27" i="9"/>
  <c r="J27" i="9"/>
  <c r="D27" i="9" l="1"/>
  <c r="F27" i="9"/>
  <c r="D26" i="9"/>
  <c r="D22" i="9"/>
  <c r="D17" i="9"/>
  <c r="D7" i="9"/>
  <c r="D21" i="9"/>
  <c r="D33" i="9"/>
  <c r="D31" i="9" l="1"/>
  <c r="F26" i="9" l="1"/>
  <c r="F8" i="9"/>
  <c r="F23" i="9" s="1"/>
  <c r="F11" i="9"/>
  <c r="F22" i="9" l="1"/>
  <c r="F7" i="9"/>
  <c r="D2" i="6"/>
  <c r="F30" i="9" l="1"/>
  <c r="B2" i="6"/>
  <c r="F21" i="9" l="1"/>
  <c r="F31" i="9" s="1"/>
  <c r="F32" i="9" l="1"/>
</calcChain>
</file>

<file path=xl/sharedStrings.xml><?xml version="1.0" encoding="utf-8"?>
<sst xmlns="http://schemas.openxmlformats.org/spreadsheetml/2006/main" count="230" uniqueCount="173">
  <si>
    <t>Pakalpojuma īpašnieks</t>
  </si>
  <si>
    <t>Apraksta aizpildīšanas datums un aizpildītājs</t>
  </si>
  <si>
    <t>Plānotie pieskaitījumi / Peļņa</t>
  </si>
  <si>
    <t>Pakalpojuma cena bez PVN</t>
  </si>
  <si>
    <t>Pakalpojuma cena ar PVN</t>
  </si>
  <si>
    <t>Pakalpojuma apraksta aizpildīšanas datums _______________________ un Aizpildītājs__________________________</t>
  </si>
  <si>
    <t xml:space="preserve">(paraksts)             </t>
  </si>
  <si>
    <t>Komentārs</t>
  </si>
  <si>
    <t>-</t>
  </si>
  <si>
    <t>Aprēķina datums</t>
  </si>
  <si>
    <t>Plānotie klienti</t>
  </si>
  <si>
    <t>MK noteikumi Nr. 1000</t>
  </si>
  <si>
    <t>bez PVN</t>
  </si>
  <si>
    <t>Summa (EUR)</t>
  </si>
  <si>
    <t>Atšķirība</t>
  </si>
  <si>
    <t>Pakalpojums / pozīcija</t>
  </si>
  <si>
    <t>Skaits / summa</t>
  </si>
  <si>
    <t>Mērvienība</t>
  </si>
  <si>
    <t>Pieņēmums</t>
  </si>
  <si>
    <t>2.</t>
  </si>
  <si>
    <t>2.1.</t>
  </si>
  <si>
    <t>2.2.</t>
  </si>
  <si>
    <t>2.3.</t>
  </si>
  <si>
    <t>3.</t>
  </si>
  <si>
    <t>3.1.</t>
  </si>
  <si>
    <t>3.2.</t>
  </si>
  <si>
    <t>3.3.</t>
  </si>
  <si>
    <t>4.</t>
  </si>
  <si>
    <t>5.</t>
  </si>
  <si>
    <t>6.</t>
  </si>
  <si>
    <t>7.</t>
  </si>
  <si>
    <t xml:space="preserve">Pakalpojumu skaits </t>
  </si>
  <si>
    <t>Līgums ar piegādātāju</t>
  </si>
  <si>
    <t>Līgums ar Valsts Policiju</t>
  </si>
  <si>
    <t>VAS CSDD pakalpojumu cenrādis</t>
  </si>
  <si>
    <t>Pakalpojuma grupa</t>
  </si>
  <si>
    <t>Citi</t>
  </si>
  <si>
    <t>Muzejs</t>
  </si>
  <si>
    <t>BKSB</t>
  </si>
  <si>
    <t>Izvēlne</t>
  </si>
  <si>
    <r>
      <t xml:space="preserve">Plānotais pakalpojumu apjoms
</t>
    </r>
    <r>
      <rPr>
        <sz val="10"/>
        <rFont val="Times New Roman"/>
        <family val="1"/>
        <charset val="186"/>
      </rPr>
      <t>skaits un periods</t>
    </r>
  </si>
  <si>
    <r>
      <t xml:space="preserve">Pakalpojuma sniegšanas laiks
</t>
    </r>
    <r>
      <rPr>
        <sz val="10"/>
        <rFont val="Times New Roman"/>
        <family val="1"/>
        <charset val="186"/>
      </rPr>
      <t>kad pakalpojums būs (ir) pieejams
kad tiek uzsākta pakalpojuma sniegšana, vai ir sezonalitāte</t>
    </r>
  </si>
  <si>
    <r>
      <t xml:space="preserve">Saistītie pakalpojumi
</t>
    </r>
    <r>
      <rPr>
        <sz val="10"/>
        <rFont val="Times New Roman"/>
        <family val="1"/>
        <charset val="186"/>
      </rPr>
      <t>saraksts ar pakalpojumiem, ko klients parasti izmanto kopā ar šo pakalpojumu
jānorāda vai pakalpojumi tiek apmaksāti atsevišķi</t>
    </r>
  </si>
  <si>
    <r>
      <t xml:space="preserve">Citi pieņēmumi / ierobežojumi / komentāri
</t>
    </r>
    <r>
      <rPr>
        <sz val="10"/>
        <rFont val="Times New Roman"/>
        <family val="1"/>
        <charset val="186"/>
      </rPr>
      <t>Kas papildus būtu jāņen vērā, veicot aprēķinu</t>
    </r>
  </si>
  <si>
    <r>
      <t xml:space="preserve">Tiešās un netiešās izmaksas veidojošās komponentes
</t>
    </r>
    <r>
      <rPr>
        <sz val="10"/>
        <rFont val="Times New Roman"/>
        <family val="1"/>
        <charset val="186"/>
      </rPr>
      <t>Tiešās izmaksas (tiešās darba izmaksas, tiešās materiālu izmaksas, citas ar pakalpojuma sniegšanu tieši saistītas izmaksas, piem. pārdošana, piegāde, ārpakalpojumi)
Netiešās izmaksas (netiešās darba izmaksas (finanšu departaments, juridiskā daļa, vispārējā daļa), citas netiešās izmaksas (ēku / telpu uzturēšana, IT infrastruktūra, reģistrs u.c.)</t>
    </r>
  </si>
  <si>
    <t>Cenrādis, kurā pakalpojums tiks iekļauts</t>
  </si>
  <si>
    <t>Tiešās izmaksas</t>
  </si>
  <si>
    <t>Tiešās darba izmaksas</t>
  </si>
  <si>
    <t>Tiešās materiālu izmaksas</t>
  </si>
  <si>
    <t>Citas tiešās izmaksas</t>
  </si>
  <si>
    <t>Tieši attiecināmo ilgtermiņa ieguldījumu nolietojums</t>
  </si>
  <si>
    <t>Nr.p.k.</t>
  </si>
  <si>
    <t>2.1.1.</t>
  </si>
  <si>
    <t>2.1.2.</t>
  </si>
  <si>
    <t>2.2.1.</t>
  </si>
  <si>
    <t>2.3.1.</t>
  </si>
  <si>
    <t>2.3.2.</t>
  </si>
  <si>
    <t>2.3.3.</t>
  </si>
  <si>
    <t>2.4.</t>
  </si>
  <si>
    <t>2.4.1.</t>
  </si>
  <si>
    <t>2.4.2.</t>
  </si>
  <si>
    <t>2.4.3.</t>
  </si>
  <si>
    <t>Netiešās izmaksas</t>
  </si>
  <si>
    <t>3.1.1.</t>
  </si>
  <si>
    <t>3.1.2.</t>
  </si>
  <si>
    <t>3.1.3.</t>
  </si>
  <si>
    <t>Netiešās darba izmaksas</t>
  </si>
  <si>
    <t>3.2.1.</t>
  </si>
  <si>
    <t>3.2.2.</t>
  </si>
  <si>
    <t>3.2.3.</t>
  </si>
  <si>
    <t>Citas netiešās izmaksas</t>
  </si>
  <si>
    <t>Administrācijas izmaksas</t>
  </si>
  <si>
    <t>Tiešās un netiešās izmaksas kopā</t>
  </si>
  <si>
    <r>
      <t xml:space="preserve">Saistītie normatīvie akti (ja ir)
</t>
    </r>
    <r>
      <rPr>
        <sz val="10"/>
        <rFont val="Times New Roman"/>
        <family val="1"/>
        <charset val="186"/>
      </rPr>
      <t>Saites uz iekšējiem normatīvajiem aktiem, kas reglamentē pakalpojuma sniegšanu</t>
    </r>
  </si>
  <si>
    <r>
      <t xml:space="preserve">Papildus pieņēmumi pakalpojuma cenas aprēķinam
</t>
    </r>
    <r>
      <rPr>
        <sz val="10"/>
        <rFont val="Times New Roman"/>
        <family val="1"/>
        <charset val="186"/>
      </rPr>
      <t>piem., cena tiek aprēķināta aplēšot izmaksas 3 gadu periodam</t>
    </r>
  </si>
  <si>
    <t>Pakalpojuma nosaukums:</t>
  </si>
  <si>
    <r>
      <t xml:space="preserve">Pakalpojuma apraksts - īsumā
</t>
    </r>
    <r>
      <rPr>
        <sz val="10"/>
        <rFont val="Times New Roman"/>
        <family val="1"/>
        <charset val="186"/>
      </rPr>
      <t>Kas ir šis pakalpojums?</t>
    </r>
  </si>
  <si>
    <r>
      <t xml:space="preserve">Pakalpojuma apraksts - detalizēts
</t>
    </r>
    <r>
      <rPr>
        <sz val="10"/>
        <rFont val="Times New Roman"/>
        <family val="1"/>
        <charset val="186"/>
      </rPr>
      <t>Kādas darbības / procesi pakalpojumā tiek iekļauti?</t>
    </r>
  </si>
  <si>
    <t>Atbalstošais pakalpojums</t>
  </si>
  <si>
    <t>Plānotie pakalpojuma veidi (ja ir)</t>
  </si>
  <si>
    <t>Tiešās darba un ar darbu saistītās tiešās un jaukta tipa izmaksas</t>
  </si>
  <si>
    <t>Netiešās darba un ar darbu saistītās tiešās un jaukta tipa izmaksas</t>
  </si>
  <si>
    <t>Salīdzināšanai</t>
  </si>
  <si>
    <t>Komentārs / detalizācija / aprēķina formula</t>
  </si>
  <si>
    <t>Tehniskais pakalpojums</t>
  </si>
  <si>
    <t>Reģistrācijas pakalpojums</t>
  </si>
  <si>
    <t>Kvalifikācijas pakalpojums</t>
  </si>
  <si>
    <t>MK noteikumi Nr. 1000 &amp; Valdes cenrādis</t>
  </si>
  <si>
    <r>
      <t xml:space="preserve">Pakalpojuma mērvienība
</t>
    </r>
    <r>
      <rPr>
        <sz val="10"/>
        <rFont val="Times New Roman"/>
        <family val="1"/>
        <charset val="186"/>
      </rPr>
      <t>vienība, kas tiks apmaksāta (gab., h, min)</t>
    </r>
  </si>
  <si>
    <r>
      <t xml:space="preserve">Service Level Agreement 
</t>
    </r>
    <r>
      <rPr>
        <sz val="10"/>
        <rFont val="Times New Roman"/>
        <family val="1"/>
        <charset val="186"/>
      </rPr>
      <t>Vai tiks piemērots SLA;</t>
    </r>
    <r>
      <rPr>
        <b/>
        <sz val="10"/>
        <rFont val="Times New Roman"/>
        <family val="1"/>
        <charset val="186"/>
      </rPr>
      <t xml:space="preserve"> </t>
    </r>
    <r>
      <rPr>
        <sz val="10"/>
        <rFont val="Times New Roman"/>
        <family val="1"/>
        <charset val="186"/>
      </rPr>
      <t>ja jā tad kāds</t>
    </r>
  </si>
  <si>
    <t>Aprēķins CSDD iekšējām vajadzībām</t>
  </si>
  <si>
    <t>Izmaksas par PVN neatskaitāmo daļu</t>
  </si>
  <si>
    <t>PVN neatskaitāmā daļa</t>
  </si>
  <si>
    <t>Tiešās un jaukta tipa izmaksas</t>
  </si>
  <si>
    <t>Citas tiešās un jaukta tipa izmaksas</t>
  </si>
  <si>
    <t>KAC telpu izmaksas</t>
  </si>
  <si>
    <t>Pārvaldes telpu izmaksas</t>
  </si>
  <si>
    <t>sask. ar atbalstošo pakalpojumu</t>
  </si>
  <si>
    <t>Pārvaldes telpu izmaksu proporcija pret atalgojuma izmaksām</t>
  </si>
  <si>
    <t>KAC telpu izmaksu proporcija pret atalgojuma izmaksām</t>
  </si>
  <si>
    <t>KAC tehnoloģisko iekārtu izmaksas</t>
  </si>
  <si>
    <t>Pārvaldes tehnoloģisko iekārtu izmaksas</t>
  </si>
  <si>
    <t>KAC tehnoloģisko iekārtu izmaksu proporcija pret atalgojuma izmaksām</t>
  </si>
  <si>
    <t>Pārvaldes tehnoloģisko iekārtu izmaksu proporcija pret atalgojuma izmaksām</t>
  </si>
  <si>
    <t>KAC auto izmaksu proporcija pret atalgojuma izmaksām</t>
  </si>
  <si>
    <t>Pārvaldes auto izmaksu proporcija pret atalgojuma izmaksām</t>
  </si>
  <si>
    <t>KAC auto izmaksas</t>
  </si>
  <si>
    <t>Pārvaldes auto izmaksas</t>
  </si>
  <si>
    <t>Tiešās un netiešās personāla uzskaites procesa izmaksas uz vienu darbinieku gadā</t>
  </si>
  <si>
    <t>Tiešās un netiešās personāla uzskaites procesa izmaksas uz vienu darbinieka darba dienu</t>
  </si>
  <si>
    <t>Tiešās un netiešās personāla uzskaites procesa izmaksas uz vienu darbinieka darba stundu</t>
  </si>
  <si>
    <t>EUR par stundu</t>
  </si>
  <si>
    <t>EUR par gadu</t>
  </si>
  <si>
    <t>EUR par dienu</t>
  </si>
  <si>
    <t>Personāla uzskaites procesa izmaksas (g)</t>
  </si>
  <si>
    <t>Personāla uzskaites procesa izmaksas (d)</t>
  </si>
  <si>
    <t>Personāla uzskaites procesa izmaksas (h)</t>
  </si>
  <si>
    <t>1.1.</t>
  </si>
  <si>
    <t>Tiešās un netiešās grāmatvedības procesa izmaksas uz vienu darba stundu</t>
  </si>
  <si>
    <t>Grāmatvedības procesa izmaksas (h)</t>
  </si>
  <si>
    <t>EUR stundā</t>
  </si>
  <si>
    <t>Tiešās un netiešās izmaksas uz vienu reģistrā fiksētā pakalpojuma vienību</t>
  </si>
  <si>
    <t>sask. ar atbalstošo pakalpojumu, kas iekļauj izmaksas un to pieskaitījumus</t>
  </si>
  <si>
    <t>EUR par gab</t>
  </si>
  <si>
    <t>Reģistra izmantošanas izmaksas, veicot TA datu ieguvi un apstrādi</t>
  </si>
  <si>
    <t>Maksājumu iekasēšanas tiešās un netiešās izmaksas kopā CSDD kasēs un izmantojot e-maksājumus, ņemot vērā transakciju veidu proporcionālo sadalījumu un dalītas ar maksājumā iekasēto pakalpojumu skaitu</t>
  </si>
  <si>
    <t>Maksājumu iekasēšanas izmaksas kopā CSDD kasēs un izmantojot e-maksājumus un, ņemot vērā transakciju veidu proporcionālo sadalījumu</t>
  </si>
  <si>
    <t>Reģistra izmantošanas izmaksas, veicot CSDD datu ieguvi un apstrādi</t>
  </si>
  <si>
    <t>Maksājuma iekasēšanas izmaksas (pakalpojums)</t>
  </si>
  <si>
    <t>Maksājuma iekasēšanas izmaksas (maksājums)</t>
  </si>
  <si>
    <t>Maksājuma iekasēšanas izmaksas (KAC pakalpojums)</t>
  </si>
  <si>
    <t>Maksājuma iekasēšanas izmaksas (e.CSDD pakalpojums)</t>
  </si>
  <si>
    <t>Maksājumu iekasēšanas tiešās un netiešās izmaksas CSDD kasēs , ņemot vērā transakciju veidu proporcionālo sadalījumu un dalītas ar maksājumā iekasēto pakalpojumu skaitu</t>
  </si>
  <si>
    <t>Maksājumu iekasēšanas tiešās un netiešās izmaksas e.CSDD, ņemot vērā transakciju veidu proporcionālo sadalījumu un dalītas ar maksājumā iekasēto pakalpojumu skaitu</t>
  </si>
  <si>
    <t>Maksājuma iekasēšanas izmaksas (KAC maksājums)</t>
  </si>
  <si>
    <t>Maksājumu iekasēšanas izmaksas CSDD kasēs, ņemot vērā transakciju veidu proporcionālo sadalījumu</t>
  </si>
  <si>
    <t>Maksājuma iekasēšanas izmaksas (e.CSDD maksājums)</t>
  </si>
  <si>
    <t>Maksājumu iekasēšanas izmaksas e.CSDD, ņemot vērā transakciju veidu proporcionālo sadalījumu</t>
  </si>
  <si>
    <t>Atbalstošo funkciju personāla izmaksas</t>
  </si>
  <si>
    <t>Izmaksu pieskaitījuma koeficients atbalstošo funkciju personāla nodrošināšanai</t>
  </si>
  <si>
    <t>Administrācijas izmaksu proporcija</t>
  </si>
  <si>
    <t>Valsts policija</t>
  </si>
  <si>
    <t>1 gab</t>
  </si>
  <si>
    <t>strādājošo darba laiks</t>
  </si>
  <si>
    <t xml:space="preserve">Pakalpojumu skaits gadā </t>
  </si>
  <si>
    <t>sask. ar prognozi</t>
  </si>
  <si>
    <t>Programnodrošinājuma uzturēšanas izmaksas</t>
  </si>
  <si>
    <t>IS uzturēšanas izmaksas</t>
  </si>
  <si>
    <t>sask. ar Valdes cenrādi</t>
  </si>
  <si>
    <t>IS izstrādes izmaksas</t>
  </si>
  <si>
    <t>Vidējais prognozētas 3 gadu periodā</t>
  </si>
  <si>
    <t xml:space="preserve">Izmaksas par protokolu nosūtīto vēstuļu uzglabāšanu elektroniskā tiešsaistes arhīvā </t>
  </si>
  <si>
    <t>sask. ar līgumu ar piegādātāju</t>
  </si>
  <si>
    <t>EUR mēnesī</t>
  </si>
  <si>
    <t>Bez PVN</t>
  </si>
  <si>
    <t>Ar PVN</t>
  </si>
  <si>
    <t>Stacionārie FR</t>
  </si>
  <si>
    <t>Pārvietojamie FR</t>
  </si>
  <si>
    <t>360</t>
  </si>
  <si>
    <t>FR atgādinājumi</t>
  </si>
  <si>
    <t>RS</t>
  </si>
  <si>
    <t>Brīdinājumi</t>
  </si>
  <si>
    <t>Soda punkti</t>
  </si>
  <si>
    <t>Atgādinājumi</t>
  </si>
  <si>
    <t>Paziņojumi</t>
  </si>
  <si>
    <t>Stāvvietas</t>
  </si>
  <si>
    <t>170 vietā jaunajā līgumā 200 EUR/ mēnesī</t>
  </si>
  <si>
    <t>Fotoradaru atgādinājumu sagatavošanas pakalpojumu maksas aprēķins</t>
  </si>
  <si>
    <t xml:space="preserve">- IT programmnodrošinājuma uzturēšana saskaņā ar pakalpojuma "Informācijas sistēmu uzturēšanas darbi (maksa par stundu)" noteikto cenu, atskaitot administrācijas izmaksas un uzcenojumu 
- disku masīvu nodrošināšana ar IBM esošā līguma ietvaros; kopējais apjoms 20 TB, par cenu 500 EUR / gadā / 1 TB
- reģistra izmantošanas izmaksas
- Programmnodrošinājuma papildus izstrāde (kopā 3 nedēļas darba), kas tiek cenots saskaņā ar pakalpojuma "Informācijas sistēmu izstrādes darbi (maksa par stundu)" noteikto cenu, atskaitot administrācijas izmaksas un uzcenojumu. 
- Izmaksas par protokolu nosūtīto vēstuļu uzglabāšanu elektroniskā tiešsaistes arhīvā 
-atbalstošā personāla atalgojuma izmaksas
-atdministrācijas izmaksas
</t>
  </si>
  <si>
    <t>Atgādinājumu apstrādes programmatūras izstrādes izmaksas, t.sk. izmaiņas saistībā ar Administratīvās atbildības likuma prasību ieviešanu</t>
  </si>
  <si>
    <t>5.pielikums Ministru kabineta rīkojuma projekta "Grozījumi Ministru kabineta 2021. gada 2.novembra rīkojumā Nr.775 "Par ceļu satiksmes pārkāpumu fiksēšanas tehnisko līdzekļu darbības nodrošināšanu" sākotnējās ietekmes novērtējuma ziņojumam (anotācijai)</t>
  </si>
  <si>
    <t>Izdevumi var mainīties pa izdevumu veidiem, ņemot vērā iepirkuma rezultātus un citus apstākļus.</t>
  </si>
  <si>
    <t xml:space="preserve">Paziņojuma (atgādinājuma) sagatavošanas izmaksas (informācijas apstrāde)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</si>
</sst>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64" formatCode="&quot;$&quot;#,##0"/>
    <numFmt numFmtId="165" formatCode="#,##0.00\ [$€-426]"/>
    <numFmt numFmtId="166" formatCode="0.000%"/>
    <numFmt numFmtId="167" formatCode="[$€-426]\ #,##0.00"/>
    <numFmt numFmtId="168" formatCode="&quot;£&quot;#,##0"/>
    <numFmt numFmtId="169" formatCode="#,##0.00\ &quot;€&quot;"/>
    <numFmt numFmtId="170" formatCode="#,##0.0000\ &quot;€&quot;"/>
    <numFmt numFmtId="171" formatCode="#,##0&quot; gb&quot;"/>
    <numFmt numFmtId="172" formatCode="0&quot; h mēnesī&quot;"/>
    <numFmt numFmtId="173" formatCode="#,##0&quot; TB gadā&quot;"/>
    <numFmt numFmtId="174" formatCode="#,##0&quot; gadi&quot;"/>
    <numFmt numFmtId="175" formatCode="0&quot; h &quot;"/>
  </numFmts>
  <fonts count="22" x14ac:knownFonts="1">
    <font>
      <sz val="11"/>
      <color theme="1"/>
      <name val="Calibri"/>
      <family val="2"/>
      <charset val="186"/>
      <scheme val="minor"/>
    </font>
    <font>
      <sz val="11"/>
      <color theme="1"/>
      <name val="Calibri"/>
      <family val="2"/>
      <scheme val="minor"/>
    </font>
    <font>
      <sz val="11"/>
      <color theme="1"/>
      <name val="Calibri"/>
      <family val="2"/>
      <charset val="186"/>
      <scheme val="minor"/>
    </font>
    <font>
      <sz val="10"/>
      <color theme="1"/>
      <name val="Times New Roman"/>
      <family val="1"/>
      <charset val="186"/>
    </font>
    <font>
      <sz val="10"/>
      <name val="Times New Roman"/>
      <family val="1"/>
      <charset val="186"/>
    </font>
    <font>
      <sz val="10"/>
      <color rgb="FF000000"/>
      <name val="Arial"/>
      <family val="2"/>
    </font>
    <font>
      <sz val="10"/>
      <color rgb="FF000000"/>
      <name val="Arial"/>
      <family val="2"/>
      <charset val="186"/>
    </font>
    <font>
      <sz val="9"/>
      <color theme="1"/>
      <name val="Times New Roman"/>
      <family val="1"/>
      <charset val="186"/>
    </font>
    <font>
      <b/>
      <sz val="9"/>
      <color theme="0"/>
      <name val="Times New Roman"/>
      <family val="1"/>
      <charset val="186"/>
    </font>
    <font>
      <b/>
      <sz val="9"/>
      <name val="Times New Roman"/>
      <family val="1"/>
      <charset val="186"/>
    </font>
    <font>
      <b/>
      <sz val="9"/>
      <color indexed="63"/>
      <name val="Times New Roman"/>
      <family val="1"/>
      <charset val="186"/>
    </font>
    <font>
      <b/>
      <sz val="9"/>
      <color indexed="9"/>
      <name val="Times New Roman"/>
      <family val="1"/>
      <charset val="186"/>
    </font>
    <font>
      <sz val="9"/>
      <color rgb="FFFF0000"/>
      <name val="Times New Roman"/>
      <family val="1"/>
      <charset val="186"/>
    </font>
    <font>
      <i/>
      <sz val="9"/>
      <color theme="1"/>
      <name val="Times New Roman"/>
      <family val="1"/>
      <charset val="186"/>
    </font>
    <font>
      <sz val="9"/>
      <color indexed="63"/>
      <name val="Times New Roman"/>
      <family val="1"/>
      <charset val="186"/>
    </font>
    <font>
      <b/>
      <sz val="9"/>
      <color theme="1"/>
      <name val="Times New Roman"/>
      <family val="1"/>
      <charset val="186"/>
    </font>
    <font>
      <sz val="9"/>
      <color theme="0"/>
      <name val="Times New Roman"/>
      <family val="1"/>
      <charset val="186"/>
    </font>
    <font>
      <b/>
      <sz val="10"/>
      <color theme="0"/>
      <name val="Times New Roman"/>
      <family val="1"/>
      <charset val="186"/>
    </font>
    <font>
      <b/>
      <sz val="10"/>
      <name val="Times New Roman"/>
      <family val="1"/>
      <charset val="186"/>
    </font>
    <font>
      <sz val="9"/>
      <name val="Segoe UI"/>
      <family val="2"/>
      <charset val="186"/>
    </font>
    <font>
      <sz val="9"/>
      <color theme="1"/>
      <name val="Segoe UI"/>
      <family val="2"/>
      <charset val="1"/>
    </font>
    <font>
      <b/>
      <sz val="11"/>
      <color theme="1"/>
      <name val="Calibri"/>
      <family val="2"/>
      <charset val="186"/>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9"/>
      </patternFill>
    </fill>
    <fill>
      <patternFill patternType="solid">
        <fgColor theme="0" tint="-4.9989318521683403E-2"/>
        <bgColor indexed="64"/>
      </patternFill>
    </fill>
    <fill>
      <patternFill patternType="solid">
        <fgColor theme="0"/>
        <bgColor indexed="9"/>
      </patternFill>
    </fill>
    <fill>
      <patternFill patternType="solid">
        <fgColor rgb="FF006225"/>
        <bgColor indexed="64"/>
      </patternFill>
    </fill>
    <fill>
      <patternFill patternType="solid">
        <fgColor rgb="FF006225"/>
        <bgColor indexed="9"/>
      </patternFill>
    </fill>
    <fill>
      <patternFill patternType="solid">
        <fgColor rgb="FF4D917A"/>
        <bgColor indexed="9"/>
      </patternFill>
    </fill>
    <fill>
      <patternFill patternType="solid">
        <fgColor theme="7" tint="0.79998168889431442"/>
        <bgColor indexed="64"/>
      </patternFill>
    </fill>
    <fill>
      <patternFill patternType="solid">
        <fgColor theme="4" tint="0.79998168889431442"/>
        <bgColor indexed="64"/>
      </patternFill>
    </fill>
  </fills>
  <borders count="12">
    <border>
      <left/>
      <right/>
      <top/>
      <bottom/>
      <diagonal/>
    </border>
    <border>
      <left style="medium">
        <color indexed="64"/>
      </left>
      <right style="thin">
        <color theme="1"/>
      </right>
      <top style="medium">
        <color indexed="64"/>
      </top>
      <bottom style="medium">
        <color indexed="64"/>
      </bottom>
      <diagonal/>
    </border>
    <border>
      <left style="thin">
        <color theme="1"/>
      </left>
      <right style="medium">
        <color indexed="64"/>
      </right>
      <top style="medium">
        <color indexed="64"/>
      </top>
      <bottom style="medium">
        <color indexed="64"/>
      </bottom>
      <diagonal/>
    </border>
    <border>
      <left style="medium">
        <color indexed="64"/>
      </left>
      <right style="thin">
        <color theme="1"/>
      </right>
      <top/>
      <bottom style="thin">
        <color theme="1"/>
      </bottom>
      <diagonal/>
    </border>
    <border>
      <left style="thin">
        <color theme="1"/>
      </left>
      <right style="medium">
        <color indexed="64"/>
      </right>
      <top/>
      <bottom style="thin">
        <color theme="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s>
  <cellStyleXfs count="11">
    <xf numFmtId="0" fontId="0" fillId="0" borderId="0"/>
    <xf numFmtId="9" fontId="2" fillId="0" borderId="0" applyFont="0" applyFill="0" applyBorder="0" applyAlignment="0" applyProtection="0"/>
    <xf numFmtId="0" fontId="1" fillId="0" borderId="0"/>
    <xf numFmtId="0" fontId="1" fillId="0" borderId="0"/>
    <xf numFmtId="0" fontId="5" fillId="0" borderId="0"/>
    <xf numFmtId="0" fontId="6" fillId="0" borderId="0"/>
    <xf numFmtId="0" fontId="19" fillId="0" borderId="0"/>
    <xf numFmtId="9" fontId="1" fillId="0" borderId="0" applyFont="0" applyFill="0" applyBorder="0" applyAlignment="0" applyProtection="0"/>
    <xf numFmtId="0" fontId="20" fillId="0" borderId="0"/>
    <xf numFmtId="0" fontId="19" fillId="0" borderId="0"/>
    <xf numFmtId="0" fontId="19" fillId="0" borderId="0"/>
  </cellStyleXfs>
  <cellXfs count="107">
    <xf numFmtId="0" fontId="0" fillId="0" borderId="0" xfId="0"/>
    <xf numFmtId="0" fontId="3" fillId="3" borderId="0" xfId="0" applyFont="1" applyFill="1"/>
    <xf numFmtId="0" fontId="4" fillId="5" borderId="0" xfId="0" applyFont="1" applyFill="1" applyBorder="1" applyAlignment="1">
      <alignment vertical="center" wrapText="1"/>
    </xf>
    <xf numFmtId="1" fontId="7" fillId="3" borderId="0" xfId="0" applyNumberFormat="1" applyFont="1" applyFill="1" applyAlignment="1">
      <alignment horizontal="center" vertical="center"/>
    </xf>
    <xf numFmtId="0" fontId="8" fillId="7" borderId="9" xfId="0" applyFont="1" applyFill="1" applyBorder="1" applyAlignment="1">
      <alignment horizontal="center" vertical="center" wrapText="1"/>
    </xf>
    <xf numFmtId="15" fontId="8" fillId="7" borderId="9" xfId="0" applyNumberFormat="1" applyFont="1" applyFill="1" applyBorder="1" applyAlignment="1">
      <alignment horizontal="center" vertical="center" wrapText="1"/>
    </xf>
    <xf numFmtId="15" fontId="9" fillId="3" borderId="0" xfId="0" applyNumberFormat="1" applyFont="1" applyFill="1" applyBorder="1" applyAlignment="1">
      <alignment horizontal="center" vertical="center" wrapText="1"/>
    </xf>
    <xf numFmtId="0" fontId="7" fillId="3" borderId="0" xfId="0" applyFont="1" applyFill="1" applyAlignment="1">
      <alignment horizontal="center" vertical="center"/>
    </xf>
    <xf numFmtId="0" fontId="7" fillId="3" borderId="0" xfId="0" applyFont="1" applyFill="1" applyAlignment="1">
      <alignment vertical="center"/>
    </xf>
    <xf numFmtId="0" fontId="9" fillId="5" borderId="9" xfId="0" applyFont="1" applyFill="1" applyBorder="1" applyAlignment="1">
      <alignment horizontal="center" vertical="center" wrapText="1"/>
    </xf>
    <xf numFmtId="167" fontId="10" fillId="6" borderId="9" xfId="0" applyNumberFormat="1" applyFont="1" applyFill="1" applyBorder="1" applyAlignment="1" applyProtection="1">
      <alignment horizontal="center" vertical="center" wrapText="1"/>
      <protection locked="0"/>
    </xf>
    <xf numFmtId="167" fontId="10" fillId="4" borderId="9" xfId="0" applyNumberFormat="1" applyFont="1" applyFill="1" applyBorder="1" applyAlignment="1" applyProtection="1">
      <alignment horizontal="center" vertical="center" wrapText="1"/>
      <protection locked="0"/>
    </xf>
    <xf numFmtId="0" fontId="7" fillId="3" borderId="0" xfId="0" applyFont="1" applyFill="1" applyAlignment="1">
      <alignment vertical="center" wrapText="1"/>
    </xf>
    <xf numFmtId="0" fontId="11" fillId="3" borderId="0" xfId="0" applyFont="1" applyFill="1" applyBorder="1" applyAlignment="1">
      <alignment horizontal="center" vertical="center" wrapText="1"/>
    </xf>
    <xf numFmtId="15" fontId="11" fillId="3" borderId="0" xfId="0" applyNumberFormat="1" applyFont="1" applyFill="1" applyBorder="1" applyAlignment="1">
      <alignment horizontal="center" vertical="center" wrapText="1"/>
    </xf>
    <xf numFmtId="167" fontId="12" fillId="3" borderId="9" xfId="0" applyNumberFormat="1" applyFont="1" applyFill="1" applyBorder="1" applyAlignment="1">
      <alignment horizontal="center" vertical="center"/>
    </xf>
    <xf numFmtId="14" fontId="13" fillId="3" borderId="0" xfId="0" applyNumberFormat="1" applyFont="1" applyFill="1" applyAlignment="1">
      <alignment horizontal="center" vertical="center"/>
    </xf>
    <xf numFmtId="1" fontId="9" fillId="2" borderId="9" xfId="0" applyNumberFormat="1" applyFont="1" applyFill="1" applyBorder="1" applyAlignment="1">
      <alignment horizontal="center" vertical="center" wrapText="1"/>
    </xf>
    <xf numFmtId="0" fontId="9" fillId="2" borderId="9" xfId="0" applyFont="1" applyFill="1" applyBorder="1" applyAlignment="1">
      <alignment vertical="center" wrapText="1"/>
    </xf>
    <xf numFmtId="0" fontId="9" fillId="2" borderId="9" xfId="0" applyFont="1" applyFill="1" applyBorder="1" applyAlignment="1">
      <alignment horizontal="center" vertical="center" wrapText="1"/>
    </xf>
    <xf numFmtId="0" fontId="9" fillId="2" borderId="9" xfId="0" applyFont="1" applyFill="1" applyBorder="1" applyAlignment="1">
      <alignment horizontal="left" vertical="center" wrapText="1"/>
    </xf>
    <xf numFmtId="164" fontId="14" fillId="6" borderId="9" xfId="0" applyNumberFormat="1" applyFont="1" applyFill="1" applyBorder="1" applyAlignment="1" applyProtection="1">
      <alignment horizontal="left" vertical="center" wrapText="1"/>
      <protection locked="0"/>
    </xf>
    <xf numFmtId="164" fontId="14" fillId="6" borderId="9" xfId="0" applyNumberFormat="1" applyFont="1" applyFill="1" applyBorder="1" applyAlignment="1" applyProtection="1">
      <alignment horizontal="center" vertical="center" wrapText="1"/>
      <protection locked="0"/>
    </xf>
    <xf numFmtId="3" fontId="14" fillId="6" borderId="9" xfId="0" applyNumberFormat="1" applyFont="1" applyFill="1" applyBorder="1" applyAlignment="1" applyProtection="1">
      <alignment horizontal="center" vertical="center" wrapText="1"/>
      <protection locked="0"/>
    </xf>
    <xf numFmtId="165" fontId="14" fillId="6" borderId="9" xfId="0" applyNumberFormat="1" applyFont="1" applyFill="1" applyBorder="1" applyAlignment="1" applyProtection="1">
      <alignment horizontal="center" vertical="center" wrapText="1"/>
      <protection locked="0"/>
    </xf>
    <xf numFmtId="0" fontId="15" fillId="3" borderId="0" xfId="0" applyFont="1" applyFill="1" applyAlignment="1">
      <alignment vertical="center"/>
    </xf>
    <xf numFmtId="49" fontId="10" fillId="4" borderId="9" xfId="0" applyNumberFormat="1" applyFont="1" applyFill="1" applyBorder="1" applyAlignment="1" applyProtection="1">
      <alignment horizontal="left" vertical="center" wrapText="1"/>
      <protection locked="0"/>
    </xf>
    <xf numFmtId="164" fontId="10" fillId="4" borderId="9" xfId="0" applyNumberFormat="1" applyFont="1" applyFill="1" applyBorder="1" applyAlignment="1" applyProtection="1">
      <alignment vertical="center" wrapText="1"/>
      <protection locked="0"/>
    </xf>
    <xf numFmtId="164" fontId="10" fillId="4" borderId="9" xfId="0" applyNumberFormat="1" applyFont="1" applyFill="1" applyBorder="1" applyAlignment="1" applyProtection="1">
      <alignment horizontal="center" vertical="center" wrapText="1"/>
      <protection locked="0"/>
    </xf>
    <xf numFmtId="165" fontId="10" fillId="4" borderId="9" xfId="0" applyNumberFormat="1" applyFont="1" applyFill="1" applyBorder="1" applyAlignment="1" applyProtection="1">
      <alignment horizontal="center" vertical="center" wrapText="1"/>
      <protection locked="0"/>
    </xf>
    <xf numFmtId="164" fontId="14" fillId="4" borderId="9" xfId="0" applyNumberFormat="1" applyFont="1" applyFill="1" applyBorder="1" applyAlignment="1" applyProtection="1">
      <alignment horizontal="left" vertical="center" wrapText="1" indent="1"/>
      <protection locked="0"/>
    </xf>
    <xf numFmtId="164" fontId="14" fillId="4" borderId="9" xfId="0" applyNumberFormat="1" applyFont="1" applyFill="1" applyBorder="1" applyAlignment="1" applyProtection="1">
      <alignment horizontal="left" vertical="center" wrapText="1"/>
      <protection locked="0"/>
    </xf>
    <xf numFmtId="164" fontId="14" fillId="4" borderId="9" xfId="0" applyNumberFormat="1" applyFont="1" applyFill="1" applyBorder="1" applyAlignment="1" applyProtection="1">
      <alignment horizontal="center" vertical="center" wrapText="1"/>
      <protection locked="0"/>
    </xf>
    <xf numFmtId="1" fontId="14" fillId="4" borderId="9" xfId="0" applyNumberFormat="1" applyFont="1" applyFill="1" applyBorder="1" applyAlignment="1" applyProtection="1">
      <alignment horizontal="center" vertical="center" wrapText="1"/>
      <protection locked="0"/>
    </xf>
    <xf numFmtId="165" fontId="14" fillId="4" borderId="9" xfId="0" applyNumberFormat="1" applyFont="1" applyFill="1" applyBorder="1" applyAlignment="1" applyProtection="1">
      <alignment horizontal="center" vertical="center" wrapText="1"/>
      <protection locked="0"/>
    </xf>
    <xf numFmtId="168" fontId="14" fillId="6" borderId="9" xfId="0" applyNumberFormat="1" applyFont="1" applyFill="1" applyBorder="1" applyAlignment="1" applyProtection="1">
      <alignment horizontal="left" vertical="center" wrapText="1" indent="3"/>
      <protection locked="0"/>
    </xf>
    <xf numFmtId="1" fontId="14" fillId="6" borderId="9" xfId="0" applyNumberFormat="1" applyFont="1" applyFill="1" applyBorder="1" applyAlignment="1" applyProtection="1">
      <alignment horizontal="center" vertical="center" wrapText="1"/>
      <protection locked="0"/>
    </xf>
    <xf numFmtId="164" fontId="14" fillId="6" borderId="9" xfId="0" applyNumberFormat="1" applyFont="1" applyFill="1" applyBorder="1" applyAlignment="1" applyProtection="1">
      <alignment vertical="center" wrapText="1"/>
      <protection locked="0"/>
    </xf>
    <xf numFmtId="164" fontId="14" fillId="6" borderId="9" xfId="0" applyNumberFormat="1" applyFont="1" applyFill="1" applyBorder="1" applyAlignment="1" applyProtection="1">
      <alignment horizontal="left" vertical="center" wrapText="1" indent="1"/>
      <protection locked="0"/>
    </xf>
    <xf numFmtId="166" fontId="14" fillId="4" borderId="9" xfId="1" applyNumberFormat="1" applyFont="1" applyFill="1" applyBorder="1" applyAlignment="1" applyProtection="1">
      <alignment horizontal="center" vertical="center" wrapText="1"/>
      <protection locked="0"/>
    </xf>
    <xf numFmtId="49" fontId="14" fillId="4" borderId="9" xfId="0" applyNumberFormat="1" applyFont="1" applyFill="1" applyBorder="1" applyAlignment="1" applyProtection="1">
      <alignment horizontal="left" vertical="center" wrapText="1"/>
      <protection locked="0"/>
    </xf>
    <xf numFmtId="164" fontId="14" fillId="4" borderId="9" xfId="0" applyNumberFormat="1" applyFont="1" applyFill="1" applyBorder="1" applyAlignment="1" applyProtection="1">
      <alignment vertical="center" wrapText="1"/>
      <protection locked="0"/>
    </xf>
    <xf numFmtId="10" fontId="14" fillId="4" borderId="9" xfId="1" applyNumberFormat="1" applyFont="1" applyFill="1" applyBorder="1" applyAlignment="1" applyProtection="1">
      <alignment horizontal="center" vertical="center" wrapText="1"/>
      <protection locked="0"/>
    </xf>
    <xf numFmtId="49" fontId="8" fillId="9" borderId="9" xfId="0" applyNumberFormat="1" applyFont="1" applyFill="1" applyBorder="1" applyAlignment="1" applyProtection="1">
      <alignment horizontal="left" vertical="center" wrapText="1"/>
      <protection locked="0"/>
    </xf>
    <xf numFmtId="164" fontId="16" fillId="9" borderId="9" xfId="0" applyNumberFormat="1" applyFont="1" applyFill="1" applyBorder="1" applyAlignment="1" applyProtection="1">
      <alignment horizontal="center" vertical="center" wrapText="1"/>
      <protection locked="0"/>
    </xf>
    <xf numFmtId="4" fontId="8" fillId="9" borderId="9" xfId="0" applyNumberFormat="1" applyFont="1" applyFill="1" applyBorder="1" applyAlignment="1" applyProtection="1">
      <alignment horizontal="center" vertical="center" wrapText="1"/>
      <protection locked="0"/>
    </xf>
    <xf numFmtId="164" fontId="8" fillId="9" borderId="9" xfId="0" applyNumberFormat="1" applyFont="1" applyFill="1" applyBorder="1" applyAlignment="1" applyProtection="1">
      <alignment horizontal="center" vertical="center" wrapText="1"/>
      <protection locked="0"/>
    </xf>
    <xf numFmtId="165" fontId="8" fillId="9" borderId="9" xfId="0" applyNumberFormat="1" applyFont="1" applyFill="1" applyBorder="1" applyAlignment="1" applyProtection="1">
      <alignment horizontal="center" vertical="center" wrapText="1"/>
      <protection locked="0"/>
    </xf>
    <xf numFmtId="49" fontId="8" fillId="8" borderId="9" xfId="0" applyNumberFormat="1" applyFont="1" applyFill="1" applyBorder="1" applyAlignment="1" applyProtection="1">
      <alignment horizontal="left" vertical="center" wrapText="1"/>
      <protection locked="0"/>
    </xf>
    <xf numFmtId="10" fontId="16" fillId="8" borderId="9" xfId="1" applyNumberFormat="1" applyFont="1" applyFill="1" applyBorder="1" applyAlignment="1" applyProtection="1">
      <alignment horizontal="center" vertical="center" wrapText="1"/>
      <protection locked="0"/>
    </xf>
    <xf numFmtId="165" fontId="8" fillId="8" borderId="9" xfId="0" applyNumberFormat="1" applyFont="1" applyFill="1" applyBorder="1" applyAlignment="1" applyProtection="1">
      <alignment horizontal="center" vertical="center" wrapText="1"/>
      <protection locked="0"/>
    </xf>
    <xf numFmtId="0" fontId="3" fillId="3" borderId="0" xfId="0" applyFont="1" applyFill="1" applyAlignment="1">
      <alignment horizontal="left" vertical="center"/>
    </xf>
    <xf numFmtId="0" fontId="17" fillId="7" borderId="1" xfId="0" applyFont="1" applyFill="1" applyBorder="1" applyAlignment="1">
      <alignment horizontal="right" vertical="center" wrapText="1"/>
    </xf>
    <xf numFmtId="164" fontId="18" fillId="6" borderId="2" xfId="0" applyNumberFormat="1" applyFont="1" applyFill="1" applyBorder="1" applyAlignment="1" applyProtection="1">
      <alignment vertical="center" wrapText="1"/>
      <protection locked="0"/>
    </xf>
    <xf numFmtId="0" fontId="18" fillId="5" borderId="3" xfId="0" applyFont="1" applyFill="1" applyBorder="1" applyAlignment="1">
      <alignment horizontal="left" vertical="center" wrapText="1"/>
    </xf>
    <xf numFmtId="164" fontId="4" fillId="6" borderId="4" xfId="0" applyNumberFormat="1" applyFont="1" applyFill="1" applyBorder="1" applyAlignment="1" applyProtection="1">
      <alignment vertical="center" wrapText="1"/>
      <protection locked="0"/>
    </xf>
    <xf numFmtId="0" fontId="18" fillId="5" borderId="5" xfId="0" applyFont="1" applyFill="1" applyBorder="1" applyAlignment="1">
      <alignment horizontal="left" vertical="center" wrapText="1"/>
    </xf>
    <xf numFmtId="164" fontId="4" fillId="6" borderId="6" xfId="0" applyNumberFormat="1" applyFont="1" applyFill="1" applyBorder="1" applyAlignment="1" applyProtection="1">
      <alignment vertical="center" wrapText="1"/>
      <protection locked="0"/>
    </xf>
    <xf numFmtId="0" fontId="18" fillId="5" borderId="5" xfId="0" applyFont="1" applyFill="1" applyBorder="1" applyAlignment="1">
      <alignment vertical="center" wrapText="1"/>
    </xf>
    <xf numFmtId="0" fontId="18" fillId="5" borderId="7" xfId="0" applyFont="1" applyFill="1" applyBorder="1" applyAlignment="1">
      <alignment vertical="center" wrapText="1"/>
    </xf>
    <xf numFmtId="164" fontId="4" fillId="6" borderId="8" xfId="0" applyNumberFormat="1" applyFont="1" applyFill="1" applyBorder="1" applyAlignment="1" applyProtection="1">
      <alignment vertical="center" wrapText="1"/>
      <protection locked="0"/>
    </xf>
    <xf numFmtId="0" fontId="18" fillId="5" borderId="3" xfId="0" applyFont="1" applyFill="1" applyBorder="1" applyAlignment="1">
      <alignment vertical="center" wrapText="1"/>
    </xf>
    <xf numFmtId="0" fontId="3" fillId="3" borderId="0" xfId="0" applyFont="1" applyFill="1" applyAlignment="1">
      <alignment horizontal="right"/>
    </xf>
    <xf numFmtId="10" fontId="14" fillId="6" borderId="9" xfId="1" applyNumberFormat="1" applyFont="1" applyFill="1" applyBorder="1" applyAlignment="1" applyProtection="1">
      <alignment horizontal="center" vertical="center" wrapText="1"/>
      <protection locked="0"/>
    </xf>
    <xf numFmtId="0" fontId="9" fillId="3" borderId="10" xfId="0" applyFont="1" applyFill="1" applyBorder="1" applyAlignment="1">
      <alignment vertical="center" wrapText="1"/>
    </xf>
    <xf numFmtId="165" fontId="14" fillId="6" borderId="9" xfId="0" applyNumberFormat="1" applyFont="1" applyFill="1" applyBorder="1" applyAlignment="1" applyProtection="1">
      <alignment horizontal="left" vertical="center" wrapText="1"/>
      <protection locked="0"/>
    </xf>
    <xf numFmtId="169" fontId="9" fillId="2" borderId="9" xfId="0" applyNumberFormat="1" applyFont="1" applyFill="1" applyBorder="1" applyAlignment="1">
      <alignment horizontal="center" vertical="center" wrapText="1"/>
    </xf>
    <xf numFmtId="169" fontId="14" fillId="6" borderId="9" xfId="0" applyNumberFormat="1" applyFont="1" applyFill="1" applyBorder="1" applyAlignment="1" applyProtection="1">
      <alignment horizontal="center" vertical="center" wrapText="1"/>
      <protection locked="0"/>
    </xf>
    <xf numFmtId="169" fontId="10" fillId="4" borderId="9" xfId="0" applyNumberFormat="1" applyFont="1" applyFill="1" applyBorder="1" applyAlignment="1" applyProtection="1">
      <alignment horizontal="center" vertical="center" wrapText="1"/>
      <protection locked="0"/>
    </xf>
    <xf numFmtId="169" fontId="14" fillId="4" borderId="9" xfId="0" applyNumberFormat="1" applyFont="1" applyFill="1" applyBorder="1" applyAlignment="1" applyProtection="1">
      <alignment horizontal="center" vertical="center" wrapText="1"/>
      <protection locked="0"/>
    </xf>
    <xf numFmtId="169" fontId="14" fillId="6" borderId="9" xfId="0" applyNumberFormat="1" applyFont="1" applyFill="1" applyBorder="1" applyAlignment="1" applyProtection="1">
      <alignment horizontal="left" vertical="center" wrapText="1"/>
      <protection locked="0"/>
    </xf>
    <xf numFmtId="169" fontId="8" fillId="9" borderId="9" xfId="0" applyNumberFormat="1" applyFont="1" applyFill="1" applyBorder="1" applyAlignment="1" applyProtection="1">
      <alignment horizontal="center" vertical="center" wrapText="1"/>
      <protection locked="0"/>
    </xf>
    <xf numFmtId="169" fontId="8" fillId="8" borderId="9" xfId="0" applyNumberFormat="1" applyFont="1" applyFill="1" applyBorder="1" applyAlignment="1" applyProtection="1">
      <alignment horizontal="center" vertical="center" wrapText="1"/>
      <protection locked="0"/>
    </xf>
    <xf numFmtId="49" fontId="14" fillId="6" borderId="9" xfId="0" applyNumberFormat="1" applyFont="1" applyFill="1" applyBorder="1" applyAlignment="1" applyProtection="1">
      <alignment horizontal="left" vertical="center" wrapText="1" indent="1"/>
      <protection locked="0"/>
    </xf>
    <xf numFmtId="0" fontId="3" fillId="3" borderId="0" xfId="0" applyFont="1" applyFill="1" applyAlignment="1">
      <alignment vertical="center"/>
    </xf>
    <xf numFmtId="0" fontId="4" fillId="3" borderId="0" xfId="0" applyFont="1" applyFill="1" applyBorder="1" applyAlignment="1">
      <alignment vertical="center"/>
    </xf>
    <xf numFmtId="0" fontId="3" fillId="3" borderId="9" xfId="0" applyFont="1" applyFill="1" applyBorder="1" applyAlignment="1">
      <alignment vertical="center"/>
    </xf>
    <xf numFmtId="0" fontId="3" fillId="3" borderId="10" xfId="0" applyFont="1" applyFill="1" applyBorder="1" applyAlignment="1">
      <alignment vertical="center"/>
    </xf>
    <xf numFmtId="9" fontId="3" fillId="3" borderId="9" xfId="0" applyNumberFormat="1" applyFont="1" applyFill="1" applyBorder="1" applyAlignment="1">
      <alignment vertical="center"/>
    </xf>
    <xf numFmtId="10" fontId="3" fillId="3" borderId="9" xfId="0" applyNumberFormat="1" applyFont="1" applyFill="1" applyBorder="1" applyAlignment="1">
      <alignment vertical="center"/>
    </xf>
    <xf numFmtId="10" fontId="3" fillId="3" borderId="9" xfId="1" applyNumberFormat="1" applyFont="1" applyFill="1" applyBorder="1" applyAlignment="1">
      <alignment vertical="center"/>
    </xf>
    <xf numFmtId="169" fontId="3" fillId="3" borderId="9" xfId="0" applyNumberFormat="1" applyFont="1" applyFill="1" applyBorder="1" applyAlignment="1">
      <alignment vertical="center"/>
    </xf>
    <xf numFmtId="0" fontId="3" fillId="3" borderId="9" xfId="0" applyFont="1" applyFill="1" applyBorder="1" applyAlignment="1">
      <alignment vertical="center" wrapText="1"/>
    </xf>
    <xf numFmtId="0" fontId="3" fillId="3" borderId="0" xfId="0" applyFont="1" applyFill="1" applyBorder="1" applyAlignment="1">
      <alignment vertical="center"/>
    </xf>
    <xf numFmtId="166" fontId="3" fillId="3" borderId="9" xfId="0" applyNumberFormat="1" applyFont="1" applyFill="1" applyBorder="1" applyAlignment="1">
      <alignment vertical="center"/>
    </xf>
    <xf numFmtId="170" fontId="3" fillId="3" borderId="9" xfId="0" applyNumberFormat="1" applyFont="1" applyFill="1" applyBorder="1" applyAlignment="1">
      <alignment vertical="center"/>
    </xf>
    <xf numFmtId="164" fontId="4" fillId="6" borderId="6" xfId="0" quotePrefix="1" applyNumberFormat="1" applyFont="1" applyFill="1" applyBorder="1" applyAlignment="1" applyProtection="1">
      <alignment vertical="center" wrapText="1"/>
      <protection locked="0"/>
    </xf>
    <xf numFmtId="171" fontId="14" fillId="6" borderId="9" xfId="0" applyNumberFormat="1" applyFont="1" applyFill="1" applyBorder="1" applyAlignment="1" applyProtection="1">
      <alignment horizontal="center" vertical="center" wrapText="1"/>
      <protection locked="0"/>
    </xf>
    <xf numFmtId="173" fontId="14" fillId="6" borderId="9" xfId="0" applyNumberFormat="1" applyFont="1" applyFill="1" applyBorder="1" applyAlignment="1" applyProtection="1">
      <alignment horizontal="center" vertical="center" wrapText="1"/>
      <protection locked="0"/>
    </xf>
    <xf numFmtId="174" fontId="14" fillId="6" borderId="9" xfId="0" applyNumberFormat="1" applyFont="1" applyFill="1" applyBorder="1" applyAlignment="1" applyProtection="1">
      <alignment horizontal="center" vertical="center" wrapText="1"/>
      <protection locked="0"/>
    </xf>
    <xf numFmtId="0" fontId="21" fillId="0" borderId="0" xfId="0" applyFont="1"/>
    <xf numFmtId="0" fontId="0" fillId="10" borderId="0" xfId="0" applyFill="1"/>
    <xf numFmtId="4" fontId="0" fillId="10" borderId="0" xfId="0" applyNumberFormat="1" applyFill="1"/>
    <xf numFmtId="0" fontId="0" fillId="10" borderId="0" xfId="0" quotePrefix="1" applyFill="1"/>
    <xf numFmtId="0" fontId="0" fillId="11" borderId="0" xfId="0" applyFill="1"/>
    <xf numFmtId="4" fontId="0" fillId="11" borderId="0" xfId="0" applyNumberFormat="1" applyFill="1"/>
    <xf numFmtId="9" fontId="0" fillId="11" borderId="0" xfId="0" applyNumberFormat="1" applyFill="1"/>
    <xf numFmtId="4" fontId="0" fillId="0" borderId="0" xfId="0" applyNumberFormat="1"/>
    <xf numFmtId="0" fontId="0" fillId="0" borderId="11" xfId="0" applyBorder="1"/>
    <xf numFmtId="4" fontId="0" fillId="0" borderId="11" xfId="0" applyNumberFormat="1" applyBorder="1"/>
    <xf numFmtId="9" fontId="14" fillId="6" borderId="9" xfId="1" applyFont="1" applyFill="1" applyBorder="1" applyAlignment="1" applyProtection="1">
      <alignment horizontal="center" vertical="center" wrapText="1"/>
      <protection locked="0"/>
    </xf>
    <xf numFmtId="172" fontId="7" fillId="6" borderId="9" xfId="0" applyNumberFormat="1" applyFont="1" applyFill="1" applyBorder="1" applyAlignment="1" applyProtection="1">
      <alignment horizontal="center" vertical="center" wrapText="1"/>
      <protection locked="0"/>
    </xf>
    <xf numFmtId="175" fontId="7" fillId="6" borderId="9" xfId="0" applyNumberFormat="1" applyFont="1" applyFill="1" applyBorder="1" applyAlignment="1" applyProtection="1">
      <alignment horizontal="center" vertical="center" wrapText="1"/>
      <protection locked="0"/>
    </xf>
    <xf numFmtId="0" fontId="7" fillId="3" borderId="0" xfId="0" applyFont="1" applyFill="1" applyAlignment="1">
      <alignment horizontal="right" vertical="center" wrapText="1"/>
    </xf>
    <xf numFmtId="0" fontId="7" fillId="3" borderId="11" xfId="0" applyFont="1" applyFill="1" applyBorder="1" applyAlignment="1">
      <alignment horizontal="center" vertical="center" wrapText="1"/>
    </xf>
    <xf numFmtId="0" fontId="7" fillId="3" borderId="0" xfId="0" applyFont="1" applyFill="1" applyAlignment="1">
      <alignment horizontal="left" vertical="center" wrapText="1"/>
    </xf>
    <xf numFmtId="9" fontId="0" fillId="10" borderId="0" xfId="0" applyNumberFormat="1" applyFill="1" applyAlignment="1">
      <alignment horizontal="center"/>
    </xf>
  </cellXfs>
  <cellStyles count="11">
    <cellStyle name="Normal" xfId="0" builtinId="0"/>
    <cellStyle name="Normal 2" xfId="2"/>
    <cellStyle name="Normal 2 2" xfId="4"/>
    <cellStyle name="Normal 2 3" xfId="9"/>
    <cellStyle name="Normal 3" xfId="3"/>
    <cellStyle name="Normal 3 2" xfId="10"/>
    <cellStyle name="Normal 4" xfId="5"/>
    <cellStyle name="Normal 4 2" xfId="6"/>
    <cellStyle name="Normal 5" xfId="8"/>
    <cellStyle name="Percent" xfId="1" builtinId="5"/>
    <cellStyle name="Percent 2" xfId="7"/>
  </cellStyles>
  <dxfs count="3">
    <dxf>
      <font>
        <color auto="1"/>
      </font>
      <fill>
        <patternFill>
          <bgColor theme="0"/>
        </patternFill>
      </fill>
    </dxf>
    <dxf>
      <font>
        <color rgb="FFFF0000"/>
      </font>
      <fill>
        <patternFill>
          <bgColor theme="0"/>
        </patternFill>
      </fill>
    </dxf>
    <dxf>
      <font>
        <color rgb="FF0041C4"/>
      </font>
      <fill>
        <patternFill>
          <bgColor theme="0"/>
        </patternFill>
      </fill>
    </dxf>
  </dxfs>
  <tableStyles count="0" defaultTableStyle="TableStyleMedium2" defaultPivotStyle="PivotStyleLight16"/>
  <colors>
    <mruColors>
      <color rgb="FF006225"/>
      <color rgb="FF4D917A"/>
      <color rgb="FFF9F9F9"/>
      <color rgb="FFF3F3F3"/>
      <color rgb="FF9DC8BA"/>
      <color rgb="FFBEC0B8"/>
      <color rgb="FF0041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23"/>
  <sheetViews>
    <sheetView zoomScaleNormal="100" workbookViewId="0">
      <pane ySplit="2" topLeftCell="A6" activePane="bottomLeft" state="frozen"/>
      <selection activeCell="I22" sqref="I22"/>
      <selection pane="bottomLeft" activeCell="C14" sqref="C14"/>
    </sheetView>
  </sheetViews>
  <sheetFormatPr defaultColWidth="8.90625" defaultRowHeight="13" x14ac:dyDescent="0.3"/>
  <cols>
    <col min="1" max="1" width="3" style="1" customWidth="1"/>
    <col min="2" max="2" width="61" style="51" bestFit="1" customWidth="1"/>
    <col min="3" max="3" width="112" style="1" customWidth="1"/>
    <col min="4" max="16384" width="8.90625" style="1"/>
  </cols>
  <sheetData>
    <row r="1" spans="2:3" ht="13.5" thickBot="1" x14ac:dyDescent="0.35"/>
    <row r="2" spans="2:3" ht="13.5" thickBot="1" x14ac:dyDescent="0.35">
      <c r="B2" s="52" t="s">
        <v>75</v>
      </c>
      <c r="C2" s="53" t="s">
        <v>167</v>
      </c>
    </row>
    <row r="3" spans="2:3" x14ac:dyDescent="0.3">
      <c r="B3" s="54" t="s">
        <v>45</v>
      </c>
      <c r="C3" s="55" t="s">
        <v>33</v>
      </c>
    </row>
    <row r="4" spans="2:3" x14ac:dyDescent="0.3">
      <c r="B4" s="56" t="s">
        <v>35</v>
      </c>
      <c r="C4" s="57" t="s">
        <v>36</v>
      </c>
    </row>
    <row r="5" spans="2:3" ht="26" x14ac:dyDescent="0.3">
      <c r="B5" s="56" t="s">
        <v>76</v>
      </c>
      <c r="C5" s="57"/>
    </row>
    <row r="6" spans="2:3" ht="26" x14ac:dyDescent="0.3">
      <c r="B6" s="56" t="s">
        <v>77</v>
      </c>
      <c r="C6" s="57"/>
    </row>
    <row r="7" spans="2:3" x14ac:dyDescent="0.3">
      <c r="B7" s="56" t="s">
        <v>10</v>
      </c>
      <c r="C7" s="57" t="s">
        <v>141</v>
      </c>
    </row>
    <row r="8" spans="2:3" x14ac:dyDescent="0.3">
      <c r="B8" s="56" t="s">
        <v>79</v>
      </c>
      <c r="C8" s="57"/>
    </row>
    <row r="9" spans="2:3" ht="26" x14ac:dyDescent="0.3">
      <c r="B9" s="56" t="s">
        <v>88</v>
      </c>
      <c r="C9" s="57" t="s">
        <v>142</v>
      </c>
    </row>
    <row r="10" spans="2:3" ht="39" x14ac:dyDescent="0.3">
      <c r="B10" s="58" t="s">
        <v>41</v>
      </c>
      <c r="C10" s="57" t="s">
        <v>143</v>
      </c>
    </row>
    <row r="11" spans="2:3" ht="39" x14ac:dyDescent="0.3">
      <c r="B11" s="58" t="s">
        <v>42</v>
      </c>
      <c r="C11" s="57"/>
    </row>
    <row r="12" spans="2:3" ht="26" x14ac:dyDescent="0.3">
      <c r="B12" s="58" t="s">
        <v>40</v>
      </c>
      <c r="C12" s="57" t="s">
        <v>150</v>
      </c>
    </row>
    <row r="13" spans="2:3" ht="130" x14ac:dyDescent="0.3">
      <c r="B13" s="58" t="s">
        <v>44</v>
      </c>
      <c r="C13" s="86" t="s">
        <v>168</v>
      </c>
    </row>
    <row r="14" spans="2:3" x14ac:dyDescent="0.3">
      <c r="B14" s="58" t="s">
        <v>0</v>
      </c>
      <c r="C14" s="57"/>
    </row>
    <row r="15" spans="2:3" ht="13.5" thickBot="1" x14ac:dyDescent="0.35">
      <c r="B15" s="59" t="s">
        <v>1</v>
      </c>
      <c r="C15" s="60"/>
    </row>
    <row r="16" spans="2:3" ht="26" x14ac:dyDescent="0.3">
      <c r="B16" s="61" t="s">
        <v>89</v>
      </c>
      <c r="C16" s="55"/>
    </row>
    <row r="17" spans="2:3" ht="26" x14ac:dyDescent="0.3">
      <c r="B17" s="58" t="s">
        <v>73</v>
      </c>
      <c r="C17" s="57"/>
    </row>
    <row r="18" spans="2:3" ht="26" x14ac:dyDescent="0.3">
      <c r="B18" s="58" t="s">
        <v>74</v>
      </c>
      <c r="C18" s="57"/>
    </row>
    <row r="19" spans="2:3" ht="26.5" thickBot="1" x14ac:dyDescent="0.35">
      <c r="B19" s="59" t="s">
        <v>43</v>
      </c>
      <c r="C19" s="60"/>
    </row>
    <row r="22" spans="2:3" x14ac:dyDescent="0.3">
      <c r="C22" s="62" t="s">
        <v>5</v>
      </c>
    </row>
    <row r="23" spans="2:3" x14ac:dyDescent="0.3">
      <c r="C23" s="62" t="s">
        <v>6</v>
      </c>
    </row>
  </sheetData>
  <pageMargins left="0.70866141732283472" right="0.70866141732283472" top="0.74803149606299213" bottom="0.74803149606299213" header="0.31496062992125984" footer="0.31496062992125984"/>
  <pageSetup scale="7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legend!$D$3:$D$10</xm:f>
          </x14:formula1>
          <xm:sqref>C4</xm:sqref>
        </x14:dataValidation>
        <x14:dataValidation type="list" allowBlank="1" showInputMessage="1" showErrorMessage="1">
          <x14:formula1>
            <xm:f>legend!$B$3:$B$11</xm:f>
          </x14:formula1>
          <xm:sqref>C3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36"/>
  <sheetViews>
    <sheetView tabSelected="1" topLeftCell="C1" zoomScaleNormal="100" workbookViewId="0">
      <pane ySplit="5" topLeftCell="A6" activePane="bottomLeft" state="frozen"/>
      <selection pane="bottomLeft" activeCell="G9" sqref="G9"/>
    </sheetView>
  </sheetViews>
  <sheetFormatPr defaultColWidth="9.08984375" defaultRowHeight="11.5" outlineLevelCol="1" x14ac:dyDescent="0.35"/>
  <cols>
    <col min="1" max="1" width="6.453125" style="8" customWidth="1"/>
    <col min="2" max="2" width="10.36328125" style="3" customWidth="1"/>
    <col min="3" max="3" width="40.08984375" style="12" customWidth="1"/>
    <col min="4" max="4" width="39.6328125" style="7" customWidth="1"/>
    <col min="5" max="5" width="11.1796875" style="7" bestFit="1" customWidth="1"/>
    <col min="6" max="6" width="14.90625" style="7" bestFit="1" customWidth="1"/>
    <col min="7" max="8" width="10.453125" style="8" customWidth="1"/>
    <col min="9" max="9" width="44.6328125" style="8" hidden="1" customWidth="1" outlineLevel="1"/>
    <col min="10" max="10" width="42.08984375" style="8" hidden="1" customWidth="1" outlineLevel="1"/>
    <col min="11" max="11" width="9" style="8" hidden="1" customWidth="1" outlineLevel="1"/>
    <col min="12" max="12" width="11.90625" style="8" hidden="1" customWidth="1" outlineLevel="1"/>
    <col min="13" max="13" width="14.90625" style="7" hidden="1" customWidth="1" outlineLevel="1"/>
    <col min="14" max="14" width="9.08984375" style="8" collapsed="1"/>
    <col min="15" max="16384" width="9.08984375" style="8"/>
  </cols>
  <sheetData>
    <row r="1" spans="2:13" ht="43.5" customHeight="1" x14ac:dyDescent="0.35">
      <c r="D1" s="103" t="s">
        <v>170</v>
      </c>
      <c r="E1" s="103"/>
      <c r="F1" s="103"/>
    </row>
    <row r="2" spans="2:13" x14ac:dyDescent="0.35">
      <c r="C2" s="4" t="s">
        <v>9</v>
      </c>
      <c r="D2" s="5">
        <v>44812</v>
      </c>
      <c r="E2" s="6"/>
      <c r="I2" s="9" t="s">
        <v>82</v>
      </c>
      <c r="J2" s="10"/>
      <c r="K2" s="11" t="s">
        <v>12</v>
      </c>
    </row>
    <row r="3" spans="2:13" x14ac:dyDescent="0.35">
      <c r="D3" s="13"/>
      <c r="E3" s="14"/>
      <c r="I3" s="9" t="s">
        <v>14</v>
      </c>
      <c r="J3" s="15"/>
      <c r="K3" s="11"/>
    </row>
    <row r="4" spans="2:13" ht="27" customHeight="1" x14ac:dyDescent="0.35">
      <c r="C4" s="104" t="s">
        <v>172</v>
      </c>
      <c r="D4" s="104"/>
      <c r="E4" s="104"/>
      <c r="F4" s="104"/>
      <c r="M4" s="16"/>
    </row>
    <row r="5" spans="2:13" ht="23" x14ac:dyDescent="0.35">
      <c r="B5" s="17" t="s">
        <v>51</v>
      </c>
      <c r="C5" s="18" t="s">
        <v>15</v>
      </c>
      <c r="D5" s="19" t="s">
        <v>83</v>
      </c>
      <c r="E5" s="17" t="s">
        <v>16</v>
      </c>
      <c r="F5" s="19" t="s">
        <v>13</v>
      </c>
      <c r="I5" s="18" t="s">
        <v>18</v>
      </c>
      <c r="J5" s="20" t="s">
        <v>7</v>
      </c>
      <c r="K5" s="19" t="s">
        <v>16</v>
      </c>
      <c r="L5" s="17" t="s">
        <v>17</v>
      </c>
      <c r="M5" s="66" t="s">
        <v>13</v>
      </c>
    </row>
    <row r="6" spans="2:13" s="25" customFormat="1" x14ac:dyDescent="0.35">
      <c r="B6" s="73" t="s">
        <v>117</v>
      </c>
      <c r="C6" s="21" t="s">
        <v>144</v>
      </c>
      <c r="D6" s="22" t="s">
        <v>145</v>
      </c>
      <c r="E6" s="87">
        <f>(AVERAGE(230860,191760,185640)+AVERAGE(67576,73888,47088)+AVERAGE(48240,53600,42880))*0.15</f>
        <v>47076.6</v>
      </c>
      <c r="F6" s="24"/>
      <c r="I6" s="21" t="s">
        <v>31</v>
      </c>
      <c r="J6" s="22"/>
      <c r="K6" s="22"/>
      <c r="L6" s="23"/>
      <c r="M6" s="67"/>
    </row>
    <row r="7" spans="2:13" s="25" customFormat="1" x14ac:dyDescent="0.35">
      <c r="B7" s="26" t="s">
        <v>19</v>
      </c>
      <c r="C7" s="27" t="s">
        <v>93</v>
      </c>
      <c r="D7" s="28" t="str">
        <f>$B$8&amp;"+"&amp;$B$11&amp;"+"&amp;$B$13&amp;"+"&amp;$B$17</f>
        <v>2.1.+2.2.+2.3.+2.4.</v>
      </c>
      <c r="E7" s="27"/>
      <c r="F7" s="29">
        <f>SUM(F8,F11,F13,F17)</f>
        <v>0.36</v>
      </c>
      <c r="I7" s="27" t="s">
        <v>46</v>
      </c>
      <c r="J7" s="27"/>
      <c r="K7" s="27"/>
      <c r="L7" s="27"/>
      <c r="M7" s="68"/>
    </row>
    <row r="8" spans="2:13" s="25" customFormat="1" ht="23" x14ac:dyDescent="0.35">
      <c r="B8" s="30" t="s">
        <v>20</v>
      </c>
      <c r="C8" s="31" t="s">
        <v>80</v>
      </c>
      <c r="D8" s="32" t="str">
        <f>$B$9&amp;" + "&amp;$B$10</f>
        <v>2.1.1. + 2.1.2.</v>
      </c>
      <c r="E8" s="33"/>
      <c r="F8" s="34">
        <f>SUM(F9:F9)</f>
        <v>0.06</v>
      </c>
      <c r="I8" s="31" t="s">
        <v>47</v>
      </c>
      <c r="J8" s="32"/>
      <c r="K8" s="32"/>
      <c r="L8" s="33"/>
      <c r="M8" s="69"/>
    </row>
    <row r="9" spans="2:13" s="25" customFormat="1" ht="23" x14ac:dyDescent="0.35">
      <c r="B9" s="35" t="s">
        <v>52</v>
      </c>
      <c r="C9" s="21" t="s">
        <v>146</v>
      </c>
      <c r="D9" s="21" t="str">
        <f>$M$9&amp;" "&amp;$L$9&amp;" ("&amp;$I$9&amp;" "&amp;$J$9&amp;") * "&amp;$E$9&amp;" stundas mēnesī * 12 mēneši / "&amp;$B$6</f>
        <v>29,08 EUR stundā (IS uzturēšanas izmaksas sask. ar Valdes cenrādi) * 8 stundas mēnesī * 12 mēneši / 1.1.</v>
      </c>
      <c r="E9" s="101">
        <v>8</v>
      </c>
      <c r="F9" s="24">
        <f>ROUND($M$9*$E$9*12/$E$6,2)</f>
        <v>0.06</v>
      </c>
      <c r="I9" s="21" t="s">
        <v>147</v>
      </c>
      <c r="J9" s="21" t="s">
        <v>148</v>
      </c>
      <c r="K9" s="21"/>
      <c r="L9" s="36" t="s">
        <v>120</v>
      </c>
      <c r="M9" s="67">
        <v>29.08</v>
      </c>
    </row>
    <row r="10" spans="2:13" s="25" customFormat="1" x14ac:dyDescent="0.35">
      <c r="B10" s="35" t="s">
        <v>53</v>
      </c>
      <c r="C10" s="21"/>
      <c r="D10" s="21"/>
      <c r="E10" s="101"/>
      <c r="F10" s="24"/>
      <c r="I10" s="21"/>
      <c r="J10" s="21"/>
      <c r="K10" s="21"/>
      <c r="L10" s="36"/>
      <c r="M10" s="67"/>
    </row>
    <row r="11" spans="2:13" s="25" customFormat="1" x14ac:dyDescent="0.35">
      <c r="B11" s="30" t="s">
        <v>21</v>
      </c>
      <c r="C11" s="31" t="s">
        <v>48</v>
      </c>
      <c r="D11" s="32" t="str">
        <f>$B$12</f>
        <v>2.2.1.</v>
      </c>
      <c r="E11" s="33"/>
      <c r="F11" s="34">
        <f>SUM(F12:F12)</f>
        <v>0</v>
      </c>
      <c r="I11" s="31" t="s">
        <v>48</v>
      </c>
      <c r="J11" s="32"/>
      <c r="K11" s="32"/>
      <c r="L11" s="33"/>
      <c r="M11" s="69"/>
    </row>
    <row r="12" spans="2:13" s="25" customFormat="1" x14ac:dyDescent="0.35">
      <c r="B12" s="35" t="s">
        <v>54</v>
      </c>
      <c r="C12" s="37"/>
      <c r="D12" s="21"/>
      <c r="E12" s="36"/>
      <c r="F12" s="24">
        <v>0</v>
      </c>
      <c r="I12" s="37"/>
      <c r="J12" s="21"/>
      <c r="K12" s="21"/>
      <c r="L12" s="36"/>
      <c r="M12" s="67"/>
    </row>
    <row r="13" spans="2:13" s="25" customFormat="1" x14ac:dyDescent="0.35">
      <c r="B13" s="30" t="s">
        <v>22</v>
      </c>
      <c r="C13" s="31" t="s">
        <v>94</v>
      </c>
      <c r="D13" s="32" t="str">
        <f>$B$14&amp;"+"&amp;$B$15&amp;"+"&amp;$B$16</f>
        <v>2.3.1.+2.3.2.+2.3.3.</v>
      </c>
      <c r="E13" s="33"/>
      <c r="F13" s="34">
        <f>SUM(F14:F16)</f>
        <v>0.26</v>
      </c>
      <c r="I13" s="31" t="s">
        <v>49</v>
      </c>
      <c r="J13" s="32"/>
      <c r="K13" s="32"/>
      <c r="L13" s="33"/>
      <c r="M13" s="69"/>
    </row>
    <row r="14" spans="2:13" ht="34.5" x14ac:dyDescent="0.35">
      <c r="B14" s="35" t="s">
        <v>55</v>
      </c>
      <c r="C14" s="21" t="s">
        <v>127</v>
      </c>
      <c r="D14" s="65" t="str">
        <f>$M$14&amp;" "&amp;$L$14&amp;" ("&amp;$I$14&amp;" "&amp;$J$14&amp;")"</f>
        <v>0,26 EUR par gab (Tiešās un netiešās izmaksas uz vienu reģistrā fiksētā pakalpojuma vienību sask. ar atbalstošo pakalpojumu, kas iekļauj izmaksas un to pieskaitījumus)</v>
      </c>
      <c r="E14" s="24"/>
      <c r="F14" s="24">
        <f>$M$14</f>
        <v>0.26</v>
      </c>
      <c r="I14" s="21" t="str">
        <f>IF(INDEX(legend!I:I,MATCH($C14,legend!$G:$G,FALSE))=0," ",INDEX(legend!I:I,MATCH($C14,legend!$G:$G,FALSE)))</f>
        <v>Tiešās un netiešās izmaksas uz vienu reģistrā fiksētā pakalpojuma vienību</v>
      </c>
      <c r="J14" s="21" t="str">
        <f>IF(INDEX(legend!J:J,MATCH($C14,legend!$G:$G,FALSE))=0," ",INDEX(legend!J:J,MATCH($C14,legend!$G:$G,FALSE)))</f>
        <v>sask. ar atbalstošo pakalpojumu, kas iekļauj izmaksas un to pieskaitījumus</v>
      </c>
      <c r="K14" s="63" t="str">
        <f>IF(INDEX(legend!K:K,MATCH($C14,legend!$G:$G,FALSE))=0," ",INDEX(legend!K:K,MATCH($C14,legend!$G:$G,FALSE)))</f>
        <v xml:space="preserve"> </v>
      </c>
      <c r="L14" s="21" t="str">
        <f>IF(INDEX(legend!L:L,MATCH($C14,legend!$G:$G,FALSE))=0," ",INDEX(legend!L:L,MATCH($C14,legend!$G:$G,FALSE)))</f>
        <v>EUR par gab</v>
      </c>
      <c r="M14" s="70">
        <f>IF(INDEX(legend!M:M,MATCH($C14,legend!$G:$G,FALSE))=0," ",INDEX(legend!M:M,MATCH($C14,legend!$G:$G,FALSE)))</f>
        <v>0.26</v>
      </c>
    </row>
    <row r="15" spans="2:13" ht="34.5" x14ac:dyDescent="0.35">
      <c r="B15" s="35" t="s">
        <v>56</v>
      </c>
      <c r="C15" s="65" t="s">
        <v>151</v>
      </c>
      <c r="D15" s="65" t="str">
        <f>$M$15&amp;" "&amp;$L$15&amp;" ("&amp;$I$15&amp;" "&amp;$J$15&amp;") * 12 mēneši / "&amp;$B$6</f>
        <v>18 EUR mēnesī (Izmaksas par protokolu nosūtīto vēstuļu uzglabāšanu elektroniskā tiešsaistes arhīvā  sask. ar līgumu ar piegādātāju) * 12 mēneši / 1.1.</v>
      </c>
      <c r="E15" s="88"/>
      <c r="F15" s="24">
        <f>ROUND($M$15*12/$E$6,2)</f>
        <v>0</v>
      </c>
      <c r="I15" s="37" t="s">
        <v>151</v>
      </c>
      <c r="J15" s="21" t="s">
        <v>152</v>
      </c>
      <c r="K15" s="100">
        <v>0.09</v>
      </c>
      <c r="L15" s="36" t="s">
        <v>153</v>
      </c>
      <c r="M15" s="67">
        <f>200*K15</f>
        <v>18</v>
      </c>
    </row>
    <row r="16" spans="2:13" x14ac:dyDescent="0.35">
      <c r="B16" s="35" t="s">
        <v>57</v>
      </c>
      <c r="C16" s="65"/>
      <c r="D16" s="65"/>
      <c r="E16" s="88"/>
      <c r="F16" s="24"/>
      <c r="I16" s="37"/>
      <c r="J16" s="21"/>
      <c r="K16" s="21"/>
      <c r="L16" s="36"/>
      <c r="M16" s="67"/>
    </row>
    <row r="17" spans="2:13" s="25" customFormat="1" x14ac:dyDescent="0.35">
      <c r="B17" s="30" t="s">
        <v>58</v>
      </c>
      <c r="C17" s="31" t="s">
        <v>50</v>
      </c>
      <c r="D17" s="32" t="str">
        <f>$B$18&amp;"+"&amp;$B$19&amp;"+"&amp;$B$20</f>
        <v>2.4.1.+2.4.2.+2.4.3.</v>
      </c>
      <c r="E17" s="33"/>
      <c r="F17" s="34">
        <f>SUM(F18:F20)</f>
        <v>0.04</v>
      </c>
      <c r="I17" s="31" t="s">
        <v>50</v>
      </c>
      <c r="J17" s="32"/>
      <c r="K17" s="32"/>
      <c r="L17" s="33"/>
      <c r="M17" s="69"/>
    </row>
    <row r="18" spans="2:13" ht="34.5" x14ac:dyDescent="0.35">
      <c r="B18" s="35" t="s">
        <v>59</v>
      </c>
      <c r="C18" s="37" t="s">
        <v>169</v>
      </c>
      <c r="D18" s="21" t="str">
        <f>$M$18&amp;" "&amp;$L$18&amp;" ("&amp;$I$18&amp;" "&amp;$J$18&amp;") * "&amp;$E$18&amp;" stundas / "&amp;$K$18&amp;" gadi / "&amp;$B$6</f>
        <v>49,85 EUR stundā (IS izstrādes izmaksas sask. ar Valdes cenrādi) * 176 stundas / 5 gadi / 1.1.</v>
      </c>
      <c r="E18" s="102">
        <v>176</v>
      </c>
      <c r="F18" s="24">
        <f>ROUND($M$18*$E$18/$K$18/$E$6,2)</f>
        <v>0.04</v>
      </c>
      <c r="I18" s="21" t="s">
        <v>149</v>
      </c>
      <c r="J18" s="21" t="s">
        <v>148</v>
      </c>
      <c r="K18" s="89">
        <v>5</v>
      </c>
      <c r="L18" s="36" t="s">
        <v>120</v>
      </c>
      <c r="M18" s="67">
        <v>49.85</v>
      </c>
    </row>
    <row r="19" spans="2:13" x14ac:dyDescent="0.35">
      <c r="B19" s="35" t="s">
        <v>60</v>
      </c>
      <c r="C19" s="21"/>
      <c r="D19" s="21"/>
      <c r="E19" s="36"/>
      <c r="F19" s="24" t="s">
        <v>8</v>
      </c>
      <c r="I19" s="38"/>
      <c r="J19" s="21"/>
      <c r="K19" s="21"/>
      <c r="L19" s="36"/>
      <c r="M19" s="67"/>
    </row>
    <row r="20" spans="2:13" x14ac:dyDescent="0.35">
      <c r="B20" s="35" t="s">
        <v>61</v>
      </c>
      <c r="C20" s="21"/>
      <c r="D20" s="22"/>
      <c r="E20" s="36"/>
      <c r="F20" s="24" t="s">
        <v>8</v>
      </c>
      <c r="I20" s="38"/>
      <c r="J20" s="22"/>
      <c r="K20" s="22"/>
      <c r="L20" s="36"/>
      <c r="M20" s="67"/>
    </row>
    <row r="21" spans="2:13" s="25" customFormat="1" x14ac:dyDescent="0.35">
      <c r="B21" s="26" t="s">
        <v>23</v>
      </c>
      <c r="C21" s="27" t="s">
        <v>62</v>
      </c>
      <c r="D21" s="28" t="str">
        <f>$B$22&amp;"+"&amp;$B$26&amp;"+"&amp;$B$30</f>
        <v>3.1.+3.2.+3.3.</v>
      </c>
      <c r="E21" s="27"/>
      <c r="F21" s="29">
        <f>SUM(F22,F26,F30)</f>
        <v>0.04</v>
      </c>
      <c r="I21" s="27" t="s">
        <v>62</v>
      </c>
      <c r="J21" s="27"/>
      <c r="K21" s="27"/>
      <c r="L21" s="27"/>
      <c r="M21" s="68"/>
    </row>
    <row r="22" spans="2:13" ht="23" x14ac:dyDescent="0.35">
      <c r="B22" s="30" t="s">
        <v>24</v>
      </c>
      <c r="C22" s="31" t="s">
        <v>81</v>
      </c>
      <c r="D22" s="32" t="str">
        <f>$B$23&amp;"+"&amp;$B$24&amp;"+"&amp;$B$25</f>
        <v>3.1.1.+3.1.2.+3.1.3.</v>
      </c>
      <c r="E22" s="33"/>
      <c r="F22" s="34">
        <f>SUM(F23:F25)</f>
        <v>0.01</v>
      </c>
      <c r="I22" s="31" t="s">
        <v>66</v>
      </c>
      <c r="J22" s="32"/>
      <c r="K22" s="32"/>
      <c r="L22" s="33"/>
      <c r="M22" s="69"/>
    </row>
    <row r="23" spans="2:13" ht="34.5" x14ac:dyDescent="0.35">
      <c r="B23" s="35" t="s">
        <v>63</v>
      </c>
      <c r="C23" s="21" t="s">
        <v>138</v>
      </c>
      <c r="D23" s="65" t="str">
        <f>$K23*100&amp;"% ("&amp;$I23&amp;" "&amp;$J23&amp;") * ("&amp;$B$8&amp;" + "&amp;$B$11&amp;" + "&amp;$B$18&amp;")"</f>
        <v>7,53% (Izmaksu pieskaitījuma koeficients atbalstošo funkciju personāla nodrošināšanai sask. ar atbalstošo pakalpojumu) * (2.1. + 2.2. + 2.4.1.)</v>
      </c>
      <c r="E23" s="24"/>
      <c r="F23" s="24">
        <f>ROUND((F$11+F$8+F$18)*$K$23,2)</f>
        <v>0.01</v>
      </c>
      <c r="I23" s="21" t="str">
        <f>IF(INDEX(legend!I:I,MATCH($C23,legend!$G:$G,FALSE))=0," ",INDEX(legend!I:I,MATCH($C23,legend!$G:$G,FALSE)))</f>
        <v>Izmaksu pieskaitījuma koeficients atbalstošo funkciju personāla nodrošināšanai</v>
      </c>
      <c r="J23" s="21" t="str">
        <f>IF(INDEX(legend!J:J,MATCH($C23,legend!$G:$G,FALSE))=0," ",INDEX(legend!J:J,MATCH($C23,legend!$G:$G,FALSE)))</f>
        <v>sask. ar atbalstošo pakalpojumu</v>
      </c>
      <c r="K23" s="63">
        <f>IF(INDEX(legend!K:K,MATCH($C23,legend!$G:$G,FALSE))=0," ",INDEX(legend!K:K,MATCH($C23,legend!$G:$G,FALSE)))</f>
        <v>7.5300000000000006E-2</v>
      </c>
      <c r="L23" s="21" t="str">
        <f>IF(INDEX(legend!L:L,MATCH($C23,legend!$G:$G,FALSE))=0," ",INDEX(legend!L:L,MATCH($C23,legend!$G:$G,FALSE)))</f>
        <v xml:space="preserve"> </v>
      </c>
      <c r="M23" s="70" t="str">
        <f>IF(INDEX(legend!M:M,MATCH($C23,legend!$G:$G,FALSE))=0," ",INDEX(legend!M:M,MATCH($C23,legend!$G:$G,FALSE)))</f>
        <v xml:space="preserve"> </v>
      </c>
    </row>
    <row r="24" spans="2:13" x14ac:dyDescent="0.35">
      <c r="B24" s="35" t="s">
        <v>64</v>
      </c>
      <c r="C24" s="21"/>
      <c r="D24" s="21"/>
      <c r="E24" s="36"/>
      <c r="F24" s="24" t="s">
        <v>8</v>
      </c>
      <c r="I24" s="21"/>
      <c r="J24" s="21"/>
      <c r="K24" s="21"/>
      <c r="L24" s="36"/>
      <c r="M24" s="67"/>
    </row>
    <row r="25" spans="2:13" s="25" customFormat="1" x14ac:dyDescent="0.35">
      <c r="B25" s="35" t="s">
        <v>65</v>
      </c>
      <c r="C25" s="21"/>
      <c r="D25" s="21"/>
      <c r="E25" s="36"/>
      <c r="F25" s="24" t="s">
        <v>8</v>
      </c>
      <c r="I25" s="21"/>
      <c r="J25" s="21"/>
      <c r="K25" s="21"/>
      <c r="L25" s="36"/>
      <c r="M25" s="67"/>
    </row>
    <row r="26" spans="2:13" x14ac:dyDescent="0.35">
      <c r="B26" s="30" t="s">
        <v>25</v>
      </c>
      <c r="C26" s="31" t="s">
        <v>70</v>
      </c>
      <c r="D26" s="32" t="str">
        <f>$B$27&amp;"+"&amp;$B$28&amp;"+"&amp;$B$29</f>
        <v>3.2.1.+3.2.2.+3.2.3.</v>
      </c>
      <c r="E26" s="33"/>
      <c r="F26" s="34">
        <f>SUM(F27:F29)</f>
        <v>0</v>
      </c>
      <c r="I26" s="31" t="s">
        <v>70</v>
      </c>
      <c r="J26" s="32"/>
      <c r="K26" s="32"/>
      <c r="L26" s="33"/>
      <c r="M26" s="69"/>
    </row>
    <row r="27" spans="2:13" x14ac:dyDescent="0.35">
      <c r="B27" s="35" t="s">
        <v>67</v>
      </c>
      <c r="C27" s="21" t="s">
        <v>91</v>
      </c>
      <c r="D27" s="21" t="str">
        <f>"("&amp;$B$13&amp;"-"&amp;$B$14&amp;") * "&amp;$K$34*100&amp;"% * "&amp;$K$27*100&amp;"%"</f>
        <v>(2.3.-2.3.1.) * 21% * 15%</v>
      </c>
      <c r="E27" s="36"/>
      <c r="F27" s="24">
        <f>ROUND((F$13-$F14)*$K$27*$K$34,2)</f>
        <v>0</v>
      </c>
      <c r="I27" s="21" t="str">
        <f>IF(INDEX(legend!I:I,MATCH($C27,legend!$G:$G,FALSE))=0," ",INDEX(legend!I:I,MATCH($C27,legend!$G:$G,FALSE)))</f>
        <v>PVN neatskaitāmā daļa</v>
      </c>
      <c r="J27" s="21" t="str">
        <f>IF(INDEX(legend!J:J,MATCH($C27,legend!$G:$G,FALSE))=0," ",INDEX(legend!J:J,MATCH($C27,legend!$G:$G,FALSE)))</f>
        <v xml:space="preserve"> </v>
      </c>
      <c r="K27" s="63">
        <f>IF(INDEX(legend!K:K,MATCH($C27,legend!$G:$G,FALSE))=0," ",INDEX(legend!K:K,MATCH($C27,legend!$G:$G,FALSE)))</f>
        <v>0.15</v>
      </c>
      <c r="L27" s="21" t="str">
        <f>IF(INDEX(legend!L:L,MATCH($C27,legend!$G:$G,FALSE))=0," ",INDEX(legend!L:L,MATCH($C27,legend!$G:$G,FALSE)))</f>
        <v xml:space="preserve"> </v>
      </c>
      <c r="M27" s="70" t="str">
        <f>IF(INDEX(legend!M:M,MATCH($C27,legend!$G:$G,FALSE))=0," ",INDEX(legend!M:M,MATCH($C27,legend!$G:$G,FALSE)))</f>
        <v xml:space="preserve"> </v>
      </c>
    </row>
    <row r="28" spans="2:13" x14ac:dyDescent="0.35">
      <c r="B28" s="35" t="s">
        <v>68</v>
      </c>
      <c r="C28" s="21"/>
      <c r="D28" s="21"/>
      <c r="E28" s="36"/>
      <c r="F28" s="24" t="s">
        <v>8</v>
      </c>
      <c r="I28" s="21"/>
      <c r="J28" s="21"/>
      <c r="K28" s="21"/>
      <c r="L28" s="36"/>
      <c r="M28" s="67"/>
    </row>
    <row r="29" spans="2:13" s="25" customFormat="1" x14ac:dyDescent="0.35">
      <c r="B29" s="35" t="s">
        <v>69</v>
      </c>
      <c r="C29" s="21"/>
      <c r="D29" s="21"/>
      <c r="E29" s="36"/>
      <c r="F29" s="24" t="s">
        <v>8</v>
      </c>
      <c r="I29" s="21"/>
      <c r="J29" s="21"/>
      <c r="K29" s="21"/>
      <c r="L29" s="36"/>
      <c r="M29" s="67"/>
    </row>
    <row r="30" spans="2:13" x14ac:dyDescent="0.35">
      <c r="B30" s="30" t="s">
        <v>26</v>
      </c>
      <c r="C30" s="31" t="s">
        <v>71</v>
      </c>
      <c r="D30" s="32" t="str">
        <f>K30*100&amp;"%*("&amp;$B$7&amp;"+"&amp;$B$22&amp;"+"&amp;$B$26&amp;")"</f>
        <v>8,802%*(2.+3.1.+3.2.)</v>
      </c>
      <c r="E30" s="39"/>
      <c r="F30" s="34">
        <f>ROUND(SUM(F7,F22,F26)*$K$30,2)</f>
        <v>0.03</v>
      </c>
      <c r="I30" s="31" t="str">
        <f>IF(INDEX(legend!I:I,MATCH($C30,legend!$G:$G,FALSE))=0," ",INDEX(legend!I:I,MATCH($C30,legend!$G:$G,FALSE)))</f>
        <v>Administrācijas izmaksu proporcija</v>
      </c>
      <c r="J30" s="32"/>
      <c r="K30" s="39">
        <f>IF(INDEX(legend!K:K,MATCH($C30,legend!$G:$G,FALSE))=0," ",INDEX(legend!K:K,MATCH($C30,legend!$G:$G,FALSE)))</f>
        <v>8.8020000000000001E-2</v>
      </c>
      <c r="L30" s="39"/>
      <c r="M30" s="69"/>
    </row>
    <row r="31" spans="2:13" x14ac:dyDescent="0.35">
      <c r="B31" s="26" t="s">
        <v>27</v>
      </c>
      <c r="C31" s="27" t="s">
        <v>72</v>
      </c>
      <c r="D31" s="32" t="str">
        <f>$B$7&amp;"+"&amp;$B$21</f>
        <v>2.+3.</v>
      </c>
      <c r="E31" s="27"/>
      <c r="F31" s="29">
        <f>ROUND(F7+F21,2)</f>
        <v>0.4</v>
      </c>
      <c r="I31" s="27" t="s">
        <v>72</v>
      </c>
      <c r="J31" s="27"/>
      <c r="K31" s="32"/>
      <c r="L31" s="27"/>
      <c r="M31" s="68"/>
    </row>
    <row r="32" spans="2:13" x14ac:dyDescent="0.35">
      <c r="B32" s="40" t="s">
        <v>28</v>
      </c>
      <c r="C32" s="41" t="s">
        <v>2</v>
      </c>
      <c r="D32" s="32" t="str">
        <f>$K$32*100&amp;"%*"&amp;$B$31</f>
        <v>5%*4.</v>
      </c>
      <c r="E32" s="42"/>
      <c r="F32" s="34">
        <f>ROUND(F31*$K$32,2)</f>
        <v>0.02</v>
      </c>
      <c r="I32" s="41" t="s">
        <v>2</v>
      </c>
      <c r="J32" s="41"/>
      <c r="K32" s="42">
        <v>0.05</v>
      </c>
      <c r="L32" s="42"/>
      <c r="M32" s="69"/>
    </row>
    <row r="33" spans="2:13" ht="16" customHeight="1" x14ac:dyDescent="0.35">
      <c r="B33" s="43" t="s">
        <v>29</v>
      </c>
      <c r="C33" s="43" t="s">
        <v>3</v>
      </c>
      <c r="D33" s="44" t="str">
        <f>$B$31&amp;"+"&amp;$B$32</f>
        <v>4.+5.</v>
      </c>
      <c r="E33" s="45"/>
      <c r="F33" s="47">
        <f>ROUND(F31+F32,2)</f>
        <v>0.42</v>
      </c>
      <c r="I33" s="43" t="s">
        <v>3</v>
      </c>
      <c r="J33" s="46"/>
      <c r="K33" s="45"/>
      <c r="L33" s="45"/>
      <c r="M33" s="71"/>
    </row>
    <row r="34" spans="2:13" ht="16" customHeight="1" x14ac:dyDescent="0.35">
      <c r="B34" s="48" t="s">
        <v>30</v>
      </c>
      <c r="C34" s="48"/>
      <c r="D34" s="49"/>
      <c r="E34" s="49"/>
      <c r="F34" s="50"/>
      <c r="I34" s="48" t="s">
        <v>4</v>
      </c>
      <c r="J34" s="49"/>
      <c r="K34" s="49">
        <v>0.21</v>
      </c>
      <c r="L34" s="49">
        <v>0</v>
      </c>
      <c r="M34" s="72"/>
    </row>
    <row r="36" spans="2:13" ht="23" customHeight="1" x14ac:dyDescent="0.35">
      <c r="C36" s="105" t="s">
        <v>171</v>
      </c>
      <c r="D36" s="105"/>
      <c r="E36" s="105"/>
      <c r="F36" s="105"/>
    </row>
  </sheetData>
  <mergeCells count="3">
    <mergeCell ref="D1:F1"/>
    <mergeCell ref="C4:F4"/>
    <mergeCell ref="C36:F36"/>
  </mergeCells>
  <conditionalFormatting sqref="J3">
    <cfRule type="cellIs" dxfId="2" priority="1" operator="greaterThan">
      <formula>0</formula>
    </cfRule>
    <cfRule type="cellIs" dxfId="1" priority="2" operator="lessThan">
      <formula>0</formula>
    </cfRule>
    <cfRule type="cellIs" dxfId="0" priority="3" operator="equal">
      <formula>0</formula>
    </cfRule>
  </conditionalFormatting>
  <pageMargins left="0.23622047244094491" right="0.23622047244094491" top="0.74803149606299213" bottom="0.74803149606299213" header="0.31496062992125984" footer="0.31496062992125984"/>
  <pageSetup scale="82" orientation="portrait"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legend!$G:$G</xm:f>
          </x14:formula1>
          <xm:sqref>C27 C23 C30</xm:sqref>
        </x14:dataValidation>
        <x14:dataValidation type="list" allowBlank="1" showInputMessage="1" showErrorMessage="1">
          <x14:formula1>
            <xm:f>legend!$G$3:$G$24</xm:f>
          </x14:formula1>
          <xm:sqref>C14:C15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17"/>
  <sheetViews>
    <sheetView workbookViewId="0">
      <selection activeCell="I21" sqref="I21"/>
    </sheetView>
  </sheetViews>
  <sheetFormatPr defaultRowHeight="14.5" x14ac:dyDescent="0.35"/>
  <sheetData>
    <row r="2" spans="2:5" x14ac:dyDescent="0.35">
      <c r="C2" s="90" t="s">
        <v>154</v>
      </c>
      <c r="D2" s="90" t="s">
        <v>155</v>
      </c>
    </row>
    <row r="3" spans="2:5" x14ac:dyDescent="0.35">
      <c r="B3" s="91" t="s">
        <v>156</v>
      </c>
      <c r="C3" s="91">
        <v>105.69</v>
      </c>
      <c r="D3" s="92">
        <f>C3*1.21</f>
        <v>127.88489999999999</v>
      </c>
      <c r="E3" s="106">
        <f>(C3+C4+C5)/170</f>
        <v>0.75341176470588223</v>
      </c>
    </row>
    <row r="4" spans="2:5" x14ac:dyDescent="0.35">
      <c r="B4" s="91" t="s">
        <v>157</v>
      </c>
      <c r="C4" s="91">
        <v>19.11</v>
      </c>
      <c r="D4" s="92">
        <f t="shared" ref="D4:D13" si="0">C4*1.21</f>
        <v>23.123099999999997</v>
      </c>
      <c r="E4" s="106"/>
    </row>
    <row r="5" spans="2:5" x14ac:dyDescent="0.35">
      <c r="B5" s="93" t="s">
        <v>158</v>
      </c>
      <c r="C5" s="91">
        <v>3.28</v>
      </c>
      <c r="D5" s="92">
        <f t="shared" si="0"/>
        <v>3.9687999999999994</v>
      </c>
      <c r="E5" s="106"/>
    </row>
    <row r="6" spans="2:5" x14ac:dyDescent="0.35">
      <c r="B6" s="94" t="s">
        <v>159</v>
      </c>
      <c r="C6" s="94">
        <v>14.71</v>
      </c>
      <c r="D6" s="95">
        <f t="shared" si="0"/>
        <v>17.799099999999999</v>
      </c>
      <c r="E6" s="96">
        <f>C6/C14</f>
        <v>8.6529411764705882E-2</v>
      </c>
    </row>
    <row r="7" spans="2:5" x14ac:dyDescent="0.35">
      <c r="B7" t="s">
        <v>160</v>
      </c>
      <c r="C7">
        <v>10.16</v>
      </c>
      <c r="D7" s="97">
        <f t="shared" si="0"/>
        <v>12.2936</v>
      </c>
    </row>
    <row r="8" spans="2:5" x14ac:dyDescent="0.35">
      <c r="B8" t="s">
        <v>161</v>
      </c>
      <c r="C8">
        <v>0.37</v>
      </c>
      <c r="D8" s="97">
        <f t="shared" si="0"/>
        <v>0.44769999999999999</v>
      </c>
    </row>
    <row r="9" spans="2:5" x14ac:dyDescent="0.35">
      <c r="B9" t="s">
        <v>162</v>
      </c>
      <c r="C9">
        <v>1.74</v>
      </c>
      <c r="D9" s="97">
        <f t="shared" si="0"/>
        <v>2.1053999999999999</v>
      </c>
    </row>
    <row r="10" spans="2:5" x14ac:dyDescent="0.35">
      <c r="B10" t="s">
        <v>163</v>
      </c>
      <c r="C10">
        <v>0.04</v>
      </c>
      <c r="D10" s="97">
        <f t="shared" si="0"/>
        <v>4.8399999999999999E-2</v>
      </c>
    </row>
    <row r="11" spans="2:5" x14ac:dyDescent="0.35">
      <c r="B11" t="s">
        <v>164</v>
      </c>
      <c r="C11">
        <v>0.59</v>
      </c>
      <c r="D11" s="97">
        <f t="shared" si="0"/>
        <v>0.71389999999999998</v>
      </c>
    </row>
    <row r="12" spans="2:5" x14ac:dyDescent="0.35">
      <c r="B12" t="s">
        <v>165</v>
      </c>
      <c r="C12">
        <v>2.54</v>
      </c>
      <c r="D12" s="97">
        <f t="shared" si="0"/>
        <v>3.0733999999999999</v>
      </c>
    </row>
    <row r="13" spans="2:5" x14ac:dyDescent="0.35">
      <c r="B13" s="98" t="s">
        <v>165</v>
      </c>
      <c r="C13" s="98">
        <v>11.77</v>
      </c>
      <c r="D13" s="99">
        <f t="shared" si="0"/>
        <v>14.2417</v>
      </c>
      <c r="E13" s="98"/>
    </row>
    <row r="14" spans="2:5" x14ac:dyDescent="0.35">
      <c r="C14" s="90">
        <f>SUM(C3:C13)</f>
        <v>170</v>
      </c>
    </row>
    <row r="17" spans="3:3" x14ac:dyDescent="0.35">
      <c r="C17" t="s">
        <v>166</v>
      </c>
    </row>
  </sheetData>
  <mergeCells count="1">
    <mergeCell ref="E3:E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24"/>
  <sheetViews>
    <sheetView topLeftCell="F1" workbookViewId="0">
      <selection activeCell="K24" sqref="K24"/>
    </sheetView>
  </sheetViews>
  <sheetFormatPr defaultColWidth="9.08984375" defaultRowHeight="13" x14ac:dyDescent="0.35"/>
  <cols>
    <col min="1" max="1" width="9.08984375" style="74"/>
    <col min="2" max="2" width="27.36328125" style="74" bestFit="1" customWidth="1"/>
    <col min="3" max="3" width="9.08984375" style="74"/>
    <col min="4" max="4" width="17.6328125" style="74" customWidth="1"/>
    <col min="5" max="6" width="9.08984375" style="74"/>
    <col min="7" max="7" width="45.08984375" style="74" bestFit="1" customWidth="1"/>
    <col min="8" max="8" width="3.90625" style="83" customWidth="1"/>
    <col min="9" max="9" width="59.36328125" style="74" customWidth="1"/>
    <col min="10" max="10" width="25.90625" style="74" bestFit="1" customWidth="1"/>
    <col min="11" max="11" width="10.6328125" style="74" customWidth="1"/>
    <col min="12" max="12" width="10.90625" style="74" customWidth="1"/>
    <col min="13" max="13" width="10.36328125" style="74" customWidth="1"/>
    <col min="14" max="16384" width="9.08984375" style="74"/>
  </cols>
  <sheetData>
    <row r="2" spans="2:13" ht="26" x14ac:dyDescent="0.35">
      <c r="B2" s="2" t="str">
        <f>'Pakalpojuma apraksts'!B3</f>
        <v>Cenrādis, kurā pakalpojums tiks iekļauts</v>
      </c>
      <c r="D2" s="2" t="str">
        <f>'Pakalpojuma apraksts'!B4</f>
        <v>Pakalpojuma grupa</v>
      </c>
      <c r="G2" s="18" t="s">
        <v>15</v>
      </c>
      <c r="H2" s="64"/>
      <c r="I2" s="18" t="s">
        <v>18</v>
      </c>
      <c r="J2" s="20" t="s">
        <v>7</v>
      </c>
      <c r="K2" s="19" t="s">
        <v>16</v>
      </c>
      <c r="L2" s="17" t="s">
        <v>17</v>
      </c>
      <c r="M2" s="19" t="s">
        <v>13</v>
      </c>
    </row>
    <row r="3" spans="2:13" x14ac:dyDescent="0.35">
      <c r="B3" s="75" t="s">
        <v>39</v>
      </c>
      <c r="D3" s="74" t="s">
        <v>39</v>
      </c>
      <c r="G3" s="76" t="s">
        <v>91</v>
      </c>
      <c r="H3" s="77"/>
      <c r="I3" s="82" t="s">
        <v>92</v>
      </c>
      <c r="J3" s="82"/>
      <c r="K3" s="78">
        <v>0.15</v>
      </c>
      <c r="L3" s="76"/>
      <c r="M3" s="76"/>
    </row>
    <row r="4" spans="2:13" x14ac:dyDescent="0.35">
      <c r="B4" s="75"/>
      <c r="G4" s="76" t="s">
        <v>71</v>
      </c>
      <c r="H4" s="77"/>
      <c r="I4" s="82" t="s">
        <v>140</v>
      </c>
      <c r="J4" s="82"/>
      <c r="K4" s="84">
        <v>8.8020000000000001E-2</v>
      </c>
      <c r="L4" s="76"/>
      <c r="M4" s="76"/>
    </row>
    <row r="5" spans="2:13" x14ac:dyDescent="0.35">
      <c r="B5" s="75" t="s">
        <v>34</v>
      </c>
      <c r="D5" s="74" t="s">
        <v>84</v>
      </c>
      <c r="G5" s="76" t="s">
        <v>95</v>
      </c>
      <c r="H5" s="77"/>
      <c r="I5" s="82" t="s">
        <v>99</v>
      </c>
      <c r="J5" s="82" t="s">
        <v>97</v>
      </c>
      <c r="K5" s="79">
        <v>0.30459999999999998</v>
      </c>
      <c r="L5" s="76"/>
      <c r="M5" s="76"/>
    </row>
    <row r="6" spans="2:13" x14ac:dyDescent="0.35">
      <c r="B6" s="75" t="s">
        <v>11</v>
      </c>
      <c r="D6" s="74" t="s">
        <v>85</v>
      </c>
      <c r="G6" s="76" t="s">
        <v>96</v>
      </c>
      <c r="H6" s="77"/>
      <c r="I6" s="82" t="s">
        <v>98</v>
      </c>
      <c r="J6" s="82" t="s">
        <v>97</v>
      </c>
      <c r="K6" s="80">
        <v>0.13789999999999999</v>
      </c>
      <c r="L6" s="76"/>
      <c r="M6" s="76"/>
    </row>
    <row r="7" spans="2:13" x14ac:dyDescent="0.35">
      <c r="B7" s="75" t="s">
        <v>87</v>
      </c>
      <c r="D7" s="74" t="s">
        <v>86</v>
      </c>
      <c r="G7" s="76" t="s">
        <v>100</v>
      </c>
      <c r="H7" s="77"/>
      <c r="I7" s="82" t="s">
        <v>102</v>
      </c>
      <c r="J7" s="82" t="s">
        <v>97</v>
      </c>
      <c r="K7" s="80">
        <v>2.2800000000000001E-2</v>
      </c>
      <c r="L7" s="76"/>
      <c r="M7" s="76"/>
    </row>
    <row r="8" spans="2:13" x14ac:dyDescent="0.35">
      <c r="B8" s="75" t="s">
        <v>32</v>
      </c>
      <c r="D8" s="74" t="s">
        <v>36</v>
      </c>
      <c r="G8" s="76" t="s">
        <v>101</v>
      </c>
      <c r="H8" s="77"/>
      <c r="I8" s="82" t="s">
        <v>103</v>
      </c>
      <c r="J8" s="82" t="s">
        <v>97</v>
      </c>
      <c r="K8" s="80">
        <v>1.84E-2</v>
      </c>
      <c r="L8" s="76"/>
      <c r="M8" s="76"/>
    </row>
    <row r="9" spans="2:13" x14ac:dyDescent="0.35">
      <c r="B9" s="75" t="s">
        <v>33</v>
      </c>
      <c r="D9" s="74" t="s">
        <v>37</v>
      </c>
      <c r="G9" s="76" t="s">
        <v>106</v>
      </c>
      <c r="H9" s="77"/>
      <c r="I9" s="82" t="s">
        <v>104</v>
      </c>
      <c r="J9" s="82" t="s">
        <v>97</v>
      </c>
      <c r="K9" s="80">
        <v>3.8699999999999998E-2</v>
      </c>
      <c r="L9" s="76"/>
      <c r="M9" s="76"/>
    </row>
    <row r="10" spans="2:13" x14ac:dyDescent="0.35">
      <c r="B10" s="75" t="s">
        <v>90</v>
      </c>
      <c r="D10" s="74" t="s">
        <v>38</v>
      </c>
      <c r="G10" s="76" t="s">
        <v>107</v>
      </c>
      <c r="H10" s="77"/>
      <c r="I10" s="82" t="s">
        <v>105</v>
      </c>
      <c r="J10" s="82" t="s">
        <v>97</v>
      </c>
      <c r="K10" s="80">
        <v>0.1125</v>
      </c>
      <c r="L10" s="76"/>
      <c r="M10" s="76"/>
    </row>
    <row r="11" spans="2:13" ht="39" x14ac:dyDescent="0.35">
      <c r="B11" s="74" t="s">
        <v>78</v>
      </c>
      <c r="G11" s="76" t="s">
        <v>114</v>
      </c>
      <c r="H11" s="77"/>
      <c r="I11" s="82" t="s">
        <v>108</v>
      </c>
      <c r="J11" s="82" t="s">
        <v>122</v>
      </c>
      <c r="K11" s="78"/>
      <c r="L11" s="76" t="s">
        <v>112</v>
      </c>
      <c r="M11" s="81">
        <v>254.21</v>
      </c>
    </row>
    <row r="12" spans="2:13" ht="39" x14ac:dyDescent="0.35">
      <c r="G12" s="76" t="s">
        <v>115</v>
      </c>
      <c r="H12" s="77"/>
      <c r="I12" s="82" t="s">
        <v>109</v>
      </c>
      <c r="J12" s="82" t="s">
        <v>122</v>
      </c>
      <c r="K12" s="78"/>
      <c r="L12" s="76" t="s">
        <v>113</v>
      </c>
      <c r="M12" s="85">
        <v>1.1248</v>
      </c>
    </row>
    <row r="13" spans="2:13" ht="39" x14ac:dyDescent="0.35">
      <c r="G13" s="76" t="s">
        <v>116</v>
      </c>
      <c r="H13" s="77"/>
      <c r="I13" s="82" t="s">
        <v>110</v>
      </c>
      <c r="J13" s="82" t="s">
        <v>122</v>
      </c>
      <c r="K13" s="78"/>
      <c r="L13" s="76" t="s">
        <v>111</v>
      </c>
      <c r="M13" s="85">
        <v>0.1406</v>
      </c>
    </row>
    <row r="14" spans="2:13" ht="39" x14ac:dyDescent="0.35">
      <c r="G14" s="76" t="s">
        <v>119</v>
      </c>
      <c r="H14" s="77"/>
      <c r="I14" s="82" t="s">
        <v>118</v>
      </c>
      <c r="J14" s="82" t="s">
        <v>122</v>
      </c>
      <c r="K14" s="78"/>
      <c r="L14" s="76" t="s">
        <v>120</v>
      </c>
      <c r="M14" s="81">
        <v>23.46</v>
      </c>
    </row>
    <row r="15" spans="2:13" ht="39" x14ac:dyDescent="0.35">
      <c r="G15" s="82" t="s">
        <v>127</v>
      </c>
      <c r="H15" s="77"/>
      <c r="I15" s="82" t="s">
        <v>121</v>
      </c>
      <c r="J15" s="82" t="s">
        <v>122</v>
      </c>
      <c r="K15" s="78"/>
      <c r="L15" s="76" t="s">
        <v>123</v>
      </c>
      <c r="M15" s="81">
        <v>0.26</v>
      </c>
    </row>
    <row r="16" spans="2:13" ht="39" x14ac:dyDescent="0.35">
      <c r="G16" s="82" t="s">
        <v>124</v>
      </c>
      <c r="H16" s="77"/>
      <c r="I16" s="82" t="s">
        <v>121</v>
      </c>
      <c r="J16" s="82" t="s">
        <v>122</v>
      </c>
      <c r="K16" s="78"/>
      <c r="L16" s="76" t="s">
        <v>123</v>
      </c>
      <c r="M16" s="81">
        <v>0.27</v>
      </c>
    </row>
    <row r="17" spans="7:13" ht="39" x14ac:dyDescent="0.35">
      <c r="G17" s="76" t="s">
        <v>128</v>
      </c>
      <c r="H17" s="77"/>
      <c r="I17" s="82" t="s">
        <v>125</v>
      </c>
      <c r="J17" s="82" t="s">
        <v>122</v>
      </c>
      <c r="K17" s="78"/>
      <c r="L17" s="76" t="s">
        <v>123</v>
      </c>
      <c r="M17" s="81">
        <v>0.41</v>
      </c>
    </row>
    <row r="18" spans="7:13" ht="39" x14ac:dyDescent="0.35">
      <c r="G18" s="76" t="s">
        <v>130</v>
      </c>
      <c r="H18" s="77"/>
      <c r="I18" s="82" t="s">
        <v>132</v>
      </c>
      <c r="J18" s="82" t="s">
        <v>122</v>
      </c>
      <c r="K18" s="78"/>
      <c r="L18" s="76" t="s">
        <v>123</v>
      </c>
      <c r="M18" s="81">
        <v>0.49</v>
      </c>
    </row>
    <row r="19" spans="7:13" ht="39" x14ac:dyDescent="0.35">
      <c r="G19" s="76" t="s">
        <v>131</v>
      </c>
      <c r="H19" s="77"/>
      <c r="I19" s="82" t="s">
        <v>133</v>
      </c>
      <c r="J19" s="82" t="s">
        <v>122</v>
      </c>
      <c r="K19" s="78"/>
      <c r="L19" s="76" t="s">
        <v>123</v>
      </c>
      <c r="M19" s="81">
        <v>0.22</v>
      </c>
    </row>
    <row r="20" spans="7:13" ht="39" x14ac:dyDescent="0.35">
      <c r="G20" s="76" t="s">
        <v>129</v>
      </c>
      <c r="H20" s="77"/>
      <c r="I20" s="82" t="s">
        <v>126</v>
      </c>
      <c r="J20" s="82" t="s">
        <v>122</v>
      </c>
      <c r="K20" s="78"/>
      <c r="L20" s="76" t="s">
        <v>123</v>
      </c>
      <c r="M20" s="81">
        <v>1.3</v>
      </c>
    </row>
    <row r="21" spans="7:13" ht="39" x14ac:dyDescent="0.35">
      <c r="G21" s="76" t="s">
        <v>134</v>
      </c>
      <c r="H21" s="77"/>
      <c r="I21" s="82" t="s">
        <v>135</v>
      </c>
      <c r="J21" s="82" t="s">
        <v>122</v>
      </c>
      <c r="K21" s="78"/>
      <c r="L21" s="76" t="s">
        <v>123</v>
      </c>
      <c r="M21" s="81">
        <v>1.57</v>
      </c>
    </row>
    <row r="22" spans="7:13" ht="39" x14ac:dyDescent="0.35">
      <c r="G22" s="76" t="s">
        <v>136</v>
      </c>
      <c r="H22" s="77"/>
      <c r="I22" s="82" t="s">
        <v>137</v>
      </c>
      <c r="J22" s="82" t="s">
        <v>122</v>
      </c>
      <c r="K22" s="78"/>
      <c r="L22" s="76" t="s">
        <v>123</v>
      </c>
      <c r="M22" s="81">
        <v>0.69</v>
      </c>
    </row>
    <row r="23" spans="7:13" x14ac:dyDescent="0.35">
      <c r="G23" s="76" t="s">
        <v>138</v>
      </c>
      <c r="H23" s="77"/>
      <c r="I23" s="82" t="s">
        <v>139</v>
      </c>
      <c r="J23" s="82" t="s">
        <v>97</v>
      </c>
      <c r="K23" s="80">
        <v>7.5300000000000006E-2</v>
      </c>
      <c r="L23" s="76"/>
      <c r="M23" s="81"/>
    </row>
    <row r="24" spans="7:13" x14ac:dyDescent="0.35">
      <c r="G24" s="76"/>
      <c r="H24" s="77"/>
      <c r="I24" s="76"/>
      <c r="J24" s="76"/>
      <c r="K24" s="78"/>
      <c r="L24" s="76"/>
      <c r="M24" s="8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Pakalpojuma apraksts</vt:lpstr>
      <vt:lpstr>Cenas aprēķins</vt:lpstr>
      <vt:lpstr>Arhīva sadalījums</vt:lpstr>
      <vt:lpstr>legend</vt:lpstr>
      <vt:lpstr>'Cenas aprēķins'!Print_Area</vt:lpstr>
      <vt:lpstr>'Pakalpojuma apraksts'!Print_Area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Martins.Krievins</dc:creator>
  <cp:lastModifiedBy>Ieva Potjomkina</cp:lastModifiedBy>
  <cp:lastPrinted>2019-02-26T11:33:44Z</cp:lastPrinted>
  <dcterms:created xsi:type="dcterms:W3CDTF">2018-10-03T08:03:19Z</dcterms:created>
  <dcterms:modified xsi:type="dcterms:W3CDTF">2022-09-14T05:36:35Z</dcterms:modified>
</cp:coreProperties>
</file>