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tabRatio="851"/>
  </bookViews>
  <sheets>
    <sheet name="1.IZD darbība (CSDD)" sheetId="8" r:id="rId1"/>
    <sheet name="2.IZD lēm stac ĀTRUMS (CSDD)" sheetId="6" r:id="rId2"/>
    <sheet name="3.IZD lēm stac TAOCTAVIN (CSDD)" sheetId="14" r:id="rId3"/>
    <sheet name="4.IZD lēm pārviet (CSDD)" sheetId="13" r:id="rId4"/>
    <sheet name="5.izd lem CSDD (VP)" sheetId="15" r:id="rId5"/>
    <sheet name="6.lem LVC (VP)" sheetId="16" r:id="rId6"/>
    <sheet name="7.Iem VP pārv (VP)" sheetId="17" r:id="rId7"/>
    <sheet name="KOPSAVILKUMS" sheetId="10" r:id="rId8"/>
  </sheets>
  <definedNames>
    <definedName name="_xlnm.Print_Titles" localSheetId="0">'1.IZD darbība (CSDD)'!$4:$4</definedName>
    <definedName name="_xlnm.Print_Titles" localSheetId="1">'2.IZD lēm stac ĀTRUMS (CSDD)'!$3:$3</definedName>
    <definedName name="_xlnm.Print_Titles" localSheetId="2">'3.IZD lēm stac TAOCTAVIN (CSDD)'!$3:$3</definedName>
    <definedName name="_xlnm.Print_Titles" localSheetId="3">'4.IZD lēm pārviet (CSDD)'!$3:$3</definedName>
  </definedNames>
  <calcPr calcId="162913"/>
</workbook>
</file>

<file path=xl/calcChain.xml><?xml version="1.0" encoding="utf-8"?>
<calcChain xmlns="http://schemas.openxmlformats.org/spreadsheetml/2006/main">
  <c r="E15" i="10" l="1"/>
  <c r="E5" i="10"/>
  <c r="F15" i="10"/>
  <c r="G15" i="10"/>
  <c r="H15" i="10"/>
  <c r="I15" i="10"/>
  <c r="J15" i="10"/>
  <c r="K15" i="10"/>
  <c r="D15" i="10"/>
  <c r="G20" i="10" l="1"/>
  <c r="E20" i="10"/>
  <c r="F11" i="10"/>
  <c r="H11" i="10"/>
  <c r="H7" i="10" s="1"/>
  <c r="H6" i="10" s="1"/>
  <c r="H5" i="10" s="1"/>
  <c r="J11" i="10"/>
  <c r="J7" i="10" s="1"/>
  <c r="J6" i="10" s="1"/>
  <c r="D11" i="10"/>
  <c r="F8" i="10"/>
  <c r="H8" i="10"/>
  <c r="J8" i="10"/>
  <c r="D8" i="10"/>
  <c r="F7" i="10"/>
  <c r="F6" i="10" s="1"/>
  <c r="F5" i="10" s="1"/>
  <c r="D7" i="10"/>
  <c r="D6" i="10"/>
  <c r="D18" i="10"/>
  <c r="D5" i="10"/>
  <c r="I12" i="10"/>
  <c r="F18" i="10" l="1"/>
  <c r="H18" i="10"/>
  <c r="J5" i="10"/>
  <c r="K10" i="10" l="1"/>
  <c r="K8" i="10" s="1"/>
  <c r="E5" i="17"/>
  <c r="E9" i="17" s="1"/>
  <c r="F4" i="17"/>
  <c r="F5" i="17" s="1"/>
  <c r="F6" i="17" s="1"/>
  <c r="F10" i="17" s="1"/>
  <c r="E4" i="17"/>
  <c r="E7" i="17" s="1"/>
  <c r="E13" i="17" s="1"/>
  <c r="D4" i="17"/>
  <c r="D7" i="17" s="1"/>
  <c r="C4" i="17"/>
  <c r="C7" i="17" s="1"/>
  <c r="F7" i="17" l="1"/>
  <c r="F12" i="17" s="1"/>
  <c r="C13" i="17"/>
  <c r="C12" i="17"/>
  <c r="D13" i="17"/>
  <c r="D12" i="17"/>
  <c r="D11" i="17" s="1"/>
  <c r="F9" i="17"/>
  <c r="F8" i="17" s="1"/>
  <c r="F13" i="17"/>
  <c r="F11" i="17" s="1"/>
  <c r="E6" i="17"/>
  <c r="E10" i="17" s="1"/>
  <c r="E8" i="17" s="1"/>
  <c r="E14" i="17" s="1"/>
  <c r="E16" i="17" s="1"/>
  <c r="E12" i="17"/>
  <c r="E11" i="17" s="1"/>
  <c r="C5" i="17"/>
  <c r="D5" i="17"/>
  <c r="F14" i="17" l="1"/>
  <c r="F16" i="17" s="1"/>
  <c r="D9" i="17"/>
  <c r="D6" i="17"/>
  <c r="D10" i="17" s="1"/>
  <c r="C9" i="17"/>
  <c r="C6" i="17"/>
  <c r="C10" i="17" s="1"/>
  <c r="C11" i="17"/>
  <c r="D8" i="17" l="1"/>
  <c r="D14" i="17" s="1"/>
  <c r="C8" i="17"/>
  <c r="C14" i="17" s="1"/>
  <c r="C16" i="17" l="1"/>
  <c r="D16" i="17"/>
  <c r="K20" i="10" l="1"/>
  <c r="I20" i="10"/>
  <c r="K13" i="10"/>
  <c r="K11" i="10" s="1"/>
  <c r="K7" i="10" s="1"/>
  <c r="K6" i="10" s="1"/>
  <c r="K5" i="10" s="1"/>
  <c r="J18" i="10" l="1"/>
  <c r="C13" i="16"/>
  <c r="C12" i="16"/>
  <c r="C11" i="16"/>
  <c r="C16" i="16"/>
  <c r="E21" i="16"/>
  <c r="D21" i="16"/>
  <c r="C21" i="16"/>
  <c r="F10" i="16"/>
  <c r="F13" i="16" s="1"/>
  <c r="F18" i="16" s="1"/>
  <c r="E10" i="16"/>
  <c r="E13" i="16" s="1"/>
  <c r="E19" i="16" s="1"/>
  <c r="D10" i="16"/>
  <c r="D13" i="16" s="1"/>
  <c r="C10" i="16"/>
  <c r="C7" i="15"/>
  <c r="C9" i="15"/>
  <c r="C10" i="15" s="1"/>
  <c r="C14" i="15" s="1"/>
  <c r="F11" i="15"/>
  <c r="F16" i="15" s="1"/>
  <c r="E11" i="15"/>
  <c r="E16" i="15" s="1"/>
  <c r="D11" i="15"/>
  <c r="D16" i="15" s="1"/>
  <c r="C11" i="15"/>
  <c r="C17" i="15" s="1"/>
  <c r="F9" i="15"/>
  <c r="F10" i="15" s="1"/>
  <c r="F14" i="15" s="1"/>
  <c r="E9" i="15"/>
  <c r="E10" i="15" s="1"/>
  <c r="E14" i="15" s="1"/>
  <c r="D9" i="15"/>
  <c r="D10" i="15" s="1"/>
  <c r="D14" i="15" s="1"/>
  <c r="F7" i="15"/>
  <c r="E7" i="15"/>
  <c r="D7" i="15"/>
  <c r="K21" i="10" l="1"/>
  <c r="K22" i="10" s="1"/>
  <c r="K18" i="10"/>
  <c r="C13" i="15"/>
  <c r="C16" i="15"/>
  <c r="C15" i="15" s="1"/>
  <c r="E11" i="16"/>
  <c r="E12" i="16" s="1"/>
  <c r="E16" i="16" s="1"/>
  <c r="F11" i="16"/>
  <c r="F15" i="16" s="1"/>
  <c r="D19" i="16"/>
  <c r="D18" i="16"/>
  <c r="D17" i="16" s="1"/>
  <c r="C19" i="16"/>
  <c r="C18" i="16"/>
  <c r="C17" i="16" s="1"/>
  <c r="F19" i="16"/>
  <c r="F17" i="16" s="1"/>
  <c r="E18" i="16"/>
  <c r="E17" i="16" s="1"/>
  <c r="E15" i="16"/>
  <c r="E14" i="16" s="1"/>
  <c r="D11" i="16"/>
  <c r="C12" i="15"/>
  <c r="D13" i="15"/>
  <c r="D12" i="15" s="1"/>
  <c r="E13" i="15"/>
  <c r="E12" i="15" s="1"/>
  <c r="D17" i="15"/>
  <c r="D15" i="15" s="1"/>
  <c r="E17" i="15"/>
  <c r="E15" i="15" s="1"/>
  <c r="F13" i="15"/>
  <c r="F12" i="15" s="1"/>
  <c r="F17" i="15"/>
  <c r="F15" i="15" s="1"/>
  <c r="E18" i="13"/>
  <c r="F18" i="13"/>
  <c r="G18" i="13"/>
  <c r="D18" i="13"/>
  <c r="E15" i="13"/>
  <c r="F15" i="13"/>
  <c r="G15" i="13"/>
  <c r="D15" i="13"/>
  <c r="E8" i="13"/>
  <c r="F8" i="13"/>
  <c r="G8" i="13"/>
  <c r="D8" i="13"/>
  <c r="E18" i="14"/>
  <c r="F18" i="14"/>
  <c r="G18" i="14"/>
  <c r="D18" i="14"/>
  <c r="E15" i="14"/>
  <c r="F15" i="14"/>
  <c r="G15" i="14"/>
  <c r="D15" i="14"/>
  <c r="E8" i="14"/>
  <c r="F8" i="14"/>
  <c r="G8" i="14"/>
  <c r="D8" i="14"/>
  <c r="E18" i="6"/>
  <c r="F18" i="6"/>
  <c r="G18" i="6"/>
  <c r="D18" i="6"/>
  <c r="E15" i="6"/>
  <c r="F15" i="6"/>
  <c r="G15" i="6"/>
  <c r="D15" i="6"/>
  <c r="E8" i="6"/>
  <c r="F8" i="6"/>
  <c r="G8" i="6"/>
  <c r="D8" i="6"/>
  <c r="C18" i="15" l="1"/>
  <c r="F12" i="16"/>
  <c r="F16" i="16" s="1"/>
  <c r="F14" i="16" s="1"/>
  <c r="F20" i="16" s="1"/>
  <c r="F22" i="16" s="1"/>
  <c r="D15" i="16"/>
  <c r="D12" i="16"/>
  <c r="D16" i="16" s="1"/>
  <c r="C15" i="16"/>
  <c r="E20" i="16"/>
  <c r="E22" i="16" s="1"/>
  <c r="D18" i="15"/>
  <c r="F18" i="15"/>
  <c r="F20" i="15" s="1"/>
  <c r="E18" i="15"/>
  <c r="F22" i="6"/>
  <c r="E22" i="6"/>
  <c r="D22" i="6"/>
  <c r="E20" i="14"/>
  <c r="F20" i="14"/>
  <c r="G20" i="14"/>
  <c r="D20" i="14"/>
  <c r="E19" i="14"/>
  <c r="F19" i="14"/>
  <c r="G19" i="14"/>
  <c r="D19" i="14"/>
  <c r="E16" i="14"/>
  <c r="F16" i="14"/>
  <c r="G16" i="14"/>
  <c r="D16" i="14"/>
  <c r="E12" i="14"/>
  <c r="F12" i="14"/>
  <c r="G12" i="14"/>
  <c r="D12" i="14"/>
  <c r="E10" i="14"/>
  <c r="F10" i="14"/>
  <c r="G10" i="14"/>
  <c r="D10" i="14"/>
  <c r="E20" i="15" l="1"/>
  <c r="I10" i="10"/>
  <c r="I8" i="10" s="1"/>
  <c r="D20" i="15"/>
  <c r="G10" i="10"/>
  <c r="G8" i="10" s="1"/>
  <c r="C20" i="15"/>
  <c r="E10" i="10"/>
  <c r="E8" i="10" s="1"/>
  <c r="D14" i="16"/>
  <c r="D20" i="16" s="1"/>
  <c r="D22" i="16" s="1"/>
  <c r="C14" i="16"/>
  <c r="C20" i="16" s="1"/>
  <c r="C22" i="16" s="1"/>
  <c r="E17" i="14"/>
  <c r="G17" i="14"/>
  <c r="G14" i="14"/>
  <c r="D14" i="14"/>
  <c r="F11" i="14"/>
  <c r="E11" i="14"/>
  <c r="D11" i="14"/>
  <c r="G11" i="14"/>
  <c r="G9" i="14"/>
  <c r="E9" i="14"/>
  <c r="D9" i="14"/>
  <c r="F9" i="14"/>
  <c r="G7" i="14"/>
  <c r="E7" i="14"/>
  <c r="D7" i="14"/>
  <c r="F7" i="14"/>
  <c r="G6" i="14" l="1"/>
  <c r="G13" i="14"/>
  <c r="F17" i="14"/>
  <c r="F6" i="14"/>
  <c r="F14" i="14"/>
  <c r="E6" i="14"/>
  <c r="E14" i="14"/>
  <c r="D17" i="14"/>
  <c r="D13" i="14" s="1"/>
  <c r="E13" i="14"/>
  <c r="D6" i="14"/>
  <c r="G4" i="13"/>
  <c r="F4" i="13"/>
  <c r="E4" i="13"/>
  <c r="D4" i="13"/>
  <c r="G21" i="14" l="1"/>
  <c r="G23" i="14" s="1"/>
  <c r="F13" i="14"/>
  <c r="F21" i="14" s="1"/>
  <c r="F23" i="14" s="1"/>
  <c r="E21" i="14"/>
  <c r="E23" i="14" s="1"/>
  <c r="D21" i="14"/>
  <c r="D23" i="14" s="1"/>
  <c r="G19" i="13" l="1"/>
  <c r="F16" i="13"/>
  <c r="D19" i="13"/>
  <c r="D10" i="13"/>
  <c r="D9" i="13" s="1"/>
  <c r="E12" i="13"/>
  <c r="E11" i="13" s="1"/>
  <c r="E20" i="6"/>
  <c r="F20" i="6"/>
  <c r="G20" i="6"/>
  <c r="D20" i="6"/>
  <c r="E19" i="6"/>
  <c r="E17" i="6" s="1"/>
  <c r="F19" i="6"/>
  <c r="F17" i="6" s="1"/>
  <c r="G19" i="6"/>
  <c r="D19" i="6"/>
  <c r="D17" i="6" s="1"/>
  <c r="G17" i="6"/>
  <c r="E16" i="6"/>
  <c r="E14" i="6" s="1"/>
  <c r="F16" i="6"/>
  <c r="F14" i="6" s="1"/>
  <c r="G16" i="6"/>
  <c r="D16" i="6"/>
  <c r="D14" i="6"/>
  <c r="G14" i="6"/>
  <c r="G13" i="6" s="1"/>
  <c r="E12" i="6"/>
  <c r="E11" i="6" s="1"/>
  <c r="F12" i="6"/>
  <c r="F11" i="6" s="1"/>
  <c r="G12" i="6"/>
  <c r="G11" i="6" s="1"/>
  <c r="D12" i="6"/>
  <c r="E10" i="6"/>
  <c r="E9" i="6" s="1"/>
  <c r="F10" i="6"/>
  <c r="F9" i="6" s="1"/>
  <c r="G10" i="6"/>
  <c r="G9" i="6" s="1"/>
  <c r="D10" i="6"/>
  <c r="E7" i="6"/>
  <c r="F7" i="6"/>
  <c r="G7" i="6"/>
  <c r="F13" i="6" l="1"/>
  <c r="D13" i="6"/>
  <c r="G6" i="6"/>
  <c r="G21" i="6" s="1"/>
  <c r="E13" i="6"/>
  <c r="G7" i="13"/>
  <c r="F12" i="13"/>
  <c r="F11" i="13" s="1"/>
  <c r="F7" i="13"/>
  <c r="F19" i="13"/>
  <c r="G12" i="13"/>
  <c r="G11" i="13" s="1"/>
  <c r="G16" i="13"/>
  <c r="G14" i="13" s="1"/>
  <c r="D16" i="13"/>
  <c r="D12" i="13"/>
  <c r="D11" i="13" s="1"/>
  <c r="D7" i="13"/>
  <c r="D6" i="13" s="1"/>
  <c r="E19" i="13"/>
  <c r="E16" i="13"/>
  <c r="E14" i="13" s="1"/>
  <c r="E20" i="13"/>
  <c r="E10" i="13"/>
  <c r="E9" i="13" s="1"/>
  <c r="E17" i="13"/>
  <c r="F10" i="13"/>
  <c r="F9" i="13" s="1"/>
  <c r="F20" i="13"/>
  <c r="G10" i="13"/>
  <c r="G9" i="13" s="1"/>
  <c r="F14" i="13"/>
  <c r="G20" i="13"/>
  <c r="G17" i="13" s="1"/>
  <c r="E7" i="13"/>
  <c r="E6" i="13" s="1"/>
  <c r="D20" i="13"/>
  <c r="E6" i="6"/>
  <c r="F6" i="6"/>
  <c r="F21" i="6" s="1"/>
  <c r="I13" i="10" s="1"/>
  <c r="I11" i="10" s="1"/>
  <c r="I7" i="10" s="1"/>
  <c r="I6" i="10" s="1"/>
  <c r="I5" i="10" s="1"/>
  <c r="I21" i="10" l="1"/>
  <c r="I22" i="10" s="1"/>
  <c r="I18" i="10"/>
  <c r="E21" i="6"/>
  <c r="G13" i="10" s="1"/>
  <c r="F17" i="13"/>
  <c r="F13" i="13" s="1"/>
  <c r="D17" i="13"/>
  <c r="F6" i="13"/>
  <c r="G6" i="13"/>
  <c r="D14" i="13"/>
  <c r="E13" i="13"/>
  <c r="E21" i="13" s="1"/>
  <c r="E23" i="13" s="1"/>
  <c r="G13" i="13"/>
  <c r="I23" i="8"/>
  <c r="G23" i="8"/>
  <c r="E23" i="8"/>
  <c r="D23" i="8"/>
  <c r="I22" i="8"/>
  <c r="G22" i="8"/>
  <c r="E22" i="8"/>
  <c r="D22" i="8"/>
  <c r="I21" i="8"/>
  <c r="G21" i="8"/>
  <c r="E21" i="8"/>
  <c r="I20" i="8"/>
  <c r="G20" i="8"/>
  <c r="E20" i="8"/>
  <c r="I19" i="8"/>
  <c r="I17" i="8" s="1"/>
  <c r="G19" i="8"/>
  <c r="E19" i="8"/>
  <c r="I18" i="8"/>
  <c r="G18" i="8"/>
  <c r="G17" i="8" s="1"/>
  <c r="E18" i="8"/>
  <c r="I14" i="8"/>
  <c r="I12" i="8"/>
  <c r="G12" i="8"/>
  <c r="E12" i="8"/>
  <c r="E11" i="8"/>
  <c r="I11" i="8"/>
  <c r="G11" i="8"/>
  <c r="G10" i="8"/>
  <c r="H10" i="8"/>
  <c r="I10" i="8"/>
  <c r="F10" i="8"/>
  <c r="E10" i="8"/>
  <c r="I9" i="8"/>
  <c r="G9" i="8"/>
  <c r="G14" i="8" s="1"/>
  <c r="E9" i="8"/>
  <c r="E14" i="8" s="1"/>
  <c r="D9" i="8"/>
  <c r="D14" i="8" s="1"/>
  <c r="D13" i="13" l="1"/>
  <c r="D21" i="13" s="1"/>
  <c r="D23" i="13" s="1"/>
  <c r="F21" i="13"/>
  <c r="F23" i="13" s="1"/>
  <c r="G21" i="13"/>
  <c r="G23" i="13" s="1"/>
  <c r="I13" i="8"/>
  <c r="E17" i="8"/>
  <c r="E13" i="8" s="1"/>
  <c r="E15" i="8" s="1"/>
  <c r="G13" i="8"/>
  <c r="G15" i="8" s="1"/>
  <c r="G23" i="6"/>
  <c r="I15" i="8" l="1"/>
  <c r="I8" i="8" s="1"/>
  <c r="I16" i="8"/>
  <c r="E16" i="8"/>
  <c r="E8" i="8"/>
  <c r="G16" i="8"/>
  <c r="G8" i="8" s="1"/>
  <c r="G24" i="8" l="1"/>
  <c r="G25" i="8"/>
  <c r="G7" i="8"/>
  <c r="I24" i="8"/>
  <c r="I25" i="8" s="1"/>
  <c r="I27" i="8" s="1"/>
  <c r="I7" i="8"/>
  <c r="E7" i="8"/>
  <c r="E24" i="8"/>
  <c r="E25" i="8" s="1"/>
  <c r="F22" i="8"/>
  <c r="H22" i="8"/>
  <c r="F19" i="8"/>
  <c r="H19" i="8"/>
  <c r="D19" i="8"/>
  <c r="H12" i="8"/>
  <c r="F12" i="8"/>
  <c r="D12" i="8"/>
  <c r="F11" i="8"/>
  <c r="H11" i="8"/>
  <c r="D11" i="8"/>
  <c r="D10" i="8"/>
  <c r="F9" i="8"/>
  <c r="H9" i="8"/>
  <c r="G12" i="10" l="1"/>
  <c r="G11" i="10" s="1"/>
  <c r="G7" i="10" s="1"/>
  <c r="G6" i="10" s="1"/>
  <c r="G5" i="10" s="1"/>
  <c r="G27" i="8"/>
  <c r="E12" i="10"/>
  <c r="E27" i="8"/>
  <c r="F14" i="8"/>
  <c r="H14" i="8"/>
  <c r="G21" i="10" l="1"/>
  <c r="G22" i="10" s="1"/>
  <c r="G18" i="10"/>
  <c r="F23" i="8"/>
  <c r="H23" i="8"/>
  <c r="D21" i="8"/>
  <c r="F21" i="8"/>
  <c r="H21" i="8"/>
  <c r="D20" i="8"/>
  <c r="F20" i="8"/>
  <c r="H20" i="8"/>
  <c r="D18" i="8"/>
  <c r="F18" i="8"/>
  <c r="H18" i="8"/>
  <c r="H17" i="8" l="1"/>
  <c r="F17" i="8"/>
  <c r="F13" i="8"/>
  <c r="D17" i="8"/>
  <c r="D13" i="8" s="1"/>
  <c r="D15" i="8" s="1"/>
  <c r="H13" i="8"/>
  <c r="H15" i="8" l="1"/>
  <c r="F15" i="8"/>
  <c r="D11" i="6"/>
  <c r="D9" i="6"/>
  <c r="D7" i="6"/>
  <c r="D6" i="6" s="1"/>
  <c r="D21" i="6" s="1"/>
  <c r="D23" i="6" l="1"/>
  <c r="E13" i="10"/>
  <c r="F16" i="8"/>
  <c r="F8" i="8" s="1"/>
  <c r="E11" i="10" l="1"/>
  <c r="E7" i="10" s="1"/>
  <c r="E6" i="10" s="1"/>
  <c r="F7" i="8"/>
  <c r="F24" i="8"/>
  <c r="F25" i="8" s="1"/>
  <c r="H16" i="8"/>
  <c r="H8" i="8" s="1"/>
  <c r="D16" i="8"/>
  <c r="D8" i="8" s="1"/>
  <c r="F23" i="6"/>
  <c r="E18" i="10" l="1"/>
  <c r="E21" i="10"/>
  <c r="E22" i="10" s="1"/>
  <c r="H24" i="8"/>
  <c r="H25" i="8"/>
  <c r="H7" i="8"/>
  <c r="D24" i="8"/>
  <c r="D25" i="8" s="1"/>
  <c r="D7" i="8"/>
  <c r="E23" i="6"/>
</calcChain>
</file>

<file path=xl/sharedStrings.xml><?xml version="1.0" encoding="utf-8"?>
<sst xmlns="http://schemas.openxmlformats.org/spreadsheetml/2006/main" count="453" uniqueCount="230">
  <si>
    <t>3.</t>
  </si>
  <si>
    <t>2.</t>
  </si>
  <si>
    <t>1.</t>
  </si>
  <si>
    <t>1.1.</t>
  </si>
  <si>
    <t>x</t>
  </si>
  <si>
    <t>Nr.p.k.</t>
  </si>
  <si>
    <t>Rādītāji</t>
  </si>
  <si>
    <t>MK not. Nr.170 punkts</t>
  </si>
  <si>
    <t>2.1.</t>
  </si>
  <si>
    <t>2.1.1.</t>
  </si>
  <si>
    <t>2.1.1.1.</t>
  </si>
  <si>
    <t>1.1.1.</t>
  </si>
  <si>
    <t>2.1.1.2.</t>
  </si>
  <si>
    <t>1.1.2.</t>
  </si>
  <si>
    <t>1.1.3.</t>
  </si>
  <si>
    <t>1.1.4.</t>
  </si>
  <si>
    <t>1.1.5.</t>
  </si>
  <si>
    <t>1.1.6.</t>
  </si>
  <si>
    <t>1.1.7.</t>
  </si>
  <si>
    <t>2.1.1.3.</t>
  </si>
  <si>
    <t>2.1.1.4.</t>
  </si>
  <si>
    <t>1.1.8.</t>
  </si>
  <si>
    <t>2.1.1.5.</t>
  </si>
  <si>
    <t>2.1.1.6.</t>
  </si>
  <si>
    <t>1.2.</t>
  </si>
  <si>
    <t>2.1.2.</t>
  </si>
  <si>
    <t>1.2.1.</t>
  </si>
  <si>
    <t>2.1.2.1.</t>
  </si>
  <si>
    <t>2.1.2.2.</t>
  </si>
  <si>
    <t>1.2.2.</t>
  </si>
  <si>
    <t>2.1.2.3.</t>
  </si>
  <si>
    <t>1.2.3.</t>
  </si>
  <si>
    <t>1.2.4.</t>
  </si>
  <si>
    <t>2.1.2.4.</t>
  </si>
  <si>
    <t>2.1.2.5.</t>
  </si>
  <si>
    <t>1.2.5.</t>
  </si>
  <si>
    <t>2.1.2.6.</t>
  </si>
  <si>
    <t>1.2.6.</t>
  </si>
  <si>
    <t>2.1.3.</t>
  </si>
  <si>
    <t>1.3.</t>
  </si>
  <si>
    <t>2. (1.1.+1.2.+1.3.)</t>
  </si>
  <si>
    <t>4. (2.-3.)</t>
  </si>
  <si>
    <t>1.
(1.1.+1.2.)</t>
  </si>
  <si>
    <t>Papildus nepieciešams (+) vai izdevumi mazāki nekā ieplānots (-)</t>
  </si>
  <si>
    <t>2.2.</t>
  </si>
  <si>
    <t>2.2.1.</t>
  </si>
  <si>
    <t>2.2.2.</t>
  </si>
  <si>
    <t>2.2.3.</t>
  </si>
  <si>
    <t>1.
(1.1.+1.2.+1.3.)</t>
  </si>
  <si>
    <t>2.3.</t>
  </si>
  <si>
    <t>2.3.1.</t>
  </si>
  <si>
    <t>Izmaksas, kas saistītas ar paziņojumu sagatavošanu un nosūtīšanu ar elektroniskā pasta starpniecību</t>
  </si>
  <si>
    <t>Izmaksas, kas saistītas ar paziņojumu sagatavošanu un nosūtīšanu parastā vēstulē ar Latvijas Pasta starpniecību atbilstoši attiecīgo pakalpojumu sniedzēju noteiktajam pakalpojuma tarifam</t>
  </si>
  <si>
    <t>2.3.2.</t>
  </si>
  <si>
    <t xml:space="preserve">Pavisam: </t>
  </si>
  <si>
    <t>2023.</t>
  </si>
  <si>
    <t>2024.</t>
  </si>
  <si>
    <t>2025.</t>
  </si>
  <si>
    <t>Plānotā peļņa 5% apmērā (no 1.1. un 1.2.)</t>
  </si>
  <si>
    <t>4.</t>
  </si>
  <si>
    <t>Nr.p. k.</t>
  </si>
  <si>
    <t>I.</t>
  </si>
  <si>
    <t>II.</t>
  </si>
  <si>
    <t>06.01.00 "Valsts policija"</t>
  </si>
  <si>
    <t>Valsts policija</t>
  </si>
  <si>
    <t>CSDD</t>
  </si>
  <si>
    <t>02.03.00 "Vienotās sakaru un informācijas sistēmas uzturēšana un vadība"</t>
  </si>
  <si>
    <t>III.</t>
  </si>
  <si>
    <t>Ieņēmumu pārsniegums pār izdevumiem (I-II)</t>
  </si>
  <si>
    <t>Papildus nepieciešams (+) vai 
izdevumi mazāki nekā ieplānots (-)</t>
  </si>
  <si>
    <t>3.
1.+2.</t>
  </si>
  <si>
    <t>5. (3.-4.)</t>
  </si>
  <si>
    <t>Prognozētās fotoradaru darbības nodrošināšanas izmaksas - pavisam (ar peļņu)</t>
  </si>
  <si>
    <t xml:space="preserve">Kopā fotoradaru  darbības nodrošināšanas izmaksas </t>
  </si>
  <si>
    <t>2023.
prec.</t>
  </si>
  <si>
    <t>2024.
prec.</t>
  </si>
  <si>
    <t>2025.
prec.</t>
  </si>
  <si>
    <t>Prognozētās tehnisko līdzekļu darbības nodrošināšanas izmaksas - kopā (bez plānotās peļņas)</t>
  </si>
  <si>
    <t>Izdevumi, ko CSDD sedz ārpakalpojuma sniedzējam</t>
  </si>
  <si>
    <t>Ar CSDD darbību saistītie izdevumi</t>
  </si>
  <si>
    <t>Fotoradaru skaits, vidējais</t>
  </si>
  <si>
    <t xml:space="preserve"> uzstādīti pakāpeniski 2015.gadā (16 gab.), 2016.gadā (24 gab.), 2017.gadā (20 gab.) un 2018. gadā (40 gab.)</t>
  </si>
  <si>
    <t>4. tabula</t>
  </si>
  <si>
    <t>KOPSAVILKUMS</t>
  </si>
  <si>
    <t xml:space="preserve">Kopā informācijas apstrādes un  lēmuma un atgādinājuma nosūtīšanas adresātam izmaksas </t>
  </si>
  <si>
    <t>1. tabula</t>
  </si>
  <si>
    <t>2023.
rīk Nr.775</t>
  </si>
  <si>
    <t>2024.
rīk Nr.775</t>
  </si>
  <si>
    <t>2025.
rīk Nr.775</t>
  </si>
  <si>
    <t>Saskaņā ar MK 29.07.2014. rīkojumu Nr.382  (ar grozījumiem, kas spēkā no 13.08.2020.)
(iekļauts MK 02.11.2021. Nr.775)</t>
  </si>
  <si>
    <t>2026. un turpmāk</t>
  </si>
  <si>
    <r>
      <rPr>
        <b/>
        <sz val="10"/>
        <rFont val="Times New Roman"/>
        <family val="1"/>
        <charset val="186"/>
      </rPr>
      <t>Lēmumu skaits</t>
    </r>
    <r>
      <rPr>
        <sz val="10"/>
        <rFont val="Times New Roman"/>
        <family val="1"/>
        <charset val="186"/>
      </rPr>
      <t xml:space="preserve"> </t>
    </r>
    <r>
      <rPr>
        <b/>
        <sz val="10"/>
        <rFont val="Times New Roman"/>
        <family val="1"/>
        <charset val="186"/>
      </rPr>
      <t>(fiksētie pārkāpumi, par kuriem tiek nosūtīts lēmums), gadā</t>
    </r>
  </si>
  <si>
    <t>2. tabula</t>
  </si>
  <si>
    <t>Saskaņā ar MK 02.11.2021. rīkojumu Nr.775</t>
  </si>
  <si>
    <r>
      <rPr>
        <b/>
        <sz val="10"/>
        <rFont val="Times New Roman"/>
        <family val="1"/>
        <charset val="186"/>
      </rPr>
      <t>Autotransporta noma (bez PVN) un instrumentu iegāde un atjaunošana</t>
    </r>
    <r>
      <rPr>
        <sz val="10"/>
        <rFont val="Times New Roman"/>
        <family val="1"/>
        <charset val="186"/>
      </rPr>
      <t xml:space="preserve">
PRECIZĒTAIS aprēķins:
Autotransporta noma 0,44 euro stundā (bez PVN).
Lai aprēķinātu attiecināmās stundas:
1) ceļā pavadītais laiks: mēnesī tiek apsekoti 10% no fotoradariem. Vidējais fotoradara attālums no Rīgas ir 72 km, tas ir 72 x 2 = 144 km uz vienu fotoradaru. Vidējais ātrums ir 40 km stundā.
2) uz vietas pavadītais laiks: 1 stunda vienam fotoradaram.
Aprēķins: ((fotoradaru skaits x 0,1 x (72 km x 2) x 12 mēn.)/40 km stundā + (1 stunda x fotoradaru skaits x 0,1) x 12 mēn.)) x 0,44 euro  
SĀKOTNĒJAIS aprēķins: Saskaņā ar MK 29.07.2014. rīkojumu Nr.382  (ar grozījumiem, kas spēkā no 13.08.2020.)
(iekļauts MK 02.11.2021. Nr.775)</t>
    </r>
  </si>
  <si>
    <r>
      <t xml:space="preserve">Datortehnikas iegāde un atjaunošana (bez PVN) 
</t>
    </r>
    <r>
      <rPr>
        <sz val="10"/>
        <rFont val="Times New Roman"/>
        <family val="1"/>
        <charset val="186"/>
      </rPr>
      <t>PRECIZĒTAIS aprēķins:
Datoru skaits saskaņā ar plānoto slodžu skaitu, nolietojums 36 mēneši
(770 euro  x 3 datori)/3 gadi)/ 100 fotoradariem x fotoradaru skaits
SĀKOTNĒJAIS aprēķins: Saskaņā ar MK 29.07.2014. rīkojumu Nr.382  (ar grozījumiem, kas spēkā no 13.08.2020.)
(iekļauts MK 02.11.2021. Nr.775)</t>
    </r>
  </si>
  <si>
    <r>
      <t xml:space="preserve">Degvielas izmaksas (bez PVN)
</t>
    </r>
    <r>
      <rPr>
        <sz val="10"/>
        <rFont val="Times New Roman"/>
        <family val="1"/>
        <charset val="186"/>
      </rPr>
      <t>PRECIZĒTAIS aprēķins:
Mēnesī tiek apsekoti 10% no fotoradariem. Vidējais fotoradara attālums no Rīgas ir 72 km, tas ir 72 x 2 = 144 km uz vienu fotoradaru. Degvielas izmaksas 0,23 euro uz vienu nobraukto km.
Aprēķins: fotoradaru skaits x 0,10 x (72 km x 2) x 0,13 euro) x 12 mēn.
SĀKOTNĒJAIS aprēķins: Saskaņā ar MK 29.07.2014. rīkojumu Nr.382  (ar grozījumiem, kas spēkā no 13.08.2020.)
(iekļauts MK 02.11.2021. Nr.775)</t>
    </r>
  </si>
  <si>
    <r>
      <rPr>
        <b/>
        <sz val="10"/>
        <rFont val="Times New Roman"/>
        <family val="1"/>
        <charset val="186"/>
      </rPr>
      <t>Ēku remonta, uzturēšanas izmaksas un komunālie pakalpojumi</t>
    </r>
    <r>
      <rPr>
        <sz val="10"/>
        <rFont val="Times New Roman"/>
        <family val="1"/>
        <charset val="186"/>
      </rPr>
      <t xml:space="preserve"> </t>
    </r>
    <r>
      <rPr>
        <vertAlign val="superscript"/>
        <sz val="10"/>
        <rFont val="Times New Roman"/>
        <family val="1"/>
        <charset val="186"/>
      </rPr>
      <t>2</t>
    </r>
    <r>
      <rPr>
        <sz val="10"/>
        <rFont val="Times New Roman"/>
        <family val="1"/>
        <charset val="186"/>
      </rPr>
      <t xml:space="preserve">
PRECIZĒTAIS aprēķins: 
18,53% no 1.1.1.
SĀKOTNĒJAIS aprēķins: Saskaņā ar MK 29.07.2014. rīkojumu Nr.382  (ar grozījumiem, kas spēkā no 13.08.2020.) (iekļauts MK 02.11.2021. Nr.775)</t>
    </r>
  </si>
  <si>
    <r>
      <rPr>
        <b/>
        <sz val="10"/>
        <rFont val="Times New Roman"/>
        <family val="1"/>
        <charset val="186"/>
      </rPr>
      <t>Elektroenerģijas izmaksas</t>
    </r>
    <r>
      <rPr>
        <sz val="10"/>
        <rFont val="Times New Roman"/>
        <family val="1"/>
        <charset val="186"/>
      </rPr>
      <t xml:space="preserve">
PRECIZĒTAIS aprēķins: 
(0,44442 euro ar PVN par kWh x 90 kWh x 12 mēn. x fotoradaru skaits) + (2,15 euro ar PVN fiksēta mēneša maksa x 12 mēn. x fotoradaru skaits)
SĀKOTNĒJAIS aprēķins: Saskaņā ar MK 29.07.2014. rīkojumu Nr.382  (ar grozījumiem, kas spēkā no 13.08.2020.) (iekļauts MK 02.11.2021. Nr.775)</t>
    </r>
  </si>
  <si>
    <r>
      <rPr>
        <b/>
        <sz val="10"/>
        <rFont val="Times New Roman"/>
        <family val="1"/>
        <charset val="186"/>
      </rPr>
      <t xml:space="preserve">Tieši iesaistītā personāla izmaksas
</t>
    </r>
    <r>
      <rPr>
        <sz val="10"/>
        <rFont val="Times New Roman"/>
        <family val="1"/>
        <charset val="186"/>
      </rPr>
      <t>PRECIZĒTAIS aprēķins:
(2484 euro bruto alga + 598,40 euro darba devēja VSAOI + 42,59 euro veselības un nelaimes gadījumu apdrošināšana + 0,36 euro riska nodeva) x 12 mēn. x 0,03 slodzes x fotoradaru skaits)
SĀKOTNĒJAIS aprēķins: Saskaņā ar MK 29.07.2014. rīkojumu Nr.382  (ar grozījumiem, kas spēkā no 13.08.2020.) (iekļauts MK 02.11.2021. Nr.775)</t>
    </r>
  </si>
  <si>
    <r>
      <rPr>
        <b/>
        <sz val="10"/>
        <rFont val="Times New Roman"/>
        <family val="1"/>
        <charset val="186"/>
      </rPr>
      <t>Apdrošināšanas izmaksas</t>
    </r>
    <r>
      <rPr>
        <sz val="10"/>
        <rFont val="Times New Roman"/>
        <family val="1"/>
        <charset val="186"/>
      </rPr>
      <t xml:space="preserve">
PRECIZĒTAIS aprēķins: 
Apdrošināšana gadā 1 600 euro gadā (neapliekas ar PVN)
1 600 euro x fotoradaru skaits
SĀKOTNĒJAIS aprēķins: Saskaņā ar MK 29.07.2014. rīkojumu Nr.382  (ar grozījumiem, kas spēkā no 13.08.2020.) (iekļauts MK 02.11.2021. Nr.775)</t>
    </r>
  </si>
  <si>
    <r>
      <rPr>
        <b/>
        <sz val="10"/>
        <rFont val="Times New Roman"/>
        <family val="1"/>
        <charset val="186"/>
      </rPr>
      <t>Apsardzes izmaksas</t>
    </r>
    <r>
      <rPr>
        <sz val="10"/>
        <rFont val="Times New Roman"/>
        <family val="1"/>
        <charset val="186"/>
      </rPr>
      <t xml:space="preserve">
PRECIZĒTAIS aprēķins: 
Vidējās  izmaksas  57,77 euro uz 1 fotoradaru mēnesī ar PVN
57,77 euro x 12 mēn. x fotoradaru skaits
SĀKOTNĒJAIS aprēķins: Saskaņā ar MK 29.07.2014. rīkojumu Nr.382  (ar grozījumiem, kas spēkā no 13.08.2020.) (iekļauts MK 02.11.2021. Nr.775)</t>
    </r>
  </si>
  <si>
    <r>
      <t xml:space="preserve">Sakaru pakalpojumu izmaksas 
</t>
    </r>
    <r>
      <rPr>
        <sz val="10"/>
        <rFont val="Times New Roman"/>
        <family val="1"/>
        <charset val="186"/>
      </rPr>
      <t>Par 1 fotoradaru mēnesī 9,67 euro ar PVN
9,67 euro x 12 mēn. x fotoradaru skaits
SĀKOTNĒJAIS aprēķins: Saskaņā ar MK 29.07.2014. rīkojumu Nr.382  (ar grozījumiem, kas spēkā no 13.08.2020.) (iekļauts MK 02.11.2021. Nr.775)</t>
    </r>
  </si>
  <si>
    <r>
      <rPr>
        <b/>
        <sz val="10"/>
        <rFont val="Times New Roman"/>
        <family val="1"/>
        <charset val="186"/>
      </rPr>
      <t>Citas ar tehnisko līdzekļu darbības nodrošināšanu saistītās izmaksas</t>
    </r>
    <r>
      <rPr>
        <sz val="10"/>
        <rFont val="Times New Roman"/>
        <family val="1"/>
        <charset val="186"/>
      </rPr>
      <t xml:space="preserve"> 
Citas izmaksas (vidēji) 165,00 euro uz 1 fotoradaru gadā ar PVN  euro gadā 
165,00 euro x fotoradaru skaits
SĀKOTNĒJAIS aprēķins: Saskaņā ar MK 29.07.2014. rīkojumu Nr.382  (ar grozījumiem, kas spēkā no 13.08.2020.) (iekļauts MK 02.11.2021. Nr.775)</t>
    </r>
  </si>
  <si>
    <r>
      <rPr>
        <b/>
        <sz val="10"/>
        <rFont val="Times New Roman"/>
        <family val="1"/>
        <charset val="186"/>
      </rPr>
      <t>Informatīvās sistēmas uzturēšanas un datu pārraides izmaksas</t>
    </r>
    <r>
      <rPr>
        <sz val="10"/>
        <rFont val="Times New Roman"/>
        <family val="1"/>
        <charset val="186"/>
      </rPr>
      <t xml:space="preserve"> </t>
    </r>
    <r>
      <rPr>
        <vertAlign val="superscript"/>
        <sz val="10"/>
        <rFont val="Times New Roman"/>
        <family val="1"/>
        <charset val="186"/>
      </rPr>
      <t>1</t>
    </r>
    <r>
      <rPr>
        <sz val="10"/>
        <rFont val="Times New Roman"/>
        <family val="1"/>
        <charset val="186"/>
      </rPr>
      <t xml:space="preserve">  
PRECIZĒTAIS aprēķins:
5,66% no 1.1.1+1.1.2.+1.1.3.+1.1.4. un
5,66% no 1.2.
SĀKOTNĒJAIS aprēķins: Saskaņā ar MK 29.07.2014. rīkojumu Nr.382  (ar grozījumiem, kas spēkā no 13.08.2020.)(iekļauts MK 02.11.2021. Nr.775)</t>
    </r>
  </si>
  <si>
    <r>
      <rPr>
        <b/>
        <sz val="10"/>
        <rFont val="Times New Roman"/>
        <family val="1"/>
        <charset val="186"/>
      </rPr>
      <t>Administrācijas (pieskaitāmās) izmaksas</t>
    </r>
    <r>
      <rPr>
        <sz val="10"/>
        <rFont val="Times New Roman"/>
        <family val="1"/>
        <charset val="186"/>
      </rPr>
      <t xml:space="preserve"> </t>
    </r>
    <r>
      <rPr>
        <vertAlign val="superscript"/>
        <sz val="10"/>
        <rFont val="Times New Roman"/>
        <family val="1"/>
        <charset val="186"/>
      </rPr>
      <t xml:space="preserve">3
</t>
    </r>
    <r>
      <rPr>
        <sz val="10"/>
        <rFont val="Times New Roman"/>
        <family val="1"/>
        <charset val="186"/>
      </rPr>
      <t xml:space="preserve">PRECIZĒTAIS aprēķins: </t>
    </r>
    <r>
      <rPr>
        <vertAlign val="superscript"/>
        <sz val="10"/>
        <rFont val="Times New Roman"/>
        <family val="1"/>
        <charset val="186"/>
      </rPr>
      <t xml:space="preserve">
</t>
    </r>
    <r>
      <rPr>
        <sz val="10"/>
        <rFont val="Times New Roman"/>
        <family val="1"/>
        <charset val="186"/>
      </rPr>
      <t>8,811% no 1.1.1.+ 1.1.2.+1.1.3.+1.1.4.+1.1.5.+1.1.6.un
8,811% no 1.2.
SĀKOTNĒJAIS aprēķins: Saskaņā ar MK 29.07.2014. rīkojumu Nr.382  (ar grozījumiem, kas spēkā no 13.08.2020.)(iekļauts MK 02.11.2021. Nr.775)</t>
    </r>
  </si>
  <si>
    <r>
      <rPr>
        <b/>
        <sz val="10"/>
        <rFont val="Times New Roman"/>
        <family val="1"/>
        <charset val="186"/>
      </rPr>
      <t xml:space="preserve">Neatgūstamā PVN daļa </t>
    </r>
    <r>
      <rPr>
        <vertAlign val="superscript"/>
        <sz val="10"/>
        <rFont val="Times New Roman"/>
        <family val="1"/>
        <charset val="186"/>
      </rPr>
      <t xml:space="preserve">4 </t>
    </r>
    <r>
      <rPr>
        <sz val="10"/>
        <rFont val="Times New Roman"/>
        <family val="1"/>
        <charset val="186"/>
      </rPr>
      <t xml:space="preserve">
PRECIZĒTAIS aprēķins: 
(1.1.2.+1.1.3.+1.1.4.+1.1.5.+1.1.6.) x 0,21 x 0,16
SĀKOTNĒJAIS aprēķins: Saskaņā ar MK 29.07.2014. rīkojumu Nr.382  (ar grozījumiem, kas spēkā no 13.08.2020.) (iekļauts MK 02.11.2021. Nr.775)</t>
    </r>
  </si>
  <si>
    <r>
      <rPr>
        <b/>
        <sz val="10"/>
        <rFont val="Times New Roman"/>
        <family val="1"/>
        <charset val="186"/>
      </rPr>
      <t>Ar tehnisko līdzekļu apkopi, remontu, verifikāciju, diennakts reaģēšanas servisa nodrošināšanu saistītās izmaksas</t>
    </r>
    <r>
      <rPr>
        <sz val="10"/>
        <rFont val="Times New Roman"/>
        <family val="1"/>
        <charset val="186"/>
      </rPr>
      <t xml:space="preserve"> 
PRECIZĒTAIS aprēķins: 
(1766,60 euro ar PVN (periodiskās verifikācijas) x fotoradaru skaits + 1766,60 euro ar PVN x 10% no fotoradaru skaita (ārpuskārtas verifikācijas))) + 
(30,25 euro ar PVN x 12 mēn. x fotoradaru skaits)  (fotoradaru remontu izmaksas)  + 
(11567,60 euro ar PVN x 12 mēn.) (fotoradaru pārvaldības sistēmas darbības nodrošināšanas un uzturēšanas izmaksas) + 
(17,57 euro ar PVN x 12 mēn. x fotoradaru skaits) (datu pārraides tīkla gala iekārtu uzturēšanas izmaksas) + 
(15210,00 euro ar PVN / 100 fotoradari x 12 mēn. x fotoradaru skaits) (fotoradaru objektu uzturēšanas un remontu izmaksas, fotoradaru noņemšana/uzstādīšana verifikācijai un remontiem) + 
(35997,50 euro ar PVN / 100 fotoradari x 12 mēn. x fotoradaru skaits)(fotoradaru darbības licenču izmaksas)
SĀKOTNĒJAIS aprēķins: Saskaņā ar MK 29.07.2014. rīkojumu Nr.382  (ar grozījumiem, kas spēkā no 13.08.2020.) (iekļauts MK 02.11.2021. Nr.775)</t>
    </r>
  </si>
  <si>
    <r>
      <rPr>
        <vertAlign val="superscript"/>
        <sz val="10"/>
        <rFont val="Times New Roman"/>
        <family val="1"/>
        <charset val="186"/>
      </rPr>
      <t>2</t>
    </r>
    <r>
      <rPr>
        <sz val="10"/>
        <rFont val="Times New Roman"/>
        <family val="1"/>
        <charset val="186"/>
      </rPr>
      <t xml:space="preserve"> Atbilstoši statistikai ne visi apstrādātie dati (tiek sagatavoti lēmumu projekti)  nosūtīti kā lēmumi.  2021. gadā faktiskais ar stacionāriem fotoradariem fiksēto apstrādāto pārkāpumu skaits bija 383 109, savukārt nosūtīto lēmumu skaits 250 816. Aprēķinos tiek piemērots koeficients 1,53 (383 109 / 250 816).</t>
    </r>
  </si>
  <si>
    <r>
      <rPr>
        <vertAlign val="superscript"/>
        <sz val="10"/>
        <rFont val="Times New Roman"/>
        <family val="1"/>
        <charset val="186"/>
      </rPr>
      <t>4</t>
    </r>
    <r>
      <rPr>
        <sz val="10"/>
        <rFont val="Times New Roman"/>
        <family val="1"/>
        <charset val="186"/>
      </rPr>
      <t xml:space="preserve"> Atbilstoši statistikai aprēķinos izmantoti šādi dati:
ar neierakstītu vēstuli (līdz 20g pa Latviju) tiek nosūtīts 24% protokoli-lēmumi;
ar neierakstītu vēstuli (līdz 20g uz ārvalstīm) tiek nosūtīts 25% protokoli-lēmumi;
elektroniski tiek nosūtīts 51% protokoli-lēmumi.</t>
    </r>
  </si>
  <si>
    <r>
      <rPr>
        <vertAlign val="superscript"/>
        <sz val="10"/>
        <rFont val="Times New Roman"/>
        <family val="1"/>
        <charset val="186"/>
      </rPr>
      <t>3</t>
    </r>
    <r>
      <rPr>
        <sz val="10"/>
        <rFont val="Times New Roman"/>
        <family val="1"/>
        <charset val="186"/>
      </rPr>
      <t xml:space="preserve"> Atbilstoši CSDD līgumam ar pakalpojuma sniedzēju (lēmuma sagatavošana nosūtīšanai adresātam (vēstules sagatavošana)): Latvijas adresātiem 0,09 euro, ārvalstu adresātiem 0,14 euro
Atbilstoši  20.03.2018. MK noteikumu Nr.170  anotācijai un likuma ""Grozījumi Ceļu satiksmes likumā"" (pieņemts 09.11.2017. ) anotācijas pielikuma 2.tabulai: 0,19 euro.</t>
    </r>
  </si>
  <si>
    <r>
      <t xml:space="preserve">Aprēķins: 
0,09 euro </t>
    </r>
    <r>
      <rPr>
        <vertAlign val="superscript"/>
        <sz val="10"/>
        <rFont val="Times New Roman"/>
        <family val="1"/>
        <charset val="186"/>
      </rPr>
      <t>3</t>
    </r>
    <r>
      <rPr>
        <sz val="10"/>
        <rFont val="Times New Roman"/>
        <family val="1"/>
        <charset val="186"/>
      </rPr>
      <t xml:space="preserve"> x 0,24 </t>
    </r>
    <r>
      <rPr>
        <vertAlign val="superscript"/>
        <sz val="10"/>
        <rFont val="Times New Roman"/>
        <family val="1"/>
        <charset val="186"/>
      </rPr>
      <t xml:space="preserve">4 </t>
    </r>
    <r>
      <rPr>
        <sz val="10"/>
        <rFont val="Times New Roman"/>
        <family val="1"/>
        <charset val="186"/>
      </rPr>
      <t xml:space="preserve">x lēmumu skaits (Latvijas adresātiem) + 
0,14 euro </t>
    </r>
    <r>
      <rPr>
        <vertAlign val="superscript"/>
        <sz val="10"/>
        <rFont val="Times New Roman"/>
        <family val="1"/>
        <charset val="186"/>
      </rPr>
      <t>3</t>
    </r>
    <r>
      <rPr>
        <sz val="10"/>
        <rFont val="Times New Roman"/>
        <family val="1"/>
        <charset val="186"/>
      </rPr>
      <t xml:space="preserve"> x 0,25 </t>
    </r>
    <r>
      <rPr>
        <vertAlign val="superscript"/>
        <sz val="10"/>
        <rFont val="Times New Roman"/>
        <family val="1"/>
        <charset val="186"/>
      </rPr>
      <t xml:space="preserve">4 </t>
    </r>
    <r>
      <rPr>
        <sz val="10"/>
        <rFont val="Times New Roman"/>
        <family val="1"/>
        <charset val="186"/>
      </rPr>
      <t xml:space="preserve">x lēmumu skaits (ārvalstu adresātiem) +
0,19 euro </t>
    </r>
    <r>
      <rPr>
        <vertAlign val="superscript"/>
        <sz val="10"/>
        <rFont val="Times New Roman"/>
        <family val="1"/>
        <charset val="186"/>
      </rPr>
      <t xml:space="preserve">3 </t>
    </r>
    <r>
      <rPr>
        <sz val="10"/>
        <rFont val="Times New Roman"/>
        <family val="1"/>
        <charset val="186"/>
      </rPr>
      <t xml:space="preserve">x 0,51 </t>
    </r>
    <r>
      <rPr>
        <vertAlign val="superscript"/>
        <sz val="10"/>
        <rFont val="Times New Roman"/>
        <family val="1"/>
        <charset val="186"/>
      </rPr>
      <t>4</t>
    </r>
    <r>
      <rPr>
        <sz val="10"/>
        <rFont val="Times New Roman"/>
        <family val="1"/>
        <charset val="186"/>
      </rPr>
      <t xml:space="preserve"> x lēmumus skaits (elektroniski Latvijas adresātiem)</t>
    </r>
  </si>
  <si>
    <r>
      <t>Aprēķins:
1,20 euro</t>
    </r>
    <r>
      <rPr>
        <vertAlign val="superscript"/>
        <sz val="10"/>
        <rFont val="Times New Roman"/>
        <family val="1"/>
        <charset val="186"/>
      </rPr>
      <t xml:space="preserve"> 5</t>
    </r>
    <r>
      <rPr>
        <sz val="10"/>
        <rFont val="Times New Roman"/>
        <family val="1"/>
        <charset val="186"/>
      </rPr>
      <t xml:space="preserve"> x 0,24 </t>
    </r>
    <r>
      <rPr>
        <vertAlign val="superscript"/>
        <sz val="10"/>
        <rFont val="Times New Roman"/>
        <family val="1"/>
        <charset val="186"/>
      </rPr>
      <t>4</t>
    </r>
    <r>
      <rPr>
        <sz val="10"/>
        <rFont val="Times New Roman"/>
        <family val="1"/>
        <charset val="186"/>
      </rPr>
      <t xml:space="preserve"> x lēmumu skaits ( vēstule Latvijas adresātiem) +
1,633571 euro </t>
    </r>
    <r>
      <rPr>
        <vertAlign val="superscript"/>
        <sz val="10"/>
        <rFont val="Times New Roman"/>
        <family val="1"/>
        <charset val="186"/>
      </rPr>
      <t>5</t>
    </r>
    <r>
      <rPr>
        <sz val="10"/>
        <rFont val="Times New Roman"/>
        <family val="1"/>
        <charset val="186"/>
      </rPr>
      <t xml:space="preserve"> x 0,25 </t>
    </r>
    <r>
      <rPr>
        <vertAlign val="superscript"/>
        <sz val="10"/>
        <rFont val="Times New Roman"/>
        <family val="1"/>
        <charset val="186"/>
      </rPr>
      <t>4</t>
    </r>
    <r>
      <rPr>
        <sz val="10"/>
        <rFont val="Times New Roman"/>
        <family val="1"/>
        <charset val="186"/>
      </rPr>
      <t xml:space="preserve"> x lēmumu skaits (vēstule ārvalstu adresātiem)</t>
    </r>
  </si>
  <si>
    <t>5  Atbilstoši Latvijas Pasta  tarifam no 01.01.2020. un CSDD līgumam ar pakalpojuma sniedzēju ir 1,20 euro/gab. (neierakstīta vēstule līdz 20g pa Latviju bez PVN) un 1,633571 euro/gab. (vidēji neierakstīta vēstule līdz 20 g uz ES valstīm, bez PVN).</t>
  </si>
  <si>
    <r>
      <rPr>
        <vertAlign val="superscript"/>
        <sz val="10"/>
        <rFont val="Times New Roman"/>
        <family val="1"/>
        <charset val="186"/>
      </rPr>
      <t>6</t>
    </r>
    <r>
      <rPr>
        <sz val="10"/>
        <rFont val="Times New Roman"/>
        <family val="1"/>
        <charset val="186"/>
      </rPr>
      <t xml:space="preserve"> Atbilstoši  20.03.2018. MK noteikumu Nr.170  anotācijai un likuma "Grozījumi Ceļu satiksmes likumā" (pieņemts 09.11.2017.) anotācijas pielikuma 2.tabulai 0,19 euro.
Atbilstoši CSDD un Valsts policijas 30.11.2020. deleģēšanas līgumā Nr.2380 noteiktajam.</t>
    </r>
  </si>
  <si>
    <r>
      <rPr>
        <vertAlign val="superscript"/>
        <sz val="10"/>
        <rFont val="Times New Roman"/>
        <family val="1"/>
        <charset val="186"/>
      </rPr>
      <t>8</t>
    </r>
    <r>
      <rPr>
        <sz val="10"/>
        <rFont val="Times New Roman"/>
        <family val="1"/>
        <charset val="186"/>
      </rPr>
      <t xml:space="preserve"> Atbilstoši statistikai:
75 % (51% un 24%)  lēmumi tiek adresēti personām Latvijā
15%  no šiem lēmumiem netiek samaksāti 1 mēneša laikā un šiem adresātiem  (Latvijā) tiek sagatavoti paziņojumi
73% no atgādinājumiem tiek nosūtīti elektroniski un 27% no atgādinājumiem tiek nosūtīt ar vēstuli</t>
    </r>
  </si>
  <si>
    <r>
      <t xml:space="preserve">Paziņojuma nosūtīšanas adresātam izmaksas
Aprēķins:
0,19 euro </t>
    </r>
    <r>
      <rPr>
        <vertAlign val="superscript"/>
        <sz val="10"/>
        <rFont val="Times New Roman"/>
        <family val="1"/>
        <charset val="186"/>
      </rPr>
      <t>6</t>
    </r>
    <r>
      <rPr>
        <sz val="10"/>
        <rFont val="Times New Roman"/>
        <family val="1"/>
        <charset val="186"/>
      </rPr>
      <t xml:space="preserve"> x (0,75 </t>
    </r>
    <r>
      <rPr>
        <vertAlign val="superscript"/>
        <sz val="10"/>
        <rFont val="Times New Roman"/>
        <family val="1"/>
        <charset val="186"/>
      </rPr>
      <t>8</t>
    </r>
    <r>
      <rPr>
        <sz val="10"/>
        <rFont val="Times New Roman"/>
        <family val="1"/>
        <charset val="186"/>
      </rPr>
      <t xml:space="preserve"> x lēmumu skaits) x 0,15  x 0,73 </t>
    </r>
    <r>
      <rPr>
        <vertAlign val="superscript"/>
        <sz val="10"/>
        <rFont val="Times New Roman"/>
        <family val="1"/>
        <charset val="186"/>
      </rPr>
      <t xml:space="preserve">8 
</t>
    </r>
    <r>
      <rPr>
        <sz val="10"/>
        <color rgb="FFFF0000"/>
        <rFont val="Times New Roman"/>
        <family val="1"/>
        <charset val="186"/>
      </rPr>
      <t/>
    </r>
  </si>
  <si>
    <r>
      <rPr>
        <vertAlign val="superscript"/>
        <sz val="10"/>
        <rFont val="Times New Roman"/>
        <family val="1"/>
        <charset val="186"/>
      </rPr>
      <t>9</t>
    </r>
    <r>
      <rPr>
        <sz val="10"/>
        <rFont val="Times New Roman"/>
        <family val="1"/>
        <charset val="186"/>
      </rPr>
      <t xml:space="preserve"> Atbilstoši CSDD līgumam ar pakalpojuma sniedzēju (paziņojuma sagatavošana nosūtīšanai adresātam):  adresātiem Latvijā 0,08 euro.</t>
    </r>
  </si>
  <si>
    <r>
      <rPr>
        <vertAlign val="superscript"/>
        <sz val="10"/>
        <rFont val="Times New Roman"/>
        <family val="1"/>
        <charset val="186"/>
      </rPr>
      <t xml:space="preserve">10 </t>
    </r>
    <r>
      <rPr>
        <sz val="10"/>
        <rFont val="Times New Roman"/>
        <family val="1"/>
        <charset val="186"/>
      </rPr>
      <t>Atbilstoši Latvijas Pasta  tarifam 1,20 euro/gab. (neierakstīta vēstule līdz 20g pa Latviju, bez PVN)</t>
    </r>
  </si>
  <si>
    <r>
      <t xml:space="preserve">Paziņojuma sagatavošanas izmaksas 
Aprēķins:
 0,08 euro </t>
    </r>
    <r>
      <rPr>
        <vertAlign val="superscript"/>
        <sz val="10"/>
        <rFont val="Times New Roman"/>
        <family val="1"/>
        <charset val="186"/>
      </rPr>
      <t xml:space="preserve">9 </t>
    </r>
    <r>
      <rPr>
        <sz val="10"/>
        <rFont val="Times New Roman"/>
        <family val="1"/>
        <charset val="186"/>
      </rPr>
      <t xml:space="preserve">x (0,75 </t>
    </r>
    <r>
      <rPr>
        <vertAlign val="superscript"/>
        <sz val="10"/>
        <rFont val="Times New Roman"/>
        <family val="1"/>
        <charset val="186"/>
      </rPr>
      <t>8</t>
    </r>
    <r>
      <rPr>
        <sz val="10"/>
        <rFont val="Times New Roman"/>
        <family val="1"/>
        <charset val="186"/>
      </rPr>
      <t xml:space="preserve"> x lēmumu skaits) x 0,15 x 0,27</t>
    </r>
    <r>
      <rPr>
        <vertAlign val="superscript"/>
        <sz val="10"/>
        <rFont val="Times New Roman"/>
        <family val="1"/>
        <charset val="186"/>
      </rPr>
      <t xml:space="preserve"> 8 </t>
    </r>
  </si>
  <si>
    <r>
      <t xml:space="preserve">Paziņojuma nosūtīšanas adresātam izmaksas
Aprēķins:
1,20 </t>
    </r>
    <r>
      <rPr>
        <vertAlign val="superscript"/>
        <sz val="10"/>
        <rFont val="Times New Roman"/>
        <family val="1"/>
        <charset val="186"/>
      </rPr>
      <t>10</t>
    </r>
    <r>
      <rPr>
        <sz val="10"/>
        <rFont val="Times New Roman"/>
        <family val="1"/>
        <charset val="186"/>
      </rPr>
      <t xml:space="preserve"> x 0,75 </t>
    </r>
    <r>
      <rPr>
        <vertAlign val="superscript"/>
        <sz val="10"/>
        <rFont val="Times New Roman"/>
        <family val="1"/>
        <charset val="186"/>
      </rPr>
      <t>8</t>
    </r>
    <r>
      <rPr>
        <sz val="10"/>
        <rFont val="Times New Roman"/>
        <family val="1"/>
        <charset val="186"/>
      </rPr>
      <t xml:space="preserve"> x lēmumu skaits) x 0,15 x 0,27 </t>
    </r>
    <r>
      <rPr>
        <vertAlign val="superscript"/>
        <sz val="10"/>
        <rFont val="Times New Roman"/>
        <family val="1"/>
        <charset val="186"/>
      </rPr>
      <t xml:space="preserve">8 </t>
    </r>
  </si>
  <si>
    <r>
      <t xml:space="preserve">2. </t>
    </r>
    <r>
      <rPr>
        <sz val="10"/>
        <rFont val="Times New Roman"/>
        <family val="1"/>
        <charset val="186"/>
      </rPr>
      <t>(2.1.+2.2.)</t>
    </r>
  </si>
  <si>
    <t>Pārvietojamie tehniskie līdzekļi</t>
  </si>
  <si>
    <t>360 grādu kameras</t>
  </si>
  <si>
    <t>2026. un turpmāk ik gadu
rīk Nr.775</t>
  </si>
  <si>
    <t>2026. un turpmāk ik gadu
prec.</t>
  </si>
  <si>
    <t>Ieņēmumi no naudas sodiem</t>
  </si>
  <si>
    <r>
      <t xml:space="preserve">CSDD izdevumi informācijas apstrādes un lēmumu nosūtīšanas  adresātiem nodrošināšanai
</t>
    </r>
    <r>
      <rPr>
        <sz val="10"/>
        <rFont val="Times New Roman"/>
        <family val="1"/>
        <charset val="186"/>
      </rPr>
      <t xml:space="preserve">Lēmumi no Valsts policijas tehniskajiem līdzekļiem  (pārvietojamie tehniskie līdzekļi) un automātiskās transportlīdzekļu valsts reģistrācijas numura zīmju nolasīšanas/atpazīšanas un ceļu satiksmē izdarītu pārkāpumu fiksēšanas sistēmas (360 grādu kameras transportlīdzekļos )
 </t>
    </r>
    <r>
      <rPr>
        <b/>
        <sz val="10"/>
        <rFont val="Times New Roman"/>
        <family val="1"/>
        <charset val="186"/>
      </rPr>
      <t xml:space="preserve">
  </t>
    </r>
  </si>
  <si>
    <t>2023. gads: 13 lēmumi x 12 tehniskie līdzekļi x 320 (darbības dienu skaits) = 49 920  lēmumi gadā</t>
  </si>
  <si>
    <t>2024. gads: 12 lēmumi x 12 tehniskie līdzekļi x 320 (darbības dienu skaits) = 46 080  lēmumi gadā</t>
  </si>
  <si>
    <t>2025. gads: 11 lēmumi x 12 tehniskie līdzekļi x 320 (darbības dienu skaits) = 42 240  lēmumi gadā</t>
  </si>
  <si>
    <t>2026. gads un turpmāk ik gadu: 11 lēmumi x 12 tehniskie līdzekļi x 320 (darbības dienu skaits) = 42 240  lēmumi gadā</t>
  </si>
  <si>
    <t>2023. gads: 26 lēmumi x 3 tehniskie līdzekļi x 235 (darbības dienu skaits) = 18 330 lēmumi gadā</t>
  </si>
  <si>
    <t>2024. gads: 23 lēmumi x 3 tehniskie līdzekļi x 235 (darbības dienu skaits) = 16 215  lēmumi gadā</t>
  </si>
  <si>
    <t>2025. gads: 19 lēmumi x  3 tehniskie līdzekļi  x 235 (darbības dienu skaits) = 13 395 lēmumi gadā</t>
  </si>
  <si>
    <t>2026. gads un turpmāk ik gadu: 19 lēmumi x 3 tehniskie līdzekļi x 235  (darbības dienu skaits) = 13 395 lēmumi gadā</t>
  </si>
  <si>
    <t>Prognozētās informācijas apstrādes izmaksas, informācijas sagatavošanas un nosūtīšanas Valsts policijai izmaksas, kā arī  lēmuma nosūtīšanas personai izmaksas</t>
  </si>
  <si>
    <t>Prognozētās informācijas apstrādes izmaksas,  informācijas sagatavošanas un nosūtīšanas Valsts policijai izmaksas, kā arī  lēmuma nosūtīšanas personai izmaksas</t>
  </si>
  <si>
    <t>Projekta sagatavošanas izmaksas</t>
  </si>
  <si>
    <r>
      <rPr>
        <vertAlign val="superscript"/>
        <sz val="10"/>
        <rFont val="Times New Roman"/>
        <family val="1"/>
        <charset val="186"/>
      </rPr>
      <t>2</t>
    </r>
    <r>
      <rPr>
        <sz val="10"/>
        <rFont val="Times New Roman"/>
        <family val="1"/>
        <charset val="186"/>
      </rPr>
      <t xml:space="preserve"> Atbilstoši statistikai ne visi apstrādātie dati (tiek sagatavoti lēmumu projekti)  nosūtīti kā lēmumi.  Aprēķinos tiek piemērots koeficients 1,07 .</t>
    </r>
  </si>
  <si>
    <t>3. tabula</t>
  </si>
  <si>
    <r>
      <rPr>
        <vertAlign val="superscript"/>
        <sz val="10"/>
        <rFont val="Times New Roman"/>
        <family val="1"/>
        <charset val="186"/>
      </rPr>
      <t>3</t>
    </r>
    <r>
      <rPr>
        <sz val="10"/>
        <rFont val="Times New Roman"/>
        <family val="1"/>
        <charset val="186"/>
      </rPr>
      <t xml:space="preserve"> Atbilstoši CSDD līgumam ar pakalpojuma sniedzēju (lēmuma sagatavošana nosūtīšanai adresātam (vēstules sagatavošana)): Latvijas adresātiem 0,09 euro, 
Atbilstoši  20.03.2018. MK noteikumu Nr.170  anotācijai un likuma ""Grozījumi Ceļu satiksmes likumā"" (pieņemts 09.11.2017. ) anotācijas pielikuma 2.tabulai: 0,19 euro.</t>
    </r>
  </si>
  <si>
    <r>
      <rPr>
        <vertAlign val="superscript"/>
        <sz val="10"/>
        <rFont val="Times New Roman"/>
        <family val="1"/>
        <charset val="186"/>
      </rPr>
      <t>4</t>
    </r>
    <r>
      <rPr>
        <sz val="10"/>
        <rFont val="Times New Roman"/>
        <family val="1"/>
        <charset val="186"/>
      </rPr>
      <t xml:space="preserve"> Atbilstoši statistikai aprēķinos izmantoti šādi dati:
75 % (51% un 24%)  lēmumi tiek adresēti personām Latvijā
15%  no šiem lēmumiem netiek samaksāti 1 mēneša laikā un šiem adresātiem  (Latvijā) tiek sagatavoti paziņojumi
73% no atgādinājumiem tiek nosūtīti elektroniski un 27% no atgādinājumiem tiek nosūtīt ar vēstuli</t>
    </r>
  </si>
  <si>
    <r>
      <rPr>
        <vertAlign val="superscript"/>
        <sz val="10"/>
        <rFont val="Times New Roman"/>
        <family val="1"/>
        <charset val="186"/>
      </rPr>
      <t xml:space="preserve">9 </t>
    </r>
    <r>
      <rPr>
        <sz val="10"/>
        <rFont val="Times New Roman"/>
        <family val="1"/>
        <charset val="186"/>
      </rPr>
      <t>Atbilstoši Latvijas Pasta  tarifam 1,20 euro/gab. (neierakstīta vēstule līdz 20g pa Latviju, bez PVN)</t>
    </r>
  </si>
  <si>
    <r>
      <rPr>
        <vertAlign val="superscript"/>
        <sz val="10"/>
        <rFont val="Times New Roman"/>
        <family val="1"/>
        <charset val="186"/>
      </rPr>
      <t>8</t>
    </r>
    <r>
      <rPr>
        <sz val="10"/>
        <rFont val="Times New Roman"/>
        <family val="1"/>
        <charset val="186"/>
      </rPr>
      <t xml:space="preserve"> Atbilstoši CSDD līgumam ar pakalpojuma sniedzēju (paziņojuma sagatavošana nosūtīšanai adresātam):  adresātiem Latvijā 0,08 euro.</t>
    </r>
  </si>
  <si>
    <r>
      <t xml:space="preserve">Aprēķins: 
0,09 euro </t>
    </r>
    <r>
      <rPr>
        <vertAlign val="superscript"/>
        <sz val="10"/>
        <rFont val="Times New Roman"/>
        <family val="1"/>
        <charset val="186"/>
      </rPr>
      <t>3</t>
    </r>
    <r>
      <rPr>
        <sz val="10"/>
        <rFont val="Times New Roman"/>
        <family val="1"/>
        <charset val="186"/>
      </rPr>
      <t xml:space="preserve"> x 0,27 </t>
    </r>
    <r>
      <rPr>
        <vertAlign val="superscript"/>
        <sz val="10"/>
        <rFont val="Times New Roman"/>
        <family val="1"/>
        <charset val="186"/>
      </rPr>
      <t xml:space="preserve">4 </t>
    </r>
    <r>
      <rPr>
        <sz val="10"/>
        <rFont val="Times New Roman"/>
        <family val="1"/>
        <charset val="186"/>
      </rPr>
      <t xml:space="preserve">x lēmumu skaits (Latvijas adresātiem) + 
0,19 euro </t>
    </r>
    <r>
      <rPr>
        <vertAlign val="superscript"/>
        <sz val="10"/>
        <rFont val="Times New Roman"/>
        <family val="1"/>
        <charset val="186"/>
      </rPr>
      <t xml:space="preserve">3 </t>
    </r>
    <r>
      <rPr>
        <sz val="10"/>
        <rFont val="Times New Roman"/>
        <family val="1"/>
        <charset val="186"/>
      </rPr>
      <t xml:space="preserve">x 0,73 </t>
    </r>
    <r>
      <rPr>
        <vertAlign val="superscript"/>
        <sz val="10"/>
        <rFont val="Times New Roman"/>
        <family val="1"/>
        <charset val="186"/>
      </rPr>
      <t>4</t>
    </r>
    <r>
      <rPr>
        <sz val="10"/>
        <rFont val="Times New Roman"/>
        <family val="1"/>
        <charset val="186"/>
      </rPr>
      <t xml:space="preserve"> x lēmumus skaits (elektroniski Latvijas adresātiem)</t>
    </r>
  </si>
  <si>
    <r>
      <t>Aprēķins:
1,20 euro</t>
    </r>
    <r>
      <rPr>
        <vertAlign val="superscript"/>
        <sz val="10"/>
        <rFont val="Times New Roman"/>
        <family val="1"/>
        <charset val="186"/>
      </rPr>
      <t xml:space="preserve"> 5</t>
    </r>
    <r>
      <rPr>
        <sz val="10"/>
        <rFont val="Times New Roman"/>
        <family val="1"/>
        <charset val="186"/>
      </rPr>
      <t xml:space="preserve"> x 0,27 </t>
    </r>
    <r>
      <rPr>
        <vertAlign val="superscript"/>
        <sz val="10"/>
        <rFont val="Times New Roman"/>
        <family val="1"/>
        <charset val="186"/>
      </rPr>
      <t xml:space="preserve">4 </t>
    </r>
    <r>
      <rPr>
        <sz val="10"/>
        <rFont val="Times New Roman"/>
        <family val="1"/>
        <charset val="186"/>
      </rPr>
      <t>x lēmumu skaits ( vēstule Latvijas adresātiem)</t>
    </r>
  </si>
  <si>
    <r>
      <t>Paziņojuma nosūtīšanas adresātam izmaksas
Aprēķins:
0,19 euro</t>
    </r>
    <r>
      <rPr>
        <vertAlign val="superscript"/>
        <sz val="10"/>
        <rFont val="Times New Roman"/>
        <family val="1"/>
        <charset val="186"/>
      </rPr>
      <t>6</t>
    </r>
    <r>
      <rPr>
        <sz val="10"/>
        <rFont val="Times New Roman"/>
        <family val="1"/>
        <charset val="186"/>
      </rPr>
      <t xml:space="preserve">  x  lēmumu skaits x 0,15  x 0,73</t>
    </r>
    <r>
      <rPr>
        <vertAlign val="superscript"/>
        <sz val="10"/>
        <rFont val="Times New Roman"/>
        <family val="1"/>
        <charset val="186"/>
      </rPr>
      <t xml:space="preserve"> 4 
</t>
    </r>
    <r>
      <rPr>
        <sz val="10"/>
        <color rgb="FFFF0000"/>
        <rFont val="Times New Roman"/>
        <family val="1"/>
        <charset val="186"/>
      </rPr>
      <t/>
    </r>
  </si>
  <si>
    <r>
      <t>Paziņojuma sagatavošanas izmaksas 
Aprēķins:
 0,08 euro</t>
    </r>
    <r>
      <rPr>
        <vertAlign val="superscript"/>
        <sz val="10"/>
        <rFont val="Times New Roman"/>
        <family val="1"/>
        <charset val="186"/>
      </rPr>
      <t xml:space="preserve">8 </t>
    </r>
    <r>
      <rPr>
        <sz val="10"/>
        <rFont val="Times New Roman"/>
        <family val="1"/>
        <charset val="186"/>
      </rPr>
      <t>x lēmumu skaits x 0,15 x 0,27</t>
    </r>
    <r>
      <rPr>
        <vertAlign val="superscript"/>
        <sz val="10"/>
        <rFont val="Times New Roman"/>
        <family val="1"/>
        <charset val="186"/>
      </rPr>
      <t xml:space="preserve"> 4 </t>
    </r>
  </si>
  <si>
    <r>
      <t xml:space="preserve">Paziņojuma nosūtīšanas adresātam izmaksas
Aprēķins:
1,20 </t>
    </r>
    <r>
      <rPr>
        <vertAlign val="superscript"/>
        <sz val="10"/>
        <rFont val="Times New Roman"/>
        <family val="1"/>
        <charset val="186"/>
      </rPr>
      <t>9</t>
    </r>
    <r>
      <rPr>
        <sz val="10"/>
        <rFont val="Times New Roman"/>
        <family val="1"/>
        <charset val="186"/>
      </rPr>
      <t xml:space="preserve"> x lēmumu skaits x 0,15 x 0,27</t>
    </r>
    <r>
      <rPr>
        <vertAlign val="superscript"/>
        <sz val="10"/>
        <rFont val="Times New Roman"/>
        <family val="1"/>
        <charset val="186"/>
      </rPr>
      <t>4</t>
    </r>
  </si>
  <si>
    <r>
      <rPr>
        <b/>
        <sz val="10"/>
        <rFont val="Times New Roman"/>
        <family val="1"/>
        <charset val="186"/>
      </rPr>
      <t>CSDD izdevumi informācijas apstrādes un lēmumu nosūtīšanas  adresātiem nodrošināšanai</t>
    </r>
    <r>
      <rPr>
        <sz val="10"/>
        <rFont val="Times New Roman"/>
        <family val="1"/>
        <charset val="186"/>
      </rPr>
      <t xml:space="preserve">
Lēmumi  par:   
 - tāda transportlīdzekļa izmantošanu ceļu satiksmē, kuram noteiktajā termiņā nav veikta valsts tehniskā apskate;
 - transportlīdzekļa izmantošanu ceļu satiksmē, par kuru nav veikta tā īpašnieka civiltiesiskās atbildības obligātā apdrošināšana;
- Autoceļu lietošanas nodevas likma 11.panta otrajā daļā minētajiem pārkāpumiem (vinjete)
 ar valsts sabiedrības ar ierobežotu atbildību "Latvijas Valsts ceļi" tehniskajiem līdzekļiem: transportlīdzekļu vidējā  braukšanas ātruma mērīšanas sistēmas (P2P) un meteostacijas </t>
    </r>
  </si>
  <si>
    <r>
      <rPr>
        <b/>
        <sz val="10"/>
        <rFont val="Times New Roman"/>
        <family val="1"/>
        <charset val="186"/>
      </rPr>
      <t>CSDD izdevumi informācijas apstrādes un lēmumu nosūtīšanas adresātiem nodrošināšanai</t>
    </r>
    <r>
      <rPr>
        <sz val="10"/>
        <rFont val="Times New Roman"/>
        <family val="1"/>
        <charset val="186"/>
      </rPr>
      <t xml:space="preserve">
</t>
    </r>
    <r>
      <rPr>
        <b/>
        <sz val="10"/>
        <rFont val="Times New Roman"/>
        <family val="1"/>
        <charset val="186"/>
      </rPr>
      <t>Lēmumi  par atļautā braukšanas ātruma pārsniegšanu no:</t>
    </r>
    <r>
      <rPr>
        <sz val="10"/>
        <rFont val="Times New Roman"/>
        <family val="1"/>
        <charset val="186"/>
      </rPr>
      <t xml:space="preserve">
 -  valsts sabiedrība ar ierobežotu atbildību "Latvijas Valsts ceļi" tehniskajiem līdzekļiem: transportlīdzekļu vidējā  braukšanas ātruma mērīšanas sistēmas (P2P)
  - valsts akciju sabiedrības "Ceļu satiksmes drošības direkcija" tehniskajiem līdzekļiem: transportlīdzekļu braukšanas ātruma kontroles mērierīces (fotoradars)  </t>
    </r>
  </si>
  <si>
    <r>
      <t>Ceļu satiksmes likuma 43.</t>
    </r>
    <r>
      <rPr>
        <b/>
        <vertAlign val="superscript"/>
        <sz val="10"/>
        <rFont val="Times New Roman"/>
        <family val="1"/>
        <charset val="186"/>
      </rPr>
      <t>7</t>
    </r>
    <r>
      <rPr>
        <b/>
        <sz val="10"/>
        <rFont val="Times New Roman"/>
        <family val="1"/>
        <charset val="186"/>
      </rPr>
      <t xml:space="preserve"> panta otrajā daļā noteiktā pienākuma - atsevišķu ar Administratīvās atbildības likuma (turpmāk - AAL) 268.pantu noteikto darbību izpilde (rakstveida atgādinājuma nosūtīšana AAL 162.panta pirmajā un 163.panta otrajā daļā minētajām personām par pienākumu noteiktā termiņā samaksāt piemēroto naudas sodu pilnā apmērā)</t>
    </r>
  </si>
  <si>
    <t>Ceļu satiksmes likuma 43.7 panta otrajā daļā noteiktā pienākuma - atsevišķu ar Administratīvās atbildības likuma (turpmāk - AAL) 268.pantu noteikto darbību izpilde (rakstveida atgādinājuma nosūtīšana AAL 162.panta pirmajā un 163.panta otrajā daļā minētajām personām par pienākumu noteiktā termiņā samaksāt piemēroto naudas sodu pilnā apmērā)</t>
  </si>
  <si>
    <t>Izdevumi var mainīties pa izdevumu veidiem, ņemot vērā iepirkuma rezultātus un citus apstākļus.</t>
  </si>
  <si>
    <r>
      <rPr>
        <vertAlign val="superscript"/>
        <sz val="10"/>
        <rFont val="Times New Roman"/>
        <family val="1"/>
        <charset val="186"/>
      </rPr>
      <t>1</t>
    </r>
    <r>
      <rPr>
        <sz val="10"/>
        <rFont val="Times New Roman"/>
        <family val="1"/>
        <charset val="186"/>
      </rPr>
      <t xml:space="preserve"> Atbilstoši CSDD izdevumiem 0,95 euro (aprēķins anotācijas 4.pielikumā)</t>
    </r>
  </si>
  <si>
    <r>
      <rPr>
        <vertAlign val="superscript"/>
        <sz val="10"/>
        <rFont val="Times New Roman"/>
        <family val="1"/>
        <charset val="186"/>
      </rPr>
      <t xml:space="preserve">7 </t>
    </r>
    <r>
      <rPr>
        <sz val="10"/>
        <rFont val="Times New Roman"/>
        <family val="1"/>
        <charset val="186"/>
      </rPr>
      <t>Atbilstoši CSDD izdevumiem:  0,42 euro  (aprēķins anotācijas 5.pielikumā)</t>
    </r>
  </si>
  <si>
    <r>
      <rPr>
        <vertAlign val="superscript"/>
        <sz val="10"/>
        <rFont val="Times New Roman"/>
        <family val="1"/>
        <charset val="186"/>
      </rPr>
      <t xml:space="preserve">5 </t>
    </r>
    <r>
      <rPr>
        <sz val="10"/>
        <rFont val="Times New Roman"/>
        <family val="1"/>
        <charset val="186"/>
      </rPr>
      <t>Atbilstoši Latvijas Pasta  tarifam no 01.01.2020. un CSDD līgumam ar pakalpojuma sniedzēju ir 1,20 euro/gab. (neierakstīta vēstule līdz 20g pa Latviju bez PVN) un 1,633571 euro/gab. (vidēji neierakstīta vēstule līdz 20 g uz ES valstīm, bez PVN).</t>
    </r>
  </si>
  <si>
    <t>Rādītājs</t>
  </si>
  <si>
    <t>2023.gadā</t>
  </si>
  <si>
    <t>2024.gadā</t>
  </si>
  <si>
    <t>2025.gadā</t>
  </si>
  <si>
    <t>2026.gadā un turpmāk</t>
  </si>
  <si>
    <t>Darbojošos iekārtu skaits gadā</t>
  </si>
  <si>
    <r>
      <t xml:space="preserve">Vidējais iekārtas darbības dienu skaits gadā, 
ņemot vērā iespējamo dīkstāvi 
</t>
    </r>
    <r>
      <rPr>
        <i/>
        <sz val="9"/>
        <rFont val="Times New Roman"/>
        <family val="1"/>
        <charset val="186"/>
      </rPr>
      <t>(365 dienas - 25 dienas dīkstāve = 340 dienas)</t>
    </r>
  </si>
  <si>
    <t>Iekārtu darbības dienu skaits gadā</t>
  </si>
  <si>
    <t>Lēmumu skaits
(fiksētie pārkāpumi, par kuriem tiek nosūtīts lēmums), gadā</t>
  </si>
  <si>
    <r>
      <rPr>
        <b/>
        <sz val="9"/>
        <rFont val="Times New Roman"/>
        <family val="1"/>
        <charset val="186"/>
      </rPr>
      <t xml:space="preserve">atgādinājumu skaits </t>
    </r>
    <r>
      <rPr>
        <b/>
        <vertAlign val="superscript"/>
        <sz val="9"/>
        <rFont val="Times New Roman"/>
        <family val="1"/>
        <charset val="186"/>
      </rPr>
      <t>1</t>
    </r>
    <r>
      <rPr>
        <b/>
        <sz val="9"/>
        <rFont val="Times New Roman"/>
        <family val="1"/>
        <charset val="186"/>
      </rPr>
      <t xml:space="preserve"> </t>
    </r>
    <r>
      <rPr>
        <sz val="9"/>
        <rFont val="Times New Roman"/>
        <family val="1"/>
        <charset val="186"/>
      </rPr>
      <t>, gadā uz ES</t>
    </r>
  </si>
  <si>
    <r>
      <rPr>
        <b/>
        <sz val="9"/>
        <rFont val="Times New Roman"/>
        <family val="1"/>
        <charset val="186"/>
      </rPr>
      <t>piespiedu piedziņai nosūtīto lēmumu skaits</t>
    </r>
    <r>
      <rPr>
        <b/>
        <vertAlign val="superscript"/>
        <sz val="9"/>
        <rFont val="Times New Roman"/>
        <family val="1"/>
        <charset val="186"/>
      </rPr>
      <t>2</t>
    </r>
    <r>
      <rPr>
        <sz val="9"/>
        <rFont val="Times New Roman"/>
        <family val="1"/>
        <charset val="186"/>
      </rPr>
      <t>, gadā uz ES</t>
    </r>
  </si>
  <si>
    <r>
      <rPr>
        <b/>
        <sz val="9"/>
        <rFont val="Times New Roman"/>
        <family val="1"/>
        <charset val="186"/>
      </rPr>
      <t>pārsūdzību gadījumu skaits</t>
    </r>
    <r>
      <rPr>
        <sz val="9"/>
        <rFont val="Times New Roman"/>
        <family val="1"/>
        <charset val="186"/>
      </rPr>
      <t xml:space="preserve"> </t>
    </r>
    <r>
      <rPr>
        <vertAlign val="superscript"/>
        <sz val="9"/>
        <rFont val="Times New Roman"/>
        <family val="1"/>
        <charset val="186"/>
      </rPr>
      <t>3</t>
    </r>
    <r>
      <rPr>
        <sz val="9"/>
        <rFont val="Times New Roman"/>
        <family val="1"/>
        <charset val="186"/>
      </rPr>
      <t xml:space="preserve"> , Latvijā un ES</t>
    </r>
  </si>
  <si>
    <t>Prognozētās pasta pakalpojumu izmaksas par atgādinājumu  nosūtīšanu un dokumentu nosūtīšanu piespiedu piedziņai ES</t>
  </si>
  <si>
    <r>
      <t xml:space="preserve">Vēstuļu nosūtīšanas izmaksas atbilstoši VAS "Latvijas Pasts" noteiktajam attiecīgās vēstules nosūtīšanas pakalpojuma tarifam 
</t>
    </r>
    <r>
      <rPr>
        <sz val="9"/>
        <rFont val="Times New Roman"/>
        <family val="1"/>
        <charset val="186"/>
      </rPr>
      <t xml:space="preserve">1,633571 euro </t>
    </r>
    <r>
      <rPr>
        <vertAlign val="superscript"/>
        <sz val="9"/>
        <rFont val="Times New Roman"/>
        <family val="1"/>
        <charset val="186"/>
      </rPr>
      <t>4</t>
    </r>
    <r>
      <rPr>
        <sz val="9"/>
        <rFont val="Times New Roman"/>
        <family val="1"/>
        <charset val="186"/>
      </rPr>
      <t xml:space="preserve"> x atgādinājumu skaits gadā</t>
    </r>
  </si>
  <si>
    <r>
      <t xml:space="preserve">Vēstuļu nosūtīšanas izmaksas atbilstoši VAS "Latvijas Pasts" noteiktajam attiecīgās vēstules nosūtīšanas pakalpojuma tarifam 
</t>
    </r>
    <r>
      <rPr>
        <sz val="9"/>
        <rFont val="Times New Roman"/>
        <family val="1"/>
        <charset val="186"/>
      </rPr>
      <t>3,23 euro</t>
    </r>
    <r>
      <rPr>
        <vertAlign val="superscript"/>
        <sz val="9"/>
        <rFont val="Times New Roman"/>
        <family val="1"/>
        <charset val="186"/>
      </rPr>
      <t xml:space="preserve"> 5</t>
    </r>
    <r>
      <rPr>
        <sz val="9"/>
        <rFont val="Times New Roman"/>
        <family val="1"/>
        <charset val="186"/>
      </rPr>
      <t xml:space="preserve"> x piespiedu piedziņai nosūtīto lēmumu skaits gadā</t>
    </r>
  </si>
  <si>
    <t xml:space="preserve">Prognozētās pasta pakalpojumu izmaksas par augstākas instances lēmuma (pārsūdzības gadījumā) nosūtīšanu </t>
  </si>
  <si>
    <r>
      <t xml:space="preserve">1,20 euro </t>
    </r>
    <r>
      <rPr>
        <vertAlign val="superscript"/>
        <sz val="9"/>
        <rFont val="Times New Roman"/>
        <family val="1"/>
        <charset val="186"/>
      </rPr>
      <t xml:space="preserve">6  </t>
    </r>
    <r>
      <rPr>
        <sz val="9"/>
        <rFont val="Times New Roman"/>
        <family val="1"/>
        <charset val="186"/>
      </rPr>
      <t xml:space="preserve">x pārsūdzību gadījumu skaits (vēstule Latvijas adresātiem) </t>
    </r>
    <r>
      <rPr>
        <vertAlign val="superscript"/>
        <sz val="9"/>
        <rFont val="Times New Roman"/>
        <family val="1"/>
        <charset val="186"/>
      </rPr>
      <t>7</t>
    </r>
    <r>
      <rPr>
        <sz val="9"/>
        <rFont val="Times New Roman"/>
        <family val="1"/>
        <charset val="186"/>
      </rPr>
      <t xml:space="preserve"> x 0,24 </t>
    </r>
    <r>
      <rPr>
        <vertAlign val="superscript"/>
        <sz val="9"/>
        <rFont val="Times New Roman"/>
        <family val="1"/>
        <charset val="186"/>
      </rPr>
      <t xml:space="preserve">8 </t>
    </r>
  </si>
  <si>
    <r>
      <t xml:space="preserve">3,23 euro </t>
    </r>
    <r>
      <rPr>
        <vertAlign val="superscript"/>
        <sz val="9"/>
        <rFont val="Times New Roman"/>
        <family val="1"/>
        <charset val="186"/>
      </rPr>
      <t xml:space="preserve">5  </t>
    </r>
    <r>
      <rPr>
        <sz val="9"/>
        <rFont val="Times New Roman"/>
        <family val="1"/>
        <charset val="186"/>
      </rPr>
      <t xml:space="preserve">x pārsūdzību gadījumu skaits (vēstule ES adresātiem) </t>
    </r>
    <r>
      <rPr>
        <vertAlign val="superscript"/>
        <sz val="9"/>
        <rFont val="Times New Roman"/>
        <family val="1"/>
        <charset val="186"/>
      </rPr>
      <t xml:space="preserve">9 </t>
    </r>
  </si>
  <si>
    <t>3.
(1.+ 2.)</t>
  </si>
  <si>
    <t>Atgādinājumi tiek nosūtīti lietās, kurās piemērotais sods pārsniedz 70 euro, kas sastāda 10% gadījumu no fiksēto pārkāpumu skaita, par kuriem tiek nosūtīts lēmums, un kas tiek izdarīts ar Eiropas Savienības dalībvalstīs reģistrētu transportlīdzekli. 25% gadījumu pārkāpums tiek izdarīts ar Eiropas Savienības dalībvalstīs reģistrētu transportlīdzekli</t>
  </si>
  <si>
    <t>Piespiedu piedziņa tiek vērsta 80% gadījumu no atgādinājumu skaita, kas nosūtīti par pārkāpumiem, kas tiek izdarīti ar Eiropas Savienības dalībvalstīs reģistrētu transportlīdzekli</t>
  </si>
  <si>
    <t>Prognozēts, ka pārsūdzības būs 1,2% no fiksēto pārkāpumu skaita par kuriem tiek nosūtīts lēmums (tai skaitā 1% - Latvijā reģistrētie transportlīdzekļi, 0,2% - ES reģistrētie transportlīdzekļi).</t>
  </si>
  <si>
    <t>Aprēķinos izmantots vidējais tarifs saskaņā ar  AS "Latvijas Pasts" noteiktajam attiecīgās vēstules nosūtīšanas pakalpojuma tarifiem uz ES ar vienkāršo vēstuļu korespondences (līdz 20 gramiem) sūtījumu</t>
  </si>
  <si>
    <t>Aprēķinos izmantots vidējais tarifs saskaņā ar  AS "Latvijas Pasts" noteiktajam attiecīgās vēstules nosūtīšanas pakalpojuma tarifiem uz ES ar vienkāršo vēstuļu korespondences (vairāk par 20 gramiem) sūtījumu</t>
  </si>
  <si>
    <t>Samaksa saskaņā ar VAS "Latvijas Pasts" tarifu</t>
  </si>
  <si>
    <t>Prognozēts, ka pārsūdzības būs 1,2% no fiksēto pārkāpumu skaita par kuriem tiek nosūtīts lēmums (tai skaitā 1% - Latvijā reģistrētie transportlīdzekļi, 0,2% - ES reģistrētie transportlīdzekļi). Atbilstoši statistikai 75 % (51% un 24%)  lēmumi tiek adresēti personām Latvijā</t>
  </si>
  <si>
    <t>Atbilstoši statistikai adresātam Latvijā lēmumu par soda piemērošanu 24% gadījumu nosūta ar vienkāršo vēstuļu korespondences (līdz 20 gramiem) sūtījumu</t>
  </si>
  <si>
    <t>Atbilstoši statistikai  25% gadījumu pārkāpums tiek izdarīts ar Eiropas Savienības dalībvalstīs reģistrētu transportlīdzekli</t>
  </si>
  <si>
    <t>5.tabula</t>
  </si>
  <si>
    <r>
      <rPr>
        <b/>
        <sz val="10"/>
        <color theme="1"/>
        <rFont val="Times New Roman"/>
        <family val="1"/>
        <charset val="186"/>
      </rPr>
      <t>Prognozētās Valsts policijas izmaksas par atgādinājumu  nosūtīšanu un dokumentu nosūtīšanu piespiedu piedziņai uz ES</t>
    </r>
    <r>
      <rPr>
        <sz val="10"/>
        <color theme="1"/>
        <rFont val="Times New Roman"/>
        <family val="1"/>
        <charset val="186"/>
      </rPr>
      <t xml:space="preserve">
lēmumi no valsts akciju sabiedrības "Ceļu satiksmes drošības direkcija" tehniskajiem līdzekļiem</t>
    </r>
  </si>
  <si>
    <t>Lēmumu skaits par atļautā braukšanas ātruma pārsniegšanu</t>
  </si>
  <si>
    <t>Lēmumu skaits par tāda transportlīdzekļa izmantošanu ceļu satiksmē, kuram noteiktajā termiņā nav veikta valsts tehniskā apskate</t>
  </si>
  <si>
    <t>Lēmumu skaits par tāda transportlīdzekļa izmantošanu ceļu satiksmē, par kuru nav veikta tā īpašnieka civiltiesiskās atbildības obligātā apdrošināšana</t>
  </si>
  <si>
    <t>Saskaņā ar MK 02.11.2021. rīkojumu Nr.775
(anotācijas pielikuma 7.tabula (2.1.1.+2.2.1.)</t>
  </si>
  <si>
    <t>Prognozēts, ka pārsūdzības būs 2% no fiksēto pārkāpumu skaita par kuriem tiek nosūtīts lēmums (tai skaitā 1,8% - Latvijā reģistrētie transportlīdzekļi, 0,2% - ES reģistrētie transportlīdzekļi).</t>
  </si>
  <si>
    <t>Prognozēts, ka pārsūdzības būs 2% no fiksēto pārkāpumu skaita par kuriem tiek nosūtīts lēmums (tai skaitā 1,8% - Latvijā reģistrētie transportlīdzekļi, 0,2% - ES reģistrētie transportlīdzekļi). Atbilstoši statistikai 75 % (51% un 24%)  lēmumi tiek adresēti personām Latvijā</t>
  </si>
  <si>
    <t>Darbojošos iekārtu skaits gadā (P2P)</t>
  </si>
  <si>
    <t>Darbojošos iekārtu skaits gadā (meteostacijas)</t>
  </si>
  <si>
    <r>
      <rPr>
        <b/>
        <sz val="10"/>
        <color theme="1"/>
        <rFont val="Times New Roman"/>
        <family val="1"/>
        <charset val="186"/>
      </rPr>
      <t>Prognozētās Valsts policijas izmaksas par atgādinājumu  nosūtīšanu un dokumentu nosūtīšanu piespiedu piedziņai uz ES</t>
    </r>
    <r>
      <rPr>
        <sz val="10"/>
        <color theme="1"/>
        <rFont val="Times New Roman"/>
        <family val="1"/>
        <charset val="186"/>
      </rPr>
      <t xml:space="preserve">
lēmumi no valsts sabiedrības ar ierobežotu atbildību "Latvijas Valsts ceļi" tehniskajiem līdzekļiem: transportlīdzekļu vidējā  braukšanas ātruma mērīšanas sistēmas (P2P) un meteostacijas </t>
    </r>
  </si>
  <si>
    <t>6.tabula</t>
  </si>
  <si>
    <t>Lēmumu skaits par Autoceļu lietošanas nodevas likma 11.panta  otrajā daļā minētajiem pārkāpumiem (vinjete)</t>
  </si>
  <si>
    <r>
      <t xml:space="preserve">Plānotās  fiksēto pārkāpumu informācijas apstrādes izmaksas 
Aprēķins: 0,95 euro </t>
    </r>
    <r>
      <rPr>
        <vertAlign val="superscript"/>
        <sz val="10"/>
        <rFont val="Times New Roman"/>
        <family val="1"/>
        <charset val="186"/>
      </rPr>
      <t>1</t>
    </r>
    <r>
      <rPr>
        <sz val="10"/>
        <rFont val="Times New Roman"/>
        <family val="1"/>
        <charset val="186"/>
      </rPr>
      <t xml:space="preserve"> x 1,53  </t>
    </r>
    <r>
      <rPr>
        <vertAlign val="superscript"/>
        <sz val="10"/>
        <rFont val="Times New Roman"/>
        <family val="1"/>
        <charset val="186"/>
      </rPr>
      <t>2</t>
    </r>
    <r>
      <rPr>
        <sz val="10"/>
        <rFont val="Times New Roman"/>
        <family val="1"/>
        <charset val="186"/>
      </rPr>
      <t xml:space="preserve"> x lēmumu skaits</t>
    </r>
  </si>
  <si>
    <r>
      <t xml:space="preserve">Paziņojuma sagatavošanas izmaksas (informācijas apstrāde)
Aprēķins:
0,42 euro </t>
    </r>
    <r>
      <rPr>
        <vertAlign val="superscript"/>
        <sz val="10"/>
        <rFont val="Times New Roman"/>
        <family val="1"/>
        <charset val="186"/>
      </rPr>
      <t>7</t>
    </r>
    <r>
      <rPr>
        <sz val="10"/>
        <rFont val="Times New Roman"/>
        <family val="1"/>
        <charset val="186"/>
      </rPr>
      <t xml:space="preserve"> x (0,75 </t>
    </r>
    <r>
      <rPr>
        <vertAlign val="superscript"/>
        <sz val="10"/>
        <rFont val="Times New Roman"/>
        <family val="1"/>
        <charset val="186"/>
      </rPr>
      <t>8</t>
    </r>
    <r>
      <rPr>
        <sz val="10"/>
        <rFont val="Times New Roman"/>
        <family val="1"/>
        <charset val="186"/>
      </rPr>
      <t xml:space="preserve"> x lēmumu skaits) x 0,15  x 0,73 </t>
    </r>
    <r>
      <rPr>
        <vertAlign val="superscript"/>
        <sz val="10"/>
        <rFont val="Times New Roman"/>
        <family val="1"/>
        <charset val="186"/>
      </rPr>
      <t>8</t>
    </r>
    <r>
      <rPr>
        <sz val="10"/>
        <rFont val="Times New Roman"/>
        <family val="1"/>
        <charset val="186"/>
      </rPr>
      <t xml:space="preserve"> </t>
    </r>
  </si>
  <si>
    <r>
      <t xml:space="preserve">Paziņojuma sagatavošanas izmaksas (informācijas apstrāde)
Aprēķins:
 0,42 euro </t>
    </r>
    <r>
      <rPr>
        <vertAlign val="superscript"/>
        <sz val="10"/>
        <rFont val="Times New Roman"/>
        <family val="1"/>
        <charset val="186"/>
      </rPr>
      <t>7</t>
    </r>
    <r>
      <rPr>
        <sz val="10"/>
        <rFont val="Times New Roman"/>
        <family val="1"/>
        <charset val="186"/>
      </rPr>
      <t xml:space="preserve"> x (0,75 </t>
    </r>
    <r>
      <rPr>
        <vertAlign val="superscript"/>
        <sz val="10"/>
        <rFont val="Times New Roman"/>
        <family val="1"/>
        <charset val="186"/>
      </rPr>
      <t>8</t>
    </r>
    <r>
      <rPr>
        <sz val="10"/>
        <rFont val="Times New Roman"/>
        <family val="1"/>
        <charset val="186"/>
      </rPr>
      <t xml:space="preserve"> x lēmumu skaits) x 0,15 x 0,27 </t>
    </r>
    <r>
      <rPr>
        <vertAlign val="superscript"/>
        <sz val="10"/>
        <rFont val="Times New Roman"/>
        <family val="1"/>
        <charset val="186"/>
      </rPr>
      <t>8</t>
    </r>
    <r>
      <rPr>
        <sz val="10"/>
        <rFont val="Times New Roman"/>
        <family val="1"/>
        <charset val="186"/>
      </rPr>
      <t xml:space="preserve"> </t>
    </r>
  </si>
  <si>
    <r>
      <t>Paziņojuma sagatavošanas izmaksas (informācijas apstrāde)
Aprēķins:
0,42 euro</t>
    </r>
    <r>
      <rPr>
        <vertAlign val="superscript"/>
        <sz val="10"/>
        <rFont val="Times New Roman"/>
        <family val="1"/>
        <charset val="186"/>
      </rPr>
      <t>7</t>
    </r>
    <r>
      <rPr>
        <sz val="10"/>
        <rFont val="Times New Roman"/>
        <family val="1"/>
        <charset val="186"/>
      </rPr>
      <t xml:space="preserve"> x lēmumu skaits x 0,15  x 0,73 </t>
    </r>
    <r>
      <rPr>
        <vertAlign val="superscript"/>
        <sz val="10"/>
        <rFont val="Times New Roman"/>
        <family val="1"/>
        <charset val="186"/>
      </rPr>
      <t>4</t>
    </r>
    <r>
      <rPr>
        <sz val="10"/>
        <rFont val="Times New Roman"/>
        <family val="1"/>
        <charset val="186"/>
      </rPr>
      <t xml:space="preserve"> </t>
    </r>
  </si>
  <si>
    <r>
      <t>Paziņojuma sagatavošanas izmaksas (informācijas apstrāde)
Aprēķins:
 0,42 euro</t>
    </r>
    <r>
      <rPr>
        <vertAlign val="superscript"/>
        <sz val="10"/>
        <rFont val="Times New Roman"/>
        <family val="1"/>
        <charset val="186"/>
      </rPr>
      <t>7</t>
    </r>
    <r>
      <rPr>
        <sz val="10"/>
        <rFont val="Times New Roman"/>
        <family val="1"/>
        <charset val="186"/>
      </rPr>
      <t xml:space="preserve"> x lēmumu skaits x 0,15 x 0,27 </t>
    </r>
    <r>
      <rPr>
        <vertAlign val="superscript"/>
        <sz val="10"/>
        <rFont val="Times New Roman"/>
        <family val="1"/>
        <charset val="186"/>
      </rPr>
      <t>4</t>
    </r>
    <r>
      <rPr>
        <sz val="10"/>
        <rFont val="Times New Roman"/>
        <family val="1"/>
        <charset val="186"/>
      </rPr>
      <t xml:space="preserve"> </t>
    </r>
  </si>
  <si>
    <r>
      <t xml:space="preserve">Plānotās  fiksēto pārkāpumu informācijas apstrādes izmaksas 
Aprēķins: 0,95 euro </t>
    </r>
    <r>
      <rPr>
        <vertAlign val="superscript"/>
        <sz val="10"/>
        <rFont val="Times New Roman"/>
        <family val="1"/>
        <charset val="186"/>
      </rPr>
      <t>1</t>
    </r>
    <r>
      <rPr>
        <sz val="10"/>
        <rFont val="Times New Roman"/>
        <family val="1"/>
        <charset val="186"/>
      </rPr>
      <t xml:space="preserve"> x 1,07  </t>
    </r>
    <r>
      <rPr>
        <vertAlign val="superscript"/>
        <sz val="10"/>
        <rFont val="Times New Roman"/>
        <family val="1"/>
        <charset val="186"/>
      </rPr>
      <t>2</t>
    </r>
    <r>
      <rPr>
        <sz val="10"/>
        <rFont val="Times New Roman"/>
        <family val="1"/>
        <charset val="186"/>
      </rPr>
      <t xml:space="preserve"> x lēmumu skaits</t>
    </r>
  </si>
  <si>
    <r>
      <t>Paziņojuma sagatavošanas izmaksas (informācijas apstrāde)
Aprēķins:
 0,42 euro</t>
    </r>
    <r>
      <rPr>
        <vertAlign val="superscript"/>
        <sz val="10"/>
        <rFont val="Times New Roman"/>
        <family val="1"/>
        <charset val="186"/>
      </rPr>
      <t>7</t>
    </r>
    <r>
      <rPr>
        <sz val="10"/>
        <rFont val="Times New Roman"/>
        <family val="1"/>
        <charset val="186"/>
      </rPr>
      <t xml:space="preserve"> x (0,75 </t>
    </r>
    <r>
      <rPr>
        <vertAlign val="superscript"/>
        <sz val="10"/>
        <rFont val="Times New Roman"/>
        <family val="1"/>
        <charset val="186"/>
      </rPr>
      <t>8</t>
    </r>
    <r>
      <rPr>
        <sz val="10"/>
        <rFont val="Times New Roman"/>
        <family val="1"/>
        <charset val="186"/>
      </rPr>
      <t xml:space="preserve"> x lēmumu skaits) x 0,15 x 0,27 </t>
    </r>
    <r>
      <rPr>
        <vertAlign val="superscript"/>
        <sz val="10"/>
        <rFont val="Times New Roman"/>
        <family val="1"/>
        <charset val="186"/>
      </rPr>
      <t>8</t>
    </r>
    <r>
      <rPr>
        <sz val="10"/>
        <rFont val="Times New Roman"/>
        <family val="1"/>
        <charset val="186"/>
      </rPr>
      <t xml:space="preserve"> </t>
    </r>
  </si>
  <si>
    <t>3.pielikums Ministru kabineta rīkojuma projekta "Grozījumi Ministru kabineta 2021. gada 2.novembra rīkojumā Nr.775 "Par ceļu satiksmes pārkāpumu fiksēšanas tehnisko līdzekļu darbības nodrošināšanu" sākotnējās ietekmes novērtējuma ziņojumam (anotācijai)</t>
  </si>
  <si>
    <t>Valsts policijas izdevumi (atlīdzība)</t>
  </si>
  <si>
    <t>7.tabula</t>
  </si>
  <si>
    <r>
      <rPr>
        <b/>
        <sz val="10"/>
        <color theme="1"/>
        <rFont val="Times New Roman"/>
        <family val="1"/>
        <charset val="186"/>
      </rPr>
      <t>Prognozētās Valsts policijas izmaksas par atgādinājumu  nosūtīšanu un dokumentu nosūtīšanu piespiedu piedziņai uz ES</t>
    </r>
    <r>
      <rPr>
        <sz val="10"/>
        <color theme="1"/>
        <rFont val="Times New Roman"/>
        <family val="1"/>
        <charset val="186"/>
      </rPr>
      <t xml:space="preserve">
lēmumi no Valsts policijas tehniskajiem līdzekļiem  (pārvietojamie tehniskie līdzekļi - 12 gab.) un automātiskās transportlīdzekļu valsts reģistrācijas numura zīmju nolasīšanas/atpazīšanas un ceļu satiksmē izdarītu pārkāpumu fiksēšanas sistēmas (360 grādu kameras transportlīdzekļos - 3 gab.)</t>
    </r>
  </si>
  <si>
    <t>8.tabula</t>
  </si>
  <si>
    <t>Izdevumi kopā (1.+2.) 
ilgtermiņa saistības "Ceļu satiksmes pārkāpumu fiksēšanas tehnisko līdzekļu darbības nodrošināšana"</t>
  </si>
  <si>
    <t>Izdevumi PAVISAM (III+IV)</t>
  </si>
  <si>
    <t>IV.</t>
  </si>
  <si>
    <t>V.</t>
  </si>
  <si>
    <t>BILANCE</t>
  </si>
  <si>
    <t>Izmaiņas:</t>
  </si>
  <si>
    <t>3 (1.-2.)</t>
  </si>
  <si>
    <t>Valsts policijas izmaksas par atgādinājumu nosūtīšanu un dokumentu nosūtīšanu piespiedu piedziņai uz ES</t>
  </si>
  <si>
    <r>
      <rPr>
        <vertAlign val="superscript"/>
        <sz val="10"/>
        <rFont val="Times New Roman"/>
        <family val="1"/>
        <charset val="186"/>
      </rPr>
      <t>1, 2</t>
    </r>
    <r>
      <rPr>
        <sz val="10"/>
        <rFont val="Times New Roman"/>
        <family val="1"/>
        <charset val="186"/>
      </rPr>
      <t>, un</t>
    </r>
    <r>
      <rPr>
        <vertAlign val="superscript"/>
        <sz val="10"/>
        <rFont val="Times New Roman"/>
        <family val="1"/>
        <charset val="186"/>
      </rPr>
      <t xml:space="preserve"> 3 </t>
    </r>
    <r>
      <rPr>
        <sz val="10"/>
        <rFont val="Times New Roman"/>
        <family val="1"/>
        <charset val="186"/>
      </rPr>
      <t xml:space="preserve"> procenti aprēķinā iekļauti atbiltoši CSDD sniegtajai informācijai, ņemot vērā 2021. gada pārskata datus (proporcionālā attiecināmā daļa attiecīgajam izdevumu veidam).</t>
    </r>
  </si>
  <si>
    <r>
      <rPr>
        <vertAlign val="superscript"/>
        <sz val="10"/>
        <rFont val="Times New Roman"/>
        <family val="1"/>
        <charset val="186"/>
      </rPr>
      <t>4</t>
    </r>
    <r>
      <rPr>
        <sz val="10"/>
        <rFont val="Times New Roman"/>
        <family val="1"/>
        <charset val="186"/>
      </rPr>
      <t xml:space="preserve">  Pašizmaksas aprēķinā visas izmaksas norādītas bez PVN, jo daļa samaksātā PVN tiek atgūta, jo CSDD sniedz gan ar PVN apliekamus, gan neapliekamus pakalpojumus, kā rezultātā izmaksās tiek iekļauta neatgūstamā daļa. 
Proporcija PVN atskaitāmā priekšnodokļa aprēķināšanai tiek aprēķināta katru gadu, CSDD sagatavojot Pievienotās vērtības nodokļa deklarāciju par taksācijas gadu. Proporcija tiek aprēķināta dalot ar PVN neapliekamo darījumu ieņēmumu summu pret apliekamo darījumu ieņēmumu summu. Saskaņā ar Pievienotās vērtības nodokļa deklarāciju par 2021. taksācijas gadu, nepliekamo darījumu īpatnējais svars (%) ir 16%.</t>
    </r>
  </si>
  <si>
    <t>CSDD izdevumi tehnisko līdzekļu (fotoradaru) darbības nodrošināšanai</t>
  </si>
  <si>
    <t>Ieņēmumu un izdevumu kods</t>
  </si>
  <si>
    <t>10.1.5.2.</t>
  </si>
  <si>
    <t>2000
5238</t>
  </si>
  <si>
    <t>Valsts policijas izdevumi (atlīdzībai 15 amata vietas)</t>
  </si>
  <si>
    <r>
      <rPr>
        <b/>
        <i/>
        <sz val="8"/>
        <color theme="1"/>
        <rFont val="Times New Roman"/>
        <family val="1"/>
        <charset val="186"/>
      </rPr>
      <t>Ieņēmumu</t>
    </r>
    <r>
      <rPr>
        <i/>
        <sz val="8"/>
        <color theme="1"/>
        <rFont val="Times New Roman"/>
        <family val="1"/>
        <charset val="186"/>
      </rPr>
      <t xml:space="preserve"> palielinājums pret plānoto</t>
    </r>
  </si>
  <si>
    <r>
      <rPr>
        <b/>
        <i/>
        <sz val="8"/>
        <color theme="1"/>
        <rFont val="Times New Roman"/>
        <family val="1"/>
        <charset val="186"/>
      </rPr>
      <t>Izdevumu</t>
    </r>
    <r>
      <rPr>
        <i/>
        <sz val="8"/>
        <color theme="1"/>
        <rFont val="Times New Roman"/>
        <family val="1"/>
        <charset val="186"/>
      </rPr>
      <t xml:space="preserve"> palielinājums pret plānoto</t>
    </r>
  </si>
  <si>
    <t xml:space="preserve">Vēstuļu sagatavošanas izmaksas </t>
  </si>
  <si>
    <t xml:space="preserve">Vēstuļu nosūtīšanas izmaksas atbilstoši VAS "Latvijas Pasts" noteiktajam attiecīgās vēstules nosūtīšanas pakalpojuma tarifam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</si>
</sst>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4" x14ac:knownFonts="1">
    <font>
      <sz val="11"/>
      <color theme="1"/>
      <name val="Times New Roman"/>
      <family val="1"/>
      <charset val="186"/>
    </font>
    <font>
      <sz val="10"/>
      <name val="Times New Roman"/>
      <family val="1"/>
      <charset val="186"/>
    </font>
    <font>
      <b/>
      <sz val="10"/>
      <name val="Times New Roman"/>
      <family val="1"/>
      <charset val="186"/>
    </font>
    <font>
      <sz val="11"/>
      <name val="Times New Roman"/>
      <family val="1"/>
      <charset val="186"/>
    </font>
    <font>
      <vertAlign val="superscript"/>
      <sz val="10"/>
      <name val="Times New Roman"/>
      <family val="1"/>
      <charset val="186"/>
    </font>
    <font>
      <sz val="9"/>
      <name val="Times New Roman"/>
      <family val="1"/>
      <charset val="186"/>
    </font>
    <font>
      <b/>
      <sz val="11"/>
      <name val="Times New Roman"/>
      <family val="1"/>
      <charset val="186"/>
    </font>
    <font>
      <sz val="10"/>
      <color rgb="FFFF0000"/>
      <name val="Times New Roman"/>
      <family val="1"/>
      <charset val="186"/>
    </font>
    <font>
      <b/>
      <sz val="10"/>
      <color theme="9" tint="-0.499984740745262"/>
      <name val="Times New Roman"/>
      <family val="1"/>
      <charset val="186"/>
    </font>
    <font>
      <b/>
      <sz val="9"/>
      <name val="Times New Roman"/>
      <family val="1"/>
      <charset val="186"/>
    </font>
    <font>
      <sz val="10"/>
      <color theme="9" tint="-0.499984740745262"/>
      <name val="Times New Roman"/>
      <family val="1"/>
      <charset val="186"/>
    </font>
    <font>
      <sz val="9"/>
      <color theme="1"/>
      <name val="Times New Roman"/>
      <family val="1"/>
      <charset val="186"/>
    </font>
    <font>
      <b/>
      <sz val="9"/>
      <color theme="1"/>
      <name val="Times New Roman"/>
      <family val="1"/>
      <charset val="186"/>
    </font>
    <font>
      <sz val="9"/>
      <color rgb="FFC00000"/>
      <name val="Times New Roman"/>
      <family val="1"/>
      <charset val="186"/>
    </font>
    <font>
      <sz val="9"/>
      <color theme="9" tint="-0.499984740745262"/>
      <name val="Times New Roman"/>
      <family val="1"/>
      <charset val="186"/>
    </font>
    <font>
      <sz val="10"/>
      <color rgb="FFC00000"/>
      <name val="Times New Roman"/>
      <family val="1"/>
      <charset val="186"/>
    </font>
    <font>
      <b/>
      <sz val="8"/>
      <name val="Times New Roman"/>
      <family val="1"/>
      <charset val="186"/>
    </font>
    <font>
      <sz val="8"/>
      <name val="Times New Roman"/>
      <family val="1"/>
      <charset val="186"/>
    </font>
    <font>
      <sz val="8"/>
      <color rgb="FFC00000"/>
      <name val="Times New Roman"/>
      <family val="1"/>
      <charset val="186"/>
    </font>
    <font>
      <sz val="8"/>
      <color theme="1"/>
      <name val="Times New Roman"/>
      <family val="1"/>
      <charset val="186"/>
    </font>
    <font>
      <b/>
      <sz val="8"/>
      <color theme="1"/>
      <name val="Times New Roman"/>
      <family val="1"/>
      <charset val="186"/>
    </font>
    <font>
      <sz val="10"/>
      <color theme="7" tint="-0.249977111117893"/>
      <name val="Times New Roman"/>
      <family val="1"/>
      <charset val="186"/>
    </font>
    <font>
      <b/>
      <sz val="10"/>
      <color theme="5"/>
      <name val="Times New Roman"/>
      <family val="1"/>
      <charset val="186"/>
    </font>
    <font>
      <sz val="10"/>
      <color theme="5"/>
      <name val="Times New Roman"/>
      <family val="1"/>
      <charset val="186"/>
    </font>
    <font>
      <sz val="9"/>
      <color theme="5"/>
      <name val="Times New Roman"/>
      <family val="1"/>
      <charset val="186"/>
    </font>
    <font>
      <b/>
      <vertAlign val="superscript"/>
      <sz val="10"/>
      <name val="Times New Roman"/>
      <family val="1"/>
      <charset val="186"/>
    </font>
    <font>
      <i/>
      <sz val="9"/>
      <name val="Times New Roman"/>
      <family val="1"/>
      <charset val="186"/>
    </font>
    <font>
      <b/>
      <vertAlign val="superscript"/>
      <sz val="9"/>
      <name val="Times New Roman"/>
      <family val="1"/>
      <charset val="186"/>
    </font>
    <font>
      <vertAlign val="superscript"/>
      <sz val="9"/>
      <name val="Times New Roman"/>
      <family val="1"/>
      <charset val="186"/>
    </font>
    <font>
      <sz val="10"/>
      <color theme="1"/>
      <name val="Times New Roman"/>
      <family val="1"/>
      <charset val="186"/>
    </font>
    <font>
      <b/>
      <sz val="10"/>
      <color theme="1"/>
      <name val="Times New Roman"/>
      <family val="1"/>
      <charset val="186"/>
    </font>
    <font>
      <sz val="8"/>
      <color rgb="FF002060"/>
      <name val="Times New Roman"/>
      <family val="1"/>
      <charset val="186"/>
    </font>
    <font>
      <i/>
      <sz val="8"/>
      <color theme="1"/>
      <name val="Times New Roman"/>
      <family val="1"/>
      <charset val="186"/>
    </font>
    <font>
      <b/>
      <i/>
      <sz val="8"/>
      <color theme="1"/>
      <name val="Times New Roman"/>
      <family val="1"/>
      <charset val="186"/>
    </font>
  </fonts>
  <fills count="1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rgb="FFFFFFFF"/>
        <bgColor rgb="FF000000"/>
      </patternFill>
    </fill>
    <fill>
      <patternFill patternType="solid">
        <fgColor rgb="FFD9D9D9"/>
        <bgColor rgb="FF000000"/>
      </patternFill>
    </fill>
    <fill>
      <patternFill patternType="solid">
        <fgColor rgb="FFB8CCE4"/>
        <bgColor rgb="FF000000"/>
      </patternFill>
    </fill>
    <fill>
      <patternFill patternType="solid">
        <fgColor theme="0" tint="-0.14999847407452621"/>
        <bgColor indexed="64"/>
      </patternFill>
    </fill>
    <fill>
      <patternFill patternType="solid">
        <fgColor theme="0"/>
        <bgColor rgb="FF000000"/>
      </patternFill>
    </fill>
    <fill>
      <patternFill patternType="solid">
        <fgColor theme="0" tint="-4.9989318521683403E-2"/>
        <bgColor rgb="FF000000"/>
      </patternFill>
    </fill>
    <fill>
      <patternFill patternType="solid">
        <fgColor theme="2"/>
        <bgColor indexed="64"/>
      </patternFill>
    </fill>
    <fill>
      <patternFill patternType="solid">
        <fgColor theme="4" tint="0.79998168889431442"/>
        <bgColor indexed="64"/>
      </patternFill>
    </fill>
  </fills>
  <borders count="13">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bottom style="thin">
        <color theme="0" tint="-0.24994659260841701"/>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style="thin">
        <color rgb="FF808080"/>
      </left>
      <right style="thin">
        <color rgb="FF808080"/>
      </right>
      <top/>
      <bottom style="thin">
        <color rgb="FF80808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right/>
      <top/>
      <bottom style="thin">
        <color rgb="FF808080"/>
      </bottom>
      <diagonal/>
    </border>
    <border>
      <left/>
      <right/>
      <top/>
      <bottom style="thin">
        <color theme="0" tint="-0.499984740745262"/>
      </bottom>
      <diagonal/>
    </border>
  </borders>
  <cellStyleXfs count="1">
    <xf numFmtId="3" fontId="0" fillId="0" borderId="0"/>
  </cellStyleXfs>
  <cellXfs count="236">
    <xf numFmtId="3" fontId="0" fillId="0" borderId="0" xfId="0"/>
    <xf numFmtId="3" fontId="3" fillId="0" borderId="0" xfId="0" applyFont="1"/>
    <xf numFmtId="3" fontId="2" fillId="0" borderId="1" xfId="0" applyNumberFormat="1" applyFont="1" applyBorder="1" applyAlignment="1">
      <alignment horizontal="center" vertical="center" wrapText="1"/>
    </xf>
    <xf numFmtId="3" fontId="1" fillId="0" borderId="1" xfId="0" applyFont="1" applyBorder="1" applyAlignment="1">
      <alignment horizontal="center" vertical="center" wrapText="1"/>
    </xf>
    <xf numFmtId="3" fontId="1" fillId="2" borderId="1" xfId="0" applyFont="1" applyFill="1" applyBorder="1" applyAlignment="1">
      <alignment horizontal="left" vertical="center" wrapText="1"/>
    </xf>
    <xf numFmtId="3" fontId="1" fillId="0" borderId="1" xfId="0" applyFont="1" applyBorder="1" applyAlignment="1">
      <alignment horizontal="left" vertical="center" wrapText="1"/>
    </xf>
    <xf numFmtId="3" fontId="1" fillId="0" borderId="0" xfId="0" applyFont="1" applyAlignment="1">
      <alignment horizontal="center" vertical="center" wrapText="1"/>
    </xf>
    <xf numFmtId="1" fontId="2" fillId="0" borderId="1" xfId="0" applyNumberFormat="1" applyFont="1" applyBorder="1" applyAlignment="1">
      <alignment horizontal="center" vertical="center" wrapText="1"/>
    </xf>
    <xf numFmtId="3" fontId="5" fillId="0" borderId="0" xfId="0" applyFont="1" applyAlignment="1">
      <alignment horizontal="center" vertical="center" wrapText="1"/>
    </xf>
    <xf numFmtId="3" fontId="6" fillId="0" borderId="0" xfId="0" applyFont="1"/>
    <xf numFmtId="3" fontId="6" fillId="0" borderId="0" xfId="0" applyFont="1" applyAlignment="1">
      <alignment horizontal="center"/>
    </xf>
    <xf numFmtId="3" fontId="2" fillId="0" borderId="0" xfId="0" applyFont="1"/>
    <xf numFmtId="3" fontId="2" fillId="3" borderId="1" xfId="0" applyFont="1" applyFill="1" applyBorder="1" applyAlignment="1">
      <alignment horizontal="center" vertical="center" wrapText="1"/>
    </xf>
    <xf numFmtId="3" fontId="2" fillId="0" borderId="1" xfId="0" applyFont="1" applyBorder="1" applyAlignment="1">
      <alignment horizontal="center" vertical="center" wrapText="1"/>
    </xf>
    <xf numFmtId="3" fontId="11" fillId="0" borderId="0" xfId="0" applyFont="1" applyAlignment="1">
      <alignment vertical="center"/>
    </xf>
    <xf numFmtId="4" fontId="2" fillId="0" borderId="0" xfId="0" applyNumberFormat="1" applyFont="1"/>
    <xf numFmtId="3" fontId="12" fillId="0" borderId="0" xfId="0" applyFont="1" applyAlignment="1">
      <alignment horizontal="center" vertical="center"/>
    </xf>
    <xf numFmtId="3" fontId="11" fillId="0" borderId="0" xfId="0" applyFont="1"/>
    <xf numFmtId="3" fontId="5" fillId="0" borderId="0" xfId="0" applyFont="1"/>
    <xf numFmtId="3" fontId="11" fillId="0" borderId="0" xfId="0" applyFont="1" applyAlignment="1">
      <alignment horizontal="center" vertical="center"/>
    </xf>
    <xf numFmtId="3" fontId="11" fillId="0" borderId="0" xfId="0" applyFont="1" applyAlignment="1">
      <alignment wrapText="1"/>
    </xf>
    <xf numFmtId="3" fontId="10" fillId="0" borderId="0" xfId="0" applyFont="1" applyAlignment="1">
      <alignment horizontal="center" vertical="center" wrapText="1"/>
    </xf>
    <xf numFmtId="3" fontId="14" fillId="0" borderId="0" xfId="0" applyFont="1" applyAlignment="1">
      <alignment horizontal="center" vertical="center" wrapText="1"/>
    </xf>
    <xf numFmtId="3" fontId="10" fillId="0" borderId="0" xfId="0" applyFont="1" applyAlignment="1">
      <alignment horizontal="center" wrapText="1"/>
    </xf>
    <xf numFmtId="3" fontId="8" fillId="0" borderId="0" xfId="0" applyFont="1" applyAlignment="1">
      <alignment horizontal="center" vertical="center" wrapText="1"/>
    </xf>
    <xf numFmtId="3" fontId="2" fillId="0" borderId="0" xfId="0" applyFont="1" applyAlignment="1">
      <alignment horizontal="center" vertical="center" wrapText="1"/>
    </xf>
    <xf numFmtId="3" fontId="5" fillId="0" borderId="0" xfId="0" applyFont="1" applyAlignment="1">
      <alignment horizontal="center" vertical="center"/>
    </xf>
    <xf numFmtId="3" fontId="2" fillId="0" borderId="0" xfId="0" applyFont="1" applyAlignment="1">
      <alignment horizontal="center" vertical="center" wrapText="1"/>
    </xf>
    <xf numFmtId="3" fontId="12" fillId="0" borderId="0" xfId="0" applyFont="1" applyAlignment="1">
      <alignment wrapText="1"/>
    </xf>
    <xf numFmtId="3" fontId="17" fillId="2" borderId="1" xfId="0" applyFont="1" applyFill="1" applyBorder="1" applyAlignment="1">
      <alignment vertical="center" wrapText="1"/>
    </xf>
    <xf numFmtId="3" fontId="2" fillId="0" borderId="1" xfId="0" applyFont="1" applyBorder="1"/>
    <xf numFmtId="3" fontId="19" fillId="0" borderId="1" xfId="0" applyFont="1" applyBorder="1" applyAlignment="1">
      <alignment horizontal="center" vertical="center"/>
    </xf>
    <xf numFmtId="3" fontId="19" fillId="2" borderId="1" xfId="0" applyFont="1" applyFill="1" applyBorder="1" applyAlignment="1">
      <alignment vertical="center" wrapText="1"/>
    </xf>
    <xf numFmtId="3" fontId="20" fillId="0" borderId="1" xfId="0" applyFont="1" applyBorder="1" applyAlignment="1">
      <alignment horizontal="center" vertical="center" wrapText="1"/>
    </xf>
    <xf numFmtId="3" fontId="20" fillId="2" borderId="1" xfId="0" applyFont="1" applyFill="1" applyBorder="1" applyAlignment="1">
      <alignment horizontal="center" vertical="center" wrapText="1"/>
    </xf>
    <xf numFmtId="3" fontId="19" fillId="0" borderId="1" xfId="0" applyFont="1" applyBorder="1" applyAlignment="1">
      <alignment horizontal="right" vertical="center"/>
    </xf>
    <xf numFmtId="3" fontId="19" fillId="0" borderId="1" xfId="0" applyFont="1" applyBorder="1" applyAlignment="1">
      <alignment horizontal="left" vertical="center" wrapText="1"/>
    </xf>
    <xf numFmtId="3" fontId="19" fillId="0" borderId="0" xfId="0" applyFont="1"/>
    <xf numFmtId="3" fontId="21" fillId="0" borderId="0" xfId="0" applyFont="1" applyAlignment="1">
      <alignment horizontal="center" vertical="center" wrapText="1"/>
    </xf>
    <xf numFmtId="3" fontId="15" fillId="0" borderId="0" xfId="0" applyFont="1" applyAlignment="1">
      <alignment horizontal="center" vertical="center" wrapText="1"/>
    </xf>
    <xf numFmtId="3" fontId="1" fillId="0" borderId="0" xfId="0" applyFont="1" applyAlignment="1">
      <alignment horizontal="left" vertical="center" wrapText="1"/>
    </xf>
    <xf numFmtId="3" fontId="2" fillId="0" borderId="0" xfId="0" applyFont="1" applyAlignment="1">
      <alignment horizontal="center" vertical="center" wrapText="1"/>
    </xf>
    <xf numFmtId="3" fontId="23" fillId="0" borderId="1" xfId="0" applyFont="1" applyBorder="1" applyAlignment="1">
      <alignment horizontal="center" vertical="center" wrapText="1"/>
    </xf>
    <xf numFmtId="4" fontId="22" fillId="0" borderId="1" xfId="0" applyNumberFormat="1" applyFont="1" applyBorder="1" applyAlignment="1">
      <alignment horizontal="center" vertical="center" wrapText="1"/>
    </xf>
    <xf numFmtId="3" fontId="24" fillId="0" borderId="0" xfId="0" applyFont="1" applyAlignment="1">
      <alignment horizontal="center" vertical="center" wrapText="1"/>
    </xf>
    <xf numFmtId="3" fontId="1" fillId="4" borderId="1" xfId="0" applyFont="1" applyFill="1" applyBorder="1" applyAlignment="1">
      <alignment horizontal="center" vertical="center" wrapText="1"/>
    </xf>
    <xf numFmtId="3" fontId="1" fillId="4" borderId="1" xfId="0" applyFont="1" applyFill="1" applyBorder="1" applyAlignment="1">
      <alignment horizontal="left" vertical="center" wrapText="1"/>
    </xf>
    <xf numFmtId="3" fontId="2" fillId="4" borderId="1" xfId="0" applyFont="1" applyFill="1" applyBorder="1" applyAlignment="1">
      <alignment horizontal="center" vertical="center" wrapText="1"/>
    </xf>
    <xf numFmtId="3" fontId="1" fillId="2" borderId="1" xfId="0" applyFont="1" applyFill="1" applyBorder="1" applyAlignment="1">
      <alignment vertical="center"/>
    </xf>
    <xf numFmtId="3" fontId="19" fillId="0" borderId="1" xfId="0" applyFont="1" applyBorder="1" applyAlignment="1">
      <alignment horizontal="center" vertical="center" wrapText="1"/>
    </xf>
    <xf numFmtId="3" fontId="2" fillId="0" borderId="1" xfId="0" applyFont="1" applyBorder="1" applyAlignment="1">
      <alignment horizontal="left" vertical="center" wrapText="1"/>
    </xf>
    <xf numFmtId="3" fontId="1" fillId="0" borderId="1" xfId="0" applyFont="1" applyBorder="1" applyAlignment="1">
      <alignment vertical="center" wrapText="1"/>
    </xf>
    <xf numFmtId="164" fontId="10" fillId="0" borderId="0" xfId="0" applyNumberFormat="1" applyFont="1" applyAlignment="1">
      <alignment horizontal="center" vertical="center" wrapText="1"/>
    </xf>
    <xf numFmtId="3" fontId="2" fillId="2" borderId="1" xfId="0" applyFont="1" applyFill="1" applyBorder="1" applyAlignment="1">
      <alignment horizontal="center" vertical="center" wrapText="1"/>
    </xf>
    <xf numFmtId="3" fontId="2" fillId="3" borderId="1" xfId="0" applyFont="1" applyFill="1" applyBorder="1" applyAlignment="1">
      <alignment horizontal="left" vertical="center" wrapText="1"/>
    </xf>
    <xf numFmtId="3" fontId="1" fillId="2"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3" fontId="1" fillId="2" borderId="1" xfId="0" applyFont="1" applyFill="1" applyBorder="1" applyAlignment="1">
      <alignment vertical="center" wrapText="1"/>
    </xf>
    <xf numFmtId="3" fontId="2" fillId="3" borderId="1" xfId="0" applyNumberFormat="1" applyFont="1" applyFill="1" applyBorder="1" applyAlignment="1">
      <alignment horizontal="center" vertical="center" wrapText="1"/>
    </xf>
    <xf numFmtId="3" fontId="2" fillId="0" borderId="1" xfId="0" applyFont="1" applyFill="1" applyBorder="1" applyAlignment="1">
      <alignment horizontal="left" vertical="center" wrapText="1"/>
    </xf>
    <xf numFmtId="3" fontId="1" fillId="3" borderId="1" xfId="0" applyFont="1" applyFill="1" applyBorder="1" applyAlignment="1">
      <alignment horizontal="center" vertical="center" wrapText="1"/>
    </xf>
    <xf numFmtId="3" fontId="1" fillId="3" borderId="1" xfId="0" applyFont="1" applyFill="1" applyBorder="1" applyAlignment="1">
      <alignment horizontal="left" vertical="center" wrapText="1"/>
    </xf>
    <xf numFmtId="3" fontId="1" fillId="0" borderId="1" xfId="0" applyFont="1" applyBorder="1"/>
    <xf numFmtId="3" fontId="1" fillId="3" borderId="1" xfId="0" applyFont="1" applyFill="1" applyBorder="1" applyAlignment="1">
      <alignment horizontal="center" vertical="center"/>
    </xf>
    <xf numFmtId="3" fontId="1" fillId="3" borderId="1" xfId="0" applyFont="1" applyFill="1" applyBorder="1" applyAlignment="1">
      <alignment vertical="center" wrapText="1"/>
    </xf>
    <xf numFmtId="3" fontId="2" fillId="0" borderId="1" xfId="0" applyFont="1" applyBorder="1" applyAlignment="1">
      <alignment horizontal="center" vertical="center"/>
    </xf>
    <xf numFmtId="3" fontId="1" fillId="0" borderId="1" xfId="0" applyFont="1" applyBorder="1" applyAlignment="1">
      <alignment horizontal="center" vertical="center"/>
    </xf>
    <xf numFmtId="3" fontId="1" fillId="0" borderId="1" xfId="0" applyFont="1" applyBorder="1" applyAlignment="1">
      <alignment vertical="center"/>
    </xf>
    <xf numFmtId="3" fontId="2" fillId="4" borderId="1" xfId="0" applyFont="1" applyFill="1" applyBorder="1" applyAlignment="1">
      <alignment horizontal="left" vertical="center" wrapText="1"/>
    </xf>
    <xf numFmtId="3" fontId="2" fillId="4" borderId="1" xfId="0" applyFont="1" applyFill="1" applyBorder="1" applyAlignment="1">
      <alignment horizontal="center" vertical="center"/>
    </xf>
    <xf numFmtId="3" fontId="2" fillId="4" borderId="1" xfId="0" applyFont="1" applyFill="1" applyBorder="1" applyAlignment="1">
      <alignment vertical="center" wrapText="1"/>
    </xf>
    <xf numFmtId="3" fontId="2" fillId="5" borderId="1" xfId="0" applyFont="1" applyFill="1" applyBorder="1" applyAlignment="1">
      <alignment horizontal="center" vertical="center" wrapText="1"/>
    </xf>
    <xf numFmtId="3" fontId="2" fillId="5" borderId="1" xfId="0" applyFont="1" applyFill="1" applyBorder="1"/>
    <xf numFmtId="3" fontId="2" fillId="5" borderId="1" xfId="0" applyFont="1" applyFill="1" applyBorder="1" applyAlignment="1">
      <alignment horizontal="center" vertical="center"/>
    </xf>
    <xf numFmtId="3" fontId="2" fillId="5" borderId="1" xfId="0" applyFont="1" applyFill="1" applyBorder="1" applyAlignment="1">
      <alignment vertical="center"/>
    </xf>
    <xf numFmtId="3" fontId="2" fillId="0" borderId="1" xfId="0" applyFont="1" applyBorder="1" applyAlignment="1">
      <alignment vertical="center"/>
    </xf>
    <xf numFmtId="1" fontId="16" fillId="0" borderId="1" xfId="0" applyNumberFormat="1" applyFont="1" applyBorder="1" applyAlignment="1">
      <alignment horizontal="center" vertical="center" wrapText="1"/>
    </xf>
    <xf numFmtId="3" fontId="19" fillId="0" borderId="0" xfId="0" applyFont="1" applyAlignment="1">
      <alignment horizontal="center" vertical="center"/>
    </xf>
    <xf numFmtId="3" fontId="16" fillId="4" borderId="1" xfId="0" applyFont="1" applyFill="1" applyBorder="1" applyAlignment="1">
      <alignment horizontal="center" vertical="center"/>
    </xf>
    <xf numFmtId="3" fontId="16" fillId="4" borderId="1" xfId="0" applyFont="1" applyFill="1" applyBorder="1" applyAlignment="1">
      <alignment horizontal="center" vertical="center" wrapText="1"/>
    </xf>
    <xf numFmtId="3" fontId="17" fillId="0" borderId="0" xfId="0" applyFont="1" applyAlignment="1">
      <alignment horizontal="center" vertical="center"/>
    </xf>
    <xf numFmtId="3" fontId="20" fillId="0" borderId="0" xfId="0" applyFont="1" applyAlignment="1">
      <alignment horizontal="center" vertical="center"/>
    </xf>
    <xf numFmtId="3" fontId="19" fillId="0" borderId="0" xfId="0" applyFont="1" applyAlignment="1">
      <alignment vertical="center"/>
    </xf>
    <xf numFmtId="3" fontId="17" fillId="0" borderId="0" xfId="0" applyFont="1" applyAlignment="1">
      <alignment vertical="center"/>
    </xf>
    <xf numFmtId="3" fontId="18" fillId="0" borderId="0" xfId="0" applyFont="1"/>
    <xf numFmtId="3" fontId="13" fillId="0" borderId="0" xfId="0" applyFont="1"/>
    <xf numFmtId="3" fontId="2" fillId="0" borderId="0" xfId="0" applyFont="1" applyAlignment="1">
      <alignment horizontal="center" vertical="center" wrapText="1"/>
    </xf>
    <xf numFmtId="3" fontId="9" fillId="0" borderId="3" xfId="0" applyFont="1" applyFill="1" applyBorder="1" applyAlignment="1">
      <alignment horizontal="center" vertical="center"/>
    </xf>
    <xf numFmtId="3" fontId="9" fillId="0" borderId="3" xfId="0" applyFont="1" applyFill="1" applyBorder="1" applyAlignment="1">
      <alignment horizontal="center" vertical="center" wrapText="1"/>
    </xf>
    <xf numFmtId="3" fontId="5" fillId="0" borderId="3" xfId="0" applyFont="1" applyFill="1" applyBorder="1" applyAlignment="1">
      <alignment horizontal="center" vertical="center" wrapText="1"/>
    </xf>
    <xf numFmtId="3" fontId="5" fillId="0" borderId="3" xfId="0" applyFont="1" applyFill="1" applyBorder="1" applyAlignment="1">
      <alignment vertical="center" wrapText="1"/>
    </xf>
    <xf numFmtId="3" fontId="5" fillId="0" borderId="3" xfId="0" applyNumberFormat="1" applyFont="1" applyFill="1" applyBorder="1" applyAlignment="1">
      <alignment horizontal="center" vertical="center" wrapText="1"/>
    </xf>
    <xf numFmtId="3" fontId="5" fillId="0" borderId="3" xfId="0" applyNumberFormat="1" applyFont="1" applyFill="1" applyBorder="1" applyAlignment="1">
      <alignment horizontal="center" vertical="center"/>
    </xf>
    <xf numFmtId="3" fontId="5" fillId="7" borderId="3" xfId="0" applyNumberFormat="1" applyFont="1" applyFill="1" applyBorder="1" applyAlignment="1">
      <alignment horizontal="center" vertical="center"/>
    </xf>
    <xf numFmtId="3" fontId="9" fillId="8" borderId="3" xfId="0" applyFont="1" applyFill="1" applyBorder="1" applyAlignment="1">
      <alignment horizontal="center" vertical="center" wrapText="1"/>
    </xf>
    <xf numFmtId="3" fontId="9" fillId="8" borderId="3" xfId="0" applyFont="1" applyFill="1" applyBorder="1" applyAlignment="1">
      <alignment vertical="center" wrapText="1"/>
    </xf>
    <xf numFmtId="3" fontId="9" fillId="8" borderId="3" xfId="0" applyNumberFormat="1" applyFont="1" applyFill="1" applyBorder="1" applyAlignment="1">
      <alignment horizontal="center" vertical="center" wrapText="1"/>
    </xf>
    <xf numFmtId="3" fontId="9" fillId="0" borderId="3" xfId="0" applyFont="1" applyFill="1" applyBorder="1" applyAlignment="1">
      <alignment vertical="center" wrapText="1"/>
    </xf>
    <xf numFmtId="3" fontId="9" fillId="8" borderId="4" xfId="0" applyFont="1" applyFill="1" applyBorder="1" applyAlignment="1">
      <alignment horizontal="center" vertical="center" wrapText="1"/>
    </xf>
    <xf numFmtId="3" fontId="9" fillId="8" borderId="4" xfId="0" applyNumberFormat="1" applyFont="1" applyFill="1" applyBorder="1" applyAlignment="1">
      <alignment horizontal="center" vertical="center" wrapText="1"/>
    </xf>
    <xf numFmtId="3" fontId="5" fillId="0" borderId="4" xfId="0" applyFont="1" applyFill="1" applyBorder="1" applyAlignment="1">
      <alignment horizontal="center" vertical="center" wrapText="1"/>
    </xf>
    <xf numFmtId="3" fontId="5" fillId="0" borderId="4" xfId="0" applyFont="1" applyFill="1" applyBorder="1" applyAlignment="1">
      <alignment vertical="center" wrapText="1"/>
    </xf>
    <xf numFmtId="3" fontId="5" fillId="0" borderId="4" xfId="0" applyNumberFormat="1" applyFont="1" applyFill="1" applyBorder="1" applyAlignment="1">
      <alignment horizontal="center" vertical="center" wrapText="1"/>
    </xf>
    <xf numFmtId="3" fontId="9" fillId="9" borderId="4" xfId="0" applyFont="1" applyFill="1" applyBorder="1" applyAlignment="1">
      <alignment horizontal="center" vertical="center" wrapText="1"/>
    </xf>
    <xf numFmtId="3" fontId="9" fillId="9" borderId="4" xfId="0" applyFont="1" applyFill="1" applyBorder="1" applyAlignment="1">
      <alignment horizontal="center" vertical="center"/>
    </xf>
    <xf numFmtId="3" fontId="9" fillId="9" borderId="4" xfId="0" applyNumberFormat="1" applyFont="1" applyFill="1" applyBorder="1" applyAlignment="1">
      <alignment horizontal="center" vertical="center"/>
    </xf>
    <xf numFmtId="3" fontId="5" fillId="0" borderId="3" xfId="0" applyFont="1" applyFill="1" applyBorder="1" applyAlignment="1">
      <alignment horizontal="left" vertical="center"/>
    </xf>
    <xf numFmtId="3" fontId="4" fillId="0" borderId="0" xfId="0" applyFont="1" applyFill="1" applyBorder="1" applyAlignment="1">
      <alignment vertical="top"/>
    </xf>
    <xf numFmtId="3" fontId="9" fillId="0" borderId="7" xfId="0" applyFont="1" applyBorder="1" applyAlignment="1">
      <alignment horizontal="center" vertical="center"/>
    </xf>
    <xf numFmtId="3" fontId="9" fillId="10" borderId="7" xfId="0" applyFont="1" applyFill="1" applyBorder="1" applyAlignment="1">
      <alignment horizontal="center" vertical="center" wrapText="1"/>
    </xf>
    <xf numFmtId="3" fontId="5" fillId="0" borderId="7" xfId="0" applyFont="1" applyFill="1" applyBorder="1" applyAlignment="1">
      <alignment horizontal="center" vertical="center" wrapText="1"/>
    </xf>
    <xf numFmtId="3" fontId="4" fillId="0" borderId="0" xfId="0" applyFont="1" applyAlignment="1">
      <alignment vertical="top"/>
    </xf>
    <xf numFmtId="3" fontId="9" fillId="0" borderId="7" xfId="0" applyFont="1" applyBorder="1" applyAlignment="1">
      <alignment horizontal="center" vertical="center" wrapText="1"/>
    </xf>
    <xf numFmtId="3" fontId="5" fillId="0" borderId="7" xfId="0" applyFont="1" applyBorder="1" applyAlignment="1">
      <alignment horizontal="center" vertical="center" wrapText="1"/>
    </xf>
    <xf numFmtId="3" fontId="5" fillId="0" borderId="7" xfId="0" applyFont="1" applyFill="1" applyBorder="1" applyAlignment="1">
      <alignment vertical="center" wrapText="1"/>
    </xf>
    <xf numFmtId="3" fontId="9" fillId="10" borderId="7" xfId="0" applyFont="1" applyFill="1" applyBorder="1" applyAlignment="1">
      <alignment vertical="center" wrapText="1"/>
    </xf>
    <xf numFmtId="3" fontId="9" fillId="0" borderId="7" xfId="0" applyFont="1" applyFill="1" applyBorder="1" applyAlignment="1">
      <alignment vertical="center" wrapText="1"/>
    </xf>
    <xf numFmtId="3" fontId="5" fillId="0" borderId="8" xfId="0" applyFont="1" applyFill="1" applyBorder="1" applyAlignment="1">
      <alignment vertical="center" wrapText="1"/>
    </xf>
    <xf numFmtId="3" fontId="5" fillId="0" borderId="7" xfId="0" applyNumberFormat="1" applyFont="1" applyBorder="1" applyAlignment="1">
      <alignment horizontal="center" vertical="center" wrapText="1"/>
    </xf>
    <xf numFmtId="3" fontId="5" fillId="0" borderId="7" xfId="0" applyNumberFormat="1" applyFont="1" applyFill="1" applyBorder="1" applyAlignment="1">
      <alignment horizontal="center" vertical="center"/>
    </xf>
    <xf numFmtId="3" fontId="5" fillId="2" borderId="7" xfId="0" applyNumberFormat="1" applyFont="1" applyFill="1" applyBorder="1" applyAlignment="1">
      <alignment horizontal="center" vertical="center"/>
    </xf>
    <xf numFmtId="3" fontId="9" fillId="10" borderId="7" xfId="0" applyNumberFormat="1" applyFont="1" applyFill="1" applyBorder="1" applyAlignment="1">
      <alignment horizontal="center" vertical="center" wrapText="1"/>
    </xf>
    <xf numFmtId="3" fontId="5" fillId="0" borderId="7" xfId="0" applyNumberFormat="1" applyFont="1" applyFill="1" applyBorder="1" applyAlignment="1">
      <alignment horizontal="center" vertical="center" wrapText="1"/>
    </xf>
    <xf numFmtId="3" fontId="9" fillId="11" borderId="3" xfId="0" applyFont="1" applyFill="1" applyBorder="1" applyAlignment="1">
      <alignment vertical="center" wrapText="1"/>
    </xf>
    <xf numFmtId="3" fontId="9" fillId="11" borderId="3" xfId="0" applyNumberFormat="1" applyFont="1" applyFill="1" applyBorder="1" applyAlignment="1">
      <alignment horizontal="center" vertical="center" wrapText="1"/>
    </xf>
    <xf numFmtId="3" fontId="29" fillId="0" borderId="0" xfId="0" applyFont="1"/>
    <xf numFmtId="3" fontId="11" fillId="0" borderId="7" xfId="0" applyFont="1" applyBorder="1" applyAlignment="1">
      <alignment vertical="center" wrapText="1"/>
    </xf>
    <xf numFmtId="3" fontId="11" fillId="0" borderId="7" xfId="0" applyNumberFormat="1" applyFont="1" applyBorder="1" applyAlignment="1">
      <alignment horizontal="center" vertical="center" wrapText="1"/>
    </xf>
    <xf numFmtId="3" fontId="11" fillId="0" borderId="7" xfId="0" applyFont="1" applyFill="1" applyBorder="1" applyAlignment="1">
      <alignment horizontal="center" vertical="center" wrapText="1"/>
    </xf>
    <xf numFmtId="3" fontId="11" fillId="0" borderId="7" xfId="0" applyNumberFormat="1" applyFont="1" applyFill="1" applyBorder="1" applyAlignment="1">
      <alignment horizontal="center" vertical="center" wrapText="1"/>
    </xf>
    <xf numFmtId="3" fontId="9" fillId="6" borderId="7" xfId="0" applyFont="1" applyFill="1" applyBorder="1" applyAlignment="1">
      <alignment horizontal="center" vertical="center" wrapText="1"/>
    </xf>
    <xf numFmtId="3" fontId="9" fillId="6" borderId="7" xfId="0" applyFont="1" applyFill="1" applyBorder="1" applyAlignment="1">
      <alignment horizontal="center" vertical="center"/>
    </xf>
    <xf numFmtId="3" fontId="9" fillId="6" borderId="7" xfId="0" applyNumberFormat="1" applyFont="1" applyFill="1" applyBorder="1" applyAlignment="1">
      <alignment horizontal="center" vertical="center"/>
    </xf>
    <xf numFmtId="3" fontId="5" fillId="0" borderId="7" xfId="0" applyFont="1" applyFill="1" applyBorder="1" applyAlignment="1">
      <alignment horizontal="left" vertical="center" wrapText="1"/>
    </xf>
    <xf numFmtId="3" fontId="9" fillId="2" borderId="7" xfId="0" applyFont="1" applyFill="1" applyBorder="1" applyAlignment="1">
      <alignment vertical="center" wrapText="1"/>
    </xf>
    <xf numFmtId="3" fontId="9" fillId="2" borderId="7" xfId="0" applyNumberFormat="1" applyFont="1" applyFill="1" applyBorder="1" applyAlignment="1">
      <alignment horizontal="center" vertical="center" wrapText="1"/>
    </xf>
    <xf numFmtId="3" fontId="29" fillId="0" borderId="0" xfId="0" applyFont="1" applyAlignment="1">
      <alignment horizontal="right" vertical="center"/>
    </xf>
    <xf numFmtId="3" fontId="5" fillId="4" borderId="7" xfId="0" applyFont="1" applyFill="1" applyBorder="1" applyAlignment="1">
      <alignment vertical="center"/>
    </xf>
    <xf numFmtId="3" fontId="5" fillId="4" borderId="7" xfId="0" applyFont="1" applyFill="1" applyBorder="1" applyAlignment="1">
      <alignment horizontal="center" vertical="center" wrapText="1"/>
    </xf>
    <xf numFmtId="3" fontId="5" fillId="12" borderId="3" xfId="0" applyFont="1" applyFill="1" applyBorder="1" applyAlignment="1">
      <alignment vertical="center"/>
    </xf>
    <xf numFmtId="3" fontId="5" fillId="12" borderId="3" xfId="0" applyFont="1" applyFill="1" applyBorder="1" applyAlignment="1">
      <alignment horizontal="center" vertical="center" wrapText="1"/>
    </xf>
    <xf numFmtId="3" fontId="1" fillId="2" borderId="1" xfId="0" applyFont="1" applyFill="1" applyBorder="1" applyAlignment="1">
      <alignment horizontal="center" vertical="center"/>
    </xf>
    <xf numFmtId="3" fontId="5" fillId="0" borderId="8" xfId="0" applyFont="1" applyFill="1" applyBorder="1" applyAlignment="1">
      <alignment horizontal="left" vertical="center" wrapText="1"/>
    </xf>
    <xf numFmtId="3" fontId="9" fillId="11" borderId="3" xfId="0" applyFont="1" applyFill="1" applyBorder="1" applyAlignment="1">
      <alignment horizontal="center" vertical="center" wrapText="1"/>
    </xf>
    <xf numFmtId="3" fontId="5" fillId="11" borderId="3" xfId="0" applyFont="1" applyFill="1" applyBorder="1" applyAlignment="1">
      <alignment horizontal="left" vertical="center" wrapText="1"/>
    </xf>
    <xf numFmtId="3" fontId="9" fillId="11" borderId="3" xfId="0" applyNumberFormat="1" applyFont="1" applyFill="1" applyBorder="1" applyAlignment="1">
      <alignment horizontal="center" vertical="center"/>
    </xf>
    <xf numFmtId="3" fontId="9" fillId="2" borderId="7" xfId="0" applyFont="1" applyFill="1" applyBorder="1" applyAlignment="1">
      <alignment horizontal="center" vertical="center" wrapText="1"/>
    </xf>
    <xf numFmtId="3" fontId="5" fillId="2" borderId="7" xfId="0" applyFont="1" applyFill="1" applyBorder="1" applyAlignment="1">
      <alignment horizontal="left" vertical="center" wrapText="1"/>
    </xf>
    <xf numFmtId="3" fontId="9" fillId="2" borderId="7" xfId="0" applyNumberFormat="1" applyFont="1" applyFill="1" applyBorder="1" applyAlignment="1">
      <alignment horizontal="center" vertical="center"/>
    </xf>
    <xf numFmtId="3" fontId="2" fillId="13" borderId="1" xfId="0" applyFont="1" applyFill="1" applyBorder="1" applyAlignment="1">
      <alignment horizontal="center" vertical="center" wrapText="1"/>
    </xf>
    <xf numFmtId="3" fontId="2" fillId="13" borderId="0" xfId="0" applyFont="1" applyFill="1" applyAlignment="1">
      <alignment horizontal="center" vertical="center" wrapText="1"/>
    </xf>
    <xf numFmtId="3" fontId="16" fillId="0" borderId="1" xfId="0" applyFont="1" applyBorder="1" applyAlignment="1">
      <alignment horizontal="center" vertical="center"/>
    </xf>
    <xf numFmtId="3" fontId="16" fillId="0" borderId="1" xfId="0" applyFont="1" applyBorder="1" applyAlignment="1">
      <alignment horizontal="left" vertical="center" wrapText="1"/>
    </xf>
    <xf numFmtId="3" fontId="16" fillId="2" borderId="1" xfId="0" applyFont="1" applyFill="1" applyBorder="1" applyAlignment="1">
      <alignment vertical="center" wrapText="1"/>
    </xf>
    <xf numFmtId="3" fontId="17" fillId="0" borderId="0" xfId="0" applyFont="1"/>
    <xf numFmtId="3" fontId="17" fillId="2" borderId="1" xfId="0" applyFont="1" applyFill="1" applyBorder="1" applyAlignment="1">
      <alignment horizontal="left" vertical="center" wrapText="1"/>
    </xf>
    <xf numFmtId="3" fontId="17" fillId="0" borderId="1" xfId="0" applyFont="1" applyBorder="1" applyAlignment="1">
      <alignment vertical="center" wrapText="1"/>
    </xf>
    <xf numFmtId="3" fontId="17" fillId="0" borderId="1" xfId="0" applyFont="1" applyBorder="1" applyAlignment="1">
      <alignment vertical="center"/>
    </xf>
    <xf numFmtId="3" fontId="16" fillId="0" borderId="1" xfId="0" applyFont="1" applyBorder="1" applyAlignment="1">
      <alignment horizontal="center" vertical="center" wrapText="1"/>
    </xf>
    <xf numFmtId="3" fontId="5" fillId="0" borderId="0" xfId="0" applyFont="1" applyAlignment="1">
      <alignment vertical="center"/>
    </xf>
    <xf numFmtId="3" fontId="31" fillId="2" borderId="1" xfId="0" applyFont="1" applyFill="1" applyBorder="1" applyAlignment="1">
      <alignment horizontal="right" vertical="center"/>
    </xf>
    <xf numFmtId="3" fontId="17" fillId="2" borderId="1" xfId="0" applyFont="1" applyFill="1" applyBorder="1" applyAlignment="1">
      <alignment horizontal="right" vertical="center"/>
    </xf>
    <xf numFmtId="3" fontId="9" fillId="10" borderId="8" xfId="0" applyFont="1" applyFill="1" applyBorder="1" applyAlignment="1">
      <alignment horizontal="center" vertical="center" wrapText="1"/>
    </xf>
    <xf numFmtId="3" fontId="9" fillId="10" borderId="8" xfId="0" applyNumberFormat="1" applyFont="1" applyFill="1" applyBorder="1" applyAlignment="1">
      <alignment horizontal="center" vertical="center" wrapText="1"/>
    </xf>
    <xf numFmtId="3" fontId="5" fillId="0" borderId="8" xfId="0" applyFont="1" applyFill="1" applyBorder="1" applyAlignment="1">
      <alignment horizontal="center" vertical="center" wrapText="1"/>
    </xf>
    <xf numFmtId="3" fontId="5" fillId="0" borderId="8" xfId="0" applyNumberFormat="1" applyFont="1" applyFill="1" applyBorder="1" applyAlignment="1">
      <alignment horizontal="center" vertical="center" wrapText="1"/>
    </xf>
    <xf numFmtId="3" fontId="9" fillId="6" borderId="8" xfId="0" applyFont="1" applyFill="1" applyBorder="1" applyAlignment="1">
      <alignment horizontal="center" vertical="center" wrapText="1"/>
    </xf>
    <xf numFmtId="3" fontId="9" fillId="6" borderId="8" xfId="0" applyFont="1" applyFill="1" applyBorder="1" applyAlignment="1">
      <alignment horizontal="center" vertical="center"/>
    </xf>
    <xf numFmtId="3" fontId="9" fillId="6" borderId="8" xfId="0" applyNumberFormat="1" applyFont="1" applyFill="1" applyBorder="1" applyAlignment="1">
      <alignment horizontal="center" vertical="center"/>
    </xf>
    <xf numFmtId="3" fontId="5" fillId="0" borderId="7" xfId="0" applyFont="1" applyFill="1" applyBorder="1" applyAlignment="1">
      <alignment horizontal="left" vertical="center"/>
    </xf>
    <xf numFmtId="3" fontId="29" fillId="0" borderId="0" xfId="0" applyFont="1" applyAlignment="1">
      <alignment horizontal="center" vertical="center"/>
    </xf>
    <xf numFmtId="3" fontId="5" fillId="2" borderId="7" xfId="0" applyFont="1" applyFill="1" applyBorder="1" applyAlignment="1">
      <alignment vertical="center" wrapText="1"/>
    </xf>
    <xf numFmtId="3" fontId="11" fillId="0" borderId="0" xfId="0" applyFont="1" applyAlignment="1">
      <alignment horizontal="center"/>
    </xf>
    <xf numFmtId="3" fontId="16" fillId="0" borderId="1" xfId="0" applyFont="1" applyBorder="1" applyAlignment="1">
      <alignment horizontal="right" vertical="center"/>
    </xf>
    <xf numFmtId="3" fontId="20" fillId="0" borderId="1" xfId="0" applyFont="1" applyBorder="1" applyAlignment="1">
      <alignment horizontal="right" vertical="center"/>
    </xf>
    <xf numFmtId="3" fontId="20" fillId="14" borderId="1" xfId="0" applyFont="1" applyFill="1" applyBorder="1" applyAlignment="1">
      <alignment horizontal="center" vertical="center"/>
    </xf>
    <xf numFmtId="3" fontId="20" fillId="14" borderId="1" xfId="0" applyFont="1" applyFill="1" applyBorder="1" applyAlignment="1">
      <alignment horizontal="center" vertical="center" wrapText="1"/>
    </xf>
    <xf numFmtId="3" fontId="16" fillId="14" borderId="1" xfId="0" applyFont="1" applyFill="1" applyBorder="1" applyAlignment="1">
      <alignment horizontal="center" vertical="center"/>
    </xf>
    <xf numFmtId="3" fontId="16" fillId="14" borderId="1" xfId="0" applyFont="1" applyFill="1" applyBorder="1" applyAlignment="1">
      <alignment horizontal="center" vertical="center" wrapText="1"/>
    </xf>
    <xf numFmtId="3" fontId="16" fillId="13" borderId="0" xfId="0" applyFont="1" applyFill="1" applyBorder="1" applyAlignment="1">
      <alignment horizontal="center" vertical="center"/>
    </xf>
    <xf numFmtId="3" fontId="16" fillId="13" borderId="0" xfId="0" applyFont="1" applyFill="1" applyBorder="1" applyAlignment="1">
      <alignment horizontal="left" vertical="center" wrapText="1"/>
    </xf>
    <xf numFmtId="3" fontId="16" fillId="13" borderId="0" xfId="0" applyFont="1" applyFill="1" applyBorder="1" applyAlignment="1">
      <alignment vertical="center" wrapText="1"/>
    </xf>
    <xf numFmtId="3" fontId="12" fillId="0" borderId="0" xfId="0" applyFont="1"/>
    <xf numFmtId="3" fontId="16" fillId="14" borderId="1" xfId="0" applyFont="1" applyFill="1" applyBorder="1" applyAlignment="1">
      <alignment vertical="center" wrapText="1"/>
    </xf>
    <xf numFmtId="3" fontId="17" fillId="0" borderId="1" xfId="0" applyFont="1" applyBorder="1" applyAlignment="1">
      <alignment horizontal="center" vertical="center" wrapText="1"/>
    </xf>
    <xf numFmtId="3" fontId="19" fillId="0" borderId="1" xfId="0" applyFont="1" applyBorder="1" applyAlignment="1">
      <alignment vertical="center" wrapText="1"/>
    </xf>
    <xf numFmtId="3" fontId="19" fillId="0" borderId="1" xfId="0" applyFont="1" applyBorder="1" applyAlignment="1">
      <alignment vertical="center"/>
    </xf>
    <xf numFmtId="3" fontId="16" fillId="2" borderId="1" xfId="0" applyFont="1" applyFill="1" applyBorder="1" applyAlignment="1">
      <alignment horizontal="right" vertical="center" wrapText="1"/>
    </xf>
    <xf numFmtId="3" fontId="16" fillId="4" borderId="1" xfId="0" applyFont="1" applyFill="1" applyBorder="1" applyAlignment="1">
      <alignment vertical="center" wrapText="1"/>
    </xf>
    <xf numFmtId="3" fontId="12" fillId="0" borderId="0" xfId="0" applyFont="1" applyBorder="1" applyAlignment="1">
      <alignment horizontal="center"/>
    </xf>
    <xf numFmtId="1" fontId="17" fillId="2" borderId="1" xfId="0" applyNumberFormat="1" applyFont="1" applyFill="1" applyBorder="1" applyAlignment="1">
      <alignment horizontal="center" vertical="center" wrapText="1"/>
    </xf>
    <xf numFmtId="1" fontId="20"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1" fontId="16" fillId="14" borderId="1" xfId="0" applyNumberFormat="1" applyFont="1" applyFill="1" applyBorder="1" applyAlignment="1">
      <alignment horizontal="center" vertical="center" wrapText="1"/>
    </xf>
    <xf numFmtId="1" fontId="16" fillId="13" borderId="0" xfId="0" applyNumberFormat="1" applyFont="1" applyFill="1" applyBorder="1" applyAlignment="1">
      <alignment horizontal="center" vertical="center" wrapText="1"/>
    </xf>
    <xf numFmtId="1" fontId="17" fillId="4" borderId="1" xfId="0" applyNumberFormat="1" applyFont="1" applyFill="1" applyBorder="1" applyAlignment="1">
      <alignment horizontal="center" vertical="center" wrapText="1"/>
    </xf>
    <xf numFmtId="3" fontId="17" fillId="4" borderId="1" xfId="0" applyFont="1" applyFill="1" applyBorder="1" applyAlignment="1">
      <alignment horizontal="center" vertical="center" wrapText="1"/>
    </xf>
    <xf numFmtId="3" fontId="17" fillId="2" borderId="1" xfId="0" applyFont="1" applyFill="1" applyBorder="1" applyAlignment="1">
      <alignment horizontal="center" vertical="center" wrapText="1"/>
    </xf>
    <xf numFmtId="3" fontId="33" fillId="13" borderId="1" xfId="0" applyFont="1" applyFill="1" applyBorder="1" applyAlignment="1">
      <alignment horizontal="right" vertical="center"/>
    </xf>
    <xf numFmtId="1" fontId="33" fillId="13" borderId="1" xfId="0" applyNumberFormat="1" applyFont="1" applyFill="1" applyBorder="1" applyAlignment="1">
      <alignment horizontal="right" vertical="center"/>
    </xf>
    <xf numFmtId="3" fontId="20" fillId="13" borderId="1" xfId="0" applyFont="1" applyFill="1" applyBorder="1" applyAlignment="1">
      <alignment horizontal="right" vertical="center" wrapText="1"/>
    </xf>
    <xf numFmtId="3" fontId="33" fillId="13" borderId="1" xfId="0" applyFont="1" applyFill="1" applyBorder="1" applyAlignment="1">
      <alignment horizontal="right" vertical="center" wrapText="1"/>
    </xf>
    <xf numFmtId="3" fontId="32" fillId="13" borderId="1" xfId="0" applyFont="1" applyFill="1" applyBorder="1" applyAlignment="1">
      <alignment horizontal="right" vertical="center"/>
    </xf>
    <xf numFmtId="1" fontId="32" fillId="13" borderId="1" xfId="0" applyNumberFormat="1" applyFont="1" applyFill="1" applyBorder="1" applyAlignment="1">
      <alignment horizontal="center" vertical="center"/>
    </xf>
    <xf numFmtId="3" fontId="32" fillId="13" borderId="1" xfId="0" applyFont="1" applyFill="1" applyBorder="1" applyAlignment="1">
      <alignment horizontal="right" vertical="center" wrapText="1"/>
    </xf>
    <xf numFmtId="3" fontId="19" fillId="13" borderId="1" xfId="0" applyFont="1" applyFill="1" applyBorder="1" applyAlignment="1">
      <alignment horizontal="center" vertical="center"/>
    </xf>
    <xf numFmtId="3" fontId="20" fillId="13" borderId="1" xfId="0" applyFont="1" applyFill="1" applyBorder="1" applyAlignment="1">
      <alignment horizontal="center" vertical="center"/>
    </xf>
    <xf numFmtId="3" fontId="1" fillId="0" borderId="0" xfId="0" applyFont="1" applyAlignment="1">
      <alignment horizontal="left" vertical="center"/>
    </xf>
    <xf numFmtId="3" fontId="1" fillId="0" borderId="0" xfId="0" applyFont="1" applyAlignment="1">
      <alignment horizontal="right" vertical="center" wrapText="1"/>
    </xf>
    <xf numFmtId="3" fontId="1" fillId="0" borderId="0" xfId="0" applyFont="1" applyAlignment="1">
      <alignment horizontal="left" vertical="center" wrapText="1"/>
    </xf>
    <xf numFmtId="3" fontId="2" fillId="0" borderId="2" xfId="0" applyFont="1" applyBorder="1" applyAlignment="1">
      <alignment horizontal="left" vertical="center" wrapText="1"/>
    </xf>
    <xf numFmtId="3" fontId="1" fillId="2" borderId="0" xfId="0" applyFont="1" applyFill="1" applyAlignment="1">
      <alignment horizontal="left" vertical="top" wrapText="1"/>
    </xf>
    <xf numFmtId="3" fontId="2" fillId="0" borderId="0" xfId="0" applyFont="1" applyAlignment="1">
      <alignment horizontal="center" vertical="center" wrapText="1"/>
    </xf>
    <xf numFmtId="3" fontId="1" fillId="0" borderId="2" xfId="0" applyFont="1" applyBorder="1" applyAlignment="1">
      <alignment horizontal="left" vertical="center" wrapText="1"/>
    </xf>
    <xf numFmtId="3" fontId="1" fillId="0" borderId="0" xfId="0" applyFont="1" applyAlignment="1">
      <alignment horizontal="left" vertical="top" wrapText="1"/>
    </xf>
    <xf numFmtId="3" fontId="1" fillId="0" borderId="0" xfId="0" applyFont="1" applyBorder="1" applyAlignment="1">
      <alignment horizontal="left" vertical="center" wrapText="1"/>
    </xf>
    <xf numFmtId="3" fontId="1" fillId="0" borderId="0" xfId="0" applyFont="1" applyBorder="1" applyAlignment="1">
      <alignment horizontal="left" vertical="center"/>
    </xf>
    <xf numFmtId="3" fontId="1" fillId="0" borderId="0" xfId="0" applyFont="1" applyBorder="1" applyAlignment="1">
      <alignment horizontal="left" vertical="top" wrapText="1"/>
    </xf>
    <xf numFmtId="3" fontId="1" fillId="2" borderId="0" xfId="0" applyFont="1" applyFill="1" applyBorder="1" applyAlignment="1">
      <alignment horizontal="left" vertical="center" wrapText="1"/>
    </xf>
    <xf numFmtId="3" fontId="1" fillId="0" borderId="0" xfId="0" applyFont="1" applyBorder="1" applyAlignment="1">
      <alignment horizontal="left" wrapText="1"/>
    </xf>
    <xf numFmtId="3" fontId="2" fillId="0" borderId="0" xfId="0" applyFont="1" applyAlignment="1">
      <alignment horizontal="left" vertical="center" wrapText="1"/>
    </xf>
    <xf numFmtId="3" fontId="29" fillId="0" borderId="0" xfId="0" applyFont="1" applyAlignment="1">
      <alignment horizontal="left" vertical="center"/>
    </xf>
    <xf numFmtId="3" fontId="29" fillId="0" borderId="11" xfId="0" applyFont="1" applyBorder="1" applyAlignment="1">
      <alignment horizontal="center" vertical="center" wrapText="1"/>
    </xf>
    <xf numFmtId="3" fontId="29" fillId="0" borderId="11" xfId="0" applyFont="1" applyBorder="1" applyAlignment="1">
      <alignment horizontal="center" vertical="center"/>
    </xf>
    <xf numFmtId="3" fontId="5" fillId="0" borderId="0" xfId="0" applyFont="1" applyFill="1" applyBorder="1" applyAlignment="1">
      <alignment horizontal="left" vertical="center" wrapText="1"/>
    </xf>
    <xf numFmtId="3" fontId="5" fillId="0" borderId="4" xfId="0" applyFont="1" applyFill="1" applyBorder="1" applyAlignment="1">
      <alignment horizontal="center" vertical="center"/>
    </xf>
    <xf numFmtId="3" fontId="5" fillId="0" borderId="5" xfId="0" applyFont="1" applyFill="1" applyBorder="1" applyAlignment="1">
      <alignment horizontal="center" vertical="center"/>
    </xf>
    <xf numFmtId="3" fontId="5" fillId="0" borderId="6" xfId="0" applyFont="1" applyFill="1" applyBorder="1" applyAlignment="1">
      <alignment horizontal="center" vertical="center"/>
    </xf>
    <xf numFmtId="3" fontId="5" fillId="0" borderId="0" xfId="0" applyFont="1" applyBorder="1" applyAlignment="1">
      <alignment horizontal="left" vertical="center" wrapText="1"/>
    </xf>
    <xf numFmtId="3" fontId="29" fillId="0" borderId="12" xfId="0" applyFont="1" applyBorder="1" applyAlignment="1">
      <alignment horizontal="center" vertical="center" wrapText="1"/>
    </xf>
    <xf numFmtId="3" fontId="29" fillId="0" borderId="12" xfId="0" applyFont="1" applyBorder="1" applyAlignment="1">
      <alignment horizontal="center" vertical="center"/>
    </xf>
    <xf numFmtId="3" fontId="5" fillId="0" borderId="8" xfId="0" applyFont="1" applyBorder="1" applyAlignment="1">
      <alignment horizontal="center" vertical="center"/>
    </xf>
    <xf numFmtId="3" fontId="5" fillId="0" borderId="9" xfId="0" applyFont="1" applyBorder="1" applyAlignment="1">
      <alignment horizontal="center" vertical="center"/>
    </xf>
    <xf numFmtId="3" fontId="5" fillId="0" borderId="10" xfId="0" applyFont="1" applyBorder="1" applyAlignment="1">
      <alignment horizontal="center" vertical="center"/>
    </xf>
    <xf numFmtId="3" fontId="5" fillId="0" borderId="0" xfId="0" applyFont="1" applyAlignment="1">
      <alignment horizontal="left" vertical="center" wrapText="1"/>
    </xf>
    <xf numFmtId="3" fontId="12" fillId="0" borderId="2" xfId="0" applyFont="1" applyBorder="1" applyAlignment="1">
      <alignment horizontal="center"/>
    </xf>
  </cellXfs>
  <cellStyles count="1">
    <cellStyle name="Normal" xfId="0" builtinId="0" customBuiltin="1"/>
  </cellStyles>
  <dxfs count="0"/>
  <tableStyles count="0" defaultTableStyle="TableStyleMedium2" defaultPivotStyle="PivotStyleMedium9"/>
  <colors>
    <mruColors>
      <color rgb="FFFFFFCC"/>
      <color rgb="FFFFFF99"/>
      <color rgb="FFAFDC7E"/>
      <color rgb="FFD1B9CA"/>
      <color rgb="FFE9A1DA"/>
      <color rgb="FFB5E5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O31"/>
  <sheetViews>
    <sheetView tabSelected="1" zoomScale="80" zoomScaleNormal="80" workbookViewId="0">
      <pane ySplit="5" topLeftCell="A6" activePane="bottomLeft" state="frozen"/>
      <selection pane="bottomLeft" activeCell="B1" sqref="B1"/>
    </sheetView>
  </sheetViews>
  <sheetFormatPr defaultColWidth="9.1796875" defaultRowHeight="13" x14ac:dyDescent="0.3"/>
  <cols>
    <col min="1" max="1" width="9.54296875" style="21" customWidth="1"/>
    <col min="2" max="2" width="12.1796875" style="21" customWidth="1"/>
    <col min="3" max="3" width="61.7265625" style="21" customWidth="1"/>
    <col min="4" max="4" width="11.7265625" style="24" customWidth="1"/>
    <col min="5" max="5" width="11.1796875" style="24" customWidth="1"/>
    <col min="6" max="6" width="13" style="24" customWidth="1"/>
    <col min="7" max="8" width="11.7265625" style="24" customWidth="1"/>
    <col min="9" max="9" width="11.54296875" style="21" customWidth="1"/>
    <col min="10" max="16384" width="9.1796875" style="21"/>
  </cols>
  <sheetData>
    <row r="1" spans="1:15" ht="56.5" customHeight="1" x14ac:dyDescent="0.3">
      <c r="D1" s="208" t="s">
        <v>206</v>
      </c>
      <c r="E1" s="208"/>
      <c r="F1" s="208"/>
      <c r="G1" s="208"/>
      <c r="H1" s="208"/>
      <c r="I1" s="208"/>
    </row>
    <row r="2" spans="1:15" s="25" customFormat="1" ht="23.25" customHeight="1" x14ac:dyDescent="0.3">
      <c r="A2" s="209" t="s">
        <v>81</v>
      </c>
      <c r="B2" s="209"/>
      <c r="C2" s="209"/>
      <c r="D2" s="40"/>
      <c r="E2" s="40"/>
      <c r="F2" s="40"/>
      <c r="G2" s="40"/>
      <c r="I2" s="27" t="s">
        <v>85</v>
      </c>
    </row>
    <row r="3" spans="1:15" ht="20.25" customHeight="1" x14ac:dyDescent="0.3">
      <c r="A3" s="210" t="s">
        <v>221</v>
      </c>
      <c r="B3" s="210"/>
      <c r="C3" s="210"/>
      <c r="M3" s="52"/>
      <c r="N3" s="52"/>
      <c r="O3" s="52"/>
    </row>
    <row r="4" spans="1:15" s="6" customFormat="1" ht="48" customHeight="1" x14ac:dyDescent="0.3">
      <c r="A4" s="13" t="s">
        <v>5</v>
      </c>
      <c r="B4" s="3" t="s">
        <v>7</v>
      </c>
      <c r="C4" s="13" t="s">
        <v>6</v>
      </c>
      <c r="D4" s="7" t="s">
        <v>86</v>
      </c>
      <c r="E4" s="7" t="s">
        <v>74</v>
      </c>
      <c r="F4" s="7" t="s">
        <v>87</v>
      </c>
      <c r="G4" s="7" t="s">
        <v>75</v>
      </c>
      <c r="H4" s="7" t="s">
        <v>88</v>
      </c>
      <c r="I4" s="7" t="s">
        <v>76</v>
      </c>
    </row>
    <row r="5" spans="1:15" s="23" customFormat="1" ht="19.5" customHeight="1" x14ac:dyDescent="0.3">
      <c r="A5" s="149"/>
      <c r="B5" s="149"/>
      <c r="C5" s="149" t="s">
        <v>80</v>
      </c>
      <c r="D5" s="149">
        <v>84</v>
      </c>
      <c r="E5" s="149">
        <v>100</v>
      </c>
      <c r="F5" s="149">
        <v>60</v>
      </c>
      <c r="G5" s="149">
        <v>100</v>
      </c>
      <c r="H5" s="149">
        <v>40</v>
      </c>
      <c r="I5" s="150">
        <v>100</v>
      </c>
    </row>
    <row r="6" spans="1:15" s="22" customFormat="1" ht="9" customHeight="1" x14ac:dyDescent="0.3">
      <c r="A6" s="3"/>
      <c r="B6" s="42"/>
      <c r="C6" s="42"/>
      <c r="D6" s="43"/>
      <c r="E6" s="43"/>
      <c r="F6" s="43"/>
      <c r="G6" s="43"/>
      <c r="H6" s="43"/>
      <c r="I6" s="44"/>
    </row>
    <row r="7" spans="1:15" s="25" customFormat="1" ht="33.75" customHeight="1" x14ac:dyDescent="0.3">
      <c r="A7" s="13" t="s">
        <v>42</v>
      </c>
      <c r="B7" s="13" t="s">
        <v>8</v>
      </c>
      <c r="C7" s="59" t="s">
        <v>77</v>
      </c>
      <c r="D7" s="2">
        <f t="shared" ref="D7:I7" si="0">D8+D17</f>
        <v>933016</v>
      </c>
      <c r="E7" s="2">
        <f t="shared" si="0"/>
        <v>1670935</v>
      </c>
      <c r="F7" s="2">
        <f t="shared" si="0"/>
        <v>666440</v>
      </c>
      <c r="G7" s="2">
        <f t="shared" si="0"/>
        <v>1670935</v>
      </c>
      <c r="H7" s="2">
        <f t="shared" si="0"/>
        <v>444294</v>
      </c>
      <c r="I7" s="2">
        <f t="shared" si="0"/>
        <v>1670935</v>
      </c>
    </row>
    <row r="8" spans="1:15" s="25" customFormat="1" ht="25.5" customHeight="1" x14ac:dyDescent="0.3">
      <c r="A8" s="12" t="s">
        <v>3</v>
      </c>
      <c r="B8" s="12" t="s">
        <v>9</v>
      </c>
      <c r="C8" s="54" t="s">
        <v>79</v>
      </c>
      <c r="D8" s="58">
        <f t="shared" ref="D8:I8" si="1">D9+D10+D11+D12+D13+D14+D15+D16</f>
        <v>194365</v>
      </c>
      <c r="E8" s="58">
        <f t="shared" si="1"/>
        <v>357919</v>
      </c>
      <c r="F8" s="58">
        <f t="shared" si="1"/>
        <v>138832</v>
      </c>
      <c r="G8" s="58">
        <f t="shared" si="1"/>
        <v>357919</v>
      </c>
      <c r="H8" s="58">
        <f t="shared" si="1"/>
        <v>92555</v>
      </c>
      <c r="I8" s="58">
        <f t="shared" si="1"/>
        <v>357919</v>
      </c>
    </row>
    <row r="9" spans="1:15" s="38" customFormat="1" ht="116.15" customHeight="1" x14ac:dyDescent="0.3">
      <c r="A9" s="3" t="s">
        <v>11</v>
      </c>
      <c r="B9" s="3" t="s">
        <v>10</v>
      </c>
      <c r="C9" s="5" t="s">
        <v>99</v>
      </c>
      <c r="D9" s="13">
        <f>ROUND((2300+554.07+42.59+0.36)*12*(2/100*D5),0)</f>
        <v>58404</v>
      </c>
      <c r="E9" s="13">
        <f>ROUND((2484+598.4+42.59+0.36)*12*(0.03*E5),0)</f>
        <v>112513</v>
      </c>
      <c r="F9" s="13">
        <f t="shared" ref="F9:H9" si="2">ROUND((2300+554.07+42.59+0.36)*12*(2/100*F5),0)</f>
        <v>41717</v>
      </c>
      <c r="G9" s="13">
        <f>ROUND((2484+598.4+42.59+0.36)*12*(0.03*G5),0)</f>
        <v>112513</v>
      </c>
      <c r="H9" s="13">
        <f t="shared" si="2"/>
        <v>27811</v>
      </c>
      <c r="I9" s="13">
        <f>ROUND((2484+598.4+42.59+0.36)*12*(0.03*I5),0)</f>
        <v>112513</v>
      </c>
    </row>
    <row r="10" spans="1:15" s="38" customFormat="1" ht="180.75" customHeight="1" x14ac:dyDescent="0.3">
      <c r="A10" s="3" t="s">
        <v>13</v>
      </c>
      <c r="B10" s="3" t="s">
        <v>12</v>
      </c>
      <c r="C10" s="5" t="s">
        <v>94</v>
      </c>
      <c r="D10" s="13">
        <f>ROUND(((D5*0.1*(72*2)/40*12)+(1*D5*0.1*12))*0.44,0)</f>
        <v>204</v>
      </c>
      <c r="E10" s="13">
        <f>ROUND(((E5*0.1*(72*2)/40*12)+(1*E5*0.1*12))*0.44,0)</f>
        <v>243</v>
      </c>
      <c r="F10" s="13">
        <f>ROUND(((F5*0.1*(72*2)/40*12)+(1*F5*0.1*12))*0.44,0)</f>
        <v>146</v>
      </c>
      <c r="G10" s="13">
        <f t="shared" ref="G10:I10" si="3">ROUND(((G5*0.1*(72*2)/40*12)+(1*G5*0.1*12))*0.44,0)</f>
        <v>243</v>
      </c>
      <c r="H10" s="13">
        <f t="shared" si="3"/>
        <v>97</v>
      </c>
      <c r="I10" s="13">
        <f t="shared" si="3"/>
        <v>243</v>
      </c>
    </row>
    <row r="11" spans="1:15" s="38" customFormat="1" ht="93" customHeight="1" x14ac:dyDescent="0.3">
      <c r="A11" s="3" t="s">
        <v>14</v>
      </c>
      <c r="B11" s="3" t="s">
        <v>12</v>
      </c>
      <c r="C11" s="50" t="s">
        <v>95</v>
      </c>
      <c r="D11" s="2">
        <f>ROUND((770*2/3)/100*D5,0)</f>
        <v>431</v>
      </c>
      <c r="E11" s="2">
        <f>ROUND((770*3/3)/100*E5,0)</f>
        <v>770</v>
      </c>
      <c r="F11" s="2">
        <f t="shared" ref="F11:H11" si="4">ROUND((770*2/3)/100*F5,0)</f>
        <v>308</v>
      </c>
      <c r="G11" s="2">
        <f>ROUND((770*3/3)/100*G5,0)</f>
        <v>770</v>
      </c>
      <c r="H11" s="2">
        <f t="shared" si="4"/>
        <v>205</v>
      </c>
      <c r="I11" s="2">
        <f>ROUND((770*3/3)/100*I5,0)</f>
        <v>770</v>
      </c>
    </row>
    <row r="12" spans="1:15" s="38" customFormat="1" ht="120" customHeight="1" x14ac:dyDescent="0.3">
      <c r="A12" s="3" t="s">
        <v>15</v>
      </c>
      <c r="B12" s="3" t="s">
        <v>12</v>
      </c>
      <c r="C12" s="50" t="s">
        <v>96</v>
      </c>
      <c r="D12" s="13">
        <f>ROUND(D5*0.1*72*2*12*0.13,0)</f>
        <v>1887</v>
      </c>
      <c r="E12" s="13">
        <f>ROUND(E5*0.1*72*2*12*0.23,0)</f>
        <v>3974</v>
      </c>
      <c r="F12" s="13">
        <f>ROUND(F5*0.1*72*2*12*0.13,0)</f>
        <v>1348</v>
      </c>
      <c r="G12" s="13">
        <f>ROUND(G5*0.1*72*2*12*0.23,0)</f>
        <v>3974</v>
      </c>
      <c r="H12" s="13">
        <f>ROUND(H5*0.1*72*2*12*0.13,0)</f>
        <v>899</v>
      </c>
      <c r="I12" s="13">
        <f>ROUND(I5*0.1*72*2*12*0.23,0)</f>
        <v>3974</v>
      </c>
      <c r="J12" s="6"/>
    </row>
    <row r="13" spans="1:15" s="39" customFormat="1" ht="90" customHeight="1" x14ac:dyDescent="0.3">
      <c r="A13" s="55" t="s">
        <v>16</v>
      </c>
      <c r="B13" s="55" t="s">
        <v>19</v>
      </c>
      <c r="C13" s="4" t="s">
        <v>104</v>
      </c>
      <c r="D13" s="56">
        <f>ROUND((D9+D10+D11+D12+D17)/100*5.66,0)</f>
        <v>45256</v>
      </c>
      <c r="E13" s="56">
        <f>ROUND((E9+E10+E11+E12+E17)/100*5.66,0)</f>
        <v>80967</v>
      </c>
      <c r="F13" s="56">
        <f t="shared" ref="F13:H13" si="5">ROUND((F9+F10+F11+F12+F17)/100*5.66,0)</f>
        <v>32326</v>
      </c>
      <c r="G13" s="56">
        <f>ROUND((G9+G10+G11+G12+G17)/100*5.66,0)</f>
        <v>80967</v>
      </c>
      <c r="H13" s="56">
        <f t="shared" si="5"/>
        <v>21551</v>
      </c>
      <c r="I13" s="56">
        <f>ROUND((I9+I10+I11+I12+I17)/100*5.66,0)</f>
        <v>80967</v>
      </c>
    </row>
    <row r="14" spans="1:15" s="39" customFormat="1" ht="79.5" customHeight="1" x14ac:dyDescent="0.3">
      <c r="A14" s="3" t="s">
        <v>17</v>
      </c>
      <c r="B14" s="3" t="s">
        <v>20</v>
      </c>
      <c r="C14" s="51" t="s">
        <v>97</v>
      </c>
      <c r="D14" s="2">
        <f>ROUND(D9/100*18.53,0)</f>
        <v>10822</v>
      </c>
      <c r="E14" s="2">
        <f t="shared" ref="E14:I14" si="6">ROUND(E9/100*18.53,0)</f>
        <v>20849</v>
      </c>
      <c r="F14" s="2">
        <f t="shared" si="6"/>
        <v>7730</v>
      </c>
      <c r="G14" s="2">
        <f t="shared" si="6"/>
        <v>20849</v>
      </c>
      <c r="H14" s="2">
        <f t="shared" si="6"/>
        <v>5153</v>
      </c>
      <c r="I14" s="2">
        <f t="shared" si="6"/>
        <v>20849</v>
      </c>
    </row>
    <row r="15" spans="1:15" s="39" customFormat="1" ht="88.5" customHeight="1" x14ac:dyDescent="0.3">
      <c r="A15" s="3" t="s">
        <v>18</v>
      </c>
      <c r="B15" s="3" t="s">
        <v>22</v>
      </c>
      <c r="C15" s="57" t="s">
        <v>105</v>
      </c>
      <c r="D15" s="56">
        <f>ROUND((D9+D10+D11+D12++D13+D14+D17)/100*8.811,0)</f>
        <v>75392</v>
      </c>
      <c r="E15" s="56">
        <f>ROUND((E9+E10+E11+E12++E13+E14+E17)/100*8.811,0)</f>
        <v>135014</v>
      </c>
      <c r="F15" s="56">
        <f t="shared" ref="F15:I15" si="7">ROUND((F9+F10+F11+F12++F13+F14+F17)/100*8.811,0)</f>
        <v>53851</v>
      </c>
      <c r="G15" s="56">
        <f t="shared" si="7"/>
        <v>135014</v>
      </c>
      <c r="H15" s="56">
        <f t="shared" si="7"/>
        <v>35901</v>
      </c>
      <c r="I15" s="56">
        <f t="shared" si="7"/>
        <v>135014</v>
      </c>
    </row>
    <row r="16" spans="1:15" s="39" customFormat="1" ht="69.75" customHeight="1" x14ac:dyDescent="0.3">
      <c r="A16" s="3" t="s">
        <v>21</v>
      </c>
      <c r="B16" s="3" t="s">
        <v>23</v>
      </c>
      <c r="C16" s="51" t="s">
        <v>106</v>
      </c>
      <c r="D16" s="56">
        <f t="shared" ref="D16:H16" si="8">ROUND((D10+D11+D12+D13+D14)*0.21*0.16,0)</f>
        <v>1969</v>
      </c>
      <c r="E16" s="56">
        <f>ROUND((E10+E11+E12+E13+E14)*0.21*0.16,0)</f>
        <v>3589</v>
      </c>
      <c r="F16" s="56">
        <f t="shared" si="8"/>
        <v>1406</v>
      </c>
      <c r="G16" s="56">
        <f>ROUND((G10+G11+G12+G13+G14)*0.21*0.16,0)</f>
        <v>3589</v>
      </c>
      <c r="H16" s="56">
        <f t="shared" si="8"/>
        <v>938</v>
      </c>
      <c r="I16" s="56">
        <f>ROUND((I10+I11+I12+I13+I14)*0.21*0.16,0)</f>
        <v>3589</v>
      </c>
    </row>
    <row r="17" spans="1:10" s="25" customFormat="1" ht="30.75" customHeight="1" x14ac:dyDescent="0.3">
      <c r="A17" s="12" t="s">
        <v>24</v>
      </c>
      <c r="B17" s="12" t="s">
        <v>25</v>
      </c>
      <c r="C17" s="54" t="s">
        <v>78</v>
      </c>
      <c r="D17" s="12">
        <f t="shared" ref="D17:I17" si="9">D18+D19+D20+D21+D22+D23</f>
        <v>738651</v>
      </c>
      <c r="E17" s="12">
        <f t="shared" si="9"/>
        <v>1313016</v>
      </c>
      <c r="F17" s="12">
        <f t="shared" si="9"/>
        <v>527608</v>
      </c>
      <c r="G17" s="12">
        <f>G18+G19+G20+G21+G22+G23</f>
        <v>1313016</v>
      </c>
      <c r="H17" s="12">
        <f t="shared" si="9"/>
        <v>351739</v>
      </c>
      <c r="I17" s="12">
        <f t="shared" si="9"/>
        <v>1313016</v>
      </c>
    </row>
    <row r="18" spans="1:10" s="38" customFormat="1" ht="82.5" customHeight="1" x14ac:dyDescent="0.3">
      <c r="A18" s="3" t="s">
        <v>26</v>
      </c>
      <c r="B18" s="3" t="s">
        <v>27</v>
      </c>
      <c r="C18" s="5" t="s">
        <v>98</v>
      </c>
      <c r="D18" s="13">
        <f t="shared" ref="D18:H18" si="10">ROUND((0.13471*90*12*D5)+(2.37*12*D5),0)</f>
        <v>14610</v>
      </c>
      <c r="E18" s="13">
        <f>ROUND((0.44442*90*12*E5)+(2.15*12*E5),0)</f>
        <v>50577</v>
      </c>
      <c r="F18" s="13">
        <f t="shared" si="10"/>
        <v>10436</v>
      </c>
      <c r="G18" s="13">
        <f>ROUND((0.44442*90*12*G5)+(2.15*12*G5),0)</f>
        <v>50577</v>
      </c>
      <c r="H18" s="13">
        <f t="shared" si="10"/>
        <v>6957</v>
      </c>
      <c r="I18" s="13">
        <f>ROUND((0.44442*90*12*I5)+(2.15*12*I5),0)</f>
        <v>50577</v>
      </c>
    </row>
    <row r="19" spans="1:10" s="38" customFormat="1" ht="81.75" customHeight="1" x14ac:dyDescent="0.3">
      <c r="A19" s="3" t="s">
        <v>29</v>
      </c>
      <c r="B19" s="3" t="s">
        <v>28</v>
      </c>
      <c r="C19" s="5" t="s">
        <v>100</v>
      </c>
      <c r="D19" s="13">
        <f>ROUND(1600*D5,0)</f>
        <v>134400</v>
      </c>
      <c r="E19" s="13">
        <f>ROUND(1600*E5,0)</f>
        <v>160000</v>
      </c>
      <c r="F19" s="13">
        <f t="shared" ref="F19:H19" si="11">ROUND(1600*F5,0)</f>
        <v>96000</v>
      </c>
      <c r="G19" s="13">
        <f>ROUND(1600*G5,0)</f>
        <v>160000</v>
      </c>
      <c r="H19" s="13">
        <f t="shared" si="11"/>
        <v>64000</v>
      </c>
      <c r="I19" s="13">
        <f>ROUND(1600*I5,0)</f>
        <v>160000</v>
      </c>
      <c r="J19" s="6"/>
    </row>
    <row r="20" spans="1:10" s="38" customFormat="1" ht="79.5" customHeight="1" x14ac:dyDescent="0.3">
      <c r="A20" s="3" t="s">
        <v>31</v>
      </c>
      <c r="B20" s="3" t="s">
        <v>30</v>
      </c>
      <c r="C20" s="5" t="s">
        <v>101</v>
      </c>
      <c r="D20" s="13">
        <f>ROUND(57.77*12*D5,0)</f>
        <v>58232</v>
      </c>
      <c r="E20" s="13">
        <f>ROUND(57.77*12*E5,0)</f>
        <v>69324</v>
      </c>
      <c r="F20" s="13">
        <f t="shared" ref="F20:H20" si="12">ROUND(57.77*12*F5,0)</f>
        <v>41594</v>
      </c>
      <c r="G20" s="13">
        <f>ROUND(57.77*12*G5,0)</f>
        <v>69324</v>
      </c>
      <c r="H20" s="13">
        <f t="shared" si="12"/>
        <v>27730</v>
      </c>
      <c r="I20" s="13">
        <f>ROUND(57.77*12*I5,0)</f>
        <v>69324</v>
      </c>
    </row>
    <row r="21" spans="1:10" s="38" customFormat="1" ht="81.75" customHeight="1" x14ac:dyDescent="0.3">
      <c r="A21" s="3" t="s">
        <v>32</v>
      </c>
      <c r="B21" s="3" t="s">
        <v>33</v>
      </c>
      <c r="C21" s="50" t="s">
        <v>102</v>
      </c>
      <c r="D21" s="13">
        <f t="shared" ref="D21:I21" si="13">ROUND(9.67*12*D5,0)</f>
        <v>9747</v>
      </c>
      <c r="E21" s="13">
        <f t="shared" si="13"/>
        <v>11604</v>
      </c>
      <c r="F21" s="13">
        <f t="shared" si="13"/>
        <v>6962</v>
      </c>
      <c r="G21" s="13">
        <f t="shared" si="13"/>
        <v>11604</v>
      </c>
      <c r="H21" s="13">
        <f t="shared" si="13"/>
        <v>4642</v>
      </c>
      <c r="I21" s="13">
        <f t="shared" si="13"/>
        <v>11604</v>
      </c>
    </row>
    <row r="22" spans="1:10" s="38" customFormat="1" ht="239.25" customHeight="1" x14ac:dyDescent="0.3">
      <c r="A22" s="3" t="s">
        <v>35</v>
      </c>
      <c r="B22" s="3" t="s">
        <v>34</v>
      </c>
      <c r="C22" s="5" t="s">
        <v>107</v>
      </c>
      <c r="D22" s="13">
        <f>ROUND((478.84+30.25)*12*D5,0)</f>
        <v>513163</v>
      </c>
      <c r="E22" s="13">
        <f>ROUND((1766.6*E5)+(1766.6*E5/100*10)+(30.25*12*E5)+(11567.6*12)+(17.57*12*E5)+(15210/100*12*E5)+(35997.5/100*12*E5),0)</f>
        <v>1005011</v>
      </c>
      <c r="F22" s="13">
        <f t="shared" ref="F22:H22" si="14">ROUND((478.84+30.25)*12*F5,0)</f>
        <v>366545</v>
      </c>
      <c r="G22" s="13">
        <f>ROUND((1766.6*G5)+(1766.6*G5/100*10)+(30.25*12*G5)+(11567.6*12)+(17.57*12*G5)+(15210/100*12*G5)+(35997.5/100*12*G5),0)</f>
        <v>1005011</v>
      </c>
      <c r="H22" s="13">
        <f t="shared" si="14"/>
        <v>244363</v>
      </c>
      <c r="I22" s="13">
        <f>ROUND((1766.6*I5)+(1766.6*I5/100*10)+(30.25*12*I5)+(11567.6*12)+(17.57*12*I5)+(15210/100*12*I5)+(35997.5/100*12*I5),0)</f>
        <v>1005011</v>
      </c>
    </row>
    <row r="23" spans="1:10" s="38" customFormat="1" ht="77.25" customHeight="1" x14ac:dyDescent="0.3">
      <c r="A23" s="3" t="s">
        <v>37</v>
      </c>
      <c r="B23" s="3" t="s">
        <v>36</v>
      </c>
      <c r="C23" s="4" t="s">
        <v>103</v>
      </c>
      <c r="D23" s="53">
        <f>ROUND(101.18*D5,0)</f>
        <v>8499</v>
      </c>
      <c r="E23" s="53">
        <f>ROUND(165*E5,0)</f>
        <v>16500</v>
      </c>
      <c r="F23" s="53">
        <f>ROUND(101.18*F5,0)</f>
        <v>6071</v>
      </c>
      <c r="G23" s="53">
        <f>ROUND(165*G5,0)</f>
        <v>16500</v>
      </c>
      <c r="H23" s="53">
        <f>ROUND(101.18*H5,0)</f>
        <v>4047</v>
      </c>
      <c r="I23" s="53">
        <f>ROUND(165*I5,0)</f>
        <v>16500</v>
      </c>
    </row>
    <row r="24" spans="1:10" s="6" customFormat="1" ht="22.5" customHeight="1" x14ac:dyDescent="0.3">
      <c r="A24" s="12" t="s">
        <v>39</v>
      </c>
      <c r="B24" s="12" t="s">
        <v>38</v>
      </c>
      <c r="C24" s="12" t="s">
        <v>58</v>
      </c>
      <c r="D24" s="58">
        <f>ROUND((D8+D17)*0.05,0)</f>
        <v>46651</v>
      </c>
      <c r="E24" s="58">
        <f t="shared" ref="E24:I24" si="15">ROUND((E8+E17)*0.05,0)</f>
        <v>83547</v>
      </c>
      <c r="F24" s="58">
        <f t="shared" si="15"/>
        <v>33322</v>
      </c>
      <c r="G24" s="58">
        <f t="shared" si="15"/>
        <v>83547</v>
      </c>
      <c r="H24" s="58">
        <f t="shared" si="15"/>
        <v>22215</v>
      </c>
      <c r="I24" s="58">
        <f t="shared" si="15"/>
        <v>83547</v>
      </c>
    </row>
    <row r="25" spans="1:10" s="25" customFormat="1" ht="36.75" customHeight="1" x14ac:dyDescent="0.3">
      <c r="A25" s="12" t="s">
        <v>40</v>
      </c>
      <c r="B25" s="12" t="s">
        <v>8</v>
      </c>
      <c r="C25" s="54" t="s">
        <v>72</v>
      </c>
      <c r="D25" s="58">
        <f>D8+D17+D24</f>
        <v>979667</v>
      </c>
      <c r="E25" s="58">
        <f t="shared" ref="E25:I25" si="16">E8+E17+E24</f>
        <v>1754482</v>
      </c>
      <c r="F25" s="58">
        <f t="shared" si="16"/>
        <v>699762</v>
      </c>
      <c r="G25" s="58">
        <f t="shared" si="16"/>
        <v>1754482</v>
      </c>
      <c r="H25" s="58">
        <f t="shared" si="16"/>
        <v>466509</v>
      </c>
      <c r="I25" s="58">
        <f t="shared" si="16"/>
        <v>1754482</v>
      </c>
    </row>
    <row r="26" spans="1:10" s="6" customFormat="1" ht="43.5" customHeight="1" x14ac:dyDescent="0.3">
      <c r="A26" s="13" t="s">
        <v>0</v>
      </c>
      <c r="B26" s="3"/>
      <c r="C26" s="5" t="s">
        <v>89</v>
      </c>
      <c r="D26" s="2"/>
      <c r="E26" s="2">
        <v>979667</v>
      </c>
      <c r="F26" s="2">
        <v>0</v>
      </c>
      <c r="G26" s="2">
        <v>699762</v>
      </c>
      <c r="H26" s="2">
        <v>0</v>
      </c>
      <c r="I26" s="41">
        <v>466509</v>
      </c>
    </row>
    <row r="27" spans="1:10" s="25" customFormat="1" ht="29.25" customHeight="1" x14ac:dyDescent="0.3">
      <c r="A27" s="13" t="s">
        <v>41</v>
      </c>
      <c r="B27" s="13"/>
      <c r="C27" s="50" t="s">
        <v>69</v>
      </c>
      <c r="D27" s="2" t="s">
        <v>4</v>
      </c>
      <c r="E27" s="2">
        <f>E25-E26</f>
        <v>774815</v>
      </c>
      <c r="F27" s="2" t="s">
        <v>4</v>
      </c>
      <c r="G27" s="2">
        <f>G25-G26</f>
        <v>1054720</v>
      </c>
      <c r="H27" s="2" t="s">
        <v>4</v>
      </c>
      <c r="I27" s="2">
        <f>I25-I26</f>
        <v>1287973</v>
      </c>
    </row>
    <row r="28" spans="1:10" s="6" customFormat="1" ht="28.5" customHeight="1" x14ac:dyDescent="0.3">
      <c r="A28" s="209" t="s">
        <v>219</v>
      </c>
      <c r="B28" s="209"/>
      <c r="C28" s="209"/>
      <c r="D28" s="209"/>
      <c r="E28" s="209"/>
      <c r="F28" s="209"/>
      <c r="G28" s="209"/>
      <c r="H28" s="209"/>
    </row>
    <row r="29" spans="1:10" s="6" customFormat="1" ht="75.75" customHeight="1" x14ac:dyDescent="0.3">
      <c r="A29" s="209" t="s">
        <v>220</v>
      </c>
      <c r="B29" s="209"/>
      <c r="C29" s="209"/>
      <c r="D29" s="209"/>
      <c r="E29" s="209"/>
      <c r="F29" s="209"/>
      <c r="G29" s="209"/>
      <c r="H29" s="209"/>
    </row>
    <row r="31" spans="1:10" ht="19.5" customHeight="1" x14ac:dyDescent="0.3">
      <c r="A31" s="207" t="s">
        <v>154</v>
      </c>
      <c r="B31" s="207"/>
      <c r="C31" s="207"/>
      <c r="D31" s="207"/>
      <c r="E31" s="207"/>
      <c r="F31" s="207"/>
      <c r="G31" s="207"/>
      <c r="H31" s="207"/>
      <c r="I31" s="207"/>
    </row>
  </sheetData>
  <mergeCells count="6">
    <mergeCell ref="A31:I31"/>
    <mergeCell ref="D1:I1"/>
    <mergeCell ref="A28:H28"/>
    <mergeCell ref="A29:H29"/>
    <mergeCell ref="A2:C2"/>
    <mergeCell ref="A3:C3"/>
  </mergeCells>
  <pageMargins left="0.35433070866141736" right="0.19685039370078741" top="0.51181102362204722" bottom="0.59055118110236227" header="0.31496062992125984" footer="0.31496062992125984"/>
  <pageSetup paperSize="9" scale="65" fitToHeight="0" orientation="portrait" r:id="rId1"/>
  <headerFooter>
    <oddFooter>&amp;L&amp;"Times New Roman,Regular"&amp;F&amp;C&amp;"Times New Roman,Regular"&amp;P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pageSetUpPr fitToPage="1"/>
  </sheetPr>
  <dimension ref="A1:G36"/>
  <sheetViews>
    <sheetView zoomScale="90" zoomScaleNormal="90" workbookViewId="0">
      <pane xSplit="3" ySplit="3" topLeftCell="D4" activePane="bottomRight" state="frozen"/>
      <selection pane="topRight"/>
      <selection pane="bottomLeft"/>
      <selection pane="bottomRight" activeCell="H32" sqref="H32"/>
    </sheetView>
  </sheetViews>
  <sheetFormatPr defaultColWidth="9.1796875" defaultRowHeight="13" x14ac:dyDescent="0.3"/>
  <cols>
    <col min="1" max="1" width="9.54296875" style="6" customWidth="1"/>
    <col min="2" max="2" width="12.1796875" style="6" customWidth="1"/>
    <col min="3" max="3" width="59.7265625" style="6" customWidth="1"/>
    <col min="4" max="4" width="11.1796875" style="6" customWidth="1"/>
    <col min="5" max="5" width="10.54296875" style="6" customWidth="1"/>
    <col min="6" max="6" width="10.26953125" style="6" customWidth="1"/>
    <col min="7" max="7" width="12.7265625" style="6" customWidth="1"/>
    <col min="8" max="8" width="10.453125" style="6" customWidth="1"/>
    <col min="9" max="16384" width="9.1796875" style="6"/>
  </cols>
  <sheetData>
    <row r="1" spans="1:7" s="86" customFormat="1" ht="23.25" customHeight="1" x14ac:dyDescent="0.3">
      <c r="A1" s="212"/>
      <c r="B1" s="212"/>
      <c r="C1" s="209"/>
      <c r="D1" s="209"/>
      <c r="E1" s="209"/>
      <c r="F1" s="209"/>
      <c r="G1" s="86" t="s">
        <v>92</v>
      </c>
    </row>
    <row r="2" spans="1:7" ht="69" customHeight="1" x14ac:dyDescent="0.3">
      <c r="A2" s="213" t="s">
        <v>151</v>
      </c>
      <c r="B2" s="213"/>
      <c r="C2" s="213"/>
      <c r="D2" s="213"/>
      <c r="E2" s="213"/>
      <c r="F2" s="213"/>
      <c r="G2" s="213"/>
    </row>
    <row r="3" spans="1:7" ht="26" x14ac:dyDescent="0.3">
      <c r="A3" s="13" t="s">
        <v>5</v>
      </c>
      <c r="B3" s="3" t="s">
        <v>7</v>
      </c>
      <c r="C3" s="13" t="s">
        <v>6</v>
      </c>
      <c r="D3" s="7" t="s">
        <v>55</v>
      </c>
      <c r="E3" s="7" t="s">
        <v>56</v>
      </c>
      <c r="F3" s="7" t="s">
        <v>57</v>
      </c>
      <c r="G3" s="7" t="s">
        <v>90</v>
      </c>
    </row>
    <row r="4" spans="1:7" s="8" customFormat="1" ht="37" customHeight="1" x14ac:dyDescent="0.3">
      <c r="A4" s="45"/>
      <c r="B4" s="45"/>
      <c r="C4" s="46" t="s">
        <v>91</v>
      </c>
      <c r="D4" s="47">
        <v>286240</v>
      </c>
      <c r="E4" s="47">
        <v>257600</v>
      </c>
      <c r="F4" s="47">
        <v>236160</v>
      </c>
      <c r="G4" s="47">
        <v>32160</v>
      </c>
    </row>
    <row r="5" spans="1:7" s="8" customFormat="1" ht="9.75" customHeight="1" x14ac:dyDescent="0.3">
      <c r="A5" s="3"/>
      <c r="B5" s="3"/>
      <c r="C5" s="5"/>
      <c r="D5" s="2"/>
      <c r="E5" s="2"/>
      <c r="F5" s="2"/>
      <c r="G5" s="3"/>
    </row>
    <row r="6" spans="1:7" s="86" customFormat="1" ht="50.25" customHeight="1" x14ac:dyDescent="0.3">
      <c r="A6" s="47" t="s">
        <v>48</v>
      </c>
      <c r="B6" s="47" t="s">
        <v>44</v>
      </c>
      <c r="C6" s="68" t="s">
        <v>137</v>
      </c>
      <c r="D6" s="47">
        <f>D7+D9+D11</f>
        <v>659323</v>
      </c>
      <c r="E6" s="47">
        <f t="shared" ref="E6:G6" si="0">E7+E9+E11</f>
        <v>593355</v>
      </c>
      <c r="F6" s="47">
        <f t="shared" si="0"/>
        <v>543970</v>
      </c>
      <c r="G6" s="47">
        <f t="shared" si="0"/>
        <v>74078</v>
      </c>
    </row>
    <row r="7" spans="1:7" s="86" customFormat="1" ht="17.25" customHeight="1" x14ac:dyDescent="0.3">
      <c r="A7" s="60" t="s">
        <v>3</v>
      </c>
      <c r="B7" s="60" t="s">
        <v>45</v>
      </c>
      <c r="C7" s="61" t="s">
        <v>138</v>
      </c>
      <c r="D7" s="60">
        <f t="shared" ref="D7:G7" si="1">D8</f>
        <v>416050</v>
      </c>
      <c r="E7" s="60">
        <f t="shared" si="1"/>
        <v>374422</v>
      </c>
      <c r="F7" s="60">
        <f t="shared" si="1"/>
        <v>343259</v>
      </c>
      <c r="G7" s="60">
        <f t="shared" si="1"/>
        <v>46745</v>
      </c>
    </row>
    <row r="8" spans="1:7" ht="34" customHeight="1" x14ac:dyDescent="0.3">
      <c r="A8" s="3"/>
      <c r="B8" s="3"/>
      <c r="C8" s="5" t="s">
        <v>199</v>
      </c>
      <c r="D8" s="3">
        <f>ROUND(0.95*1.53*D4,0)</f>
        <v>416050</v>
      </c>
      <c r="E8" s="3">
        <f t="shared" ref="E8:G8" si="2">ROUND(0.95*1.53*E4,0)</f>
        <v>374422</v>
      </c>
      <c r="F8" s="3">
        <f t="shared" si="2"/>
        <v>343259</v>
      </c>
      <c r="G8" s="3">
        <f t="shared" si="2"/>
        <v>46745</v>
      </c>
    </row>
    <row r="9" spans="1:7" s="86" customFormat="1" ht="18" customHeight="1" x14ac:dyDescent="0.3">
      <c r="A9" s="60" t="s">
        <v>24</v>
      </c>
      <c r="B9" s="60" t="s">
        <v>46</v>
      </c>
      <c r="C9" s="61" t="s">
        <v>228</v>
      </c>
      <c r="D9" s="60">
        <f t="shared" ref="D9:G9" si="3">D10</f>
        <v>43938</v>
      </c>
      <c r="E9" s="60">
        <f t="shared" si="3"/>
        <v>39542</v>
      </c>
      <c r="F9" s="60">
        <f t="shared" si="3"/>
        <v>36251</v>
      </c>
      <c r="G9" s="60">
        <f t="shared" si="3"/>
        <v>4937</v>
      </c>
    </row>
    <row r="10" spans="1:7" ht="66.650000000000006" customHeight="1" x14ac:dyDescent="0.3">
      <c r="A10" s="3"/>
      <c r="B10" s="3"/>
      <c r="C10" s="4" t="s">
        <v>111</v>
      </c>
      <c r="D10" s="55">
        <f>ROUND((0.09*0.24*D4)+(0.14*0.25*D4)+(0.19*0.51*D4),0)</f>
        <v>43938</v>
      </c>
      <c r="E10" s="55">
        <f t="shared" ref="E10:G10" si="4">ROUND((0.09*0.24*E4)+(0.14*0.25*E4)+(0.19*0.51*E4),0)</f>
        <v>39542</v>
      </c>
      <c r="F10" s="55">
        <f t="shared" si="4"/>
        <v>36251</v>
      </c>
      <c r="G10" s="55">
        <f t="shared" si="4"/>
        <v>4937</v>
      </c>
    </row>
    <row r="11" spans="1:7" ht="42" customHeight="1" x14ac:dyDescent="0.3">
      <c r="A11" s="60" t="s">
        <v>39</v>
      </c>
      <c r="B11" s="60" t="s">
        <v>47</v>
      </c>
      <c r="C11" s="61" t="s">
        <v>229</v>
      </c>
      <c r="D11" s="60">
        <f t="shared" ref="D11:G11" si="5">D12</f>
        <v>199335</v>
      </c>
      <c r="E11" s="60">
        <f t="shared" si="5"/>
        <v>179391</v>
      </c>
      <c r="F11" s="60">
        <f t="shared" si="5"/>
        <v>164460</v>
      </c>
      <c r="G11" s="60">
        <f t="shared" si="5"/>
        <v>22396</v>
      </c>
    </row>
    <row r="12" spans="1:7" s="1" customFormat="1" ht="54" customHeight="1" x14ac:dyDescent="0.3">
      <c r="A12" s="62"/>
      <c r="B12" s="62"/>
      <c r="C12" s="51" t="s">
        <v>112</v>
      </c>
      <c r="D12" s="3">
        <f>ROUND((1.2*0.24*D4)+(1.633571*0.25*D4),0)</f>
        <v>199335</v>
      </c>
      <c r="E12" s="3">
        <f t="shared" ref="E12:G12" si="6">ROUND((1.2*0.24*E4)+(1.633571*0.25*E4),0)</f>
        <v>179391</v>
      </c>
      <c r="F12" s="3">
        <f t="shared" si="6"/>
        <v>164460</v>
      </c>
      <c r="G12" s="3">
        <f t="shared" si="6"/>
        <v>22396</v>
      </c>
    </row>
    <row r="13" spans="1:7" s="1" customFormat="1" ht="75" customHeight="1" x14ac:dyDescent="0.3">
      <c r="A13" s="47" t="s">
        <v>121</v>
      </c>
      <c r="B13" s="69" t="s">
        <v>49</v>
      </c>
      <c r="C13" s="70" t="s">
        <v>152</v>
      </c>
      <c r="D13" s="70">
        <f>D14+D17</f>
        <v>29120</v>
      </c>
      <c r="E13" s="70">
        <f t="shared" ref="E13:G13" si="7">E14+E17</f>
        <v>26207</v>
      </c>
      <c r="F13" s="70">
        <f t="shared" si="7"/>
        <v>24026</v>
      </c>
      <c r="G13" s="70">
        <f t="shared" si="7"/>
        <v>3271</v>
      </c>
    </row>
    <row r="14" spans="1:7" s="1" customFormat="1" ht="30.75" customHeight="1" x14ac:dyDescent="0.3">
      <c r="A14" s="63" t="s">
        <v>8</v>
      </c>
      <c r="B14" s="63" t="s">
        <v>50</v>
      </c>
      <c r="C14" s="64" t="s">
        <v>51</v>
      </c>
      <c r="D14" s="64">
        <f>D15+D16</f>
        <v>14339</v>
      </c>
      <c r="E14" s="64">
        <f t="shared" ref="E14:G14" si="8">E15+E16</f>
        <v>12905</v>
      </c>
      <c r="F14" s="64">
        <f t="shared" si="8"/>
        <v>11831</v>
      </c>
      <c r="G14" s="64">
        <f t="shared" si="8"/>
        <v>1611</v>
      </c>
    </row>
    <row r="15" spans="1:7" s="1" customFormat="1" ht="55.5" customHeight="1" x14ac:dyDescent="0.3">
      <c r="A15" s="13"/>
      <c r="B15" s="65"/>
      <c r="C15" s="57" t="s">
        <v>200</v>
      </c>
      <c r="D15" s="51">
        <f>ROUND(0.42*0.75*D4*0.15*0.73,0)</f>
        <v>9873</v>
      </c>
      <c r="E15" s="51">
        <f t="shared" ref="E15:G15" si="9">ROUND(0.42*0.75*E4*0.15*0.73,0)</f>
        <v>8885</v>
      </c>
      <c r="F15" s="51">
        <f t="shared" si="9"/>
        <v>8146</v>
      </c>
      <c r="G15" s="51">
        <f t="shared" si="9"/>
        <v>1109</v>
      </c>
    </row>
    <row r="16" spans="1:7" s="1" customFormat="1" ht="46.5" customHeight="1" x14ac:dyDescent="0.3">
      <c r="A16" s="13"/>
      <c r="B16" s="65"/>
      <c r="C16" s="51" t="s">
        <v>116</v>
      </c>
      <c r="D16" s="51">
        <f>ROUND(0.19*(0.75*D4)*0.15*0.73,0)</f>
        <v>4466</v>
      </c>
      <c r="E16" s="51">
        <f t="shared" ref="E16:G16" si="10">ROUND(0.19*(0.75*E4)*0.15*0.73,0)</f>
        <v>4020</v>
      </c>
      <c r="F16" s="51">
        <f t="shared" si="10"/>
        <v>3685</v>
      </c>
      <c r="G16" s="51">
        <f t="shared" si="10"/>
        <v>502</v>
      </c>
    </row>
    <row r="17" spans="1:7" s="1" customFormat="1" ht="42.75" customHeight="1" x14ac:dyDescent="0.3">
      <c r="A17" s="63" t="s">
        <v>44</v>
      </c>
      <c r="B17" s="63" t="s">
        <v>53</v>
      </c>
      <c r="C17" s="64" t="s">
        <v>52</v>
      </c>
      <c r="D17" s="64">
        <f>D18+D19+D20</f>
        <v>14781</v>
      </c>
      <c r="E17" s="64">
        <f t="shared" ref="E17:G17" si="11">E18+E19+E20</f>
        <v>13302</v>
      </c>
      <c r="F17" s="64">
        <f t="shared" si="11"/>
        <v>12195</v>
      </c>
      <c r="G17" s="64">
        <f t="shared" si="11"/>
        <v>1660</v>
      </c>
    </row>
    <row r="18" spans="1:7" s="1" customFormat="1" ht="53.25" customHeight="1" x14ac:dyDescent="0.3">
      <c r="A18" s="141" t="s">
        <v>45</v>
      </c>
      <c r="B18" s="141"/>
      <c r="C18" s="57" t="s">
        <v>201</v>
      </c>
      <c r="D18" s="57">
        <f>ROUND(0.42*0.75*D4*0.15*0.27,0)</f>
        <v>3652</v>
      </c>
      <c r="E18" s="57">
        <f t="shared" ref="E18:G18" si="12">ROUND(0.42*0.75*E4*0.15*0.27,0)</f>
        <v>3286</v>
      </c>
      <c r="F18" s="57">
        <f t="shared" si="12"/>
        <v>3013</v>
      </c>
      <c r="G18" s="57">
        <f t="shared" si="12"/>
        <v>410</v>
      </c>
    </row>
    <row r="19" spans="1:7" s="1" customFormat="1" ht="55.5" customHeight="1" x14ac:dyDescent="0.3">
      <c r="A19" s="66" t="s">
        <v>46</v>
      </c>
      <c r="B19" s="66"/>
      <c r="C19" s="51" t="s">
        <v>119</v>
      </c>
      <c r="D19" s="67">
        <f>ROUND(0.08*(0.75*D4)*0.15*0.27,0)</f>
        <v>696</v>
      </c>
      <c r="E19" s="67">
        <f t="shared" ref="E19:G19" si="13">ROUND(0.08*(0.75*E4)*0.15*0.27,0)</f>
        <v>626</v>
      </c>
      <c r="F19" s="67">
        <f t="shared" si="13"/>
        <v>574</v>
      </c>
      <c r="G19" s="67">
        <f t="shared" si="13"/>
        <v>78</v>
      </c>
    </row>
    <row r="20" spans="1:7" s="1" customFormat="1" ht="45.75" customHeight="1" x14ac:dyDescent="0.3">
      <c r="A20" s="66" t="s">
        <v>47</v>
      </c>
      <c r="B20" s="66"/>
      <c r="C20" s="51" t="s">
        <v>120</v>
      </c>
      <c r="D20" s="67">
        <f>ROUND(1.2*(0.75*D4)*0.15*0.27,0)</f>
        <v>10433</v>
      </c>
      <c r="E20" s="67">
        <f t="shared" ref="E20:G20" si="14">ROUND(1.2*(0.75*E4)*0.15*0.27,0)</f>
        <v>9390</v>
      </c>
      <c r="F20" s="67">
        <f t="shared" si="14"/>
        <v>8608</v>
      </c>
      <c r="G20" s="67">
        <f t="shared" si="14"/>
        <v>1172</v>
      </c>
    </row>
    <row r="21" spans="1:7" s="9" customFormat="1" ht="32.25" customHeight="1" x14ac:dyDescent="0.3">
      <c r="A21" s="71" t="s">
        <v>70</v>
      </c>
      <c r="B21" s="72"/>
      <c r="C21" s="73" t="s">
        <v>54</v>
      </c>
      <c r="D21" s="74">
        <f>D6+D13</f>
        <v>688443</v>
      </c>
      <c r="E21" s="74">
        <f t="shared" ref="E21:G21" si="15">E6+E13</f>
        <v>619562</v>
      </c>
      <c r="F21" s="74">
        <f t="shared" si="15"/>
        <v>567996</v>
      </c>
      <c r="G21" s="74">
        <f t="shared" si="15"/>
        <v>77349</v>
      </c>
    </row>
    <row r="22" spans="1:7" s="9" customFormat="1" ht="25.5" customHeight="1" x14ac:dyDescent="0.3">
      <c r="A22" s="3" t="s">
        <v>59</v>
      </c>
      <c r="B22" s="30"/>
      <c r="C22" s="4" t="s">
        <v>93</v>
      </c>
      <c r="D22" s="48">
        <f>101188+296474</f>
        <v>397662</v>
      </c>
      <c r="E22" s="48">
        <f>96307+211768</f>
        <v>308075</v>
      </c>
      <c r="F22" s="48">
        <f>91427+141177</f>
        <v>232604</v>
      </c>
      <c r="G22" s="48">
        <v>91427</v>
      </c>
    </row>
    <row r="23" spans="1:7" s="9" customFormat="1" ht="21.75" customHeight="1" x14ac:dyDescent="0.3">
      <c r="A23" s="13" t="s">
        <v>71</v>
      </c>
      <c r="B23" s="30"/>
      <c r="C23" s="50" t="s">
        <v>43</v>
      </c>
      <c r="D23" s="75">
        <f>D21-D22</f>
        <v>290781</v>
      </c>
      <c r="E23" s="75">
        <f t="shared" ref="E23" si="16">E21-E22</f>
        <v>311487</v>
      </c>
      <c r="F23" s="75">
        <f>F21-F22</f>
        <v>335392</v>
      </c>
      <c r="G23" s="75">
        <f>G21-G22</f>
        <v>-14078</v>
      </c>
    </row>
    <row r="24" spans="1:7" s="9" customFormat="1" ht="14" x14ac:dyDescent="0.3">
      <c r="A24" s="10"/>
      <c r="C24" s="11"/>
      <c r="D24" s="15"/>
      <c r="E24" s="15"/>
      <c r="F24" s="15"/>
    </row>
    <row r="25" spans="1:7" s="1" customFormat="1" ht="23.5" customHeight="1" x14ac:dyDescent="0.3">
      <c r="A25" s="214" t="s">
        <v>155</v>
      </c>
      <c r="B25" s="214"/>
      <c r="C25" s="214"/>
      <c r="D25" s="214"/>
      <c r="E25" s="214"/>
      <c r="F25" s="214"/>
      <c r="G25" s="214"/>
    </row>
    <row r="26" spans="1:7" s="1" customFormat="1" ht="37.5" customHeight="1" x14ac:dyDescent="0.3">
      <c r="A26" s="214" t="s">
        <v>108</v>
      </c>
      <c r="B26" s="214"/>
      <c r="C26" s="214"/>
      <c r="D26" s="214"/>
      <c r="E26" s="214"/>
      <c r="F26" s="214"/>
      <c r="G26" s="214"/>
    </row>
    <row r="27" spans="1:7" s="1" customFormat="1" ht="60" customHeight="1" x14ac:dyDescent="0.3">
      <c r="A27" s="211" t="s">
        <v>110</v>
      </c>
      <c r="B27" s="211"/>
      <c r="C27" s="211"/>
      <c r="D27" s="211"/>
      <c r="E27" s="211"/>
      <c r="F27" s="211"/>
      <c r="G27" s="211"/>
    </row>
    <row r="28" spans="1:7" s="1" customFormat="1" ht="62.25" customHeight="1" x14ac:dyDescent="0.3">
      <c r="A28" s="214" t="s">
        <v>109</v>
      </c>
      <c r="B28" s="214"/>
      <c r="C28" s="214"/>
      <c r="D28" s="214"/>
      <c r="E28" s="214"/>
      <c r="F28" s="214"/>
    </row>
    <row r="29" spans="1:7" s="1" customFormat="1" ht="36" customHeight="1" x14ac:dyDescent="0.3">
      <c r="A29" s="214" t="s">
        <v>113</v>
      </c>
      <c r="B29" s="214"/>
      <c r="C29" s="214"/>
      <c r="D29" s="214"/>
      <c r="E29" s="214"/>
      <c r="F29" s="214"/>
      <c r="G29" s="214"/>
    </row>
    <row r="30" spans="1:7" s="1" customFormat="1" ht="35.15" customHeight="1" x14ac:dyDescent="0.3">
      <c r="A30" s="217" t="s">
        <v>114</v>
      </c>
      <c r="B30" s="217"/>
      <c r="C30" s="217"/>
      <c r="D30" s="217"/>
      <c r="E30" s="217"/>
      <c r="F30" s="217"/>
      <c r="G30" s="217"/>
    </row>
    <row r="31" spans="1:7" s="1" customFormat="1" ht="21.65" customHeight="1" x14ac:dyDescent="0.3">
      <c r="A31" s="217" t="s">
        <v>156</v>
      </c>
      <c r="B31" s="217"/>
      <c r="C31" s="217"/>
      <c r="D31" s="217"/>
      <c r="E31" s="217"/>
      <c r="F31" s="217"/>
    </row>
    <row r="32" spans="1:7" s="1" customFormat="1" ht="67.5" customHeight="1" x14ac:dyDescent="0.3">
      <c r="A32" s="215" t="s">
        <v>115</v>
      </c>
      <c r="B32" s="216"/>
      <c r="C32" s="216"/>
      <c r="D32" s="216"/>
      <c r="E32" s="216"/>
      <c r="F32" s="216"/>
    </row>
    <row r="33" spans="1:7" ht="16.5" customHeight="1" x14ac:dyDescent="0.3">
      <c r="A33" s="218" t="s">
        <v>117</v>
      </c>
      <c r="B33" s="218"/>
      <c r="C33" s="218"/>
      <c r="D33" s="218"/>
      <c r="E33" s="218"/>
      <c r="F33" s="218"/>
    </row>
    <row r="34" spans="1:7" ht="27.75" customHeight="1" x14ac:dyDescent="0.3">
      <c r="A34" s="209" t="s">
        <v>118</v>
      </c>
      <c r="B34" s="209"/>
      <c r="C34" s="209"/>
      <c r="D34" s="209"/>
      <c r="E34" s="209"/>
      <c r="F34" s="209"/>
    </row>
    <row r="36" spans="1:7" ht="18.649999999999999" customHeight="1" x14ac:dyDescent="0.3">
      <c r="A36" s="209" t="s">
        <v>154</v>
      </c>
      <c r="B36" s="209"/>
      <c r="C36" s="209"/>
      <c r="D36" s="209"/>
      <c r="E36" s="209"/>
      <c r="F36" s="209"/>
      <c r="G36" s="209"/>
    </row>
  </sheetData>
  <mergeCells count="14">
    <mergeCell ref="A36:G36"/>
    <mergeCell ref="A27:G27"/>
    <mergeCell ref="A1:B1"/>
    <mergeCell ref="C1:F1"/>
    <mergeCell ref="A2:G2"/>
    <mergeCell ref="A25:G25"/>
    <mergeCell ref="A26:G26"/>
    <mergeCell ref="A32:F32"/>
    <mergeCell ref="A31:F31"/>
    <mergeCell ref="A33:F33"/>
    <mergeCell ref="A34:F34"/>
    <mergeCell ref="A28:F28"/>
    <mergeCell ref="A29:G29"/>
    <mergeCell ref="A30:G30"/>
  </mergeCells>
  <pageMargins left="0.35433070866141736" right="0.19685039370078741" top="0.49" bottom="0.55118110236220474" header="0.31496062992125984" footer="0.31496062992125984"/>
  <pageSetup paperSize="9" scale="78" fitToHeight="0" orientation="portrait" r:id="rId1"/>
  <headerFooter>
    <oddFooter>&amp;L&amp;"Times New Roman,Regular"&amp;F&amp;C&amp;"Times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pageSetUpPr fitToPage="1"/>
  </sheetPr>
  <dimension ref="A1:G35"/>
  <sheetViews>
    <sheetView zoomScale="90" zoomScaleNormal="90" workbookViewId="0">
      <pane xSplit="3" ySplit="3" topLeftCell="D29" activePane="bottomRight" state="frozen"/>
      <selection pane="topRight"/>
      <selection pane="bottomLeft"/>
      <selection pane="bottomRight" activeCell="K11" sqref="K11"/>
    </sheetView>
  </sheetViews>
  <sheetFormatPr defaultColWidth="9.1796875" defaultRowHeight="13" x14ac:dyDescent="0.3"/>
  <cols>
    <col min="1" max="1" width="9.54296875" style="6" customWidth="1"/>
    <col min="2" max="2" width="12.1796875" style="6" customWidth="1"/>
    <col min="3" max="3" width="62.1796875" style="6" customWidth="1"/>
    <col min="4" max="4" width="11.1796875" style="6" customWidth="1"/>
    <col min="5" max="5" width="10.54296875" style="6" customWidth="1"/>
    <col min="6" max="6" width="10.26953125" style="6" customWidth="1"/>
    <col min="7" max="7" width="12.7265625" style="6" customWidth="1"/>
    <col min="8" max="8" width="10.453125" style="6" customWidth="1"/>
    <col min="9" max="16384" width="9.1796875" style="6"/>
  </cols>
  <sheetData>
    <row r="1" spans="1:7" s="86" customFormat="1" ht="23.25" customHeight="1" x14ac:dyDescent="0.3">
      <c r="A1" s="212"/>
      <c r="B1" s="212"/>
      <c r="C1" s="209"/>
      <c r="D1" s="209"/>
      <c r="E1" s="209"/>
      <c r="F1" s="209"/>
      <c r="G1" s="6" t="s">
        <v>140</v>
      </c>
    </row>
    <row r="2" spans="1:7" ht="101.5" customHeight="1" x14ac:dyDescent="0.3">
      <c r="A2" s="213" t="s">
        <v>150</v>
      </c>
      <c r="B2" s="213"/>
      <c r="C2" s="213"/>
      <c r="D2" s="213"/>
      <c r="E2" s="213"/>
      <c r="F2" s="213"/>
      <c r="G2" s="213"/>
    </row>
    <row r="3" spans="1:7" ht="26" x14ac:dyDescent="0.3">
      <c r="A3" s="13" t="s">
        <v>5</v>
      </c>
      <c r="B3" s="3" t="s">
        <v>7</v>
      </c>
      <c r="C3" s="13" t="s">
        <v>6</v>
      </c>
      <c r="D3" s="7" t="s">
        <v>55</v>
      </c>
      <c r="E3" s="7" t="s">
        <v>56</v>
      </c>
      <c r="F3" s="7" t="s">
        <v>57</v>
      </c>
      <c r="G3" s="7" t="s">
        <v>90</v>
      </c>
    </row>
    <row r="4" spans="1:7" s="8" customFormat="1" ht="37" customHeight="1" x14ac:dyDescent="0.3">
      <c r="A4" s="45"/>
      <c r="B4" s="45"/>
      <c r="C4" s="46" t="s">
        <v>91</v>
      </c>
      <c r="D4" s="47">
        <v>19336</v>
      </c>
      <c r="E4" s="47">
        <v>20288</v>
      </c>
      <c r="F4" s="47">
        <v>14928</v>
      </c>
      <c r="G4" s="47">
        <v>14928</v>
      </c>
    </row>
    <row r="5" spans="1:7" s="8" customFormat="1" ht="9.75" customHeight="1" x14ac:dyDescent="0.3">
      <c r="A5" s="3"/>
      <c r="B5" s="3"/>
      <c r="C5" s="5"/>
      <c r="D5" s="2"/>
      <c r="E5" s="2"/>
      <c r="F5" s="2"/>
      <c r="G5" s="3"/>
    </row>
    <row r="6" spans="1:7" s="86" customFormat="1" ht="50.25" customHeight="1" x14ac:dyDescent="0.3">
      <c r="A6" s="47" t="s">
        <v>48</v>
      </c>
      <c r="B6" s="47" t="s">
        <v>44</v>
      </c>
      <c r="C6" s="68" t="s">
        <v>137</v>
      </c>
      <c r="D6" s="47">
        <f>D7+D9+D11</f>
        <v>37522</v>
      </c>
      <c r="E6" s="47">
        <f t="shared" ref="E6:G6" si="0">E7+E9+E11</f>
        <v>39369</v>
      </c>
      <c r="F6" s="47">
        <f t="shared" si="0"/>
        <v>28968</v>
      </c>
      <c r="G6" s="47">
        <f t="shared" si="0"/>
        <v>28968</v>
      </c>
    </row>
    <row r="7" spans="1:7" s="86" customFormat="1" ht="17.25" customHeight="1" x14ac:dyDescent="0.3">
      <c r="A7" s="60" t="s">
        <v>3</v>
      </c>
      <c r="B7" s="60" t="s">
        <v>45</v>
      </c>
      <c r="C7" s="61" t="s">
        <v>138</v>
      </c>
      <c r="D7" s="60">
        <f t="shared" ref="D7:G7" si="1">D8</f>
        <v>28105</v>
      </c>
      <c r="E7" s="60">
        <f t="shared" si="1"/>
        <v>29489</v>
      </c>
      <c r="F7" s="60">
        <f t="shared" si="1"/>
        <v>21698</v>
      </c>
      <c r="G7" s="60">
        <f t="shared" si="1"/>
        <v>21698</v>
      </c>
    </row>
    <row r="8" spans="1:7" ht="39" customHeight="1" x14ac:dyDescent="0.3">
      <c r="A8" s="3"/>
      <c r="B8" s="3"/>
      <c r="C8" s="5" t="s">
        <v>199</v>
      </c>
      <c r="D8" s="3">
        <f>ROUND(0.95*1.53*D4,0)</f>
        <v>28105</v>
      </c>
      <c r="E8" s="3">
        <f t="shared" ref="E8:G8" si="2">ROUND(0.95*1.53*E4,0)</f>
        <v>29489</v>
      </c>
      <c r="F8" s="3">
        <f t="shared" si="2"/>
        <v>21698</v>
      </c>
      <c r="G8" s="3">
        <f t="shared" si="2"/>
        <v>21698</v>
      </c>
    </row>
    <row r="9" spans="1:7" s="86" customFormat="1" ht="18" customHeight="1" x14ac:dyDescent="0.3">
      <c r="A9" s="60" t="s">
        <v>24</v>
      </c>
      <c r="B9" s="60" t="s">
        <v>46</v>
      </c>
      <c r="C9" s="61" t="s">
        <v>228</v>
      </c>
      <c r="D9" s="60">
        <f t="shared" ref="D9:G9" si="3">D10</f>
        <v>3152</v>
      </c>
      <c r="E9" s="60">
        <f t="shared" si="3"/>
        <v>3307</v>
      </c>
      <c r="F9" s="60">
        <f t="shared" si="3"/>
        <v>2433</v>
      </c>
      <c r="G9" s="60">
        <f t="shared" si="3"/>
        <v>2433</v>
      </c>
    </row>
    <row r="10" spans="1:7" ht="59.15" customHeight="1" x14ac:dyDescent="0.3">
      <c r="A10" s="3"/>
      <c r="B10" s="3"/>
      <c r="C10" s="4" t="s">
        <v>145</v>
      </c>
      <c r="D10" s="55">
        <f>ROUND((0.09*0.27*D4)+(0.19*0.73*D4),0)</f>
        <v>3152</v>
      </c>
      <c r="E10" s="55">
        <f t="shared" ref="E10:G10" si="4">ROUND((0.09*0.27*E4)+(0.19*0.73*E4),0)</f>
        <v>3307</v>
      </c>
      <c r="F10" s="55">
        <f t="shared" si="4"/>
        <v>2433</v>
      </c>
      <c r="G10" s="55">
        <f t="shared" si="4"/>
        <v>2433</v>
      </c>
    </row>
    <row r="11" spans="1:7" ht="42" customHeight="1" x14ac:dyDescent="0.3">
      <c r="A11" s="60" t="s">
        <v>39</v>
      </c>
      <c r="B11" s="60" t="s">
        <v>47</v>
      </c>
      <c r="C11" s="61" t="s">
        <v>229</v>
      </c>
      <c r="D11" s="60">
        <f t="shared" ref="D11:G11" si="5">D12</f>
        <v>6265</v>
      </c>
      <c r="E11" s="60">
        <f t="shared" si="5"/>
        <v>6573</v>
      </c>
      <c r="F11" s="60">
        <f t="shared" si="5"/>
        <v>4837</v>
      </c>
      <c r="G11" s="60">
        <f t="shared" si="5"/>
        <v>4837</v>
      </c>
    </row>
    <row r="12" spans="1:7" s="1" customFormat="1" ht="40" customHeight="1" x14ac:dyDescent="0.3">
      <c r="A12" s="62"/>
      <c r="B12" s="62"/>
      <c r="C12" s="51" t="s">
        <v>146</v>
      </c>
      <c r="D12" s="3">
        <f>ROUND(1.2*0.27*D4,0)</f>
        <v>6265</v>
      </c>
      <c r="E12" s="3">
        <f t="shared" ref="E12:G12" si="6">ROUND(1.2*0.27*E4,0)</f>
        <v>6573</v>
      </c>
      <c r="F12" s="3">
        <f t="shared" si="6"/>
        <v>4837</v>
      </c>
      <c r="G12" s="3">
        <f t="shared" si="6"/>
        <v>4837</v>
      </c>
    </row>
    <row r="13" spans="1:7" s="1" customFormat="1" ht="79" customHeight="1" x14ac:dyDescent="0.3">
      <c r="A13" s="47" t="s">
        <v>121</v>
      </c>
      <c r="B13" s="69" t="s">
        <v>49</v>
      </c>
      <c r="C13" s="70" t="s">
        <v>153</v>
      </c>
      <c r="D13" s="70">
        <f>D14+D17</f>
        <v>2623</v>
      </c>
      <c r="E13" s="70">
        <f t="shared" ref="E13:G13" si="7">E14+E17</f>
        <v>2752</v>
      </c>
      <c r="F13" s="70">
        <f t="shared" si="7"/>
        <v>2026</v>
      </c>
      <c r="G13" s="70">
        <f t="shared" si="7"/>
        <v>2026</v>
      </c>
    </row>
    <row r="14" spans="1:7" s="1" customFormat="1" ht="30.75" customHeight="1" x14ac:dyDescent="0.3">
      <c r="A14" s="63" t="s">
        <v>8</v>
      </c>
      <c r="B14" s="63" t="s">
        <v>50</v>
      </c>
      <c r="C14" s="64" t="s">
        <v>51</v>
      </c>
      <c r="D14" s="64">
        <f>D15+D16</f>
        <v>1291</v>
      </c>
      <c r="E14" s="64">
        <f t="shared" ref="E14:G14" si="8">E15+E16</f>
        <v>1355</v>
      </c>
      <c r="F14" s="64">
        <f t="shared" si="8"/>
        <v>998</v>
      </c>
      <c r="G14" s="64">
        <f t="shared" si="8"/>
        <v>998</v>
      </c>
    </row>
    <row r="15" spans="1:7" s="1" customFormat="1" ht="55.5" customHeight="1" x14ac:dyDescent="0.3">
      <c r="A15" s="13"/>
      <c r="B15" s="65"/>
      <c r="C15" s="57" t="s">
        <v>202</v>
      </c>
      <c r="D15" s="51">
        <f>ROUND(0.42*D4*0.15*0.73,0)</f>
        <v>889</v>
      </c>
      <c r="E15" s="51">
        <f t="shared" ref="E15:G15" si="9">ROUND(0.42*E4*0.15*0.73,0)</f>
        <v>933</v>
      </c>
      <c r="F15" s="51">
        <f t="shared" si="9"/>
        <v>687</v>
      </c>
      <c r="G15" s="51">
        <f t="shared" si="9"/>
        <v>687</v>
      </c>
    </row>
    <row r="16" spans="1:7" s="1" customFormat="1" ht="46.5" customHeight="1" x14ac:dyDescent="0.3">
      <c r="A16" s="13"/>
      <c r="B16" s="65"/>
      <c r="C16" s="51" t="s">
        <v>147</v>
      </c>
      <c r="D16" s="51">
        <f>ROUND(0.19*D4*0.15*0.73,0)</f>
        <v>402</v>
      </c>
      <c r="E16" s="51">
        <f t="shared" ref="E16:G16" si="10">ROUND(0.19*E4*0.15*0.73,0)</f>
        <v>422</v>
      </c>
      <c r="F16" s="51">
        <f t="shared" si="10"/>
        <v>311</v>
      </c>
      <c r="G16" s="51">
        <f t="shared" si="10"/>
        <v>311</v>
      </c>
    </row>
    <row r="17" spans="1:7" s="1" customFormat="1" ht="42.75" customHeight="1" x14ac:dyDescent="0.3">
      <c r="A17" s="63" t="s">
        <v>44</v>
      </c>
      <c r="B17" s="63" t="s">
        <v>53</v>
      </c>
      <c r="C17" s="64" t="s">
        <v>52</v>
      </c>
      <c r="D17" s="64">
        <f>D18+D19+D20</f>
        <v>1332</v>
      </c>
      <c r="E17" s="64">
        <f t="shared" ref="E17:G17" si="11">E18+E19+E20</f>
        <v>1397</v>
      </c>
      <c r="F17" s="64">
        <f t="shared" si="11"/>
        <v>1028</v>
      </c>
      <c r="G17" s="64">
        <f t="shared" si="11"/>
        <v>1028</v>
      </c>
    </row>
    <row r="18" spans="1:7" s="1" customFormat="1" ht="53.25" customHeight="1" x14ac:dyDescent="0.3">
      <c r="A18" s="141" t="s">
        <v>45</v>
      </c>
      <c r="B18" s="141"/>
      <c r="C18" s="57" t="s">
        <v>203</v>
      </c>
      <c r="D18" s="57">
        <f>ROUND(0.42*D4*0.15*0.27,0)</f>
        <v>329</v>
      </c>
      <c r="E18" s="57">
        <f t="shared" ref="E18:G18" si="12">ROUND(0.42*E4*0.15*0.27,0)</f>
        <v>345</v>
      </c>
      <c r="F18" s="57">
        <f t="shared" si="12"/>
        <v>254</v>
      </c>
      <c r="G18" s="57">
        <f t="shared" si="12"/>
        <v>254</v>
      </c>
    </row>
    <row r="19" spans="1:7" s="1" customFormat="1" ht="55.5" customHeight="1" x14ac:dyDescent="0.3">
      <c r="A19" s="66" t="s">
        <v>46</v>
      </c>
      <c r="B19" s="66"/>
      <c r="C19" s="51" t="s">
        <v>148</v>
      </c>
      <c r="D19" s="67">
        <f>ROUND(0.08*D4*0.15*0.27,0)</f>
        <v>63</v>
      </c>
      <c r="E19" s="67">
        <f t="shared" ref="E19:G19" si="13">ROUND(0.08*E4*0.15*0.27,0)</f>
        <v>66</v>
      </c>
      <c r="F19" s="67">
        <f t="shared" si="13"/>
        <v>48</v>
      </c>
      <c r="G19" s="67">
        <f t="shared" si="13"/>
        <v>48</v>
      </c>
    </row>
    <row r="20" spans="1:7" s="1" customFormat="1" ht="45.75" customHeight="1" x14ac:dyDescent="0.3">
      <c r="A20" s="66" t="s">
        <v>47</v>
      </c>
      <c r="B20" s="66"/>
      <c r="C20" s="51" t="s">
        <v>149</v>
      </c>
      <c r="D20" s="67">
        <f>ROUND(1.2*D4*0.15*0.27,0)</f>
        <v>940</v>
      </c>
      <c r="E20" s="67">
        <f t="shared" ref="E20:G20" si="14">ROUND(1.2*E4*0.15*0.27,0)</f>
        <v>986</v>
      </c>
      <c r="F20" s="67">
        <f t="shared" si="14"/>
        <v>726</v>
      </c>
      <c r="G20" s="67">
        <f t="shared" si="14"/>
        <v>726</v>
      </c>
    </row>
    <row r="21" spans="1:7" s="9" customFormat="1" ht="32.25" customHeight="1" x14ac:dyDescent="0.3">
      <c r="A21" s="71" t="s">
        <v>70</v>
      </c>
      <c r="B21" s="72"/>
      <c r="C21" s="73" t="s">
        <v>54</v>
      </c>
      <c r="D21" s="74">
        <f>D6+D13</f>
        <v>40145</v>
      </c>
      <c r="E21" s="74">
        <f t="shared" ref="E21:G21" si="15">E6+E13</f>
        <v>42121</v>
      </c>
      <c r="F21" s="74">
        <f t="shared" si="15"/>
        <v>30994</v>
      </c>
      <c r="G21" s="74">
        <f t="shared" si="15"/>
        <v>30994</v>
      </c>
    </row>
    <row r="22" spans="1:7" s="9" customFormat="1" ht="25.5" customHeight="1" x14ac:dyDescent="0.3">
      <c r="A22" s="3" t="s">
        <v>59</v>
      </c>
      <c r="B22" s="30"/>
      <c r="C22" s="4" t="s">
        <v>93</v>
      </c>
      <c r="D22" s="48">
        <v>48557</v>
      </c>
      <c r="E22" s="48">
        <v>43880</v>
      </c>
      <c r="F22" s="48">
        <v>39204</v>
      </c>
      <c r="G22" s="48">
        <v>39204</v>
      </c>
    </row>
    <row r="23" spans="1:7" s="9" customFormat="1" ht="21.75" customHeight="1" x14ac:dyDescent="0.3">
      <c r="A23" s="13" t="s">
        <v>71</v>
      </c>
      <c r="B23" s="30"/>
      <c r="C23" s="50" t="s">
        <v>43</v>
      </c>
      <c r="D23" s="75">
        <f>D21-D22</f>
        <v>-8412</v>
      </c>
      <c r="E23" s="75">
        <f t="shared" ref="E23" si="16">E21-E22</f>
        <v>-1759</v>
      </c>
      <c r="F23" s="75">
        <f>F21-F22</f>
        <v>-8210</v>
      </c>
      <c r="G23" s="75">
        <f>G21-G22</f>
        <v>-8210</v>
      </c>
    </row>
    <row r="24" spans="1:7" s="9" customFormat="1" ht="14" x14ac:dyDescent="0.3">
      <c r="A24" s="10"/>
      <c r="C24" s="11"/>
      <c r="D24" s="15"/>
      <c r="E24" s="15"/>
      <c r="F24" s="15"/>
    </row>
    <row r="25" spans="1:7" s="1" customFormat="1" ht="25" customHeight="1" x14ac:dyDescent="0.3">
      <c r="A25" s="214" t="s">
        <v>155</v>
      </c>
      <c r="B25" s="214"/>
      <c r="C25" s="214"/>
      <c r="D25" s="214"/>
      <c r="E25" s="214"/>
      <c r="F25" s="214"/>
      <c r="G25" s="214"/>
    </row>
    <row r="26" spans="1:7" s="1" customFormat="1" ht="37.5" customHeight="1" x14ac:dyDescent="0.3">
      <c r="A26" s="214" t="s">
        <v>108</v>
      </c>
      <c r="B26" s="214"/>
      <c r="C26" s="214"/>
      <c r="D26" s="214"/>
      <c r="E26" s="214"/>
      <c r="F26" s="214"/>
      <c r="G26" s="214"/>
    </row>
    <row r="27" spans="1:7" s="1" customFormat="1" ht="39.65" customHeight="1" x14ac:dyDescent="0.3">
      <c r="A27" s="214" t="s">
        <v>141</v>
      </c>
      <c r="B27" s="214"/>
      <c r="C27" s="214"/>
      <c r="D27" s="214"/>
      <c r="E27" s="214"/>
      <c r="F27" s="214"/>
      <c r="G27" s="214"/>
    </row>
    <row r="28" spans="1:7" s="1" customFormat="1" ht="62.25" customHeight="1" x14ac:dyDescent="0.3">
      <c r="A28" s="214" t="s">
        <v>142</v>
      </c>
      <c r="B28" s="214"/>
      <c r="C28" s="214"/>
      <c r="D28" s="214"/>
      <c r="E28" s="214"/>
      <c r="F28" s="214"/>
    </row>
    <row r="29" spans="1:7" s="1" customFormat="1" ht="36" customHeight="1" x14ac:dyDescent="0.3">
      <c r="A29" s="214" t="s">
        <v>113</v>
      </c>
      <c r="B29" s="214"/>
      <c r="C29" s="214"/>
      <c r="D29" s="214"/>
      <c r="E29" s="214"/>
      <c r="F29" s="214"/>
      <c r="G29" s="214"/>
    </row>
    <row r="30" spans="1:7" s="1" customFormat="1" ht="40" customHeight="1" x14ac:dyDescent="0.3">
      <c r="A30" s="217" t="s">
        <v>114</v>
      </c>
      <c r="B30" s="217"/>
      <c r="C30" s="217"/>
      <c r="D30" s="217"/>
      <c r="E30" s="217"/>
      <c r="F30" s="217"/>
      <c r="G30" s="217"/>
    </row>
    <row r="31" spans="1:7" s="1" customFormat="1" ht="19.5" customHeight="1" x14ac:dyDescent="0.3">
      <c r="A31" s="219" t="s">
        <v>156</v>
      </c>
      <c r="B31" s="219"/>
      <c r="C31" s="219"/>
      <c r="D31" s="219"/>
      <c r="E31" s="219"/>
      <c r="F31" s="219"/>
    </row>
    <row r="32" spans="1:7" ht="22" customHeight="1" x14ac:dyDescent="0.3">
      <c r="A32" s="215" t="s">
        <v>144</v>
      </c>
      <c r="B32" s="215"/>
      <c r="C32" s="215"/>
      <c r="D32" s="215"/>
      <c r="E32" s="215"/>
      <c r="F32" s="215"/>
    </row>
    <row r="33" spans="1:7" ht="27.75" customHeight="1" x14ac:dyDescent="0.3">
      <c r="A33" s="209" t="s">
        <v>143</v>
      </c>
      <c r="B33" s="209"/>
      <c r="C33" s="209"/>
      <c r="D33" s="209"/>
      <c r="E33" s="209"/>
      <c r="F33" s="209"/>
    </row>
    <row r="35" spans="1:7" x14ac:dyDescent="0.3">
      <c r="A35" s="209" t="s">
        <v>154</v>
      </c>
      <c r="B35" s="209"/>
      <c r="C35" s="209"/>
      <c r="D35" s="209"/>
      <c r="E35" s="209"/>
      <c r="F35" s="209"/>
      <c r="G35" s="209"/>
    </row>
  </sheetData>
  <mergeCells count="13">
    <mergeCell ref="A35:G35"/>
    <mergeCell ref="A27:G27"/>
    <mergeCell ref="A1:B1"/>
    <mergeCell ref="C1:F1"/>
    <mergeCell ref="A2:G2"/>
    <mergeCell ref="A25:G25"/>
    <mergeCell ref="A26:G26"/>
    <mergeCell ref="A33:F33"/>
    <mergeCell ref="A28:F28"/>
    <mergeCell ref="A29:G29"/>
    <mergeCell ref="A30:G30"/>
    <mergeCell ref="A31:F31"/>
    <mergeCell ref="A32:F32"/>
  </mergeCells>
  <pageMargins left="0.35433070866141736" right="0.19685039370078741" top="0.49" bottom="0.55118110236220474" header="0.31496062992125984" footer="0.31496062992125984"/>
  <pageSetup paperSize="9" scale="78" fitToHeight="0" orientation="portrait" r:id="rId1"/>
  <headerFooter>
    <oddFooter>&amp;L&amp;"Times New Roman,Regular"&amp;F&amp;C&amp;"Times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pageSetUpPr fitToPage="1"/>
  </sheetPr>
  <dimension ref="A1:G45"/>
  <sheetViews>
    <sheetView zoomScale="90" zoomScaleNormal="90" workbookViewId="0">
      <pane xSplit="3" ySplit="3" topLeftCell="D4" activePane="bottomRight" state="frozen"/>
      <selection pane="topRight"/>
      <selection pane="bottomLeft"/>
      <selection pane="bottomRight" activeCell="I12" sqref="I12"/>
    </sheetView>
  </sheetViews>
  <sheetFormatPr defaultColWidth="9.1796875" defaultRowHeight="13" x14ac:dyDescent="0.3"/>
  <cols>
    <col min="1" max="1" width="9.54296875" style="6" customWidth="1"/>
    <col min="2" max="2" width="12.1796875" style="6" customWidth="1"/>
    <col min="3" max="3" width="62.1796875" style="6" customWidth="1"/>
    <col min="4" max="4" width="10.81640625" style="6" customWidth="1"/>
    <col min="5" max="5" width="11" style="6" customWidth="1"/>
    <col min="6" max="6" width="10.81640625" style="6" customWidth="1"/>
    <col min="7" max="7" width="12.7265625" style="6" customWidth="1"/>
    <col min="8" max="8" width="10.453125" style="6" customWidth="1"/>
    <col min="9" max="16384" width="9.1796875" style="6"/>
  </cols>
  <sheetData>
    <row r="1" spans="1:7" s="86" customFormat="1" ht="23.25" customHeight="1" x14ac:dyDescent="0.3">
      <c r="A1" s="212"/>
      <c r="B1" s="212"/>
      <c r="C1" s="209"/>
      <c r="D1" s="209"/>
      <c r="E1" s="209"/>
      <c r="F1" s="209"/>
      <c r="G1" s="86" t="s">
        <v>82</v>
      </c>
    </row>
    <row r="2" spans="1:7" ht="60" customHeight="1" x14ac:dyDescent="0.3">
      <c r="A2" s="210" t="s">
        <v>127</v>
      </c>
      <c r="B2" s="210"/>
      <c r="C2" s="210"/>
      <c r="D2" s="210"/>
      <c r="E2" s="210"/>
      <c r="F2" s="210"/>
      <c r="G2" s="210"/>
    </row>
    <row r="3" spans="1:7" ht="26" x14ac:dyDescent="0.3">
      <c r="A3" s="13" t="s">
        <v>5</v>
      </c>
      <c r="B3" s="3" t="s">
        <v>7</v>
      </c>
      <c r="C3" s="13" t="s">
        <v>6</v>
      </c>
      <c r="D3" s="7" t="s">
        <v>55</v>
      </c>
      <c r="E3" s="7" t="s">
        <v>56</v>
      </c>
      <c r="F3" s="7" t="s">
        <v>57</v>
      </c>
      <c r="G3" s="7" t="s">
        <v>90</v>
      </c>
    </row>
    <row r="4" spans="1:7" s="8" customFormat="1" ht="37" customHeight="1" x14ac:dyDescent="0.3">
      <c r="A4" s="45"/>
      <c r="B4" s="45"/>
      <c r="C4" s="46" t="s">
        <v>91</v>
      </c>
      <c r="D4" s="47">
        <f>(13*12*320)+(26*3*235)</f>
        <v>68250</v>
      </c>
      <c r="E4" s="47">
        <f>(12*12*320)+(23*3*235)</f>
        <v>62295</v>
      </c>
      <c r="F4" s="47">
        <f>(11*12*320)+(19*3*235)</f>
        <v>55635</v>
      </c>
      <c r="G4" s="47">
        <f>(11*12*320)+(19*3*235)</f>
        <v>55635</v>
      </c>
    </row>
    <row r="5" spans="1:7" s="8" customFormat="1" ht="9.75" customHeight="1" x14ac:dyDescent="0.3">
      <c r="A5" s="3"/>
      <c r="B5" s="3"/>
      <c r="C5" s="5"/>
      <c r="D5" s="2"/>
      <c r="E5" s="2"/>
      <c r="F5" s="2"/>
      <c r="G5" s="3"/>
    </row>
    <row r="6" spans="1:7" s="86" customFormat="1" ht="50.25" customHeight="1" x14ac:dyDescent="0.3">
      <c r="A6" s="47" t="s">
        <v>48</v>
      </c>
      <c r="B6" s="47" t="s">
        <v>44</v>
      </c>
      <c r="C6" s="68" t="s">
        <v>136</v>
      </c>
      <c r="D6" s="47">
        <f>D7+D9+D11</f>
        <v>127381</v>
      </c>
      <c r="E6" s="47">
        <f t="shared" ref="E6:G6" si="0">E7+E9+E11</f>
        <v>116267</v>
      </c>
      <c r="F6" s="47">
        <f t="shared" si="0"/>
        <v>103837</v>
      </c>
      <c r="G6" s="47">
        <f t="shared" si="0"/>
        <v>103837</v>
      </c>
    </row>
    <row r="7" spans="1:7" s="86" customFormat="1" ht="17.25" customHeight="1" x14ac:dyDescent="0.3">
      <c r="A7" s="60" t="s">
        <v>3</v>
      </c>
      <c r="B7" s="60" t="s">
        <v>45</v>
      </c>
      <c r="C7" s="61" t="s">
        <v>138</v>
      </c>
      <c r="D7" s="60">
        <f t="shared" ref="D7:G7" si="1">D8</f>
        <v>69376</v>
      </c>
      <c r="E7" s="60">
        <f t="shared" si="1"/>
        <v>63323</v>
      </c>
      <c r="F7" s="60">
        <f t="shared" si="1"/>
        <v>56553</v>
      </c>
      <c r="G7" s="60">
        <f t="shared" si="1"/>
        <v>56553</v>
      </c>
    </row>
    <row r="8" spans="1:7" ht="39" customHeight="1" x14ac:dyDescent="0.3">
      <c r="A8" s="3"/>
      <c r="B8" s="3"/>
      <c r="C8" s="5" t="s">
        <v>204</v>
      </c>
      <c r="D8" s="3">
        <f>ROUND(0.95*1.07*D4,0)</f>
        <v>69376</v>
      </c>
      <c r="E8" s="3">
        <f t="shared" ref="E8:G8" si="2">ROUND(0.95*1.07*E4,0)</f>
        <v>63323</v>
      </c>
      <c r="F8" s="3">
        <f t="shared" si="2"/>
        <v>56553</v>
      </c>
      <c r="G8" s="3">
        <f t="shared" si="2"/>
        <v>56553</v>
      </c>
    </row>
    <row r="9" spans="1:7" s="86" customFormat="1" ht="18" customHeight="1" x14ac:dyDescent="0.3">
      <c r="A9" s="60" t="s">
        <v>24</v>
      </c>
      <c r="B9" s="60" t="s">
        <v>46</v>
      </c>
      <c r="C9" s="61" t="s">
        <v>228</v>
      </c>
      <c r="D9" s="60">
        <f t="shared" ref="D9:G9" si="3">D10</f>
        <v>10476</v>
      </c>
      <c r="E9" s="60">
        <f t="shared" si="3"/>
        <v>9562</v>
      </c>
      <c r="F9" s="60">
        <f t="shared" si="3"/>
        <v>8540</v>
      </c>
      <c r="G9" s="60">
        <f t="shared" si="3"/>
        <v>8540</v>
      </c>
    </row>
    <row r="10" spans="1:7" ht="73.5" customHeight="1" x14ac:dyDescent="0.3">
      <c r="A10" s="3"/>
      <c r="B10" s="3"/>
      <c r="C10" s="4" t="s">
        <v>111</v>
      </c>
      <c r="D10" s="55">
        <f>ROUND((0.09*0.24*D4)+(0.14*0.25*D4)+(0.19*0.51*D4),0)</f>
        <v>10476</v>
      </c>
      <c r="E10" s="55">
        <f t="shared" ref="E10:G10" si="4">ROUND((0.09*0.24*E4)+(0.14*0.25*E4)+(0.19*0.51*E4),0)</f>
        <v>9562</v>
      </c>
      <c r="F10" s="55">
        <f t="shared" si="4"/>
        <v>8540</v>
      </c>
      <c r="G10" s="55">
        <f t="shared" si="4"/>
        <v>8540</v>
      </c>
    </row>
    <row r="11" spans="1:7" ht="42" customHeight="1" x14ac:dyDescent="0.3">
      <c r="A11" s="60" t="s">
        <v>39</v>
      </c>
      <c r="B11" s="60" t="s">
        <v>47</v>
      </c>
      <c r="C11" s="61" t="s">
        <v>229</v>
      </c>
      <c r="D11" s="60">
        <f t="shared" ref="D11:G11" si="5">D12</f>
        <v>47529</v>
      </c>
      <c r="E11" s="60">
        <f t="shared" si="5"/>
        <v>43382</v>
      </c>
      <c r="F11" s="60">
        <f t="shared" si="5"/>
        <v>38744</v>
      </c>
      <c r="G11" s="60">
        <f t="shared" si="5"/>
        <v>38744</v>
      </c>
    </row>
    <row r="12" spans="1:7" s="1" customFormat="1" ht="54" customHeight="1" x14ac:dyDescent="0.3">
      <c r="A12" s="62"/>
      <c r="B12" s="62"/>
      <c r="C12" s="51" t="s">
        <v>112</v>
      </c>
      <c r="D12" s="3">
        <f>ROUND((1.2*0.24*D4)+(1.633571*0.25*D4),0)</f>
        <v>47529</v>
      </c>
      <c r="E12" s="3">
        <f t="shared" ref="E12:G12" si="6">ROUND((1.2*0.24*E4)+(1.633571*0.25*E4),0)</f>
        <v>43382</v>
      </c>
      <c r="F12" s="3">
        <f t="shared" si="6"/>
        <v>38744</v>
      </c>
      <c r="G12" s="3">
        <f t="shared" si="6"/>
        <v>38744</v>
      </c>
    </row>
    <row r="13" spans="1:7" s="1" customFormat="1" ht="78.75" customHeight="1" x14ac:dyDescent="0.3">
      <c r="A13" s="47" t="s">
        <v>121</v>
      </c>
      <c r="B13" s="69" t="s">
        <v>49</v>
      </c>
      <c r="C13" s="70" t="s">
        <v>153</v>
      </c>
      <c r="D13" s="70">
        <f>D14+D17</f>
        <v>6944</v>
      </c>
      <c r="E13" s="70">
        <f t="shared" ref="E13:G13" si="7">E14+E17</f>
        <v>6338</v>
      </c>
      <c r="F13" s="70">
        <f t="shared" si="7"/>
        <v>5660</v>
      </c>
      <c r="G13" s="70">
        <f t="shared" si="7"/>
        <v>5660</v>
      </c>
    </row>
    <row r="14" spans="1:7" s="1" customFormat="1" ht="30.75" customHeight="1" x14ac:dyDescent="0.3">
      <c r="A14" s="63" t="s">
        <v>8</v>
      </c>
      <c r="B14" s="63" t="s">
        <v>50</v>
      </c>
      <c r="C14" s="64" t="s">
        <v>51</v>
      </c>
      <c r="D14" s="64">
        <f>D15+D16</f>
        <v>3419</v>
      </c>
      <c r="E14" s="64">
        <f t="shared" ref="E14:G14" si="8">E15+E16</f>
        <v>3121</v>
      </c>
      <c r="F14" s="64">
        <f t="shared" si="8"/>
        <v>2787</v>
      </c>
      <c r="G14" s="64">
        <f t="shared" si="8"/>
        <v>2787</v>
      </c>
    </row>
    <row r="15" spans="1:7" s="1" customFormat="1" ht="52" customHeight="1" x14ac:dyDescent="0.3">
      <c r="A15" s="13"/>
      <c r="B15" s="65"/>
      <c r="C15" s="57" t="s">
        <v>200</v>
      </c>
      <c r="D15" s="51">
        <f>ROUND(0.42*0.75*D4*0.15*0.73,0)</f>
        <v>2354</v>
      </c>
      <c r="E15" s="51">
        <f t="shared" ref="E15:G15" si="9">ROUND(0.42*0.75*E4*0.15*0.73,0)</f>
        <v>2149</v>
      </c>
      <c r="F15" s="51">
        <f t="shared" si="9"/>
        <v>1919</v>
      </c>
      <c r="G15" s="51">
        <f t="shared" si="9"/>
        <v>1919</v>
      </c>
    </row>
    <row r="16" spans="1:7" s="1" customFormat="1" ht="46.5" customHeight="1" x14ac:dyDescent="0.3">
      <c r="A16" s="13"/>
      <c r="B16" s="65"/>
      <c r="C16" s="51" t="s">
        <v>116</v>
      </c>
      <c r="D16" s="51">
        <f>ROUND(0.19*(0.75*D4)*0.15*0.73,0)</f>
        <v>1065</v>
      </c>
      <c r="E16" s="51">
        <f t="shared" ref="E16:G16" si="10">ROUND(0.19*(0.75*E4)*0.15*0.73,0)</f>
        <v>972</v>
      </c>
      <c r="F16" s="51">
        <f t="shared" si="10"/>
        <v>868</v>
      </c>
      <c r="G16" s="51">
        <f t="shared" si="10"/>
        <v>868</v>
      </c>
    </row>
    <row r="17" spans="1:7" s="1" customFormat="1" ht="42.75" customHeight="1" x14ac:dyDescent="0.3">
      <c r="A17" s="63" t="s">
        <v>44</v>
      </c>
      <c r="B17" s="63" t="s">
        <v>53</v>
      </c>
      <c r="C17" s="64" t="s">
        <v>52</v>
      </c>
      <c r="D17" s="64">
        <f>D18+D19+D20</f>
        <v>3525</v>
      </c>
      <c r="E17" s="64">
        <f t="shared" ref="E17:G17" si="11">E18+E19+E20</f>
        <v>3217</v>
      </c>
      <c r="F17" s="64">
        <f t="shared" si="11"/>
        <v>2873</v>
      </c>
      <c r="G17" s="64">
        <f t="shared" si="11"/>
        <v>2873</v>
      </c>
    </row>
    <row r="18" spans="1:7" s="1" customFormat="1" ht="48.65" customHeight="1" x14ac:dyDescent="0.3">
      <c r="A18" s="141" t="s">
        <v>45</v>
      </c>
      <c r="B18" s="141"/>
      <c r="C18" s="57" t="s">
        <v>205</v>
      </c>
      <c r="D18" s="57">
        <f>ROUND(0.42*0.75*D4*0.15*0.27,0)</f>
        <v>871</v>
      </c>
      <c r="E18" s="57">
        <f t="shared" ref="E18:G18" si="12">ROUND(0.42*0.75*E4*0.15*0.27,0)</f>
        <v>795</v>
      </c>
      <c r="F18" s="57">
        <f t="shared" si="12"/>
        <v>710</v>
      </c>
      <c r="G18" s="57">
        <f t="shared" si="12"/>
        <v>710</v>
      </c>
    </row>
    <row r="19" spans="1:7" s="1" customFormat="1" ht="48.65" customHeight="1" x14ac:dyDescent="0.3">
      <c r="A19" s="66" t="s">
        <v>46</v>
      </c>
      <c r="B19" s="66"/>
      <c r="C19" s="51" t="s">
        <v>119</v>
      </c>
      <c r="D19" s="67">
        <f>ROUND(0.08*(0.75*D4)*0.15*0.27,0)</f>
        <v>166</v>
      </c>
      <c r="E19" s="67">
        <f t="shared" ref="E19:G19" si="13">ROUND(0.08*(0.75*E4)*0.15*0.27,0)</f>
        <v>151</v>
      </c>
      <c r="F19" s="67">
        <f t="shared" si="13"/>
        <v>135</v>
      </c>
      <c r="G19" s="67">
        <f t="shared" si="13"/>
        <v>135</v>
      </c>
    </row>
    <row r="20" spans="1:7" s="1" customFormat="1" ht="45.75" customHeight="1" x14ac:dyDescent="0.3">
      <c r="A20" s="66" t="s">
        <v>47</v>
      </c>
      <c r="B20" s="66"/>
      <c r="C20" s="51" t="s">
        <v>120</v>
      </c>
      <c r="D20" s="67">
        <f>ROUND(1.2*(0.75*D4)*0.15*0.27,0)</f>
        <v>2488</v>
      </c>
      <c r="E20" s="67">
        <f t="shared" ref="E20:G20" si="14">ROUND(1.2*(0.75*E4)*0.15*0.27,0)</f>
        <v>2271</v>
      </c>
      <c r="F20" s="67">
        <f t="shared" si="14"/>
        <v>2028</v>
      </c>
      <c r="G20" s="67">
        <f t="shared" si="14"/>
        <v>2028</v>
      </c>
    </row>
    <row r="21" spans="1:7" s="9" customFormat="1" ht="32.25" customHeight="1" x14ac:dyDescent="0.3">
      <c r="A21" s="71" t="s">
        <v>70</v>
      </c>
      <c r="B21" s="72"/>
      <c r="C21" s="73" t="s">
        <v>54</v>
      </c>
      <c r="D21" s="74">
        <f>D6+D13</f>
        <v>134325</v>
      </c>
      <c r="E21" s="74">
        <f t="shared" ref="E21:G21" si="15">E6+E13</f>
        <v>122605</v>
      </c>
      <c r="F21" s="74">
        <f t="shared" si="15"/>
        <v>109497</v>
      </c>
      <c r="G21" s="74">
        <f t="shared" si="15"/>
        <v>109497</v>
      </c>
    </row>
    <row r="22" spans="1:7" s="9" customFormat="1" ht="25.5" customHeight="1" x14ac:dyDescent="0.3">
      <c r="A22" s="3" t="s">
        <v>59</v>
      </c>
      <c r="B22" s="30"/>
      <c r="C22" s="4" t="s">
        <v>93</v>
      </c>
      <c r="D22" s="48">
        <v>0</v>
      </c>
      <c r="E22" s="48">
        <v>0</v>
      </c>
      <c r="F22" s="48">
        <v>0</v>
      </c>
      <c r="G22" s="48">
        <v>0</v>
      </c>
    </row>
    <row r="23" spans="1:7" s="9" customFormat="1" ht="21.75" customHeight="1" x14ac:dyDescent="0.3">
      <c r="A23" s="13" t="s">
        <v>71</v>
      </c>
      <c r="B23" s="30"/>
      <c r="C23" s="50" t="s">
        <v>43</v>
      </c>
      <c r="D23" s="75">
        <f>D21-D22</f>
        <v>134325</v>
      </c>
      <c r="E23" s="75">
        <f t="shared" ref="E23" si="16">E21-E22</f>
        <v>122605</v>
      </c>
      <c r="F23" s="75">
        <f>F21-F22</f>
        <v>109497</v>
      </c>
      <c r="G23" s="75">
        <f>G21-G22</f>
        <v>109497</v>
      </c>
    </row>
    <row r="24" spans="1:7" s="9" customFormat="1" ht="14" x14ac:dyDescent="0.3">
      <c r="A24" s="10"/>
      <c r="C24" s="11"/>
      <c r="D24" s="15"/>
      <c r="E24" s="15"/>
      <c r="F24" s="15"/>
    </row>
    <row r="25" spans="1:7" s="1" customFormat="1" ht="26.5" customHeight="1" x14ac:dyDescent="0.3">
      <c r="A25" s="214" t="s">
        <v>155</v>
      </c>
      <c r="B25" s="214"/>
      <c r="C25" s="214"/>
      <c r="D25" s="214"/>
      <c r="E25" s="214"/>
      <c r="F25" s="214"/>
      <c r="G25" s="214"/>
    </row>
    <row r="26" spans="1:7" s="1" customFormat="1" ht="24" customHeight="1" x14ac:dyDescent="0.3">
      <c r="A26" s="214" t="s">
        <v>139</v>
      </c>
      <c r="B26" s="214"/>
      <c r="C26" s="214"/>
      <c r="D26" s="214"/>
      <c r="E26" s="214"/>
      <c r="F26" s="214"/>
      <c r="G26" s="214"/>
    </row>
    <row r="27" spans="1:7" s="1" customFormat="1" ht="60" customHeight="1" x14ac:dyDescent="0.3">
      <c r="A27" s="214" t="s">
        <v>110</v>
      </c>
      <c r="B27" s="214"/>
      <c r="C27" s="214"/>
      <c r="D27" s="214"/>
      <c r="E27" s="214"/>
      <c r="F27" s="214"/>
      <c r="G27" s="214"/>
    </row>
    <row r="28" spans="1:7" s="1" customFormat="1" ht="62.25" customHeight="1" x14ac:dyDescent="0.3">
      <c r="A28" s="214" t="s">
        <v>109</v>
      </c>
      <c r="B28" s="214"/>
      <c r="C28" s="214"/>
      <c r="D28" s="214"/>
      <c r="E28" s="214"/>
      <c r="F28" s="214"/>
    </row>
    <row r="29" spans="1:7" s="1" customFormat="1" ht="36" customHeight="1" x14ac:dyDescent="0.3">
      <c r="A29" s="209" t="s">
        <v>157</v>
      </c>
      <c r="B29" s="209"/>
      <c r="C29" s="209"/>
      <c r="D29" s="209"/>
      <c r="E29" s="209"/>
      <c r="F29" s="209"/>
      <c r="G29" s="209"/>
    </row>
    <row r="30" spans="1:7" s="1" customFormat="1" ht="42.65" customHeight="1" x14ac:dyDescent="0.3">
      <c r="A30" s="215" t="s">
        <v>114</v>
      </c>
      <c r="B30" s="215"/>
      <c r="C30" s="215"/>
      <c r="D30" s="215"/>
      <c r="E30" s="215"/>
      <c r="F30" s="215"/>
      <c r="G30" s="215"/>
    </row>
    <row r="31" spans="1:7" s="1" customFormat="1" ht="25" customHeight="1" x14ac:dyDescent="0.3">
      <c r="A31" s="215" t="s">
        <v>156</v>
      </c>
      <c r="B31" s="215"/>
      <c r="C31" s="215"/>
      <c r="D31" s="215"/>
      <c r="E31" s="215"/>
      <c r="F31" s="215"/>
    </row>
    <row r="32" spans="1:7" s="1" customFormat="1" ht="67.5" customHeight="1" x14ac:dyDescent="0.3">
      <c r="A32" s="215" t="s">
        <v>115</v>
      </c>
      <c r="B32" s="216"/>
      <c r="C32" s="216"/>
      <c r="D32" s="216"/>
      <c r="E32" s="216"/>
      <c r="F32" s="216"/>
    </row>
    <row r="33" spans="1:7" ht="16.5" customHeight="1" x14ac:dyDescent="0.3">
      <c r="A33" s="215" t="s">
        <v>117</v>
      </c>
      <c r="B33" s="215"/>
      <c r="C33" s="215"/>
      <c r="D33" s="215"/>
      <c r="E33" s="215"/>
      <c r="F33" s="215"/>
    </row>
    <row r="34" spans="1:7" ht="27.75" customHeight="1" x14ac:dyDescent="0.3">
      <c r="A34" s="209" t="s">
        <v>118</v>
      </c>
      <c r="B34" s="209"/>
      <c r="C34" s="209"/>
      <c r="D34" s="209"/>
      <c r="E34" s="209"/>
      <c r="F34" s="209"/>
    </row>
    <row r="35" spans="1:7" ht="20.149999999999999" customHeight="1" x14ac:dyDescent="0.3">
      <c r="A35" s="209" t="s">
        <v>154</v>
      </c>
      <c r="B35" s="209"/>
      <c r="C35" s="209"/>
      <c r="D35" s="209"/>
      <c r="E35" s="209"/>
      <c r="F35" s="209"/>
      <c r="G35" s="209"/>
    </row>
    <row r="36" spans="1:7" ht="19.5" customHeight="1" x14ac:dyDescent="0.3">
      <c r="A36" s="220" t="s">
        <v>122</v>
      </c>
      <c r="B36" s="220"/>
      <c r="C36" s="220"/>
      <c r="D36" s="220"/>
      <c r="E36" s="220"/>
      <c r="F36" s="220"/>
      <c r="G36" s="220"/>
    </row>
    <row r="37" spans="1:7" ht="21" customHeight="1" x14ac:dyDescent="0.3">
      <c r="A37" s="209" t="s">
        <v>128</v>
      </c>
      <c r="B37" s="209"/>
      <c r="C37" s="209"/>
      <c r="D37" s="209"/>
      <c r="E37" s="209"/>
      <c r="F37" s="209"/>
      <c r="G37" s="209"/>
    </row>
    <row r="38" spans="1:7" ht="21.75" customHeight="1" x14ac:dyDescent="0.3">
      <c r="A38" s="209" t="s">
        <v>129</v>
      </c>
      <c r="B38" s="209"/>
      <c r="C38" s="209"/>
      <c r="D38" s="209"/>
      <c r="E38" s="209"/>
      <c r="F38" s="209"/>
    </row>
    <row r="39" spans="1:7" ht="22.5" customHeight="1" x14ac:dyDescent="0.3">
      <c r="A39" s="209" t="s">
        <v>130</v>
      </c>
      <c r="B39" s="209"/>
      <c r="C39" s="209"/>
      <c r="D39" s="209"/>
      <c r="E39" s="209"/>
      <c r="F39" s="209"/>
    </row>
    <row r="40" spans="1:7" ht="25.5" customHeight="1" x14ac:dyDescent="0.3">
      <c r="A40" s="209" t="s">
        <v>131</v>
      </c>
      <c r="B40" s="209"/>
      <c r="C40" s="209"/>
      <c r="D40" s="209"/>
      <c r="E40" s="209"/>
      <c r="F40" s="209"/>
    </row>
    <row r="41" spans="1:7" ht="21" customHeight="1" x14ac:dyDescent="0.3">
      <c r="A41" s="220" t="s">
        <v>123</v>
      </c>
      <c r="B41" s="220"/>
      <c r="C41" s="220"/>
    </row>
    <row r="42" spans="1:7" ht="22.5" customHeight="1" x14ac:dyDescent="0.3">
      <c r="A42" s="209" t="s">
        <v>132</v>
      </c>
      <c r="B42" s="209"/>
      <c r="C42" s="209"/>
    </row>
    <row r="43" spans="1:7" ht="19.5" customHeight="1" x14ac:dyDescent="0.3">
      <c r="A43" s="209" t="s">
        <v>133</v>
      </c>
      <c r="B43" s="209"/>
      <c r="C43" s="209"/>
    </row>
    <row r="44" spans="1:7" ht="17.25" customHeight="1" x14ac:dyDescent="0.3">
      <c r="A44" s="209" t="s">
        <v>134</v>
      </c>
      <c r="B44" s="209"/>
      <c r="C44" s="209"/>
    </row>
    <row r="45" spans="1:7" ht="26.15" customHeight="1" x14ac:dyDescent="0.3">
      <c r="A45" s="209" t="s">
        <v>135</v>
      </c>
      <c r="B45" s="209"/>
      <c r="C45" s="209"/>
      <c r="D45" s="209"/>
    </row>
  </sheetData>
  <mergeCells count="24">
    <mergeCell ref="A27:G27"/>
    <mergeCell ref="A1:B1"/>
    <mergeCell ref="C1:F1"/>
    <mergeCell ref="A2:G2"/>
    <mergeCell ref="A25:G25"/>
    <mergeCell ref="A26:G26"/>
    <mergeCell ref="A40:F40"/>
    <mergeCell ref="A28:F28"/>
    <mergeCell ref="A29:G29"/>
    <mergeCell ref="A30:G30"/>
    <mergeCell ref="A31:F31"/>
    <mergeCell ref="A32:F32"/>
    <mergeCell ref="A33:F33"/>
    <mergeCell ref="A34:F34"/>
    <mergeCell ref="A36:G36"/>
    <mergeCell ref="A37:G37"/>
    <mergeCell ref="A38:F38"/>
    <mergeCell ref="A39:F39"/>
    <mergeCell ref="A35:G35"/>
    <mergeCell ref="A41:C41"/>
    <mergeCell ref="A42:C42"/>
    <mergeCell ref="A43:C43"/>
    <mergeCell ref="A44:C44"/>
    <mergeCell ref="A45:D45"/>
  </mergeCells>
  <pageMargins left="0.35433070866141736" right="0.19685039370078741" top="0.74803149606299213" bottom="0.55118110236220474" header="0.31496062992125984" footer="0.31496062992125984"/>
  <pageSetup paperSize="9" scale="77" fitToHeight="0" orientation="portrait" r:id="rId1"/>
  <headerFooter>
    <oddFooter>&amp;L&amp;"Times New Roman,Regular"&amp;F&amp;C&amp;"Times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0"/>
  <sheetViews>
    <sheetView topLeftCell="A20" zoomScale="90" zoomScaleNormal="90" workbookViewId="0">
      <selection activeCell="K27" sqref="K27"/>
    </sheetView>
  </sheetViews>
  <sheetFormatPr defaultRowHeight="14" x14ac:dyDescent="0.3"/>
  <cols>
    <col min="2" max="2" width="50.453125" customWidth="1"/>
    <col min="3" max="3" width="10.1796875" customWidth="1"/>
    <col min="4" max="4" width="10.26953125" customWidth="1"/>
    <col min="5" max="5" width="10" customWidth="1"/>
    <col min="6" max="6" width="13.1796875" customWidth="1"/>
  </cols>
  <sheetData>
    <row r="1" spans="1:6" x14ac:dyDescent="0.3">
      <c r="F1" s="125" t="s">
        <v>186</v>
      </c>
    </row>
    <row r="3" spans="1:6" ht="34" customHeight="1" x14ac:dyDescent="0.3">
      <c r="A3" s="222" t="s">
        <v>187</v>
      </c>
      <c r="B3" s="223"/>
      <c r="C3" s="223"/>
      <c r="D3" s="223"/>
      <c r="E3" s="223"/>
      <c r="F3" s="223"/>
    </row>
    <row r="4" spans="1:6" ht="23" x14ac:dyDescent="0.3">
      <c r="A4" s="87" t="s">
        <v>5</v>
      </c>
      <c r="B4" s="87" t="s">
        <v>158</v>
      </c>
      <c r="C4" s="88" t="s">
        <v>159</v>
      </c>
      <c r="D4" s="88" t="s">
        <v>160</v>
      </c>
      <c r="E4" s="88" t="s">
        <v>161</v>
      </c>
      <c r="F4" s="88" t="s">
        <v>162</v>
      </c>
    </row>
    <row r="5" spans="1:6" x14ac:dyDescent="0.3">
      <c r="A5" s="225"/>
      <c r="B5" s="139" t="s">
        <v>163</v>
      </c>
      <c r="C5" s="140">
        <v>100</v>
      </c>
      <c r="D5" s="140">
        <v>100</v>
      </c>
      <c r="E5" s="140">
        <v>100</v>
      </c>
      <c r="F5" s="140"/>
    </row>
    <row r="6" spans="1:6" ht="37.5" customHeight="1" x14ac:dyDescent="0.3">
      <c r="A6" s="226"/>
      <c r="B6" s="90" t="s">
        <v>164</v>
      </c>
      <c r="C6" s="91">
        <v>340</v>
      </c>
      <c r="D6" s="91">
        <v>340</v>
      </c>
      <c r="E6" s="91">
        <v>340</v>
      </c>
      <c r="F6" s="91"/>
    </row>
    <row r="7" spans="1:6" x14ac:dyDescent="0.3">
      <c r="A7" s="226"/>
      <c r="B7" s="90" t="s">
        <v>165</v>
      </c>
      <c r="C7" s="91">
        <f>C5*C6</f>
        <v>34000</v>
      </c>
      <c r="D7" s="91">
        <f t="shared" ref="D7:F7" si="0">D5*D6</f>
        <v>34000</v>
      </c>
      <c r="E7" s="91">
        <f t="shared" si="0"/>
        <v>34000</v>
      </c>
      <c r="F7" s="91">
        <f t="shared" si="0"/>
        <v>0</v>
      </c>
    </row>
    <row r="8" spans="1:6" ht="43.5" customHeight="1" x14ac:dyDescent="0.3">
      <c r="A8" s="226"/>
      <c r="B8" s="123" t="s">
        <v>166</v>
      </c>
      <c r="C8" s="124">
        <v>238000</v>
      </c>
      <c r="D8" s="124">
        <v>204000</v>
      </c>
      <c r="E8" s="124">
        <v>204000</v>
      </c>
      <c r="F8" s="124"/>
    </row>
    <row r="9" spans="1:6" x14ac:dyDescent="0.3">
      <c r="A9" s="226"/>
      <c r="B9" s="90" t="s">
        <v>167</v>
      </c>
      <c r="C9" s="92">
        <f>ROUNDUP(C8*0.25*0.1,0)</f>
        <v>5950</v>
      </c>
      <c r="D9" s="92">
        <f>ROUNDUP(D8*0.25*0.1,0)</f>
        <v>5100</v>
      </c>
      <c r="E9" s="92">
        <f>ROUNDUP(E8*0.25*0.1,0)</f>
        <v>5100</v>
      </c>
      <c r="F9" s="92">
        <f>ROUNDUP(F8*0.29*0.08,0)</f>
        <v>0</v>
      </c>
    </row>
    <row r="10" spans="1:6" x14ac:dyDescent="0.3">
      <c r="A10" s="226"/>
      <c r="B10" s="90" t="s">
        <v>168</v>
      </c>
      <c r="C10" s="92">
        <f>ROUNDUP(C9*0.8,0)</f>
        <v>4760</v>
      </c>
      <c r="D10" s="92">
        <f>ROUNDUP(D9*0.8,0)</f>
        <v>4080</v>
      </c>
      <c r="E10" s="92">
        <f>ROUNDUP(E9*0.8,0)</f>
        <v>4080</v>
      </c>
      <c r="F10" s="92">
        <f t="shared" ref="F10" si="1">ROUNDUP(F9*0.05,0)</f>
        <v>0</v>
      </c>
    </row>
    <row r="11" spans="1:6" x14ac:dyDescent="0.3">
      <c r="A11" s="227"/>
      <c r="B11" s="90" t="s">
        <v>169</v>
      </c>
      <c r="C11" s="93">
        <f>ROUNDUP(C8*0.012,0)</f>
        <v>2856</v>
      </c>
      <c r="D11" s="93">
        <f>ROUNDUP(D8*0.012,0)</f>
        <v>2448</v>
      </c>
      <c r="E11" s="93">
        <f>ROUNDUP(E8*0.012,0)</f>
        <v>2448</v>
      </c>
      <c r="F11" s="93">
        <f t="shared" ref="F11" si="2">ROUNDUP(F8*0.01,0)</f>
        <v>0</v>
      </c>
    </row>
    <row r="12" spans="1:6" ht="23" x14ac:dyDescent="0.3">
      <c r="A12" s="94" t="s">
        <v>2</v>
      </c>
      <c r="B12" s="95" t="s">
        <v>170</v>
      </c>
      <c r="C12" s="96">
        <f>C13+C14</f>
        <v>25095</v>
      </c>
      <c r="D12" s="96">
        <f t="shared" ref="D12:F12" si="3">D13+D14</f>
        <v>21511</v>
      </c>
      <c r="E12" s="96">
        <f t="shared" si="3"/>
        <v>21511</v>
      </c>
      <c r="F12" s="96">
        <f t="shared" si="3"/>
        <v>0</v>
      </c>
    </row>
    <row r="13" spans="1:6" ht="44.5" customHeight="1" x14ac:dyDescent="0.3">
      <c r="A13" s="89" t="s">
        <v>3</v>
      </c>
      <c r="B13" s="97" t="s">
        <v>171</v>
      </c>
      <c r="C13" s="91">
        <f>ROUNDUP(C9*1.633571,0)</f>
        <v>9720</v>
      </c>
      <c r="D13" s="91">
        <f>ROUNDUP(D9*1.633571,0)</f>
        <v>8332</v>
      </c>
      <c r="E13" s="91">
        <f>ROUNDUP(E9*1.633571,0)</f>
        <v>8332</v>
      </c>
      <c r="F13" s="91">
        <f>ROUNDUP(F9*1.29,0)</f>
        <v>0</v>
      </c>
    </row>
    <row r="14" spans="1:6" ht="46.5" customHeight="1" x14ac:dyDescent="0.3">
      <c r="A14" s="89" t="s">
        <v>24</v>
      </c>
      <c r="B14" s="97" t="s">
        <v>172</v>
      </c>
      <c r="C14" s="91">
        <f>ROUNDUP(C10*3.23,0)</f>
        <v>15375</v>
      </c>
      <c r="D14" s="91">
        <f>ROUNDUP(D10*3.23,0)</f>
        <v>13179</v>
      </c>
      <c r="E14" s="91">
        <f>ROUNDUP(E10*3.23,0)</f>
        <v>13179</v>
      </c>
      <c r="F14" s="91">
        <f>ROUNDUP(F10*1.77,0)</f>
        <v>0</v>
      </c>
    </row>
    <row r="15" spans="1:6" ht="23" x14ac:dyDescent="0.3">
      <c r="A15" s="98" t="s">
        <v>1</v>
      </c>
      <c r="B15" s="95" t="s">
        <v>173</v>
      </c>
      <c r="C15" s="99">
        <f>C16+C17</f>
        <v>2923</v>
      </c>
      <c r="D15" s="99">
        <f t="shared" ref="D15:F15" si="4">D16+D17</f>
        <v>2506</v>
      </c>
      <c r="E15" s="99">
        <f t="shared" si="4"/>
        <v>2506</v>
      </c>
      <c r="F15" s="99">
        <f t="shared" si="4"/>
        <v>0</v>
      </c>
    </row>
    <row r="16" spans="1:6" ht="28" x14ac:dyDescent="0.3">
      <c r="A16" s="100" t="s">
        <v>8</v>
      </c>
      <c r="B16" s="101" t="s">
        <v>174</v>
      </c>
      <c r="C16" s="102">
        <f>ROUND(1.2*C11*0.75*0.24,0)</f>
        <v>617</v>
      </c>
      <c r="D16" s="102">
        <f>ROUND(1.2*D11*0.75*0.24,0)</f>
        <v>529</v>
      </c>
      <c r="E16" s="102">
        <f>ROUND(1.2*E11*0.75*0.24,0)</f>
        <v>529</v>
      </c>
      <c r="F16" s="102">
        <f t="shared" ref="F16" si="5">ROUND(1*F11*0.71*0.3,0)</f>
        <v>0</v>
      </c>
    </row>
    <row r="17" spans="1:6" ht="19" customHeight="1" x14ac:dyDescent="0.3">
      <c r="A17" s="100" t="s">
        <v>44</v>
      </c>
      <c r="B17" s="101" t="s">
        <v>175</v>
      </c>
      <c r="C17" s="102">
        <f>ROUND(3.23*C11*0.25,0)</f>
        <v>2306</v>
      </c>
      <c r="D17" s="102">
        <f>ROUND(3.23*D11*0.25,0)</f>
        <v>1977</v>
      </c>
      <c r="E17" s="102">
        <f>ROUND(3.23*E11*0.25,0)</f>
        <v>1977</v>
      </c>
      <c r="F17" s="102">
        <f t="shared" ref="F17" si="6">ROUND(1.77*F11*0.29,0)</f>
        <v>0</v>
      </c>
    </row>
    <row r="18" spans="1:6" ht="23" x14ac:dyDescent="0.3">
      <c r="A18" s="103" t="s">
        <v>176</v>
      </c>
      <c r="B18" s="104" t="s">
        <v>54</v>
      </c>
      <c r="C18" s="105">
        <f>C12+C15</f>
        <v>28018</v>
      </c>
      <c r="D18" s="105">
        <f t="shared" ref="D18:F18" si="7">D12+D15</f>
        <v>24017</v>
      </c>
      <c r="E18" s="105">
        <f t="shared" si="7"/>
        <v>24017</v>
      </c>
      <c r="F18" s="105">
        <f t="shared" si="7"/>
        <v>0</v>
      </c>
    </row>
    <row r="19" spans="1:6" ht="21" customHeight="1" x14ac:dyDescent="0.3">
      <c r="A19" s="89" t="s">
        <v>59</v>
      </c>
      <c r="B19" s="106" t="s">
        <v>93</v>
      </c>
      <c r="C19" s="92">
        <v>0</v>
      </c>
      <c r="D19" s="92">
        <v>0</v>
      </c>
      <c r="E19" s="92">
        <v>0</v>
      </c>
      <c r="F19" s="92">
        <v>0</v>
      </c>
    </row>
    <row r="20" spans="1:6" ht="25" customHeight="1" x14ac:dyDescent="0.3">
      <c r="A20" s="143" t="s">
        <v>71</v>
      </c>
      <c r="B20" s="144" t="s">
        <v>43</v>
      </c>
      <c r="C20" s="145">
        <f>C18-C19</f>
        <v>28018</v>
      </c>
      <c r="D20" s="145">
        <f t="shared" ref="D20:F20" si="8">D18-D19</f>
        <v>24017</v>
      </c>
      <c r="E20" s="145">
        <f t="shared" si="8"/>
        <v>24017</v>
      </c>
      <c r="F20" s="145">
        <f t="shared" si="8"/>
        <v>0</v>
      </c>
    </row>
    <row r="21" spans="1:6" ht="41.5" customHeight="1" x14ac:dyDescent="0.3">
      <c r="A21" s="107">
        <v>1</v>
      </c>
      <c r="B21" s="224" t="s">
        <v>177</v>
      </c>
      <c r="C21" s="224"/>
      <c r="D21" s="224"/>
      <c r="E21" s="224"/>
      <c r="F21" s="224"/>
    </row>
    <row r="22" spans="1:6" ht="34.5" customHeight="1" x14ac:dyDescent="0.3">
      <c r="A22" s="107">
        <v>2</v>
      </c>
      <c r="B22" s="224" t="s">
        <v>178</v>
      </c>
      <c r="C22" s="224"/>
      <c r="D22" s="224"/>
      <c r="E22" s="224"/>
      <c r="F22" s="224"/>
    </row>
    <row r="23" spans="1:6" ht="29.15" customHeight="1" x14ac:dyDescent="0.3">
      <c r="A23" s="107">
        <v>3</v>
      </c>
      <c r="B23" s="224" t="s">
        <v>179</v>
      </c>
      <c r="C23" s="224"/>
      <c r="D23" s="224"/>
      <c r="E23" s="224"/>
      <c r="F23" s="224"/>
    </row>
    <row r="24" spans="1:6" ht="31" customHeight="1" x14ac:dyDescent="0.3">
      <c r="A24" s="107">
        <v>4</v>
      </c>
      <c r="B24" s="224" t="s">
        <v>180</v>
      </c>
      <c r="C24" s="224"/>
      <c r="D24" s="224"/>
      <c r="E24" s="224"/>
      <c r="F24" s="224"/>
    </row>
    <row r="25" spans="1:6" ht="30.65" customHeight="1" x14ac:dyDescent="0.3">
      <c r="A25" s="107">
        <v>5</v>
      </c>
      <c r="B25" s="224" t="s">
        <v>181</v>
      </c>
      <c r="C25" s="224"/>
      <c r="D25" s="224"/>
      <c r="E25" s="224"/>
      <c r="F25" s="224"/>
    </row>
    <row r="26" spans="1:6" ht="18.649999999999999" customHeight="1" x14ac:dyDescent="0.3">
      <c r="A26" s="107">
        <v>6</v>
      </c>
      <c r="B26" s="224" t="s">
        <v>182</v>
      </c>
      <c r="C26" s="224"/>
      <c r="D26" s="224"/>
      <c r="E26" s="224"/>
      <c r="F26" s="224"/>
    </row>
    <row r="27" spans="1:6" ht="40.5" customHeight="1" x14ac:dyDescent="0.3">
      <c r="A27" s="107">
        <v>7</v>
      </c>
      <c r="B27" s="224" t="s">
        <v>183</v>
      </c>
      <c r="C27" s="224"/>
      <c r="D27" s="224"/>
      <c r="E27" s="224"/>
      <c r="F27" s="224"/>
    </row>
    <row r="28" spans="1:6" ht="29.5" customHeight="1" x14ac:dyDescent="0.3">
      <c r="A28" s="107">
        <v>8</v>
      </c>
      <c r="B28" s="224" t="s">
        <v>184</v>
      </c>
      <c r="C28" s="224"/>
      <c r="D28" s="224"/>
      <c r="E28" s="224"/>
      <c r="F28" s="224"/>
    </row>
    <row r="29" spans="1:6" ht="18.649999999999999" customHeight="1" x14ac:dyDescent="0.3">
      <c r="A29" s="107">
        <v>9</v>
      </c>
      <c r="B29" s="224" t="s">
        <v>185</v>
      </c>
      <c r="C29" s="224"/>
      <c r="D29" s="224"/>
      <c r="E29" s="224"/>
      <c r="F29" s="224"/>
    </row>
    <row r="30" spans="1:6" ht="24.65" customHeight="1" x14ac:dyDescent="0.3">
      <c r="B30" s="221" t="s">
        <v>154</v>
      </c>
      <c r="C30" s="221"/>
      <c r="D30" s="221"/>
      <c r="E30" s="221"/>
      <c r="F30" s="221"/>
    </row>
  </sheetData>
  <mergeCells count="12">
    <mergeCell ref="B30:F30"/>
    <mergeCell ref="A3:F3"/>
    <mergeCell ref="B26:F26"/>
    <mergeCell ref="B27:F27"/>
    <mergeCell ref="B28:F28"/>
    <mergeCell ref="B29:F29"/>
    <mergeCell ref="A5:A11"/>
    <mergeCell ref="B21:F21"/>
    <mergeCell ref="B22:F22"/>
    <mergeCell ref="B23:F23"/>
    <mergeCell ref="B24:F24"/>
    <mergeCell ref="B25:F25"/>
  </mergeCells>
  <pageMargins left="0.7" right="0.7" top="0.75" bottom="0.75" header="0.3" footer="0.3"/>
  <pageSetup paperSize="9" scale="8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
  <sheetViews>
    <sheetView zoomScale="90" zoomScaleNormal="90" workbookViewId="0">
      <selection activeCell="C6" sqref="C6"/>
    </sheetView>
  </sheetViews>
  <sheetFormatPr defaultRowHeight="14" x14ac:dyDescent="0.3"/>
  <cols>
    <col min="2" max="2" width="51.81640625" customWidth="1"/>
    <col min="3" max="3" width="11.26953125" customWidth="1"/>
    <col min="4" max="5" width="10.453125" customWidth="1"/>
    <col min="6" max="6" width="13.453125" customWidth="1"/>
  </cols>
  <sheetData>
    <row r="1" spans="1:6" ht="20.149999999999999" customHeight="1" x14ac:dyDescent="0.3">
      <c r="F1" s="136" t="s">
        <v>197</v>
      </c>
    </row>
    <row r="2" spans="1:6" ht="46.5" customHeight="1" x14ac:dyDescent="0.3">
      <c r="A2" s="229" t="s">
        <v>196</v>
      </c>
      <c r="B2" s="230"/>
      <c r="C2" s="230"/>
      <c r="D2" s="230"/>
      <c r="E2" s="230"/>
      <c r="F2" s="230"/>
    </row>
    <row r="3" spans="1:6" ht="23" x14ac:dyDescent="0.3">
      <c r="A3" s="108" t="s">
        <v>5</v>
      </c>
      <c r="B3" s="108" t="s">
        <v>158</v>
      </c>
      <c r="C3" s="112" t="s">
        <v>159</v>
      </c>
      <c r="D3" s="112" t="s">
        <v>160</v>
      </c>
      <c r="E3" s="112" t="s">
        <v>161</v>
      </c>
      <c r="F3" s="112" t="s">
        <v>162</v>
      </c>
    </row>
    <row r="4" spans="1:6" x14ac:dyDescent="0.3">
      <c r="A4" s="231"/>
      <c r="B4" s="137" t="s">
        <v>194</v>
      </c>
      <c r="C4" s="138">
        <v>12</v>
      </c>
      <c r="D4" s="138">
        <v>16</v>
      </c>
      <c r="E4" s="138">
        <v>16</v>
      </c>
      <c r="F4" s="138">
        <v>16</v>
      </c>
    </row>
    <row r="5" spans="1:6" x14ac:dyDescent="0.3">
      <c r="A5" s="232"/>
      <c r="B5" s="137" t="s">
        <v>195</v>
      </c>
      <c r="C5" s="138">
        <v>4</v>
      </c>
      <c r="D5" s="138">
        <v>4</v>
      </c>
      <c r="E5" s="138">
        <v>4</v>
      </c>
      <c r="F5" s="138">
        <v>4</v>
      </c>
    </row>
    <row r="6" spans="1:6" ht="19.5" customHeight="1" x14ac:dyDescent="0.3">
      <c r="A6" s="232"/>
      <c r="B6" s="126" t="s">
        <v>188</v>
      </c>
      <c r="C6" s="127">
        <v>48240</v>
      </c>
      <c r="D6" s="127">
        <v>53600</v>
      </c>
      <c r="E6" s="127">
        <v>32160</v>
      </c>
      <c r="F6" s="113">
        <v>32160</v>
      </c>
    </row>
    <row r="7" spans="1:6" ht="29.15" customHeight="1" x14ac:dyDescent="0.3">
      <c r="A7" s="232"/>
      <c r="B7" s="126" t="s">
        <v>189</v>
      </c>
      <c r="C7" s="128">
        <v>2854</v>
      </c>
      <c r="D7" s="128">
        <v>3806</v>
      </c>
      <c r="E7" s="128">
        <v>3806</v>
      </c>
      <c r="F7" s="113">
        <v>3806</v>
      </c>
    </row>
    <row r="8" spans="1:6" ht="31.5" customHeight="1" x14ac:dyDescent="0.3">
      <c r="A8" s="232"/>
      <c r="B8" s="126" t="s">
        <v>190</v>
      </c>
      <c r="C8" s="129">
        <v>12060</v>
      </c>
      <c r="D8" s="129">
        <v>10720</v>
      </c>
      <c r="E8" s="129">
        <v>5360</v>
      </c>
      <c r="F8" s="118">
        <v>5360</v>
      </c>
    </row>
    <row r="9" spans="1:6" ht="30" customHeight="1" x14ac:dyDescent="0.3">
      <c r="A9" s="232"/>
      <c r="B9" s="126" t="s">
        <v>198</v>
      </c>
      <c r="C9" s="129">
        <v>4422</v>
      </c>
      <c r="D9" s="129">
        <v>5762</v>
      </c>
      <c r="E9" s="129">
        <v>5762</v>
      </c>
      <c r="F9" s="118">
        <v>5762</v>
      </c>
    </row>
    <row r="10" spans="1:6" ht="23" x14ac:dyDescent="0.3">
      <c r="A10" s="232"/>
      <c r="B10" s="134" t="s">
        <v>166</v>
      </c>
      <c r="C10" s="135">
        <f>SUM(C6:C9)</f>
        <v>67576</v>
      </c>
      <c r="D10" s="135">
        <f t="shared" ref="D10:F10" si="0">SUM(D6:D9)</f>
        <v>73888</v>
      </c>
      <c r="E10" s="135">
        <f t="shared" si="0"/>
        <v>47088</v>
      </c>
      <c r="F10" s="135">
        <f t="shared" si="0"/>
        <v>47088</v>
      </c>
    </row>
    <row r="11" spans="1:6" x14ac:dyDescent="0.3">
      <c r="A11" s="232"/>
      <c r="B11" s="114" t="s">
        <v>167</v>
      </c>
      <c r="C11" s="119">
        <f>ROUNDUP(C10*0.25*0.1,0)</f>
        <v>1690</v>
      </c>
      <c r="D11" s="119">
        <f>ROUNDUP(D10*0.25*0.1,0)</f>
        <v>1848</v>
      </c>
      <c r="E11" s="119">
        <f>ROUNDUP(E10*0.25*0.1,0)</f>
        <v>1178</v>
      </c>
      <c r="F11" s="119">
        <f>ROUNDUP(F10*0.25*0.1,0)</f>
        <v>1178</v>
      </c>
    </row>
    <row r="12" spans="1:6" ht="19" customHeight="1" x14ac:dyDescent="0.3">
      <c r="A12" s="232"/>
      <c r="B12" s="114" t="s">
        <v>168</v>
      </c>
      <c r="C12" s="119">
        <f>ROUNDUP(C11*0.8,0)</f>
        <v>1352</v>
      </c>
      <c r="D12" s="119">
        <f>ROUNDUP(D11*0.8,0)</f>
        <v>1479</v>
      </c>
      <c r="E12" s="119">
        <f>ROUNDUP(E11*0.8,0)</f>
        <v>943</v>
      </c>
      <c r="F12" s="119">
        <f>ROUNDUP(F11*0.8,0)</f>
        <v>943</v>
      </c>
    </row>
    <row r="13" spans="1:6" x14ac:dyDescent="0.3">
      <c r="A13" s="233"/>
      <c r="B13" s="114" t="s">
        <v>169</v>
      </c>
      <c r="C13" s="120">
        <f>ROUNDUP(C10*0.02,0)</f>
        <v>1352</v>
      </c>
      <c r="D13" s="120">
        <f>ROUNDUP(D10*0.02,0)</f>
        <v>1478</v>
      </c>
      <c r="E13" s="120">
        <f>ROUNDUP(E10*0.02,0)</f>
        <v>942</v>
      </c>
      <c r="F13" s="120">
        <f>ROUNDUP(F10*0.02,0)</f>
        <v>942</v>
      </c>
    </row>
    <row r="14" spans="1:6" ht="32.25" customHeight="1" x14ac:dyDescent="0.3">
      <c r="A14" s="109" t="s">
        <v>2</v>
      </c>
      <c r="B14" s="115" t="s">
        <v>170</v>
      </c>
      <c r="C14" s="121">
        <f>C15+C16</f>
        <v>7128</v>
      </c>
      <c r="D14" s="121">
        <f t="shared" ref="D14:F14" si="1">D15+D16</f>
        <v>7797</v>
      </c>
      <c r="E14" s="121">
        <f t="shared" si="1"/>
        <v>4971</v>
      </c>
      <c r="F14" s="121">
        <f t="shared" si="1"/>
        <v>4971</v>
      </c>
    </row>
    <row r="15" spans="1:6" ht="54" customHeight="1" x14ac:dyDescent="0.3">
      <c r="A15" s="110" t="s">
        <v>3</v>
      </c>
      <c r="B15" s="116" t="s">
        <v>171</v>
      </c>
      <c r="C15" s="122">
        <f>ROUNDUP(C11*1.633571,0)</f>
        <v>2761</v>
      </c>
      <c r="D15" s="122">
        <f>ROUNDUP(D11*1.633571,0)</f>
        <v>3019</v>
      </c>
      <c r="E15" s="122">
        <f>ROUNDUP(E11*1.633571,0)</f>
        <v>1925</v>
      </c>
      <c r="F15" s="122">
        <f>ROUNDUP(F11*1.633571,0)</f>
        <v>1925</v>
      </c>
    </row>
    <row r="16" spans="1:6" ht="45" customHeight="1" x14ac:dyDescent="0.3">
      <c r="A16" s="110" t="s">
        <v>24</v>
      </c>
      <c r="B16" s="116" t="s">
        <v>172</v>
      </c>
      <c r="C16" s="122">
        <f>ROUNDUP(C12*3.23,0)</f>
        <v>4367</v>
      </c>
      <c r="D16" s="122">
        <f>ROUNDUP(D12*3.23,0)</f>
        <v>4778</v>
      </c>
      <c r="E16" s="122">
        <f>ROUNDUP(E12*3.23,0)</f>
        <v>3046</v>
      </c>
      <c r="F16" s="122">
        <f>ROUNDUP(F12*3.23,0)</f>
        <v>3046</v>
      </c>
    </row>
    <row r="17" spans="1:6" ht="23" x14ac:dyDescent="0.3">
      <c r="A17" s="109" t="s">
        <v>1</v>
      </c>
      <c r="B17" s="115" t="s">
        <v>173</v>
      </c>
      <c r="C17" s="121">
        <f>C18+C19</f>
        <v>1384</v>
      </c>
      <c r="D17" s="121">
        <f t="shared" ref="D17:F17" si="2">D18+D19</f>
        <v>1512</v>
      </c>
      <c r="E17" s="121">
        <f t="shared" si="2"/>
        <v>964</v>
      </c>
      <c r="F17" s="121">
        <f t="shared" si="2"/>
        <v>1085</v>
      </c>
    </row>
    <row r="18" spans="1:6" ht="23.15" customHeight="1" x14ac:dyDescent="0.3">
      <c r="A18" s="110" t="s">
        <v>8</v>
      </c>
      <c r="B18" s="117" t="s">
        <v>174</v>
      </c>
      <c r="C18" s="122">
        <f>ROUND(1.2*C13*0.75*0.24,0)</f>
        <v>292</v>
      </c>
      <c r="D18" s="122">
        <f>ROUND(1.2*D13*0.75*0.24,0)</f>
        <v>319</v>
      </c>
      <c r="E18" s="122">
        <f>ROUND(1.2*E13*0.75*0.24,0)</f>
        <v>203</v>
      </c>
      <c r="F18" s="122">
        <f>ROUND(1.2*F13*0.75*0.24,0)</f>
        <v>203</v>
      </c>
    </row>
    <row r="19" spans="1:6" ht="19.5" customHeight="1" x14ac:dyDescent="0.3">
      <c r="A19" s="110" t="s">
        <v>44</v>
      </c>
      <c r="B19" s="142" t="s">
        <v>175</v>
      </c>
      <c r="C19" s="122">
        <f>ROUND(3.23*C13*0.25,0)</f>
        <v>1092</v>
      </c>
      <c r="D19" s="122">
        <f>ROUND(3.23*D13*0.25,0)</f>
        <v>1193</v>
      </c>
      <c r="E19" s="122">
        <f>ROUND(3.23*E13*0.25,0)</f>
        <v>761</v>
      </c>
      <c r="F19" s="122">
        <f>ROUND(3.23*F13*0.29,0)</f>
        <v>882</v>
      </c>
    </row>
    <row r="20" spans="1:6" ht="23" x14ac:dyDescent="0.3">
      <c r="A20" s="130" t="s">
        <v>176</v>
      </c>
      <c r="B20" s="131" t="s">
        <v>54</v>
      </c>
      <c r="C20" s="132">
        <f>C14+C17</f>
        <v>8512</v>
      </c>
      <c r="D20" s="132">
        <f t="shared" ref="D20:F20" si="3">D14+D17</f>
        <v>9309</v>
      </c>
      <c r="E20" s="132">
        <f t="shared" si="3"/>
        <v>5935</v>
      </c>
      <c r="F20" s="132">
        <f t="shared" si="3"/>
        <v>6056</v>
      </c>
    </row>
    <row r="21" spans="1:6" ht="28" customHeight="1" x14ac:dyDescent="0.3">
      <c r="A21" s="110" t="s">
        <v>59</v>
      </c>
      <c r="B21" s="133" t="s">
        <v>191</v>
      </c>
      <c r="C21" s="119">
        <f>5178+1125</f>
        <v>6303</v>
      </c>
      <c r="D21" s="119">
        <f>5178+937</f>
        <v>6115</v>
      </c>
      <c r="E21" s="119">
        <f>5178+751</f>
        <v>5929</v>
      </c>
      <c r="F21" s="119">
        <v>5929</v>
      </c>
    </row>
    <row r="22" spans="1:6" x14ac:dyDescent="0.3">
      <c r="A22" s="146" t="s">
        <v>71</v>
      </c>
      <c r="B22" s="147" t="s">
        <v>43</v>
      </c>
      <c r="C22" s="148">
        <f>C20-C21</f>
        <v>2209</v>
      </c>
      <c r="D22" s="148">
        <f t="shared" ref="D22:F22" si="4">D20-D21</f>
        <v>3194</v>
      </c>
      <c r="E22" s="148">
        <f t="shared" si="4"/>
        <v>6</v>
      </c>
      <c r="F22" s="148">
        <f t="shared" si="4"/>
        <v>127</v>
      </c>
    </row>
    <row r="23" spans="1:6" ht="44.5" customHeight="1" x14ac:dyDescent="0.3">
      <c r="A23" s="111">
        <v>1</v>
      </c>
      <c r="B23" s="228" t="s">
        <v>177</v>
      </c>
      <c r="C23" s="228"/>
      <c r="D23" s="228"/>
      <c r="E23" s="228"/>
      <c r="F23" s="228"/>
    </row>
    <row r="24" spans="1:6" ht="34" customHeight="1" x14ac:dyDescent="0.3">
      <c r="A24" s="111">
        <v>2</v>
      </c>
      <c r="B24" s="228" t="s">
        <v>178</v>
      </c>
      <c r="C24" s="228"/>
      <c r="D24" s="228"/>
      <c r="E24" s="228"/>
      <c r="F24" s="228"/>
    </row>
    <row r="25" spans="1:6" ht="29.15" customHeight="1" x14ac:dyDescent="0.3">
      <c r="A25" s="111">
        <v>3</v>
      </c>
      <c r="B25" s="228" t="s">
        <v>192</v>
      </c>
      <c r="C25" s="228"/>
      <c r="D25" s="228"/>
      <c r="E25" s="228"/>
      <c r="F25" s="228"/>
    </row>
    <row r="26" spans="1:6" ht="30" customHeight="1" x14ac:dyDescent="0.3">
      <c r="A26" s="111">
        <v>4</v>
      </c>
      <c r="B26" s="228" t="s">
        <v>180</v>
      </c>
      <c r="C26" s="228"/>
      <c r="D26" s="228"/>
      <c r="E26" s="228"/>
      <c r="F26" s="228"/>
    </row>
    <row r="27" spans="1:6" ht="35.5" customHeight="1" x14ac:dyDescent="0.3">
      <c r="A27" s="111">
        <v>5</v>
      </c>
      <c r="B27" s="228" t="s">
        <v>181</v>
      </c>
      <c r="C27" s="228"/>
      <c r="D27" s="228"/>
      <c r="E27" s="228"/>
      <c r="F27" s="228"/>
    </row>
    <row r="28" spans="1:6" ht="21" customHeight="1" x14ac:dyDescent="0.3">
      <c r="A28" s="111">
        <v>6</v>
      </c>
      <c r="B28" s="234" t="s">
        <v>182</v>
      </c>
      <c r="C28" s="234"/>
      <c r="D28" s="234"/>
      <c r="E28" s="234"/>
      <c r="F28" s="234"/>
    </row>
    <row r="29" spans="1:6" ht="33.65" customHeight="1" x14ac:dyDescent="0.3">
      <c r="A29" s="111">
        <v>7</v>
      </c>
      <c r="B29" s="224" t="s">
        <v>193</v>
      </c>
      <c r="C29" s="224"/>
      <c r="D29" s="224"/>
      <c r="E29" s="224"/>
      <c r="F29" s="224"/>
    </row>
    <row r="30" spans="1:6" ht="31.5" customHeight="1" x14ac:dyDescent="0.3">
      <c r="A30" s="111">
        <v>8</v>
      </c>
      <c r="B30" s="234" t="s">
        <v>184</v>
      </c>
      <c r="C30" s="234"/>
      <c r="D30" s="234"/>
      <c r="E30" s="234"/>
      <c r="F30" s="234"/>
    </row>
    <row r="31" spans="1:6" ht="23.5" customHeight="1" x14ac:dyDescent="0.3">
      <c r="A31" s="111">
        <v>9</v>
      </c>
      <c r="B31" s="234" t="s">
        <v>185</v>
      </c>
      <c r="C31" s="234"/>
      <c r="D31" s="234"/>
      <c r="E31" s="234"/>
      <c r="F31" s="234"/>
    </row>
    <row r="32" spans="1:6" ht="17.5" customHeight="1" x14ac:dyDescent="0.3">
      <c r="B32" s="221" t="s">
        <v>154</v>
      </c>
      <c r="C32" s="221"/>
      <c r="D32" s="221"/>
      <c r="E32" s="221"/>
      <c r="F32" s="221"/>
    </row>
  </sheetData>
  <mergeCells count="12">
    <mergeCell ref="B32:F32"/>
    <mergeCell ref="B28:F28"/>
    <mergeCell ref="B29:F29"/>
    <mergeCell ref="B30:F30"/>
    <mergeCell ref="B31:F31"/>
    <mergeCell ref="B26:F26"/>
    <mergeCell ref="B27:F27"/>
    <mergeCell ref="A2:F2"/>
    <mergeCell ref="A4:A13"/>
    <mergeCell ref="B23:F23"/>
    <mergeCell ref="B24:F24"/>
    <mergeCell ref="B25:F25"/>
  </mergeCells>
  <pageMargins left="0.7" right="0.7" top="0.75" bottom="0.75" header="0.3" footer="0.3"/>
  <pageSetup paperSize="9" scale="8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5"/>
  <sheetViews>
    <sheetView zoomScaleNormal="100" workbookViewId="0">
      <selection activeCell="I4" sqref="I4"/>
    </sheetView>
  </sheetViews>
  <sheetFormatPr defaultRowHeight="14" x14ac:dyDescent="0.3"/>
  <cols>
    <col min="2" max="2" width="56.1796875" customWidth="1"/>
    <col min="3" max="3" width="11" customWidth="1"/>
    <col min="4" max="4" width="11.7265625" customWidth="1"/>
    <col min="5" max="5" width="12" customWidth="1"/>
    <col min="6" max="6" width="12.26953125" customWidth="1"/>
  </cols>
  <sheetData>
    <row r="1" spans="1:6" x14ac:dyDescent="0.3">
      <c r="F1" s="170" t="s">
        <v>208</v>
      </c>
    </row>
    <row r="2" spans="1:6" ht="52.5" customHeight="1" x14ac:dyDescent="0.3">
      <c r="A2" s="229" t="s">
        <v>209</v>
      </c>
      <c r="B2" s="230"/>
      <c r="C2" s="230"/>
      <c r="D2" s="230"/>
      <c r="E2" s="230"/>
      <c r="F2" s="230"/>
    </row>
    <row r="3" spans="1:6" ht="23" x14ac:dyDescent="0.3">
      <c r="A3" s="108" t="s">
        <v>5</v>
      </c>
      <c r="B3" s="108" t="s">
        <v>158</v>
      </c>
      <c r="C3" s="112" t="s">
        <v>159</v>
      </c>
      <c r="D3" s="112" t="s">
        <v>160</v>
      </c>
      <c r="E3" s="112" t="s">
        <v>161</v>
      </c>
      <c r="F3" s="112" t="s">
        <v>162</v>
      </c>
    </row>
    <row r="4" spans="1:6" ht="32.25" customHeight="1" x14ac:dyDescent="0.3">
      <c r="A4" s="232"/>
      <c r="B4" s="171" t="s">
        <v>166</v>
      </c>
      <c r="C4" s="55">
        <f>(13*12*320)+(26*3*235)</f>
        <v>68250</v>
      </c>
      <c r="D4" s="55">
        <f>(12*12*320)+(23*3*235)</f>
        <v>62295</v>
      </c>
      <c r="E4" s="55">
        <f>(11*12*320)+(19*3*235)</f>
        <v>55635</v>
      </c>
      <c r="F4" s="55">
        <f>(11*12*320)+(19*3*235)</f>
        <v>55635</v>
      </c>
    </row>
    <row r="5" spans="1:6" ht="15" customHeight="1" x14ac:dyDescent="0.3">
      <c r="A5" s="232"/>
      <c r="B5" s="114" t="s">
        <v>167</v>
      </c>
      <c r="C5" s="119">
        <f>ROUNDUP(C4*0.25*0.1,0)</f>
        <v>1707</v>
      </c>
      <c r="D5" s="119">
        <f>ROUNDUP(D4*0.25*0.1,0)</f>
        <v>1558</v>
      </c>
      <c r="E5" s="119">
        <f>ROUNDUP(E4*0.25*0.1,0)</f>
        <v>1391</v>
      </c>
      <c r="F5" s="119">
        <f>ROUNDUP(F4*0.25*0.1,0)</f>
        <v>1391</v>
      </c>
    </row>
    <row r="6" spans="1:6" ht="21" customHeight="1" x14ac:dyDescent="0.3">
      <c r="A6" s="232"/>
      <c r="B6" s="114" t="s">
        <v>168</v>
      </c>
      <c r="C6" s="119">
        <f>ROUNDUP(C5*0.8,0)</f>
        <v>1366</v>
      </c>
      <c r="D6" s="119">
        <f t="shared" ref="D6:F6" si="0">ROUNDUP(D5*0.8,0)</f>
        <v>1247</v>
      </c>
      <c r="E6" s="119">
        <f t="shared" si="0"/>
        <v>1113</v>
      </c>
      <c r="F6" s="119">
        <f t="shared" si="0"/>
        <v>1113</v>
      </c>
    </row>
    <row r="7" spans="1:6" ht="17.25" customHeight="1" x14ac:dyDescent="0.3">
      <c r="A7" s="233"/>
      <c r="B7" s="114" t="s">
        <v>169</v>
      </c>
      <c r="C7" s="120">
        <f>ROUNDUP(C4*0.012,0)</f>
        <v>819</v>
      </c>
      <c r="D7" s="120">
        <f t="shared" ref="D7:F7" si="1">ROUNDUP(D4*0.012,0)</f>
        <v>748</v>
      </c>
      <c r="E7" s="120">
        <f t="shared" si="1"/>
        <v>668</v>
      </c>
      <c r="F7" s="120">
        <f t="shared" si="1"/>
        <v>668</v>
      </c>
    </row>
    <row r="8" spans="1:6" ht="36.75" customHeight="1" x14ac:dyDescent="0.3">
      <c r="A8" s="109" t="s">
        <v>2</v>
      </c>
      <c r="B8" s="115" t="s">
        <v>170</v>
      </c>
      <c r="C8" s="121">
        <f>C9+C10</f>
        <v>7202</v>
      </c>
      <c r="D8" s="121">
        <f t="shared" ref="D8:F8" si="2">D9+D10</f>
        <v>6574</v>
      </c>
      <c r="E8" s="121">
        <f t="shared" si="2"/>
        <v>5868</v>
      </c>
      <c r="F8" s="121">
        <f t="shared" si="2"/>
        <v>5868</v>
      </c>
    </row>
    <row r="9" spans="1:6" ht="43.5" customHeight="1" x14ac:dyDescent="0.3">
      <c r="A9" s="110" t="s">
        <v>3</v>
      </c>
      <c r="B9" s="116" t="s">
        <v>171</v>
      </c>
      <c r="C9" s="122">
        <f>ROUNDUP(C5*1.633571,0)</f>
        <v>2789</v>
      </c>
      <c r="D9" s="122">
        <f t="shared" ref="D9:F9" si="3">ROUNDUP(D5*1.633571,0)</f>
        <v>2546</v>
      </c>
      <c r="E9" s="122">
        <f t="shared" si="3"/>
        <v>2273</v>
      </c>
      <c r="F9" s="122">
        <f t="shared" si="3"/>
        <v>2273</v>
      </c>
    </row>
    <row r="10" spans="1:6" ht="43.5" customHeight="1" x14ac:dyDescent="0.3">
      <c r="A10" s="110" t="s">
        <v>24</v>
      </c>
      <c r="B10" s="116" t="s">
        <v>172</v>
      </c>
      <c r="C10" s="122">
        <f>ROUNDUP(C6*3.23,0)</f>
        <v>4413</v>
      </c>
      <c r="D10" s="122">
        <f t="shared" ref="D10:F10" si="4">ROUNDUP(D6*3.23,0)</f>
        <v>4028</v>
      </c>
      <c r="E10" s="122">
        <f t="shared" si="4"/>
        <v>3595</v>
      </c>
      <c r="F10" s="122">
        <f t="shared" si="4"/>
        <v>3595</v>
      </c>
    </row>
    <row r="11" spans="1:6" ht="37.5" customHeight="1" x14ac:dyDescent="0.3">
      <c r="A11" s="162" t="s">
        <v>1</v>
      </c>
      <c r="B11" s="115" t="s">
        <v>173</v>
      </c>
      <c r="C11" s="163">
        <f>C12+C13</f>
        <v>838</v>
      </c>
      <c r="D11" s="163">
        <f t="shared" ref="D11:F11" si="5">D12+D13</f>
        <v>766</v>
      </c>
      <c r="E11" s="163">
        <f t="shared" si="5"/>
        <v>683</v>
      </c>
      <c r="F11" s="163">
        <f t="shared" si="5"/>
        <v>683</v>
      </c>
    </row>
    <row r="12" spans="1:6" ht="28.5" customHeight="1" x14ac:dyDescent="0.3">
      <c r="A12" s="164" t="s">
        <v>8</v>
      </c>
      <c r="B12" s="117" t="s">
        <v>174</v>
      </c>
      <c r="C12" s="165">
        <f>ROUND(1.2*C7*0.75*0.24,0)</f>
        <v>177</v>
      </c>
      <c r="D12" s="165">
        <f t="shared" ref="D12:F12" si="6">ROUND(1.2*D7*0.75*0.24,0)</f>
        <v>162</v>
      </c>
      <c r="E12" s="165">
        <f t="shared" si="6"/>
        <v>144</v>
      </c>
      <c r="F12" s="165">
        <f t="shared" si="6"/>
        <v>144</v>
      </c>
    </row>
    <row r="13" spans="1:6" ht="21" customHeight="1" x14ac:dyDescent="0.3">
      <c r="A13" s="164" t="s">
        <v>44</v>
      </c>
      <c r="B13" s="117" t="s">
        <v>175</v>
      </c>
      <c r="C13" s="165">
        <f>ROUND(3.23*C7*0.25,0)</f>
        <v>661</v>
      </c>
      <c r="D13" s="165">
        <f t="shared" ref="D13:F13" si="7">ROUND(3.23*D7*0.25,0)</f>
        <v>604</v>
      </c>
      <c r="E13" s="165">
        <f t="shared" si="7"/>
        <v>539</v>
      </c>
      <c r="F13" s="165">
        <f t="shared" si="7"/>
        <v>539</v>
      </c>
    </row>
    <row r="14" spans="1:6" ht="23" x14ac:dyDescent="0.3">
      <c r="A14" s="166" t="s">
        <v>176</v>
      </c>
      <c r="B14" s="167" t="s">
        <v>54</v>
      </c>
      <c r="C14" s="168">
        <f>C8+C11</f>
        <v>8040</v>
      </c>
      <c r="D14" s="168">
        <f t="shared" ref="D14:F14" si="8">D8+D11</f>
        <v>7340</v>
      </c>
      <c r="E14" s="168">
        <f t="shared" si="8"/>
        <v>6551</v>
      </c>
      <c r="F14" s="168">
        <f t="shared" si="8"/>
        <v>6551</v>
      </c>
    </row>
    <row r="15" spans="1:6" ht="21" customHeight="1" x14ac:dyDescent="0.3">
      <c r="A15" s="110" t="s">
        <v>59</v>
      </c>
      <c r="B15" s="169" t="s">
        <v>93</v>
      </c>
      <c r="C15" s="119">
        <v>0</v>
      </c>
      <c r="D15" s="119">
        <v>0</v>
      </c>
      <c r="E15" s="119">
        <v>0</v>
      </c>
      <c r="F15" s="119">
        <v>0</v>
      </c>
    </row>
    <row r="16" spans="1:6" ht="30.75" customHeight="1" x14ac:dyDescent="0.3">
      <c r="A16" s="146" t="s">
        <v>71</v>
      </c>
      <c r="B16" s="147" t="s">
        <v>43</v>
      </c>
      <c r="C16" s="148">
        <f>C14-C15</f>
        <v>8040</v>
      </c>
      <c r="D16" s="148">
        <f t="shared" ref="D16:F16" si="9">D14-D15</f>
        <v>7340</v>
      </c>
      <c r="E16" s="148">
        <f t="shared" si="9"/>
        <v>6551</v>
      </c>
      <c r="F16" s="148">
        <f t="shared" si="9"/>
        <v>6551</v>
      </c>
    </row>
    <row r="17" spans="1:6" ht="41.25" customHeight="1" x14ac:dyDescent="0.3">
      <c r="A17" s="111">
        <v>1</v>
      </c>
      <c r="B17" s="228" t="s">
        <v>177</v>
      </c>
      <c r="C17" s="228"/>
      <c r="D17" s="228"/>
      <c r="E17" s="228"/>
      <c r="F17" s="228"/>
    </row>
    <row r="18" spans="1:6" ht="31.5" customHeight="1" x14ac:dyDescent="0.3">
      <c r="A18" s="111">
        <v>2</v>
      </c>
      <c r="B18" s="228" t="s">
        <v>178</v>
      </c>
      <c r="C18" s="228"/>
      <c r="D18" s="228"/>
      <c r="E18" s="228"/>
      <c r="F18" s="228"/>
    </row>
    <row r="19" spans="1:6" ht="25.5" customHeight="1" x14ac:dyDescent="0.3">
      <c r="A19" s="111">
        <v>3</v>
      </c>
      <c r="B19" s="228" t="s">
        <v>179</v>
      </c>
      <c r="C19" s="228"/>
      <c r="D19" s="228"/>
      <c r="E19" s="228"/>
      <c r="F19" s="228"/>
    </row>
    <row r="20" spans="1:6" ht="30" customHeight="1" x14ac:dyDescent="0.3">
      <c r="A20" s="111">
        <v>4</v>
      </c>
      <c r="B20" s="228" t="s">
        <v>180</v>
      </c>
      <c r="C20" s="228"/>
      <c r="D20" s="228"/>
      <c r="E20" s="228"/>
      <c r="F20" s="228"/>
    </row>
    <row r="21" spans="1:6" ht="33" customHeight="1" x14ac:dyDescent="0.3">
      <c r="A21" s="111">
        <v>5</v>
      </c>
      <c r="B21" s="228" t="s">
        <v>181</v>
      </c>
      <c r="C21" s="228"/>
      <c r="D21" s="228"/>
      <c r="E21" s="228"/>
      <c r="F21" s="228"/>
    </row>
    <row r="22" spans="1:6" ht="18" customHeight="1" x14ac:dyDescent="0.3">
      <c r="A22" s="111">
        <v>6</v>
      </c>
      <c r="B22" s="234" t="s">
        <v>182</v>
      </c>
      <c r="C22" s="234"/>
      <c r="D22" s="234"/>
      <c r="E22" s="234"/>
      <c r="F22" s="234"/>
    </row>
    <row r="23" spans="1:6" ht="42.75" customHeight="1" x14ac:dyDescent="0.3">
      <c r="A23" s="111">
        <v>7</v>
      </c>
      <c r="B23" s="224" t="s">
        <v>183</v>
      </c>
      <c r="C23" s="224"/>
      <c r="D23" s="224"/>
      <c r="E23" s="224"/>
      <c r="F23" s="224"/>
    </row>
    <row r="24" spans="1:6" ht="30.75" customHeight="1" x14ac:dyDescent="0.3">
      <c r="A24" s="111">
        <v>8</v>
      </c>
      <c r="B24" s="234" t="s">
        <v>184</v>
      </c>
      <c r="C24" s="234"/>
      <c r="D24" s="234"/>
      <c r="E24" s="234"/>
      <c r="F24" s="234"/>
    </row>
    <row r="25" spans="1:6" ht="29.25" customHeight="1" x14ac:dyDescent="0.3">
      <c r="A25" s="111">
        <v>9</v>
      </c>
      <c r="B25" s="234" t="s">
        <v>185</v>
      </c>
      <c r="C25" s="234"/>
      <c r="D25" s="234"/>
      <c r="E25" s="234"/>
      <c r="F25" s="234"/>
    </row>
  </sheetData>
  <mergeCells count="11">
    <mergeCell ref="B22:F22"/>
    <mergeCell ref="B23:F23"/>
    <mergeCell ref="B24:F24"/>
    <mergeCell ref="B25:F25"/>
    <mergeCell ref="A2:F2"/>
    <mergeCell ref="A4:A7"/>
    <mergeCell ref="B17:F17"/>
    <mergeCell ref="B18:F18"/>
    <mergeCell ref="B19:F19"/>
    <mergeCell ref="B20:F20"/>
    <mergeCell ref="B21:F21"/>
  </mergeCells>
  <pageMargins left="0.7" right="0.7" top="0.75" bottom="0.75" header="0.3" footer="0.3"/>
  <pageSetup paperSize="9" scale="7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L23"/>
  <sheetViews>
    <sheetView zoomScaleNormal="100" workbookViewId="0">
      <pane xSplit="2" ySplit="3" topLeftCell="C4" activePane="bottomRight" state="frozen"/>
      <selection pane="topRight"/>
      <selection pane="bottomLeft"/>
      <selection pane="bottomRight" activeCell="A2" sqref="A2:B2"/>
    </sheetView>
  </sheetViews>
  <sheetFormatPr defaultColWidth="9.1796875" defaultRowHeight="11.5" x14ac:dyDescent="0.25"/>
  <cols>
    <col min="1" max="1" width="7.7265625" style="17" customWidth="1"/>
    <col min="2" max="2" width="42" style="17" customWidth="1"/>
    <col min="3" max="3" width="7.81640625" style="17" customWidth="1"/>
    <col min="4" max="4" width="11.54296875" style="20" customWidth="1"/>
    <col min="5" max="5" width="11.81640625" style="20" customWidth="1"/>
    <col min="6" max="6" width="12.1796875" style="20" customWidth="1"/>
    <col min="7" max="7" width="11.81640625" style="20" customWidth="1"/>
    <col min="8" max="8" width="12.26953125" style="20" customWidth="1"/>
    <col min="9" max="9" width="11.453125" style="20" customWidth="1"/>
    <col min="10" max="10" width="11.54296875" style="20" customWidth="1"/>
    <col min="11" max="11" width="14.26953125" style="17" customWidth="1"/>
    <col min="12" max="13" width="9.1796875" style="17"/>
    <col min="14" max="14" width="11" style="17" customWidth="1"/>
    <col min="15" max="16384" width="9.1796875" style="17"/>
  </cols>
  <sheetData>
    <row r="1" spans="1:12" x14ac:dyDescent="0.25">
      <c r="K1" s="172" t="s">
        <v>210</v>
      </c>
    </row>
    <row r="2" spans="1:12" ht="14.15" customHeight="1" x14ac:dyDescent="0.25">
      <c r="A2" s="235" t="s">
        <v>83</v>
      </c>
      <c r="B2" s="235"/>
      <c r="C2" s="189"/>
      <c r="H2" s="28"/>
    </row>
    <row r="3" spans="1:12" s="77" customFormat="1" ht="31.5" x14ac:dyDescent="0.3">
      <c r="A3" s="49" t="s">
        <v>60</v>
      </c>
      <c r="B3" s="31" t="s">
        <v>6</v>
      </c>
      <c r="C3" s="49" t="s">
        <v>222</v>
      </c>
      <c r="D3" s="76" t="s">
        <v>86</v>
      </c>
      <c r="E3" s="76" t="s">
        <v>74</v>
      </c>
      <c r="F3" s="76" t="s">
        <v>87</v>
      </c>
      <c r="G3" s="76" t="s">
        <v>75</v>
      </c>
      <c r="H3" s="76" t="s">
        <v>88</v>
      </c>
      <c r="I3" s="76" t="s">
        <v>76</v>
      </c>
      <c r="J3" s="76" t="s">
        <v>124</v>
      </c>
      <c r="K3" s="76" t="s">
        <v>125</v>
      </c>
    </row>
    <row r="4" spans="1:12" s="26" customFormat="1" ht="18" customHeight="1" x14ac:dyDescent="0.3">
      <c r="A4" s="78" t="s">
        <v>61</v>
      </c>
      <c r="B4" s="79" t="s">
        <v>126</v>
      </c>
      <c r="C4" s="196" t="s">
        <v>223</v>
      </c>
      <c r="D4" s="79">
        <v>5554988</v>
      </c>
      <c r="E4" s="79">
        <v>8407888</v>
      </c>
      <c r="F4" s="79">
        <v>4074326</v>
      </c>
      <c r="G4" s="79">
        <v>7793732</v>
      </c>
      <c r="H4" s="79">
        <v>2790690</v>
      </c>
      <c r="I4" s="79">
        <v>6973319</v>
      </c>
      <c r="J4" s="79">
        <v>806178</v>
      </c>
      <c r="K4" s="78">
        <v>2175472</v>
      </c>
      <c r="L4" s="80"/>
    </row>
    <row r="5" spans="1:12" s="26" customFormat="1" ht="18" customHeight="1" x14ac:dyDescent="0.3">
      <c r="A5" s="78" t="s">
        <v>62</v>
      </c>
      <c r="B5" s="79" t="s">
        <v>212</v>
      </c>
      <c r="C5" s="79" t="s">
        <v>4</v>
      </c>
      <c r="D5" s="79">
        <f>D6+D15</f>
        <v>2024032</v>
      </c>
      <c r="E5" s="79">
        <f>E6+E15</f>
        <v>3797453</v>
      </c>
      <c r="F5" s="79">
        <f t="shared" ref="F5:K5" si="0">F6+F15</f>
        <v>1649675</v>
      </c>
      <c r="G5" s="79">
        <f t="shared" si="0"/>
        <v>3739424</v>
      </c>
      <c r="H5" s="79">
        <f t="shared" si="0"/>
        <v>1336089</v>
      </c>
      <c r="I5" s="79">
        <f t="shared" si="0"/>
        <v>3652560</v>
      </c>
      <c r="J5" s="79">
        <f t="shared" si="0"/>
        <v>136560</v>
      </c>
      <c r="K5" s="79">
        <f t="shared" si="0"/>
        <v>1345435</v>
      </c>
      <c r="L5" s="80"/>
    </row>
    <row r="6" spans="1:12" s="16" customFormat="1" ht="36.75" customHeight="1" x14ac:dyDescent="0.3">
      <c r="A6" s="175" t="s">
        <v>67</v>
      </c>
      <c r="B6" s="176" t="s">
        <v>211</v>
      </c>
      <c r="C6" s="176" t="s">
        <v>4</v>
      </c>
      <c r="D6" s="176">
        <f>D7+D14</f>
        <v>2024032</v>
      </c>
      <c r="E6" s="176">
        <f t="shared" ref="E6:K6" si="1">E7+E14</f>
        <v>2742303</v>
      </c>
      <c r="F6" s="176">
        <f t="shared" si="1"/>
        <v>1649675</v>
      </c>
      <c r="G6" s="176">
        <f t="shared" si="1"/>
        <v>2684274</v>
      </c>
      <c r="H6" s="176">
        <f t="shared" si="1"/>
        <v>1336089</v>
      </c>
      <c r="I6" s="176">
        <f t="shared" si="1"/>
        <v>2597410</v>
      </c>
      <c r="J6" s="176">
        <f t="shared" si="1"/>
        <v>136560</v>
      </c>
      <c r="K6" s="176">
        <f t="shared" si="1"/>
        <v>290285</v>
      </c>
      <c r="L6" s="81"/>
    </row>
    <row r="7" spans="1:12" s="159" customFormat="1" ht="15.75" customHeight="1" x14ac:dyDescent="0.3">
      <c r="A7" s="78" t="s">
        <v>2</v>
      </c>
      <c r="B7" s="79" t="s">
        <v>63</v>
      </c>
      <c r="C7" s="79" t="s">
        <v>4</v>
      </c>
      <c r="D7" s="188">
        <f>D8+D11</f>
        <v>1983959</v>
      </c>
      <c r="E7" s="188">
        <f t="shared" ref="E7:K7" si="2">E8+E11</f>
        <v>2661965</v>
      </c>
      <c r="F7" s="188">
        <f t="shared" si="2"/>
        <v>1609602</v>
      </c>
      <c r="G7" s="188">
        <f t="shared" si="2"/>
        <v>2579436</v>
      </c>
      <c r="H7" s="188">
        <f t="shared" si="2"/>
        <v>1296016</v>
      </c>
      <c r="I7" s="188">
        <f t="shared" si="2"/>
        <v>2499472</v>
      </c>
      <c r="J7" s="188">
        <f t="shared" si="2"/>
        <v>136560</v>
      </c>
      <c r="K7" s="188">
        <f t="shared" si="2"/>
        <v>230447</v>
      </c>
      <c r="L7" s="83"/>
    </row>
    <row r="8" spans="1:12" s="159" customFormat="1" ht="17.5" customHeight="1" x14ac:dyDescent="0.3">
      <c r="A8" s="173" t="s">
        <v>3</v>
      </c>
      <c r="B8" s="158" t="s">
        <v>64</v>
      </c>
      <c r="C8" s="158" t="s">
        <v>4</v>
      </c>
      <c r="D8" s="187">
        <f>D9+D10</f>
        <v>558073</v>
      </c>
      <c r="E8" s="187">
        <f t="shared" ref="E8:K8" si="3">E9+E10</f>
        <v>44570</v>
      </c>
      <c r="F8" s="187">
        <f t="shared" si="3"/>
        <v>557885</v>
      </c>
      <c r="G8" s="187">
        <f t="shared" si="3"/>
        <v>40666</v>
      </c>
      <c r="H8" s="187">
        <f t="shared" si="3"/>
        <v>557699</v>
      </c>
      <c r="I8" s="187">
        <f t="shared" si="3"/>
        <v>36503</v>
      </c>
      <c r="J8" s="187">
        <f t="shared" si="3"/>
        <v>5929</v>
      </c>
      <c r="K8" s="187">
        <f t="shared" si="3"/>
        <v>12607</v>
      </c>
      <c r="L8" s="83"/>
    </row>
    <row r="9" spans="1:12" s="159" customFormat="1" ht="18" customHeight="1" x14ac:dyDescent="0.3">
      <c r="A9" s="161" t="s">
        <v>11</v>
      </c>
      <c r="B9" s="155" t="s">
        <v>207</v>
      </c>
      <c r="C9" s="190">
        <v>1000</v>
      </c>
      <c r="D9" s="29">
        <v>551770</v>
      </c>
      <c r="E9" s="29"/>
      <c r="F9" s="29">
        <v>551770</v>
      </c>
      <c r="G9" s="29"/>
      <c r="H9" s="29">
        <v>551770</v>
      </c>
      <c r="I9" s="29"/>
      <c r="J9" s="29"/>
      <c r="K9" s="29"/>
      <c r="L9" s="83"/>
    </row>
    <row r="10" spans="1:12" s="14" customFormat="1" ht="33" customHeight="1" x14ac:dyDescent="0.3">
      <c r="A10" s="160" t="s">
        <v>13</v>
      </c>
      <c r="B10" s="155" t="s">
        <v>218</v>
      </c>
      <c r="C10" s="190">
        <v>2210</v>
      </c>
      <c r="D10" s="32">
        <v>6303</v>
      </c>
      <c r="E10" s="32">
        <f>'5.izd lem CSDD (VP)'!C18+'6.lem LVC (VP)'!C20+'7.Iem VP pārv (VP)'!C14</f>
        <v>44570</v>
      </c>
      <c r="F10" s="32">
        <v>6115</v>
      </c>
      <c r="G10" s="32">
        <f>'5.izd lem CSDD (VP)'!D18+'6.lem LVC (VP)'!D20+'7.Iem VP pārv (VP)'!D14</f>
        <v>40666</v>
      </c>
      <c r="H10" s="32">
        <v>5929</v>
      </c>
      <c r="I10" s="32">
        <f>'5.izd lem CSDD (VP)'!E18+'6.lem LVC (VP)'!E20+'7.Iem VP pārv (VP)'!E14</f>
        <v>36503</v>
      </c>
      <c r="J10" s="32">
        <v>5929</v>
      </c>
      <c r="K10" s="32">
        <f>'5.izd lem CSDD (VP)'!F18+'6.lem LVC (VP)'!F20+'7.Iem VP pārv (VP)'!F14</f>
        <v>12607</v>
      </c>
      <c r="L10" s="82"/>
    </row>
    <row r="11" spans="1:12" s="19" customFormat="1" ht="19" customHeight="1" x14ac:dyDescent="0.3">
      <c r="A11" s="174" t="s">
        <v>24</v>
      </c>
      <c r="B11" s="33" t="s">
        <v>65</v>
      </c>
      <c r="C11" s="191"/>
      <c r="D11" s="34">
        <f>D12+D13</f>
        <v>1425886</v>
      </c>
      <c r="E11" s="34">
        <f t="shared" ref="E11:K11" si="4">E12+E13</f>
        <v>2617395</v>
      </c>
      <c r="F11" s="34">
        <f t="shared" si="4"/>
        <v>1051717</v>
      </c>
      <c r="G11" s="34">
        <f t="shared" si="4"/>
        <v>2538770</v>
      </c>
      <c r="H11" s="34">
        <f t="shared" si="4"/>
        <v>738317</v>
      </c>
      <c r="I11" s="34">
        <f t="shared" si="4"/>
        <v>2462969</v>
      </c>
      <c r="J11" s="34">
        <f t="shared" si="4"/>
        <v>130631</v>
      </c>
      <c r="K11" s="34">
        <f t="shared" si="4"/>
        <v>217840</v>
      </c>
      <c r="L11" s="77"/>
    </row>
    <row r="12" spans="1:12" ht="17.25" customHeight="1" x14ac:dyDescent="0.25">
      <c r="A12" s="35" t="s">
        <v>26</v>
      </c>
      <c r="B12" s="36" t="s">
        <v>73</v>
      </c>
      <c r="C12" s="192">
        <v>3262</v>
      </c>
      <c r="D12" s="29">
        <v>979667</v>
      </c>
      <c r="E12" s="29">
        <f>'1.IZD darbība (CSDD)'!E25</f>
        <v>1754482</v>
      </c>
      <c r="F12" s="29">
        <v>699762</v>
      </c>
      <c r="G12" s="32">
        <f>'1.IZD darbība (CSDD)'!G25</f>
        <v>1754482</v>
      </c>
      <c r="H12" s="29">
        <v>466509</v>
      </c>
      <c r="I12" s="185">
        <f>'1.IZD darbība (CSDD)'!I25</f>
        <v>1754482</v>
      </c>
      <c r="J12" s="185">
        <v>0</v>
      </c>
      <c r="K12" s="186">
        <v>0</v>
      </c>
      <c r="L12" s="37"/>
    </row>
    <row r="13" spans="1:12" ht="28" customHeight="1" x14ac:dyDescent="0.25">
      <c r="A13" s="35" t="s">
        <v>29</v>
      </c>
      <c r="B13" s="36" t="s">
        <v>84</v>
      </c>
      <c r="C13" s="192">
        <v>3262</v>
      </c>
      <c r="D13" s="29">
        <v>446219</v>
      </c>
      <c r="E13" s="29">
        <f>'2.IZD lēm stac ĀTRUMS (CSDD)'!D21+'3.IZD lēm stac TAOCTAVIN (CSDD)'!D21+'4.IZD lēm pārviet (CSDD)'!D21</f>
        <v>862913</v>
      </c>
      <c r="F13" s="29">
        <v>351955</v>
      </c>
      <c r="G13" s="29">
        <f>'2.IZD lēm stac ĀTRUMS (CSDD)'!E21+'3.IZD lēm stac TAOCTAVIN (CSDD)'!E21+'4.IZD lēm pārviet (CSDD)'!E21</f>
        <v>784288</v>
      </c>
      <c r="H13" s="29">
        <v>271808</v>
      </c>
      <c r="I13" s="156">
        <f>'2.IZD lēm stac ĀTRUMS (CSDD)'!F21+'3.IZD lēm stac TAOCTAVIN (CSDD)'!F21+'4.IZD lēm pārviet (CSDD)'!F21</f>
        <v>708487</v>
      </c>
      <c r="J13" s="156">
        <v>130631</v>
      </c>
      <c r="K13" s="157">
        <f>'2.IZD lēm stac ĀTRUMS (CSDD)'!G21+'3.IZD lēm stac TAOCTAVIN (CSDD)'!G21+'4.IZD lēm pārviet (CSDD)'!G21</f>
        <v>217840</v>
      </c>
      <c r="L13" s="37"/>
    </row>
    <row r="14" spans="1:12" s="85" customFormat="1" ht="25.5" customHeight="1" x14ac:dyDescent="0.25">
      <c r="A14" s="78" t="s">
        <v>1</v>
      </c>
      <c r="B14" s="79" t="s">
        <v>66</v>
      </c>
      <c r="C14" s="195" t="s">
        <v>224</v>
      </c>
      <c r="D14" s="188">
        <v>40073</v>
      </c>
      <c r="E14" s="188">
        <v>80338</v>
      </c>
      <c r="F14" s="188">
        <v>40073</v>
      </c>
      <c r="G14" s="188">
        <v>104838</v>
      </c>
      <c r="H14" s="188">
        <v>40073</v>
      </c>
      <c r="I14" s="188">
        <v>97938</v>
      </c>
      <c r="J14" s="79">
        <v>0</v>
      </c>
      <c r="K14" s="188">
        <v>59838</v>
      </c>
      <c r="L14" s="84"/>
    </row>
    <row r="15" spans="1:12" s="85" customFormat="1" ht="24.75" customHeight="1" x14ac:dyDescent="0.25">
      <c r="A15" s="177" t="s">
        <v>213</v>
      </c>
      <c r="B15" s="178" t="s">
        <v>63</v>
      </c>
      <c r="C15" s="193" t="s">
        <v>4</v>
      </c>
      <c r="D15" s="183">
        <f>D16+D17</f>
        <v>0</v>
      </c>
      <c r="E15" s="183">
        <f>E16+E17</f>
        <v>1055150</v>
      </c>
      <c r="F15" s="183">
        <f t="shared" ref="F15:K15" si="5">F16+F17</f>
        <v>0</v>
      </c>
      <c r="G15" s="183">
        <f t="shared" si="5"/>
        <v>1055150</v>
      </c>
      <c r="H15" s="183">
        <f t="shared" si="5"/>
        <v>0</v>
      </c>
      <c r="I15" s="183">
        <f t="shared" si="5"/>
        <v>1055150</v>
      </c>
      <c r="J15" s="183">
        <f t="shared" si="5"/>
        <v>0</v>
      </c>
      <c r="K15" s="183">
        <f t="shared" si="5"/>
        <v>1055150</v>
      </c>
      <c r="L15" s="84"/>
    </row>
    <row r="16" spans="1:12" s="18" customFormat="1" ht="18.75" customHeight="1" x14ac:dyDescent="0.25">
      <c r="A16" s="161" t="s">
        <v>2</v>
      </c>
      <c r="B16" s="155" t="s">
        <v>207</v>
      </c>
      <c r="C16" s="190">
        <v>1000</v>
      </c>
      <c r="D16" s="29"/>
      <c r="E16" s="29">
        <v>685103</v>
      </c>
      <c r="F16" s="29"/>
      <c r="G16" s="29">
        <v>685103</v>
      </c>
      <c r="H16" s="29"/>
      <c r="I16" s="29">
        <v>685103</v>
      </c>
      <c r="J16" s="184"/>
      <c r="K16" s="29">
        <v>685103</v>
      </c>
      <c r="L16" s="154"/>
    </row>
    <row r="17" spans="1:12" s="18" customFormat="1" ht="14.25" customHeight="1" x14ac:dyDescent="0.25">
      <c r="A17" s="161" t="s">
        <v>1</v>
      </c>
      <c r="B17" s="155" t="s">
        <v>225</v>
      </c>
      <c r="C17" s="190">
        <v>1000</v>
      </c>
      <c r="D17" s="29"/>
      <c r="E17" s="29">
        <v>370047</v>
      </c>
      <c r="F17" s="29"/>
      <c r="G17" s="29">
        <v>370047</v>
      </c>
      <c r="H17" s="29"/>
      <c r="I17" s="29">
        <v>370047</v>
      </c>
      <c r="J17" s="197"/>
      <c r="K17" s="29">
        <v>370047</v>
      </c>
      <c r="L17" s="154"/>
    </row>
    <row r="18" spans="1:12" s="18" customFormat="1" ht="18.75" customHeight="1" x14ac:dyDescent="0.25">
      <c r="A18" s="151" t="s">
        <v>214</v>
      </c>
      <c r="B18" s="152" t="s">
        <v>68</v>
      </c>
      <c r="C18" s="76" t="s">
        <v>4</v>
      </c>
      <c r="D18" s="153">
        <f>D4-D5</f>
        <v>3530956</v>
      </c>
      <c r="E18" s="153">
        <f t="shared" ref="E18:K18" si="6">E4-E5</f>
        <v>4610435</v>
      </c>
      <c r="F18" s="153">
        <f t="shared" si="6"/>
        <v>2424651</v>
      </c>
      <c r="G18" s="153">
        <f t="shared" si="6"/>
        <v>4054308</v>
      </c>
      <c r="H18" s="153">
        <f t="shared" si="6"/>
        <v>1454601</v>
      </c>
      <c r="I18" s="153">
        <f t="shared" si="6"/>
        <v>3320759</v>
      </c>
      <c r="J18" s="153">
        <f t="shared" si="6"/>
        <v>669618</v>
      </c>
      <c r="K18" s="153">
        <f t="shared" si="6"/>
        <v>830037</v>
      </c>
      <c r="L18" s="154"/>
    </row>
    <row r="19" spans="1:12" s="18" customFormat="1" ht="18.75" customHeight="1" x14ac:dyDescent="0.25">
      <c r="A19" s="179"/>
      <c r="B19" s="180" t="s">
        <v>216</v>
      </c>
      <c r="C19" s="194"/>
      <c r="D19" s="181"/>
      <c r="E19" s="181"/>
      <c r="F19" s="181"/>
      <c r="G19" s="181"/>
      <c r="H19" s="181"/>
      <c r="I19" s="181"/>
      <c r="J19" s="181"/>
      <c r="K19" s="181"/>
      <c r="L19" s="154"/>
    </row>
    <row r="20" spans="1:12" s="125" customFormat="1" ht="13.5" customHeight="1" x14ac:dyDescent="0.3">
      <c r="A20" s="205" t="s">
        <v>2</v>
      </c>
      <c r="B20" s="202" t="s">
        <v>226</v>
      </c>
      <c r="C20" s="203"/>
      <c r="D20" s="204"/>
      <c r="E20" s="204">
        <f>E4-D4</f>
        <v>2852900</v>
      </c>
      <c r="F20" s="204"/>
      <c r="G20" s="204">
        <f>G4-F4</f>
        <v>3719406</v>
      </c>
      <c r="H20" s="204"/>
      <c r="I20" s="204">
        <f>I4-H4</f>
        <v>4182629</v>
      </c>
      <c r="J20" s="204"/>
      <c r="K20" s="204">
        <f>K4-J4</f>
        <v>1369294</v>
      </c>
    </row>
    <row r="21" spans="1:12" s="125" customFormat="1" ht="14.25" customHeight="1" x14ac:dyDescent="0.3">
      <c r="A21" s="205" t="s">
        <v>1</v>
      </c>
      <c r="B21" s="202" t="s">
        <v>227</v>
      </c>
      <c r="C21" s="203"/>
      <c r="D21" s="204"/>
      <c r="E21" s="204">
        <f>E5-D5</f>
        <v>1773421</v>
      </c>
      <c r="F21" s="204"/>
      <c r="G21" s="204">
        <f>G5-F5</f>
        <v>2089749</v>
      </c>
      <c r="H21" s="204"/>
      <c r="I21" s="204">
        <f t="shared" ref="I21:K21" si="7">I5-H5</f>
        <v>2316471</v>
      </c>
      <c r="J21" s="204"/>
      <c r="K21" s="204">
        <f t="shared" si="7"/>
        <v>1208875</v>
      </c>
    </row>
    <row r="22" spans="1:12" s="182" customFormat="1" ht="14.25" customHeight="1" x14ac:dyDescent="0.25">
      <c r="A22" s="206" t="s">
        <v>217</v>
      </c>
      <c r="B22" s="198" t="s">
        <v>215</v>
      </c>
      <c r="C22" s="199"/>
      <c r="D22" s="200"/>
      <c r="E22" s="201">
        <f>E20-E21</f>
        <v>1079479</v>
      </c>
      <c r="F22" s="201"/>
      <c r="G22" s="201">
        <f>G20-G21</f>
        <v>1629657</v>
      </c>
      <c r="H22" s="201"/>
      <c r="I22" s="201">
        <f t="shared" ref="I22:K22" si="8">I20-I21</f>
        <v>1866158</v>
      </c>
      <c r="J22" s="201"/>
      <c r="K22" s="201">
        <f t="shared" si="8"/>
        <v>160419</v>
      </c>
    </row>
    <row r="23" spans="1:12" x14ac:dyDescent="0.25">
      <c r="K23" s="20"/>
    </row>
  </sheetData>
  <mergeCells count="1">
    <mergeCell ref="A2:B2"/>
  </mergeCells>
  <pageMargins left="0.39" right="0.25" top="0.74803149606299213" bottom="0.74803149606299213" header="0.31496062992125984" footer="0.31496062992125984"/>
  <pageSetup paperSize="8" fitToHeight="0" orientation="landscape" r:id="rId1"/>
  <headerFooter>
    <oddFooter>&amp;L&amp;F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1.IZD darbība (CSDD)</vt:lpstr>
      <vt:lpstr>2.IZD lēm stac ĀTRUMS (CSDD)</vt:lpstr>
      <vt:lpstr>3.IZD lēm stac TAOCTAVIN (CSDD)</vt:lpstr>
      <vt:lpstr>4.IZD lēm pārviet (CSDD)</vt:lpstr>
      <vt:lpstr>5.izd lem CSDD (VP)</vt:lpstr>
      <vt:lpstr>6.lem LVC (VP)</vt:lpstr>
      <vt:lpstr>7.Iem VP pārv (VP)</vt:lpstr>
      <vt:lpstr>KOPSAVILKUMS</vt:lpstr>
      <vt:lpstr>'1.IZD darbība (CSDD)'!Print_Titles</vt:lpstr>
      <vt:lpstr>'2.IZD lēm stac ĀTRUMS (CSDD)'!Print_Titles</vt:lpstr>
      <vt:lpstr>'3.IZD lēm stac TAOCTAVIN (CSDD)'!Print_Titles</vt:lpstr>
      <vt:lpstr>'4.IZD lēm pārviet (CSDD)'!Print_Titles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2022-09-24T09:05:42Z</dcterms:modified>
</cp:coreProperties>
</file>