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 tabRatio="851" activeTab="6"/>
  </bookViews>
  <sheets>
    <sheet name="IEŅ P2P ātrums" sheetId="14" r:id="rId1"/>
    <sheet name="IEŅ P2P tehn. apskate" sheetId="17" r:id="rId2"/>
    <sheet name="IEŅ P2P OCTA" sheetId="18" r:id="rId3"/>
    <sheet name="IEŅ  P2P vinjete" sheetId="19" r:id="rId4"/>
    <sheet name="IEŅ metostac vinjete" sheetId="20" r:id="rId5"/>
    <sheet name="IEŅ fotoradari ātrums" sheetId="22" r:id="rId6"/>
    <sheet name="IEŅ KOPĀ" sheetId="23" r:id="rId7"/>
    <sheet name="Statistika lēmumi" sheetId="24" r:id="rId8"/>
    <sheet name="Statistika P2P" sheetId="15" r:id="rId9"/>
    <sheet name="Statistika Meteo" sheetId="21" r:id="rId10"/>
  </sheets>
  <calcPr calcId="162913"/>
</workbook>
</file>

<file path=xl/calcChain.xml><?xml version="1.0" encoding="utf-8"?>
<calcChain xmlns="http://schemas.openxmlformats.org/spreadsheetml/2006/main">
  <c r="J7" i="23" l="1"/>
  <c r="E7" i="23" l="1"/>
  <c r="F7" i="23"/>
  <c r="G7" i="23"/>
  <c r="H7" i="23"/>
  <c r="I7" i="23"/>
  <c r="D7" i="23"/>
  <c r="C13" i="14"/>
  <c r="C8" i="22" l="1"/>
  <c r="D15" i="24" l="1"/>
  <c r="C5" i="24"/>
  <c r="J15" i="24"/>
  <c r="H15" i="24"/>
  <c r="F15" i="24"/>
  <c r="J14" i="24"/>
  <c r="H14" i="24"/>
  <c r="F14" i="24"/>
  <c r="D14" i="24"/>
  <c r="J13" i="24"/>
  <c r="H13" i="24"/>
  <c r="F13" i="24"/>
  <c r="D13" i="24"/>
  <c r="J12" i="24"/>
  <c r="H12" i="24"/>
  <c r="F12" i="24"/>
  <c r="D12" i="24"/>
  <c r="J11" i="24"/>
  <c r="H11" i="24"/>
  <c r="F11" i="24"/>
  <c r="D11" i="24"/>
  <c r="I6" i="24"/>
  <c r="I5" i="24" s="1"/>
  <c r="G6" i="24"/>
  <c r="G5" i="24" s="1"/>
  <c r="E6" i="24"/>
  <c r="E5" i="24" s="1"/>
  <c r="C6" i="24"/>
  <c r="D10" i="24" l="1"/>
  <c r="H10" i="24"/>
  <c r="J10" i="24"/>
  <c r="F10" i="24"/>
  <c r="D12" i="19"/>
  <c r="C12" i="19"/>
  <c r="K27" i="15" l="1"/>
  <c r="K26" i="15"/>
  <c r="K25" i="15"/>
  <c r="K24" i="15"/>
  <c r="K22" i="15"/>
  <c r="I27" i="15"/>
  <c r="I26" i="15"/>
  <c r="I25" i="15"/>
  <c r="I24" i="15"/>
  <c r="I5" i="15"/>
  <c r="L22" i="15" l="1"/>
  <c r="L5" i="15"/>
  <c r="G6" i="23" l="1"/>
  <c r="E6" i="23"/>
  <c r="C6" i="23"/>
  <c r="I4" i="23"/>
  <c r="G4" i="23"/>
  <c r="E4" i="23"/>
  <c r="C4" i="23"/>
  <c r="C7" i="23" s="1"/>
  <c r="D9" i="24"/>
  <c r="E8" i="22"/>
  <c r="D8" i="22"/>
  <c r="G10" i="21"/>
  <c r="F8" i="20"/>
  <c r="F10" i="20" s="1"/>
  <c r="F12" i="20" s="1"/>
  <c r="G9" i="21"/>
  <c r="G5" i="21"/>
  <c r="G8" i="21"/>
  <c r="G7" i="21"/>
  <c r="G6" i="21"/>
  <c r="F14" i="20" l="1"/>
  <c r="E10" i="22"/>
  <c r="E12" i="22" s="1"/>
  <c r="H9" i="24"/>
  <c r="D10" i="22"/>
  <c r="D12" i="22" s="1"/>
  <c r="F9" i="24"/>
  <c r="C10" i="22"/>
  <c r="C12" i="22" s="1"/>
  <c r="J5" i="23"/>
  <c r="F8" i="19"/>
  <c r="F8" i="18"/>
  <c r="F10" i="18" s="1"/>
  <c r="F12" i="18" s="1"/>
  <c r="F14" i="18" s="1"/>
  <c r="F10" i="17"/>
  <c r="F12" i="17" s="1"/>
  <c r="F8" i="17"/>
  <c r="F9" i="14"/>
  <c r="E8" i="20"/>
  <c r="E10" i="20" s="1"/>
  <c r="E12" i="20" s="1"/>
  <c r="D8" i="20"/>
  <c r="D10" i="20" s="1"/>
  <c r="D12" i="20" s="1"/>
  <c r="C8" i="20"/>
  <c r="C10" i="20" s="1"/>
  <c r="C8" i="19"/>
  <c r="E8" i="19"/>
  <c r="D8" i="19"/>
  <c r="K5" i="15"/>
  <c r="J5" i="15"/>
  <c r="D10" i="18"/>
  <c r="D12" i="18" s="1"/>
  <c r="D14" i="18" s="1"/>
  <c r="E8" i="18"/>
  <c r="E10" i="18" s="1"/>
  <c r="E12" i="18" s="1"/>
  <c r="E14" i="18" s="1"/>
  <c r="D8" i="18"/>
  <c r="C8" i="18"/>
  <c r="C10" i="18" s="1"/>
  <c r="C12" i="18" s="1"/>
  <c r="C14" i="18" s="1"/>
  <c r="C10" i="17"/>
  <c r="C12" i="17" s="1"/>
  <c r="C14" i="17" s="1"/>
  <c r="C8" i="17"/>
  <c r="E8" i="17"/>
  <c r="E10" i="17" s="1"/>
  <c r="E12" i="17" s="1"/>
  <c r="E14" i="17" s="1"/>
  <c r="D8" i="17"/>
  <c r="D10" i="17" s="1"/>
  <c r="D12" i="17" s="1"/>
  <c r="D14" i="17" s="1"/>
  <c r="F14" i="17" l="1"/>
  <c r="E14" i="22"/>
  <c r="H6" i="23"/>
  <c r="D14" i="22"/>
  <c r="F6" i="23"/>
  <c r="C14" i="22"/>
  <c r="D6" i="23"/>
  <c r="F11" i="14"/>
  <c r="F13" i="14" s="1"/>
  <c r="J8" i="24"/>
  <c r="J7" i="24" s="1"/>
  <c r="J6" i="24"/>
  <c r="J5" i="24" s="1"/>
  <c r="E14" i="20"/>
  <c r="H5" i="23"/>
  <c r="D14" i="20"/>
  <c r="F5" i="23"/>
  <c r="F10" i="19"/>
  <c r="F12" i="19" s="1"/>
  <c r="E10" i="19"/>
  <c r="E12" i="19" s="1"/>
  <c r="D10" i="19"/>
  <c r="C10" i="19"/>
  <c r="C12" i="20"/>
  <c r="C9" i="14"/>
  <c r="D9" i="14"/>
  <c r="D11" i="14" s="1"/>
  <c r="D13" i="14" s="1"/>
  <c r="D15" i="14" s="1"/>
  <c r="E9" i="14"/>
  <c r="F15" i="14" l="1"/>
  <c r="H8" i="24"/>
  <c r="H7" i="24" s="1"/>
  <c r="H6" i="24"/>
  <c r="H5" i="24" s="1"/>
  <c r="C11" i="14"/>
  <c r="C15" i="14" s="1"/>
  <c r="D6" i="24"/>
  <c r="D5" i="24" s="1"/>
  <c r="D8" i="24"/>
  <c r="D7" i="24" s="1"/>
  <c r="F6" i="24"/>
  <c r="F5" i="24" s="1"/>
  <c r="F8" i="24"/>
  <c r="F7" i="24" s="1"/>
  <c r="C14" i="20"/>
  <c r="D5" i="23"/>
  <c r="E11" i="14"/>
  <c r="E13" i="14" s="1"/>
  <c r="E15" i="14" s="1"/>
  <c r="J4" i="23"/>
  <c r="F14" i="19"/>
  <c r="E14" i="19"/>
  <c r="H4" i="23"/>
  <c r="H8" i="23" s="1"/>
  <c r="D14" i="19"/>
  <c r="F4" i="23"/>
  <c r="F8" i="23" s="1"/>
  <c r="C14" i="19"/>
  <c r="N21" i="15"/>
  <c r="J22" i="15"/>
  <c r="J21" i="15"/>
  <c r="M21" i="15"/>
  <c r="L6" i="15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J8" i="23" l="1"/>
  <c r="D4" i="23"/>
  <c r="D8" i="23" s="1"/>
  <c r="K21" i="15"/>
  <c r="L21" i="15"/>
  <c r="I21" i="15"/>
  <c r="I22" i="15" s="1"/>
</calcChain>
</file>

<file path=xl/sharedStrings.xml><?xml version="1.0" encoding="utf-8"?>
<sst xmlns="http://schemas.openxmlformats.org/spreadsheetml/2006/main" count="267" uniqueCount="114">
  <si>
    <t>3.</t>
  </si>
  <si>
    <t>2.</t>
  </si>
  <si>
    <t>1.</t>
  </si>
  <si>
    <t>x</t>
  </si>
  <si>
    <t>Nr.p.k.</t>
  </si>
  <si>
    <t>Rādītāji</t>
  </si>
  <si>
    <t>Kopā</t>
  </si>
  <si>
    <t>4.</t>
  </si>
  <si>
    <t>2023 prec</t>
  </si>
  <si>
    <t>2024 prec</t>
  </si>
  <si>
    <t>2025 prec</t>
  </si>
  <si>
    <t>1.tabula</t>
  </si>
  <si>
    <t>Darbojošos iekārtu skaits - vidēji gadā</t>
  </si>
  <si>
    <t>Prognozētie vienas iekārtas fiksētie pārkāpumi, par kuriem tiek nosūtīts lēmums (vidēji diennaktī)</t>
  </si>
  <si>
    <t>Vidējais iekārtas darbības dienu skaits gadā, 
ņemot vērā iespējamo dīkstāvi tehnisku u.c. iemeslu dēļ
(365 dienas - 30 dienas dīkstāve = 335 dienas)</t>
  </si>
  <si>
    <t>Vidējais svērtais naudas soda apmērs par 1 pārkāpumu, euro</t>
  </si>
  <si>
    <t xml:space="preserve">5. </t>
  </si>
  <si>
    <t>Kopējā uzlikto naudas sodu summa, euro</t>
  </si>
  <si>
    <t xml:space="preserve">Valsts pamatbudžeta ieņēmumus koriģējošais koeficients </t>
  </si>
  <si>
    <t xml:space="preserve">7. </t>
  </si>
  <si>
    <t>Prognozēto valsts pamatbudžeta ieņēmumu no naudas sodiem summa, euro 
(ņemot vērā ieņēmumu nobīdi, nesamaksāšanas un citu risku koriģējošo koeficientu )</t>
  </si>
  <si>
    <t>9.</t>
  </si>
  <si>
    <t>8. (6 x7.)</t>
  </si>
  <si>
    <t>Nr.</t>
  </si>
  <si>
    <t>no km</t>
  </si>
  <si>
    <t>līdz km</t>
  </si>
  <si>
    <t>Garums, km</t>
  </si>
  <si>
    <t>Plānotais darba uzsākš. Laiks</t>
  </si>
  <si>
    <t>A7</t>
  </si>
  <si>
    <t>A9</t>
  </si>
  <si>
    <t>A13</t>
  </si>
  <si>
    <t>P30</t>
  </si>
  <si>
    <t>A5</t>
  </si>
  <si>
    <t>A1</t>
  </si>
  <si>
    <t>A3</t>
  </si>
  <si>
    <t>A10</t>
  </si>
  <si>
    <t>A2</t>
  </si>
  <si>
    <t>A6</t>
  </si>
  <si>
    <t>A8</t>
  </si>
  <si>
    <t>Darbojošos mēnešu skaits 2023. gadā</t>
  </si>
  <si>
    <t>Pārkāpumu skaits diennaktī</t>
  </si>
  <si>
    <t>OCTA</t>
  </si>
  <si>
    <t>Vinjete</t>
  </si>
  <si>
    <t>Pārkāpēju procents (% no kopējās plūsmas)</t>
  </si>
  <si>
    <t>Tehniskā apskate</t>
  </si>
  <si>
    <t>Vidējais ātrums</t>
  </si>
  <si>
    <t>vidēji uz vienu iekārtu</t>
  </si>
  <si>
    <t>Vidējais darbojošos iekārtu skaits 2023. gadā</t>
  </si>
  <si>
    <t>Kravas transportlīdzekļu īpatsvars, %</t>
  </si>
  <si>
    <t>Satiksmes intensitāte, transportlīdzekļi diennaktī</t>
  </si>
  <si>
    <t>6. (4.x5.)</t>
  </si>
  <si>
    <t>Prognozētais lēmumu skaits (fiksētie pārkāpumi, par kuriem tiek nosūtīts lēmums), gadā
(iekārtu skaits x fiksētie pārkāpumi, par kuriem tiek nosūtīts lēmums (vidēji diennaktī) x darbības dienu skaits gadā)</t>
  </si>
  <si>
    <t xml:space="preserve">10. (8.-9.) </t>
  </si>
  <si>
    <t>Saskaņā ar MK 02.11.2021. rīkojumu Nr.775 (anotācijas pielikuma 4.tabula)</t>
  </si>
  <si>
    <t>Papildu ieņēmumi (+) vai ieņēmumu samazinājums (-)</t>
  </si>
  <si>
    <t>2.tabula</t>
  </si>
  <si>
    <t xml:space="preserve">Saskaņā ar MK 02.11.2021. rīkojumu Nr.775 </t>
  </si>
  <si>
    <t>3.tabula</t>
  </si>
  <si>
    <t>4.tabula</t>
  </si>
  <si>
    <t>5.tabula</t>
  </si>
  <si>
    <t>2026 
un turpmāk ik gadu</t>
  </si>
  <si>
    <t>A4</t>
  </si>
  <si>
    <t>P80</t>
  </si>
  <si>
    <t>6.tabula</t>
  </si>
  <si>
    <t>7.tabula</t>
  </si>
  <si>
    <r>
      <t xml:space="preserve">Prognozētie valsts pamatbudžeta IEŅĒMUMI no naudas sodiem, kas fiksēti ar komersanta tehniskajiem līdzekļiem 
Naudas sods </t>
    </r>
    <r>
      <rPr>
        <b/>
        <sz val="9"/>
        <color theme="1"/>
        <rFont val="Times New Roman"/>
        <family val="1"/>
        <charset val="186"/>
      </rPr>
      <t xml:space="preserve"> par atļautā braukšanas ātruma pārsniegšanu</t>
    </r>
    <r>
      <rPr>
        <sz val="9"/>
        <color theme="1"/>
        <rFont val="Times New Roman"/>
        <family val="1"/>
        <charset val="186"/>
      </rPr>
      <t xml:space="preserve">
(Valsts sabiedrība ar ierobežotu atbildību "Latvijas Valsts ceļi")
Transportlidzekļu vidējā braukšanas ātruma mērīšanas sistēmas</t>
    </r>
  </si>
  <si>
    <r>
      <t>Prognozētie valsts pamatbudžeta IEŅĒMUMI no naudas sodiem, kas fiksēti ar komersanta tehniskajiem līdzekļiem 
Nudas sods</t>
    </r>
    <r>
      <rPr>
        <b/>
        <sz val="9"/>
        <color theme="1"/>
        <rFont val="Times New Roman"/>
        <family val="1"/>
        <charset val="186"/>
      </rPr>
      <t xml:space="preserve"> par tāda transportlīdzekļa izmantošanu ceļu satiksmē, par kuru nav veikta tā īpašnieka civiltiesiskās atbildības obligātā apdrošināšana
</t>
    </r>
    <r>
      <rPr>
        <sz val="9"/>
        <color theme="1"/>
        <rFont val="Times New Roman"/>
        <family val="1"/>
        <charset val="186"/>
      </rPr>
      <t>(Valsts sabiedrība ar ierobežotu atbildību "Latvijas Valsts ceļi")
Transportlīdzekļu vidējā braukšanas ātruma mērīšanas sistēmas</t>
    </r>
  </si>
  <si>
    <t>Vidējais iekārtas darbības dienu skaits gadā, 
ņemot vērā iespējamo dīkstāvi tehnisku u.c. iemeslu dēļ
(365 dienas - 25 dienas dīkstāve = 340 dienas)</t>
  </si>
  <si>
    <t>Saskaņā ar MK 02.11.2021. rīkojumu Nr.775 (anotācijas pielikuma 7.tabula)</t>
  </si>
  <si>
    <t>2023 
sask. ar MK rīk. Nr.775</t>
  </si>
  <si>
    <t>2024
sask. ar MK rīk. Nr.775</t>
  </si>
  <si>
    <t>2025
sask. ar MK rīk. Nr.775</t>
  </si>
  <si>
    <t>2026 
un turpmāk ik gadu
sask. ar MK rīk. Nr.775</t>
  </si>
  <si>
    <t>2026
un turpmāk ik gadu prec</t>
  </si>
  <si>
    <t xml:space="preserve">1. </t>
  </si>
  <si>
    <t>Ieņēmumi no naudas sodiem, kas fiksēti ar VSIA "Latvijas valsts ceļi" tehniskajiem līdzekļiem 
(vidējā braukšanas ātruma mērīšanas sistēmas)</t>
  </si>
  <si>
    <t>Ieņēmumi no naudas sodiem, kas fiksēti ar VSIA "Latvijas valsts ceļi" tehniskajiem līdzekļiem 
(meteostacijas)</t>
  </si>
  <si>
    <r>
      <t>Prognozētie valsts pamatbudžeta IEŅĒMUMI no naudas sodiem, kas fiksēti ar komersanta tehniskajiem līdzekļiem 
Naudas sods par atļautā braukšanas ātruma pārsniegšanu</t>
    </r>
    <r>
      <rPr>
        <b/>
        <sz val="9"/>
        <color theme="1"/>
        <rFont val="Times New Roman"/>
        <family val="1"/>
        <charset val="186"/>
      </rPr>
      <t xml:space="preserve">
</t>
    </r>
    <r>
      <rPr>
        <sz val="9"/>
        <rFont val="Times New Roman"/>
        <family val="1"/>
        <charset val="186"/>
      </rPr>
      <t>(Valsts akciju sabiedrība "Ceļu satiksmes drošības direkcija") 
Transportlīdzekļu braukšanas ātruma kontroles mērierīces (fotoradars)</t>
    </r>
  </si>
  <si>
    <t>Ieņēmumi no naudas sodiem, kas fiksēti ar VAS "Ceļu satiksmes drošības direkcija" tehniskajiem līdzekļiem 
(braukšanas ātruma kontroles mērierīces (fotoradari))</t>
  </si>
  <si>
    <t>KOPĀ</t>
  </si>
  <si>
    <t>Palielinājums</t>
  </si>
  <si>
    <r>
      <t>Prognozētie valsts pamatbudžeta IEŅĒMUMI no naudas sodiem, kas fiksēti ar komersanta tehniskajiem līdzekļiem 
Naudas sods</t>
    </r>
    <r>
      <rPr>
        <b/>
        <sz val="9"/>
        <color theme="1"/>
        <rFont val="Times New Roman"/>
        <family val="1"/>
        <charset val="186"/>
      </rPr>
      <t xml:space="preserve"> par Autoceļu lietošanas nodevas likma 11.panta otrajā daļā minētajiem pārkāpumiem (vinjete)
</t>
    </r>
    <r>
      <rPr>
        <sz val="9"/>
        <color theme="1"/>
        <rFont val="Times New Roman"/>
        <family val="1"/>
        <charset val="186"/>
      </rPr>
      <t>(Valsts sabiedrība ar ierobežotu atbildību "Latvijas Valsts ceļi")
Transportlīdzekļu vidējā braukšanas ātruma mērīšanas sistēmas</t>
    </r>
  </si>
  <si>
    <t>2023. gadam ar koef. 2,00</t>
  </si>
  <si>
    <t>2024. gadam ar koef. 1,66</t>
  </si>
  <si>
    <t>2025. gadam ar koef. 1,00</t>
  </si>
  <si>
    <t>2026. gadam ar koef. 1,00</t>
  </si>
  <si>
    <t>Vidējā braukšanas ātruma kontroles posmu statistika (prognoze)</t>
  </si>
  <si>
    <t>2023. gadam ar koef. 3,00</t>
  </si>
  <si>
    <t>2024. gadam ar koef. 2,00</t>
  </si>
  <si>
    <t>ātrums, tajā skaitā</t>
  </si>
  <si>
    <t>pārējie, tajā skaitā</t>
  </si>
  <si>
    <t>Prognozētie valsts pamatbudžeta IEŅĒMUMI no naudas sodiem, kas fiksēti ar komersanta tehniskajiem līdzekļiem 
( ieņēmumu kods 10.1.5.2. Naudas sodi, ko uzliek Valsts policija par pārkāpumiem ceļu satiksmē, kas fiksēti ar komersanta tehniskajiem līdzekļiem)</t>
  </si>
  <si>
    <t>Pārkāpumu skaits diennaktī (prognoze)</t>
  </si>
  <si>
    <t>Pavisam lēmumu skaits (1.+2.)</t>
  </si>
  <si>
    <t>P2P ātrums (LVC)</t>
  </si>
  <si>
    <t>fotoradari ātrums (CSDD)</t>
  </si>
  <si>
    <t>P2P tehniskā apskate (LVC)</t>
  </si>
  <si>
    <t>P2P OCTA (LVC)</t>
  </si>
  <si>
    <t>P2P vinjete (LVC)</t>
  </si>
  <si>
    <t>Metostacijas vinjete (LVC)</t>
  </si>
  <si>
    <t>pārvietojamie fotoradai (VP)</t>
  </si>
  <si>
    <t>EUNOMIA sistēmas jeb 360 grādu kameras (VP)</t>
  </si>
  <si>
    <r>
      <t>Prognozētie valsts pamatbudžeta IEŅĒMUMI no naudas sodiem, kas fiksēti ar komersanta tehniskajiem līdzekļiem 
Naudas sods</t>
    </r>
    <r>
      <rPr>
        <b/>
        <sz val="9"/>
        <rFont val="Times New Roman"/>
        <family val="1"/>
        <charset val="186"/>
      </rPr>
      <t xml:space="preserve"> par Autoceļu lietošanas nodevas likma 11.panta otrajā daļā minētajiem pārkāpumiem (vinjete)
</t>
    </r>
    <r>
      <rPr>
        <sz val="9"/>
        <rFont val="Times New Roman"/>
        <family val="1"/>
        <charset val="186"/>
      </rPr>
      <t>(Valsts sabiedrība ar ierobežotu atbildību "Latvijas Valsts ceļi") 
Meteostaciju kameras</t>
    </r>
  </si>
  <si>
    <t xml:space="preserve"> Informācija par prognozēto lēmumu skaitu, saistībā ar  par pārkāpumiem ceļu satiksmē, kas fiksēti ar komersanta tehniskajiem līdzekļiem un Valsts policijas tehniskajiem līdzekļiem</t>
  </si>
  <si>
    <t>8.tabula</t>
  </si>
  <si>
    <r>
      <rPr>
        <b/>
        <sz val="10"/>
        <color theme="1"/>
        <rFont val="Times New Roman"/>
        <family val="1"/>
        <charset val="186"/>
      </rPr>
      <t xml:space="preserve">2. Lēmumu skaits </t>
    </r>
    <r>
      <rPr>
        <sz val="10"/>
        <color theme="1"/>
        <rFont val="Times New Roman"/>
        <family val="1"/>
        <charset val="186"/>
      </rPr>
      <t xml:space="preserve">
(pārkāpumi fiksēti ar </t>
    </r>
    <r>
      <rPr>
        <b/>
        <sz val="10"/>
        <color theme="1"/>
        <rFont val="Times New Roman"/>
        <family val="1"/>
        <charset val="186"/>
      </rPr>
      <t xml:space="preserve">Valsts policijas </t>
    </r>
    <r>
      <rPr>
        <sz val="10"/>
        <color theme="1"/>
        <rFont val="Times New Roman"/>
        <family val="1"/>
        <charset val="186"/>
      </rPr>
      <t>tehniskajiem līdzekļiem),
tajā skaitā</t>
    </r>
  </si>
  <si>
    <r>
      <rPr>
        <b/>
        <sz val="10"/>
        <color theme="1"/>
        <rFont val="Times New Roman"/>
        <family val="1"/>
        <charset val="186"/>
      </rPr>
      <t xml:space="preserve">1. Lēmumu skaits </t>
    </r>
    <r>
      <rPr>
        <sz val="10"/>
        <color theme="1"/>
        <rFont val="Times New Roman"/>
        <family val="1"/>
        <charset val="186"/>
      </rPr>
      <t xml:space="preserve">
 (pārkāpumi fiksēti ar </t>
    </r>
    <r>
      <rPr>
        <b/>
        <sz val="10"/>
        <color theme="1"/>
        <rFont val="Times New Roman"/>
        <family val="1"/>
        <charset val="186"/>
      </rPr>
      <t xml:space="preserve">komersanta </t>
    </r>
    <r>
      <rPr>
        <sz val="10"/>
        <color theme="1"/>
        <rFont val="Times New Roman"/>
        <family val="1"/>
        <charset val="186"/>
      </rPr>
      <t>tehniskajiem līdzekļiem),
 tajā skaitā</t>
    </r>
  </si>
  <si>
    <r>
      <t>Prognozētie valsts pamatbudžeta IEŅĒMUMI no naudas sodiem, kas fiksēti ar komersanta tehniskajiem līdzekļiem 
Naudas sods</t>
    </r>
    <r>
      <rPr>
        <b/>
        <sz val="9"/>
        <color theme="1"/>
        <rFont val="Times New Roman"/>
        <family val="1"/>
        <charset val="186"/>
      </rPr>
      <t xml:space="preserve"> par tāda transportlīdzekļa izmantošanu ceļu satiksmē, kuram noteiktajā termiņā nav veikta valsts tehniskā apskate;
</t>
    </r>
    <r>
      <rPr>
        <sz val="9"/>
        <color theme="1"/>
        <rFont val="Times New Roman"/>
        <family val="1"/>
        <charset val="186"/>
      </rPr>
      <t>(Valsts sabiedrība ar ierobežotu atbildību "Latvijas Valsts ceļi")
Transportlīdzekļu vidējā  braukšanas ātruma mērīšanas sistēmas</t>
    </r>
  </si>
  <si>
    <t>2.pielikums Ministru kabineta rīkojuma projekta "Grozījumi Ministru kabineta 2021. gada 2.novembra rīkojumā Nr.775 "Par ceļu satiksmes pārkāpumu fiksēšanas tehnisko līdzekļu darbības nodrošināšanu" sākotnējās ietekmes novērtējuma ziņojumam (anotācijai)</t>
  </si>
  <si>
    <t>9.tabula</t>
  </si>
  <si>
    <t>10.tabula</t>
  </si>
  <si>
    <t>Ceļu meteostaciju tehniskais aprīkojuma vinješu kontrolei statistika (prognoze)</t>
  </si>
  <si>
    <t>AutoCeļš*</t>
  </si>
  <si>
    <t>Piezīme: * auto ceļi un to posmi var tikt mainīti atbilstoši faktiskajiem apstākļiem.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</si>
</sst>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16" x14ac:knownFonts="1">
    <font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3" fontId="0" fillId="0" borderId="0"/>
    <xf numFmtId="9" fontId="1" fillId="0" borderId="0" applyFont="0" applyFill="0" applyBorder="0" applyAlignment="0" applyProtection="0"/>
  </cellStyleXfs>
  <cellXfs count="126">
    <xf numFmtId="3" fontId="0" fillId="0" borderId="0" xfId="0"/>
    <xf numFmtId="3" fontId="0" fillId="0" borderId="0" xfId="0" applyAlignment="1">
      <alignment vertical="center"/>
    </xf>
    <xf numFmtId="3" fontId="2" fillId="0" borderId="0" xfId="0" applyFont="1"/>
    <xf numFmtId="3" fontId="0" fillId="0" borderId="0" xfId="0" applyFont="1"/>
    <xf numFmtId="3" fontId="5" fillId="0" borderId="1" xfId="0" applyFont="1" applyBorder="1" applyAlignment="1">
      <alignment horizontal="center" vertical="center"/>
    </xf>
    <xf numFmtId="3" fontId="7" fillId="0" borderId="1" xfId="0" applyFont="1" applyBorder="1" applyAlignment="1">
      <alignment horizontal="center" vertical="center"/>
    </xf>
    <xf numFmtId="3" fontId="6" fillId="0" borderId="1" xfId="0" applyFont="1" applyBorder="1" applyAlignment="1">
      <alignment horizontal="center" vertical="center"/>
    </xf>
    <xf numFmtId="3" fontId="7" fillId="0" borderId="0" xfId="0" applyFont="1" applyAlignment="1">
      <alignment vertical="center"/>
    </xf>
    <xf numFmtId="1" fontId="7" fillId="0" borderId="1" xfId="0" applyNumberFormat="1" applyFont="1" applyBorder="1" applyAlignment="1">
      <alignment horizontal="center" vertical="center" wrapText="1"/>
    </xf>
    <xf numFmtId="3" fontId="6" fillId="0" borderId="0" xfId="0" applyFont="1" applyAlignment="1">
      <alignment horizontal="center"/>
    </xf>
    <xf numFmtId="3" fontId="6" fillId="0" borderId="1" xfId="0" applyFont="1" applyBorder="1" applyAlignment="1">
      <alignment horizontal="left" vertical="center" wrapText="1"/>
    </xf>
    <xf numFmtId="3" fontId="9" fillId="0" borderId="1" xfId="0" applyFont="1" applyBorder="1" applyAlignment="1">
      <alignment vertical="center" wrapText="1"/>
    </xf>
    <xf numFmtId="3" fontId="9" fillId="3" borderId="1" xfId="0" applyFont="1" applyFill="1" applyBorder="1" applyAlignment="1">
      <alignment horizontal="center" vertical="center" wrapText="1"/>
    </xf>
    <xf numFmtId="3" fontId="6" fillId="0" borderId="0" xfId="0" applyFont="1"/>
    <xf numFmtId="3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vertical="center"/>
    </xf>
    <xf numFmtId="3" fontId="7" fillId="4" borderId="1" xfId="0" applyFont="1" applyFill="1" applyBorder="1" applyAlignment="1">
      <alignment horizontal="center" vertical="center" wrapText="1"/>
    </xf>
    <xf numFmtId="3" fontId="7" fillId="4" borderId="1" xfId="0" applyFont="1" applyFill="1" applyBorder="1" applyAlignment="1">
      <alignment vertical="center" wrapText="1"/>
    </xf>
    <xf numFmtId="3" fontId="7" fillId="0" borderId="0" xfId="0" applyFont="1"/>
    <xf numFmtId="3" fontId="5" fillId="0" borderId="1" xfId="0" applyFont="1" applyBorder="1" applyAlignment="1">
      <alignment vertical="center" wrapText="1"/>
    </xf>
    <xf numFmtId="3" fontId="5" fillId="0" borderId="0" xfId="0" applyFont="1"/>
    <xf numFmtId="3" fontId="6" fillId="0" borderId="0" xfId="0" applyFont="1" applyAlignment="1">
      <alignment vertical="center" wrapText="1"/>
    </xf>
    <xf numFmtId="3" fontId="6" fillId="3" borderId="1" xfId="0" applyFont="1" applyFill="1" applyBorder="1" applyAlignment="1">
      <alignment vertical="center" wrapText="1"/>
    </xf>
    <xf numFmtId="3" fontId="6" fillId="3" borderId="1" xfId="0" applyFont="1" applyFill="1" applyBorder="1" applyAlignment="1">
      <alignment horizontal="center" vertical="center" wrapText="1"/>
    </xf>
    <xf numFmtId="3" fontId="6" fillId="0" borderId="1" xfId="0" applyFont="1" applyBorder="1" applyAlignment="1">
      <alignment horizontal="center" vertical="center" wrapText="1"/>
    </xf>
    <xf numFmtId="3" fontId="6" fillId="0" borderId="0" xfId="0" applyFont="1" applyAlignment="1">
      <alignment horizontal="center" vertical="center"/>
    </xf>
    <xf numFmtId="3" fontId="0" fillId="0" borderId="0" xfId="0" applyFont="1" applyBorder="1"/>
    <xf numFmtId="14" fontId="0" fillId="0" borderId="0" xfId="0" applyNumberFormat="1" applyFont="1"/>
    <xf numFmtId="3" fontId="11" fillId="0" borderId="0" xfId="0" applyFont="1"/>
    <xf numFmtId="3" fontId="4" fillId="0" borderId="0" xfId="0" applyFont="1"/>
    <xf numFmtId="3" fontId="3" fillId="0" borderId="0" xfId="0" applyFont="1"/>
    <xf numFmtId="3" fontId="10" fillId="0" borderId="3" xfId="0" applyFont="1" applyBorder="1" applyAlignment="1">
      <alignment horizontal="center" vertical="center"/>
    </xf>
    <xf numFmtId="3" fontId="10" fillId="0" borderId="3" xfId="0" applyFont="1" applyBorder="1" applyAlignment="1">
      <alignment horizontal="center" vertical="center" wrapText="1"/>
    </xf>
    <xf numFmtId="3" fontId="10" fillId="3" borderId="3" xfId="0" applyFont="1" applyFill="1" applyBorder="1" applyAlignment="1">
      <alignment horizontal="center" vertical="center" wrapText="1"/>
    </xf>
    <xf numFmtId="3" fontId="10" fillId="2" borderId="3" xfId="0" applyFont="1" applyFill="1" applyBorder="1" applyAlignment="1">
      <alignment horizontal="center" vertical="center" wrapText="1"/>
    </xf>
    <xf numFmtId="3" fontId="10" fillId="0" borderId="3" xfId="0" applyFont="1" applyFill="1" applyBorder="1" applyAlignment="1">
      <alignment horizontal="center" vertical="center" wrapText="1"/>
    </xf>
    <xf numFmtId="3" fontId="0" fillId="0" borderId="3" xfId="0" applyFont="1" applyBorder="1" applyAlignment="1">
      <alignment horizontal="center"/>
    </xf>
    <xf numFmtId="3" fontId="0" fillId="0" borderId="3" xfId="0" applyFont="1" applyBorder="1"/>
    <xf numFmtId="9" fontId="0" fillId="0" borderId="3" xfId="1" applyFont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3" xfId="0" applyNumberFormat="1" applyFont="1" applyFill="1" applyBorder="1" applyAlignment="1">
      <alignment horizontal="center"/>
    </xf>
    <xf numFmtId="9" fontId="2" fillId="0" borderId="3" xfId="1" applyFont="1" applyBorder="1" applyAlignment="1">
      <alignment horizontal="center"/>
    </xf>
    <xf numFmtId="2" fontId="2" fillId="2" borderId="3" xfId="0" applyNumberFormat="1" applyFont="1" applyFill="1" applyBorder="1" applyAlignment="1">
      <alignment horizontal="center" vertical="center"/>
    </xf>
    <xf numFmtId="3" fontId="0" fillId="2" borderId="3" xfId="0" applyFont="1" applyFill="1" applyBorder="1" applyAlignment="1">
      <alignment horizontal="center" vertical="center"/>
    </xf>
    <xf numFmtId="3" fontId="2" fillId="2" borderId="3" xfId="0" applyFont="1" applyFill="1" applyBorder="1" applyAlignment="1">
      <alignment horizontal="center" vertical="center"/>
    </xf>
    <xf numFmtId="3" fontId="0" fillId="0" borderId="3" xfId="0" applyFont="1" applyBorder="1" applyAlignment="1">
      <alignment horizontal="center" vertical="center"/>
    </xf>
    <xf numFmtId="3" fontId="2" fillId="2" borderId="3" xfId="0" applyFont="1" applyFill="1" applyBorder="1" applyAlignment="1">
      <alignment horizontal="center" vertical="center" wrapText="1"/>
    </xf>
    <xf numFmtId="3" fontId="0" fillId="3" borderId="3" xfId="0" applyFont="1" applyFill="1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4" fontId="6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9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 wrapText="1"/>
    </xf>
    <xf numFmtId="3" fontId="6" fillId="0" borderId="0" xfId="0" applyNumberFormat="1" applyFont="1"/>
    <xf numFmtId="3" fontId="6" fillId="3" borderId="1" xfId="0" applyNumberFormat="1" applyFont="1" applyFill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3" fontId="2" fillId="0" borderId="0" xfId="0" applyFont="1" applyBorder="1" applyAlignment="1">
      <alignment wrapText="1"/>
    </xf>
    <xf numFmtId="3" fontId="10" fillId="0" borderId="7" xfId="0" applyFont="1" applyBorder="1" applyAlignment="1">
      <alignment horizontal="right" vertical="center"/>
    </xf>
    <xf numFmtId="3" fontId="10" fillId="0" borderId="7" xfId="0" applyFont="1" applyBorder="1" applyAlignment="1">
      <alignment vertical="center"/>
    </xf>
    <xf numFmtId="3" fontId="10" fillId="0" borderId="7" xfId="0" applyFont="1" applyBorder="1" applyAlignment="1">
      <alignment horizontal="center" vertical="center" wrapText="1"/>
    </xf>
    <xf numFmtId="3" fontId="0" fillId="0" borderId="7" xfId="0" applyFont="1" applyBorder="1" applyAlignment="1">
      <alignment horizontal="center"/>
    </xf>
    <xf numFmtId="3" fontId="12" fillId="0" borderId="0" xfId="0" applyFont="1"/>
    <xf numFmtId="3" fontId="10" fillId="3" borderId="7" xfId="0" applyFont="1" applyFill="1" applyBorder="1" applyAlignment="1">
      <alignment horizontal="center" vertical="center" wrapText="1"/>
    </xf>
    <xf numFmtId="3" fontId="0" fillId="3" borderId="7" xfId="0" applyFont="1" applyFill="1" applyBorder="1" applyAlignment="1">
      <alignment horizontal="center"/>
    </xf>
    <xf numFmtId="164" fontId="2" fillId="2" borderId="0" xfId="1" applyNumberFormat="1" applyFont="1" applyFill="1"/>
    <xf numFmtId="9" fontId="2" fillId="2" borderId="7" xfId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2" fontId="0" fillId="3" borderId="7" xfId="0" applyNumberFormat="1" applyFont="1" applyFill="1" applyBorder="1" applyAlignment="1">
      <alignment horizontal="center"/>
    </xf>
    <xf numFmtId="14" fontId="0" fillId="0" borderId="7" xfId="0" applyNumberFormat="1" applyFont="1" applyBorder="1" applyAlignment="1">
      <alignment horizontal="center"/>
    </xf>
    <xf numFmtId="3" fontId="10" fillId="0" borderId="7" xfId="0" applyFont="1" applyBorder="1" applyAlignment="1">
      <alignment horizontal="center" vertical="center"/>
    </xf>
    <xf numFmtId="3" fontId="2" fillId="2" borderId="7" xfId="0" applyFont="1" applyFill="1" applyBorder="1"/>
    <xf numFmtId="4" fontId="2" fillId="2" borderId="7" xfId="0" applyNumberFormat="1" applyFont="1" applyFill="1" applyBorder="1" applyAlignment="1">
      <alignment horizontal="center"/>
    </xf>
    <xf numFmtId="3" fontId="6" fillId="0" borderId="1" xfId="0" applyFont="1" applyBorder="1" applyAlignment="1">
      <alignment horizontal="center"/>
    </xf>
    <xf numFmtId="1" fontId="5" fillId="3" borderId="1" xfId="0" applyNumberFormat="1" applyFont="1" applyFill="1" applyBorder="1" applyAlignment="1">
      <alignment horizontal="center" vertical="center"/>
    </xf>
    <xf numFmtId="3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3" fontId="3" fillId="0" borderId="0" xfId="0" applyFont="1" applyAlignment="1">
      <alignment horizontal="center" vertical="center"/>
    </xf>
    <xf numFmtId="3" fontId="3" fillId="0" borderId="0" xfId="0" applyFont="1" applyAlignment="1">
      <alignment vertical="center"/>
    </xf>
    <xf numFmtId="3" fontId="3" fillId="0" borderId="1" xfId="0" applyFont="1" applyBorder="1" applyAlignment="1">
      <alignment horizontal="center" vertical="center"/>
    </xf>
    <xf numFmtId="3" fontId="3" fillId="0" borderId="1" xfId="0" applyFont="1" applyBorder="1" applyAlignment="1">
      <alignment vertical="center" wrapText="1"/>
    </xf>
    <xf numFmtId="3" fontId="3" fillId="0" borderId="1" xfId="0" applyFont="1" applyBorder="1" applyAlignment="1">
      <alignment vertical="center"/>
    </xf>
    <xf numFmtId="1" fontId="4" fillId="5" borderId="1" xfId="0" applyNumberFormat="1" applyFont="1" applyFill="1" applyBorder="1" applyAlignment="1">
      <alignment horizontal="center" vertical="center" wrapText="1"/>
    </xf>
    <xf numFmtId="3" fontId="3" fillId="5" borderId="1" xfId="0" applyFont="1" applyFill="1" applyBorder="1" applyAlignment="1">
      <alignment horizontal="center" vertical="center"/>
    </xf>
    <xf numFmtId="3" fontId="4" fillId="5" borderId="1" xfId="0" applyFont="1" applyFill="1" applyBorder="1" applyAlignment="1">
      <alignment horizontal="center" vertical="center"/>
    </xf>
    <xf numFmtId="3" fontId="13" fillId="0" borderId="1" xfId="0" applyFont="1" applyBorder="1"/>
    <xf numFmtId="3" fontId="14" fillId="0" borderId="0" xfId="0" applyFont="1"/>
    <xf numFmtId="3" fontId="13" fillId="0" borderId="1" xfId="0" applyFont="1" applyBorder="1" applyAlignment="1">
      <alignment horizontal="right" vertical="center"/>
    </xf>
    <xf numFmtId="3" fontId="2" fillId="2" borderId="3" xfId="0" applyFont="1" applyFill="1" applyBorder="1" applyAlignment="1">
      <alignment horizontal="center"/>
    </xf>
    <xf numFmtId="3" fontId="0" fillId="0" borderId="3" xfId="0" applyFont="1" applyBorder="1" applyAlignment="1">
      <alignment horizontal="right"/>
    </xf>
    <xf numFmtId="3" fontId="0" fillId="0" borderId="0" xfId="0" applyAlignment="1">
      <alignment horizontal="center"/>
    </xf>
    <xf numFmtId="3" fontId="3" fillId="0" borderId="8" xfId="0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 wrapText="1"/>
    </xf>
    <xf numFmtId="1" fontId="7" fillId="5" borderId="8" xfId="0" applyNumberFormat="1" applyFont="1" applyFill="1" applyBorder="1" applyAlignment="1">
      <alignment horizontal="center" vertical="center" wrapText="1"/>
    </xf>
    <xf numFmtId="3" fontId="4" fillId="0" borderId="8" xfId="0" applyFont="1" applyBorder="1" applyAlignment="1">
      <alignment horizontal="center" vertical="center"/>
    </xf>
    <xf numFmtId="3" fontId="3" fillId="6" borderId="8" xfId="0" applyFont="1" applyFill="1" applyBorder="1" applyAlignment="1">
      <alignment horizontal="center" vertical="center" wrapText="1"/>
    </xf>
    <xf numFmtId="3" fontId="3" fillId="6" borderId="8" xfId="0" applyFont="1" applyFill="1" applyBorder="1" applyAlignment="1">
      <alignment horizontal="center" vertical="center"/>
    </xf>
    <xf numFmtId="3" fontId="4" fillId="6" borderId="8" xfId="0" applyFont="1" applyFill="1" applyBorder="1" applyAlignment="1">
      <alignment horizontal="center" vertical="center"/>
    </xf>
    <xf numFmtId="3" fontId="4" fillId="2" borderId="8" xfId="0" applyFont="1" applyFill="1" applyBorder="1" applyAlignment="1">
      <alignment horizontal="right" vertical="center"/>
    </xf>
    <xf numFmtId="3" fontId="3" fillId="2" borderId="8" xfId="0" applyFont="1" applyFill="1" applyBorder="1" applyAlignment="1">
      <alignment vertical="center"/>
    </xf>
    <xf numFmtId="3" fontId="4" fillId="2" borderId="8" xfId="0" applyFont="1" applyFill="1" applyBorder="1" applyAlignment="1">
      <alignment horizontal="center" vertical="center"/>
    </xf>
    <xf numFmtId="3" fontId="3" fillId="0" borderId="8" xfId="0" applyFont="1" applyBorder="1" applyAlignment="1">
      <alignment horizontal="right"/>
    </xf>
    <xf numFmtId="3" fontId="3" fillId="0" borderId="8" xfId="0" applyFont="1" applyBorder="1"/>
    <xf numFmtId="3" fontId="3" fillId="6" borderId="8" xfId="0" applyFont="1" applyFill="1" applyBorder="1"/>
    <xf numFmtId="3" fontId="6" fillId="0" borderId="8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3" fillId="0" borderId="8" xfId="0" applyFont="1" applyBorder="1" applyAlignment="1">
      <alignment horizontal="right" vertical="center"/>
    </xf>
    <xf numFmtId="4" fontId="8" fillId="3" borderId="1" xfId="0" applyNumberFormat="1" applyFont="1" applyFill="1" applyBorder="1" applyAlignment="1">
      <alignment vertical="center"/>
    </xf>
    <xf numFmtId="1" fontId="6" fillId="3" borderId="1" xfId="0" applyNumberFormat="1" applyFont="1" applyFill="1" applyBorder="1" applyAlignment="1">
      <alignment horizontal="center" vertical="center"/>
    </xf>
    <xf numFmtId="3" fontId="7" fillId="3" borderId="1" xfId="0" applyFont="1" applyFill="1" applyBorder="1" applyAlignment="1">
      <alignment horizontal="center" vertical="center"/>
    </xf>
    <xf numFmtId="164" fontId="4" fillId="3" borderId="0" xfId="1" applyNumberFormat="1" applyFont="1" applyFill="1"/>
    <xf numFmtId="3" fontId="6" fillId="0" borderId="0" xfId="0" applyFont="1" applyAlignment="1">
      <alignment horizontal="left" vertical="center" wrapText="1"/>
    </xf>
    <xf numFmtId="3" fontId="6" fillId="0" borderId="0" xfId="0" applyFont="1" applyAlignment="1">
      <alignment horizontal="left" vertical="center"/>
    </xf>
    <xf numFmtId="3" fontId="6" fillId="0" borderId="0" xfId="0" applyFont="1" applyAlignment="1">
      <alignment horizontal="right" wrapText="1"/>
    </xf>
    <xf numFmtId="3" fontId="5" fillId="0" borderId="0" xfId="0" applyFont="1" applyAlignment="1">
      <alignment horizontal="left" vertical="center" wrapText="1"/>
    </xf>
    <xf numFmtId="3" fontId="5" fillId="0" borderId="0" xfId="0" applyFont="1" applyAlignment="1">
      <alignment horizontal="left" vertical="center"/>
    </xf>
    <xf numFmtId="3" fontId="4" fillId="0" borderId="2" xfId="0" applyFont="1" applyBorder="1" applyAlignment="1">
      <alignment horizontal="center" vertical="center" wrapText="1"/>
    </xf>
    <xf numFmtId="3" fontId="4" fillId="0" borderId="2" xfId="0" applyFont="1" applyBorder="1" applyAlignment="1">
      <alignment horizontal="center" vertical="center"/>
    </xf>
    <xf numFmtId="3" fontId="4" fillId="0" borderId="0" xfId="0" applyFont="1" applyAlignment="1">
      <alignment horizontal="center" vertical="center"/>
    </xf>
    <xf numFmtId="3" fontId="2" fillId="2" borderId="4" xfId="0" applyFont="1" applyFill="1" applyBorder="1" applyAlignment="1">
      <alignment horizontal="center"/>
    </xf>
    <xf numFmtId="3" fontId="2" fillId="2" borderId="5" xfId="0" applyFont="1" applyFill="1" applyBorder="1" applyAlignment="1">
      <alignment horizontal="center"/>
    </xf>
    <xf numFmtId="3" fontId="2" fillId="2" borderId="6" xfId="0" applyFont="1" applyFill="1" applyBorder="1" applyAlignment="1">
      <alignment horizontal="center"/>
    </xf>
    <xf numFmtId="3" fontId="2" fillId="0" borderId="0" xfId="0" applyFont="1" applyAlignment="1">
      <alignment horizontal="center"/>
    </xf>
    <xf numFmtId="3" fontId="0" fillId="0" borderId="0" xfId="0" applyFont="1" applyAlignment="1">
      <alignment horizontal="center"/>
    </xf>
    <xf numFmtId="3" fontId="0" fillId="0" borderId="0" xfId="0" applyFont="1" applyAlignment="1">
      <alignment horizontal="left"/>
    </xf>
  </cellXfs>
  <cellStyles count="2">
    <cellStyle name="Normal" xfId="0" builtinId="0" customBuiltin="1"/>
    <cellStyle name="Percent" xfId="1" builtinId="5"/>
  </cellStyles>
  <dxfs count="0"/>
  <tableStyles count="0" defaultTableStyle="TableStyleMedium2" defaultPivotStyle="PivotStyleMedium9"/>
  <colors>
    <mruColors>
      <color rgb="FFFFFF99"/>
      <color rgb="FFFFFFCC"/>
      <color rgb="FFAFDC7E"/>
      <color rgb="FFD1B9CA"/>
      <color rgb="FFE9A1DA"/>
      <color rgb="FFB5E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5"/>
  <sheetViews>
    <sheetView topLeftCell="A8" zoomScaleNormal="100" workbookViewId="0">
      <selection activeCell="J13" sqref="J13"/>
    </sheetView>
  </sheetViews>
  <sheetFormatPr defaultColWidth="9.1796875" defaultRowHeight="11.5" x14ac:dyDescent="0.25"/>
  <cols>
    <col min="1" max="1" width="10.81640625" style="13" customWidth="1"/>
    <col min="2" max="2" width="61.269531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2" style="13" customWidth="1"/>
    <col min="7" max="7" width="10.1796875" style="13" customWidth="1"/>
    <col min="8" max="16384" width="9.1796875" style="13"/>
  </cols>
  <sheetData>
    <row r="1" spans="1:6" ht="63" customHeight="1" x14ac:dyDescent="0.25">
      <c r="C1" s="114" t="s">
        <v>108</v>
      </c>
      <c r="D1" s="114"/>
      <c r="E1" s="114"/>
      <c r="F1" s="114"/>
    </row>
    <row r="2" spans="1:6" ht="16.5" customHeight="1" x14ac:dyDescent="0.25">
      <c r="E2" s="25"/>
      <c r="F2" s="25" t="s">
        <v>11</v>
      </c>
    </row>
    <row r="3" spans="1:6" s="7" customFormat="1" ht="64.5" customHeight="1" x14ac:dyDescent="0.3">
      <c r="A3" s="112" t="s">
        <v>65</v>
      </c>
      <c r="B3" s="113"/>
      <c r="C3" s="21"/>
      <c r="D3" s="21"/>
      <c r="E3" s="21"/>
    </row>
    <row r="5" spans="1:6" s="9" customFormat="1" ht="36.65" customHeight="1" x14ac:dyDescent="0.25">
      <c r="A5" s="6" t="s">
        <v>4</v>
      </c>
      <c r="B5" s="6" t="s">
        <v>5</v>
      </c>
      <c r="C5" s="8">
        <v>2023</v>
      </c>
      <c r="D5" s="8">
        <v>2024</v>
      </c>
      <c r="E5" s="8">
        <v>2025</v>
      </c>
      <c r="F5" s="8" t="s">
        <v>60</v>
      </c>
    </row>
    <row r="6" spans="1:6" s="9" customFormat="1" ht="15" customHeight="1" x14ac:dyDescent="0.25">
      <c r="A6" s="6" t="s">
        <v>2</v>
      </c>
      <c r="B6" s="10" t="s">
        <v>12</v>
      </c>
      <c r="C6" s="50">
        <v>12</v>
      </c>
      <c r="D6" s="51">
        <v>16</v>
      </c>
      <c r="E6" s="51">
        <v>16</v>
      </c>
      <c r="F6" s="51">
        <v>16</v>
      </c>
    </row>
    <row r="7" spans="1:6" ht="28.5" customHeight="1" x14ac:dyDescent="0.25">
      <c r="A7" s="6" t="s">
        <v>1</v>
      </c>
      <c r="B7" s="11" t="s">
        <v>13</v>
      </c>
      <c r="C7" s="56">
        <v>12</v>
      </c>
      <c r="D7" s="56">
        <v>10</v>
      </c>
      <c r="E7" s="56">
        <v>6</v>
      </c>
      <c r="F7" s="56">
        <v>6</v>
      </c>
    </row>
    <row r="8" spans="1:6" ht="40.5" customHeight="1" x14ac:dyDescent="0.25">
      <c r="A8" s="24" t="s">
        <v>0</v>
      </c>
      <c r="B8" s="11" t="s">
        <v>14</v>
      </c>
      <c r="C8" s="12">
        <v>335</v>
      </c>
      <c r="D8" s="12">
        <v>335</v>
      </c>
      <c r="E8" s="12">
        <v>335</v>
      </c>
      <c r="F8" s="12">
        <v>335</v>
      </c>
    </row>
    <row r="9" spans="1:6" ht="51" customHeight="1" x14ac:dyDescent="0.25">
      <c r="A9" s="6" t="s">
        <v>7</v>
      </c>
      <c r="B9" s="11" t="s">
        <v>51</v>
      </c>
      <c r="C9" s="5">
        <f>ROUND(C6*C7*C8,0)</f>
        <v>48240</v>
      </c>
      <c r="D9" s="5">
        <f t="shared" ref="D9:F9" si="0">ROUND(D6*D7*D8,0)</f>
        <v>53600</v>
      </c>
      <c r="E9" s="5">
        <f t="shared" si="0"/>
        <v>32160</v>
      </c>
      <c r="F9" s="5">
        <f t="shared" si="0"/>
        <v>32160</v>
      </c>
    </row>
    <row r="10" spans="1:6" ht="17.25" customHeight="1" x14ac:dyDescent="0.25">
      <c r="A10" s="24" t="s">
        <v>16</v>
      </c>
      <c r="B10" s="11" t="s">
        <v>15</v>
      </c>
      <c r="C10" s="12">
        <v>25</v>
      </c>
      <c r="D10" s="12">
        <v>25</v>
      </c>
      <c r="E10" s="12">
        <v>25</v>
      </c>
      <c r="F10" s="12">
        <v>25</v>
      </c>
    </row>
    <row r="11" spans="1:6" s="55" customFormat="1" ht="16.5" customHeight="1" x14ac:dyDescent="0.25">
      <c r="A11" s="53" t="s">
        <v>50</v>
      </c>
      <c r="B11" s="54" t="s">
        <v>17</v>
      </c>
      <c r="C11" s="56">
        <f>ROUND(C9*C10,0)</f>
        <v>1206000</v>
      </c>
      <c r="D11" s="56">
        <f t="shared" ref="D11:F11" si="1">ROUND(D9*D10,0)</f>
        <v>1340000</v>
      </c>
      <c r="E11" s="56">
        <f t="shared" si="1"/>
        <v>804000</v>
      </c>
      <c r="F11" s="56">
        <f t="shared" si="1"/>
        <v>804000</v>
      </c>
    </row>
    <row r="12" spans="1:6" ht="15.75" customHeight="1" x14ac:dyDescent="0.25">
      <c r="A12" s="24" t="s">
        <v>19</v>
      </c>
      <c r="B12" s="14" t="s">
        <v>18</v>
      </c>
      <c r="C12" s="108">
        <v>0.4</v>
      </c>
      <c r="D12" s="108">
        <v>0.4</v>
      </c>
      <c r="E12" s="108">
        <v>0.36</v>
      </c>
      <c r="F12" s="108">
        <v>0.4</v>
      </c>
    </row>
    <row r="13" spans="1:6" s="18" customFormat="1" ht="42.75" customHeight="1" x14ac:dyDescent="0.25">
      <c r="A13" s="16" t="s">
        <v>22</v>
      </c>
      <c r="B13" s="17" t="s">
        <v>20</v>
      </c>
      <c r="C13" s="16">
        <f>ROUND(C11*C12,0)</f>
        <v>482400</v>
      </c>
      <c r="D13" s="16">
        <f t="shared" ref="D13:F13" si="2">ROUND(D11*D12,0)</f>
        <v>536000</v>
      </c>
      <c r="E13" s="16">
        <f t="shared" si="2"/>
        <v>289440</v>
      </c>
      <c r="F13" s="16">
        <f t="shared" si="2"/>
        <v>321600</v>
      </c>
    </row>
    <row r="14" spans="1:6" s="18" customFormat="1" ht="17.25" customHeight="1" x14ac:dyDescent="0.25">
      <c r="A14" s="23" t="s">
        <v>21</v>
      </c>
      <c r="B14" s="22" t="s">
        <v>53</v>
      </c>
      <c r="C14" s="56">
        <v>102313</v>
      </c>
      <c r="D14" s="56">
        <v>97244</v>
      </c>
      <c r="E14" s="56">
        <v>92178</v>
      </c>
      <c r="F14" s="56">
        <v>92178</v>
      </c>
    </row>
    <row r="15" spans="1:6" s="20" customFormat="1" ht="17.25" customHeight="1" x14ac:dyDescent="0.25">
      <c r="A15" s="4" t="s">
        <v>52</v>
      </c>
      <c r="B15" s="19" t="s">
        <v>54</v>
      </c>
      <c r="C15" s="51">
        <f>C13-C14</f>
        <v>380087</v>
      </c>
      <c r="D15" s="51">
        <f>D13-D14</f>
        <v>438756</v>
      </c>
      <c r="E15" s="51">
        <f t="shared" ref="E15:F15" si="3">E13-E14</f>
        <v>197262</v>
      </c>
      <c r="F15" s="51">
        <f t="shared" si="3"/>
        <v>229422</v>
      </c>
    </row>
  </sheetData>
  <mergeCells count="2">
    <mergeCell ref="A3:B3"/>
    <mergeCell ref="C1:F1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4"/>
  <sheetViews>
    <sheetView topLeftCell="A6" zoomScaleNormal="100" workbookViewId="0">
      <selection activeCell="F11" sqref="F11"/>
    </sheetView>
  </sheetViews>
  <sheetFormatPr defaultColWidth="9.1796875" defaultRowHeight="11.5" x14ac:dyDescent="0.25"/>
  <cols>
    <col min="1" max="1" width="10.81640625" style="13" customWidth="1"/>
    <col min="2" max="2" width="59.72656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5.54296875" style="13" customWidth="1"/>
    <col min="7" max="7" width="10.1796875" style="13" customWidth="1"/>
    <col min="8" max="16384" width="9.1796875" style="13"/>
  </cols>
  <sheetData>
    <row r="1" spans="1:6" ht="16.5" customHeight="1" x14ac:dyDescent="0.25">
      <c r="E1" s="25" t="s">
        <v>55</v>
      </c>
    </row>
    <row r="2" spans="1:6" s="7" customFormat="1" ht="71.150000000000006" customHeight="1" x14ac:dyDescent="0.3">
      <c r="A2" s="112" t="s">
        <v>107</v>
      </c>
      <c r="B2" s="113"/>
      <c r="C2" s="21"/>
      <c r="D2" s="21"/>
      <c r="E2" s="21"/>
    </row>
    <row r="4" spans="1:6" s="9" customFormat="1" ht="36.65" customHeight="1" x14ac:dyDescent="0.25">
      <c r="A4" s="6" t="s">
        <v>4</v>
      </c>
      <c r="B4" s="6" t="s">
        <v>5</v>
      </c>
      <c r="C4" s="8">
        <v>2023</v>
      </c>
      <c r="D4" s="8">
        <v>2024</v>
      </c>
      <c r="E4" s="8">
        <v>2025</v>
      </c>
      <c r="F4" s="8" t="s">
        <v>60</v>
      </c>
    </row>
    <row r="5" spans="1:6" s="9" customFormat="1" ht="15" customHeight="1" x14ac:dyDescent="0.25">
      <c r="A5" s="6" t="s">
        <v>2</v>
      </c>
      <c r="B5" s="10" t="s">
        <v>12</v>
      </c>
      <c r="C5" s="50">
        <v>12</v>
      </c>
      <c r="D5" s="51">
        <v>16</v>
      </c>
      <c r="E5" s="51">
        <v>16</v>
      </c>
      <c r="F5" s="51">
        <v>16</v>
      </c>
    </row>
    <row r="6" spans="1:6" ht="28.5" customHeight="1" x14ac:dyDescent="0.25">
      <c r="A6" s="6" t="s">
        <v>1</v>
      </c>
      <c r="B6" s="11" t="s">
        <v>13</v>
      </c>
      <c r="C6" s="49">
        <v>0.71</v>
      </c>
      <c r="D6" s="49">
        <v>0.71</v>
      </c>
      <c r="E6" s="49">
        <v>0.71</v>
      </c>
      <c r="F6" s="49">
        <v>0.71</v>
      </c>
    </row>
    <row r="7" spans="1:6" ht="40.5" customHeight="1" x14ac:dyDescent="0.25">
      <c r="A7" s="24" t="s">
        <v>0</v>
      </c>
      <c r="B7" s="11" t="s">
        <v>14</v>
      </c>
      <c r="C7" s="12">
        <v>335</v>
      </c>
      <c r="D7" s="12">
        <v>335</v>
      </c>
      <c r="E7" s="12">
        <v>335</v>
      </c>
      <c r="F7" s="12">
        <v>335</v>
      </c>
    </row>
    <row r="8" spans="1:6" ht="59.25" customHeight="1" x14ac:dyDescent="0.25">
      <c r="A8" s="6" t="s">
        <v>7</v>
      </c>
      <c r="B8" s="11" t="s">
        <v>51</v>
      </c>
      <c r="C8" s="5">
        <f>ROUND(C5*C6*C7,0)</f>
        <v>2854</v>
      </c>
      <c r="D8" s="5">
        <f t="shared" ref="D8:F8" si="0">ROUND(D5*D6*D7,0)</f>
        <v>3806</v>
      </c>
      <c r="E8" s="5">
        <f t="shared" si="0"/>
        <v>3806</v>
      </c>
      <c r="F8" s="5">
        <f t="shared" si="0"/>
        <v>3806</v>
      </c>
    </row>
    <row r="9" spans="1:6" ht="17.25" customHeight="1" x14ac:dyDescent="0.25">
      <c r="A9" s="24" t="s">
        <v>16</v>
      </c>
      <c r="B9" s="11" t="s">
        <v>15</v>
      </c>
      <c r="C9" s="12">
        <v>55</v>
      </c>
      <c r="D9" s="12">
        <v>55</v>
      </c>
      <c r="E9" s="12">
        <v>55</v>
      </c>
      <c r="F9" s="12">
        <v>55</v>
      </c>
    </row>
    <row r="10" spans="1:6" s="55" customFormat="1" ht="16.5" customHeight="1" x14ac:dyDescent="0.25">
      <c r="A10" s="53" t="s">
        <v>50</v>
      </c>
      <c r="B10" s="54" t="s">
        <v>17</v>
      </c>
      <c r="C10" s="56">
        <f>ROUND(C8*C9,0)</f>
        <v>156970</v>
      </c>
      <c r="D10" s="56">
        <f t="shared" ref="D10:F10" si="1">ROUND(D8*D9,0)</f>
        <v>209330</v>
      </c>
      <c r="E10" s="56">
        <f t="shared" si="1"/>
        <v>209330</v>
      </c>
      <c r="F10" s="56">
        <f t="shared" si="1"/>
        <v>209330</v>
      </c>
    </row>
    <row r="11" spans="1:6" ht="15.75" customHeight="1" x14ac:dyDescent="0.25">
      <c r="A11" s="24" t="s">
        <v>19</v>
      </c>
      <c r="B11" s="14" t="s">
        <v>18</v>
      </c>
      <c r="C11" s="108">
        <v>0.4</v>
      </c>
      <c r="D11" s="108">
        <v>0.4</v>
      </c>
      <c r="E11" s="108">
        <v>0.36</v>
      </c>
      <c r="F11" s="108">
        <v>0.4</v>
      </c>
    </row>
    <row r="12" spans="1:6" s="18" customFormat="1" ht="39.65" customHeight="1" x14ac:dyDescent="0.25">
      <c r="A12" s="16" t="s">
        <v>22</v>
      </c>
      <c r="B12" s="17" t="s">
        <v>20</v>
      </c>
      <c r="C12" s="16">
        <f>ROUND(C10*C11,0)</f>
        <v>62788</v>
      </c>
      <c r="D12" s="16">
        <f t="shared" ref="D12:F12" si="2">ROUND(D10*D11,0)</f>
        <v>83732</v>
      </c>
      <c r="E12" s="16">
        <f t="shared" si="2"/>
        <v>75359</v>
      </c>
      <c r="F12" s="16">
        <f t="shared" si="2"/>
        <v>83732</v>
      </c>
    </row>
    <row r="13" spans="1:6" s="18" customFormat="1" ht="17.25" customHeight="1" x14ac:dyDescent="0.25">
      <c r="A13" s="23" t="s">
        <v>21</v>
      </c>
      <c r="B13" s="22" t="s">
        <v>56</v>
      </c>
      <c r="C13" s="56">
        <v>0</v>
      </c>
      <c r="D13" s="56">
        <v>0</v>
      </c>
      <c r="E13" s="56">
        <v>0</v>
      </c>
      <c r="F13" s="56">
        <v>0</v>
      </c>
    </row>
    <row r="14" spans="1:6" s="20" customFormat="1" ht="17.25" customHeight="1" x14ac:dyDescent="0.25">
      <c r="A14" s="4" t="s">
        <v>52</v>
      </c>
      <c r="B14" s="19" t="s">
        <v>54</v>
      </c>
      <c r="C14" s="51">
        <f>C12-C13</f>
        <v>62788</v>
      </c>
      <c r="D14" s="51">
        <f>D12-D13</f>
        <v>83732</v>
      </c>
      <c r="E14" s="51">
        <f t="shared" ref="E14:F14" si="3">E12-E13</f>
        <v>75359</v>
      </c>
      <c r="F14" s="51">
        <f t="shared" si="3"/>
        <v>83732</v>
      </c>
    </row>
  </sheetData>
  <mergeCells count="1">
    <mergeCell ref="A2:B2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4"/>
  <sheetViews>
    <sheetView topLeftCell="A6" zoomScaleNormal="100" workbookViewId="0">
      <selection activeCell="H9" sqref="H9"/>
    </sheetView>
  </sheetViews>
  <sheetFormatPr defaultColWidth="9.1796875" defaultRowHeight="11.5" x14ac:dyDescent="0.25"/>
  <cols>
    <col min="1" max="1" width="10.81640625" style="13" customWidth="1"/>
    <col min="2" max="2" width="59.72656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5.1796875" style="13" customWidth="1"/>
    <col min="7" max="7" width="10.1796875" style="13" customWidth="1"/>
    <col min="8" max="16384" width="9.1796875" style="13"/>
  </cols>
  <sheetData>
    <row r="1" spans="1:6" ht="16.5" customHeight="1" x14ac:dyDescent="0.25">
      <c r="E1" s="25" t="s">
        <v>57</v>
      </c>
    </row>
    <row r="2" spans="1:6" s="7" customFormat="1" ht="71.5" customHeight="1" x14ac:dyDescent="0.3">
      <c r="A2" s="112" t="s">
        <v>66</v>
      </c>
      <c r="B2" s="113"/>
      <c r="C2" s="21"/>
      <c r="D2" s="21"/>
      <c r="E2" s="21"/>
    </row>
    <row r="4" spans="1:6" s="9" customFormat="1" ht="36.65" customHeight="1" x14ac:dyDescent="0.25">
      <c r="A4" s="6" t="s">
        <v>4</v>
      </c>
      <c r="B4" s="6" t="s">
        <v>5</v>
      </c>
      <c r="C4" s="8">
        <v>2023</v>
      </c>
      <c r="D4" s="8">
        <v>2024</v>
      </c>
      <c r="E4" s="8">
        <v>2025</v>
      </c>
      <c r="F4" s="8" t="s">
        <v>60</v>
      </c>
    </row>
    <row r="5" spans="1:6" s="9" customFormat="1" ht="15" customHeight="1" x14ac:dyDescent="0.25">
      <c r="A5" s="6" t="s">
        <v>2</v>
      </c>
      <c r="B5" s="10" t="s">
        <v>12</v>
      </c>
      <c r="C5" s="50">
        <v>12</v>
      </c>
      <c r="D5" s="51">
        <v>16</v>
      </c>
      <c r="E5" s="51">
        <v>16</v>
      </c>
      <c r="F5" s="51">
        <v>16</v>
      </c>
    </row>
    <row r="6" spans="1:6" ht="28.5" customHeight="1" x14ac:dyDescent="0.25">
      <c r="A6" s="6" t="s">
        <v>1</v>
      </c>
      <c r="B6" s="11" t="s">
        <v>13</v>
      </c>
      <c r="C6" s="56">
        <v>3</v>
      </c>
      <c r="D6" s="56">
        <v>2</v>
      </c>
      <c r="E6" s="56">
        <v>1</v>
      </c>
      <c r="F6" s="56">
        <v>1</v>
      </c>
    </row>
    <row r="7" spans="1:6" ht="40.5" customHeight="1" x14ac:dyDescent="0.25">
      <c r="A7" s="24" t="s">
        <v>0</v>
      </c>
      <c r="B7" s="11" t="s">
        <v>14</v>
      </c>
      <c r="C7" s="12">
        <v>335</v>
      </c>
      <c r="D7" s="12">
        <v>335</v>
      </c>
      <c r="E7" s="12">
        <v>335</v>
      </c>
      <c r="F7" s="12">
        <v>335</v>
      </c>
    </row>
    <row r="8" spans="1:6" ht="38.25" customHeight="1" x14ac:dyDescent="0.25">
      <c r="A8" s="6" t="s">
        <v>7</v>
      </c>
      <c r="B8" s="11" t="s">
        <v>51</v>
      </c>
      <c r="C8" s="5">
        <f>ROUND(C5*C6*C7,0)</f>
        <v>12060</v>
      </c>
      <c r="D8" s="5">
        <f t="shared" ref="D8:F8" si="0">ROUND(D5*D6*D7,0)</f>
        <v>10720</v>
      </c>
      <c r="E8" s="5">
        <f t="shared" si="0"/>
        <v>5360</v>
      </c>
      <c r="F8" s="5">
        <f t="shared" si="0"/>
        <v>5360</v>
      </c>
    </row>
    <row r="9" spans="1:6" ht="17.25" customHeight="1" x14ac:dyDescent="0.25">
      <c r="A9" s="24" t="s">
        <v>16</v>
      </c>
      <c r="B9" s="11" t="s">
        <v>15</v>
      </c>
      <c r="C9" s="52">
        <v>350</v>
      </c>
      <c r="D9" s="52">
        <v>350</v>
      </c>
      <c r="E9" s="52">
        <v>350</v>
      </c>
      <c r="F9" s="52">
        <v>350</v>
      </c>
    </row>
    <row r="10" spans="1:6" s="55" customFormat="1" ht="16.5" customHeight="1" x14ac:dyDescent="0.25">
      <c r="A10" s="53" t="s">
        <v>50</v>
      </c>
      <c r="B10" s="54" t="s">
        <v>17</v>
      </c>
      <c r="C10" s="53">
        <f>ROUND(C8*C9,0)</f>
        <v>4221000</v>
      </c>
      <c r="D10" s="53">
        <f t="shared" ref="D10:F10" si="1">ROUND(D8*D9,0)</f>
        <v>3752000</v>
      </c>
      <c r="E10" s="53">
        <f t="shared" si="1"/>
        <v>1876000</v>
      </c>
      <c r="F10" s="53">
        <f t="shared" si="1"/>
        <v>1876000</v>
      </c>
    </row>
    <row r="11" spans="1:6" ht="15.75" customHeight="1" x14ac:dyDescent="0.25">
      <c r="A11" s="24" t="s">
        <v>19</v>
      </c>
      <c r="B11" s="14" t="s">
        <v>18</v>
      </c>
      <c r="C11" s="108">
        <v>0.3</v>
      </c>
      <c r="D11" s="108">
        <v>0.3</v>
      </c>
      <c r="E11" s="108">
        <v>0.36</v>
      </c>
      <c r="F11" s="108">
        <v>0.36</v>
      </c>
    </row>
    <row r="12" spans="1:6" s="18" customFormat="1" ht="39.65" customHeight="1" x14ac:dyDescent="0.25">
      <c r="A12" s="16" t="s">
        <v>22</v>
      </c>
      <c r="B12" s="17" t="s">
        <v>20</v>
      </c>
      <c r="C12" s="16">
        <f>ROUND(C10*C11,0)</f>
        <v>1266300</v>
      </c>
      <c r="D12" s="16">
        <f t="shared" ref="D12:F12" si="2">ROUND(D10*D11,0)</f>
        <v>1125600</v>
      </c>
      <c r="E12" s="16">
        <f t="shared" si="2"/>
        <v>675360</v>
      </c>
      <c r="F12" s="16">
        <f t="shared" si="2"/>
        <v>675360</v>
      </c>
    </row>
    <row r="13" spans="1:6" s="18" customFormat="1" ht="18" customHeight="1" x14ac:dyDescent="0.25">
      <c r="A13" s="23" t="s">
        <v>21</v>
      </c>
      <c r="B13" s="22" t="s">
        <v>56</v>
      </c>
      <c r="C13" s="56">
        <v>0</v>
      </c>
      <c r="D13" s="56">
        <v>0</v>
      </c>
      <c r="E13" s="56">
        <v>0</v>
      </c>
      <c r="F13" s="56">
        <v>0</v>
      </c>
    </row>
    <row r="14" spans="1:6" s="20" customFormat="1" ht="17.25" customHeight="1" x14ac:dyDescent="0.25">
      <c r="A14" s="4" t="s">
        <v>52</v>
      </c>
      <c r="B14" s="19" t="s">
        <v>54</v>
      </c>
      <c r="C14" s="51">
        <f>C12-C13</f>
        <v>1266300</v>
      </c>
      <c r="D14" s="51">
        <f>D12-D13</f>
        <v>1125600</v>
      </c>
      <c r="E14" s="51">
        <f t="shared" ref="E14:F14" si="3">E12-E13</f>
        <v>675360</v>
      </c>
      <c r="F14" s="51">
        <f t="shared" si="3"/>
        <v>675360</v>
      </c>
    </row>
  </sheetData>
  <mergeCells count="1">
    <mergeCell ref="A2:B2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4"/>
  <sheetViews>
    <sheetView topLeftCell="A6" zoomScaleNormal="100" workbookViewId="0">
      <selection activeCell="H7" sqref="H7"/>
    </sheetView>
  </sheetViews>
  <sheetFormatPr defaultColWidth="9.1796875" defaultRowHeight="11.5" x14ac:dyDescent="0.25"/>
  <cols>
    <col min="1" max="1" width="10.81640625" style="13" customWidth="1"/>
    <col min="2" max="2" width="59.72656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2.54296875" style="13" customWidth="1"/>
    <col min="7" max="7" width="10.1796875" style="13" customWidth="1"/>
    <col min="8" max="16384" width="9.1796875" style="13"/>
  </cols>
  <sheetData>
    <row r="1" spans="1:6" ht="16.5" customHeight="1" x14ac:dyDescent="0.25">
      <c r="E1" s="25" t="s">
        <v>58</v>
      </c>
    </row>
    <row r="2" spans="1:6" s="7" customFormat="1" ht="74.150000000000006" customHeight="1" x14ac:dyDescent="0.3">
      <c r="A2" s="112" t="s">
        <v>81</v>
      </c>
      <c r="B2" s="113"/>
      <c r="C2" s="21"/>
      <c r="D2" s="21"/>
      <c r="E2" s="21"/>
    </row>
    <row r="4" spans="1:6" s="9" customFormat="1" ht="36.65" customHeight="1" x14ac:dyDescent="0.25">
      <c r="A4" s="6" t="s">
        <v>4</v>
      </c>
      <c r="B4" s="6" t="s">
        <v>5</v>
      </c>
      <c r="C4" s="8">
        <v>2023</v>
      </c>
      <c r="D4" s="8">
        <v>2024</v>
      </c>
      <c r="E4" s="8">
        <v>2025</v>
      </c>
      <c r="F4" s="8" t="s">
        <v>60</v>
      </c>
    </row>
    <row r="5" spans="1:6" s="9" customFormat="1" ht="15" customHeight="1" x14ac:dyDescent="0.25">
      <c r="A5" s="6" t="s">
        <v>2</v>
      </c>
      <c r="B5" s="10" t="s">
        <v>12</v>
      </c>
      <c r="C5" s="50">
        <v>12</v>
      </c>
      <c r="D5" s="51">
        <v>16</v>
      </c>
      <c r="E5" s="51">
        <v>16</v>
      </c>
      <c r="F5" s="51">
        <v>16</v>
      </c>
    </row>
    <row r="6" spans="1:6" ht="28.5" customHeight="1" x14ac:dyDescent="0.25">
      <c r="A6" s="6" t="s">
        <v>1</v>
      </c>
      <c r="B6" s="11" t="s">
        <v>13</v>
      </c>
      <c r="C6" s="109">
        <v>1</v>
      </c>
      <c r="D6" s="109">
        <v>1</v>
      </c>
      <c r="E6" s="109">
        <v>1</v>
      </c>
      <c r="F6" s="109">
        <v>1</v>
      </c>
    </row>
    <row r="7" spans="1:6" ht="40.5" customHeight="1" x14ac:dyDescent="0.25">
      <c r="A7" s="24" t="s">
        <v>0</v>
      </c>
      <c r="B7" s="11" t="s">
        <v>14</v>
      </c>
      <c r="C7" s="12">
        <v>335</v>
      </c>
      <c r="D7" s="12">
        <v>335</v>
      </c>
      <c r="E7" s="12">
        <v>335</v>
      </c>
      <c r="F7" s="12">
        <v>335</v>
      </c>
    </row>
    <row r="8" spans="1:6" ht="48.75" customHeight="1" x14ac:dyDescent="0.25">
      <c r="A8" s="6" t="s">
        <v>7</v>
      </c>
      <c r="B8" s="11" t="s">
        <v>51</v>
      </c>
      <c r="C8" s="110">
        <f>ROUND(C5*C6*C7,0)</f>
        <v>4020</v>
      </c>
      <c r="D8" s="110">
        <f t="shared" ref="D8:F8" si="0">ROUND(D5*D6*D7,0)</f>
        <v>5360</v>
      </c>
      <c r="E8" s="110">
        <f t="shared" si="0"/>
        <v>5360</v>
      </c>
      <c r="F8" s="110">
        <f t="shared" si="0"/>
        <v>5360</v>
      </c>
    </row>
    <row r="9" spans="1:6" ht="17.25" customHeight="1" x14ac:dyDescent="0.25">
      <c r="A9" s="24" t="s">
        <v>16</v>
      </c>
      <c r="B9" s="11" t="s">
        <v>15</v>
      </c>
      <c r="C9" s="12">
        <v>500</v>
      </c>
      <c r="D9" s="12">
        <v>500</v>
      </c>
      <c r="E9" s="12">
        <v>500</v>
      </c>
      <c r="F9" s="12">
        <v>500</v>
      </c>
    </row>
    <row r="10" spans="1:6" s="55" customFormat="1" ht="16.5" customHeight="1" x14ac:dyDescent="0.25">
      <c r="A10" s="53" t="s">
        <v>50</v>
      </c>
      <c r="B10" s="54" t="s">
        <v>17</v>
      </c>
      <c r="C10" s="56">
        <f>ROUND(C8*C9,0)</f>
        <v>2010000</v>
      </c>
      <c r="D10" s="56">
        <f t="shared" ref="D10:F10" si="1">ROUND(D8*D9,0)</f>
        <v>2680000</v>
      </c>
      <c r="E10" s="56">
        <f t="shared" si="1"/>
        <v>2680000</v>
      </c>
      <c r="F10" s="56">
        <f t="shared" si="1"/>
        <v>2680000</v>
      </c>
    </row>
    <row r="11" spans="1:6" ht="15.75" customHeight="1" x14ac:dyDescent="0.25">
      <c r="A11" s="24" t="s">
        <v>19</v>
      </c>
      <c r="B11" s="14" t="s">
        <v>18</v>
      </c>
      <c r="C11" s="108">
        <v>0.4</v>
      </c>
      <c r="D11" s="108">
        <v>0.4</v>
      </c>
      <c r="E11" s="108">
        <v>0.36</v>
      </c>
      <c r="F11" s="108">
        <v>0.38</v>
      </c>
    </row>
    <row r="12" spans="1:6" s="18" customFormat="1" ht="39.65" customHeight="1" x14ac:dyDescent="0.25">
      <c r="A12" s="16" t="s">
        <v>22</v>
      </c>
      <c r="B12" s="17" t="s">
        <v>20</v>
      </c>
      <c r="C12" s="16">
        <f>ROUND(C10*C11,0)</f>
        <v>804000</v>
      </c>
      <c r="D12" s="16">
        <f>ROUND(D10*D11,0)</f>
        <v>1072000</v>
      </c>
      <c r="E12" s="16">
        <f t="shared" ref="E12:F12" si="2">ROUND(E10*E11,0)</f>
        <v>964800</v>
      </c>
      <c r="F12" s="16">
        <f t="shared" si="2"/>
        <v>1018400</v>
      </c>
    </row>
    <row r="13" spans="1:6" s="18" customFormat="1" ht="17.25" customHeight="1" x14ac:dyDescent="0.25">
      <c r="A13" s="23" t="s">
        <v>21</v>
      </c>
      <c r="B13" s="22" t="s">
        <v>68</v>
      </c>
      <c r="C13" s="56">
        <v>1285200</v>
      </c>
      <c r="D13" s="56">
        <v>1000314</v>
      </c>
      <c r="E13" s="56">
        <v>714000</v>
      </c>
      <c r="F13" s="56">
        <v>714000</v>
      </c>
    </row>
    <row r="14" spans="1:6" s="20" customFormat="1" ht="17.25" customHeight="1" x14ac:dyDescent="0.25">
      <c r="A14" s="4" t="s">
        <v>52</v>
      </c>
      <c r="B14" s="19" t="s">
        <v>54</v>
      </c>
      <c r="C14" s="51">
        <f>C12-C13</f>
        <v>-481200</v>
      </c>
      <c r="D14" s="51">
        <f>D12-D13</f>
        <v>71686</v>
      </c>
      <c r="E14" s="51">
        <f t="shared" ref="E14:F14" si="3">E12-E13</f>
        <v>250800</v>
      </c>
      <c r="F14" s="51">
        <f t="shared" si="3"/>
        <v>304400</v>
      </c>
    </row>
  </sheetData>
  <mergeCells count="1">
    <mergeCell ref="A2:B2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4"/>
  <sheetViews>
    <sheetView topLeftCell="A6" zoomScaleNormal="100" workbookViewId="0">
      <selection activeCell="H13" sqref="H13"/>
    </sheetView>
  </sheetViews>
  <sheetFormatPr defaultColWidth="9.1796875" defaultRowHeight="11.5" x14ac:dyDescent="0.25"/>
  <cols>
    <col min="1" max="1" width="10.81640625" style="13" customWidth="1"/>
    <col min="2" max="2" width="59.72656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4.54296875" style="13" customWidth="1"/>
    <col min="7" max="7" width="10.1796875" style="13" customWidth="1"/>
    <col min="8" max="16384" width="9.1796875" style="13"/>
  </cols>
  <sheetData>
    <row r="1" spans="1:6" ht="16.5" customHeight="1" x14ac:dyDescent="0.25">
      <c r="E1" s="25"/>
      <c r="F1" s="25" t="s">
        <v>59</v>
      </c>
    </row>
    <row r="2" spans="1:6" s="7" customFormat="1" ht="71.5" customHeight="1" x14ac:dyDescent="0.3">
      <c r="A2" s="115" t="s">
        <v>102</v>
      </c>
      <c r="B2" s="116"/>
      <c r="C2" s="21"/>
      <c r="D2" s="21"/>
      <c r="E2" s="21"/>
    </row>
    <row r="4" spans="1:6" s="9" customFormat="1" ht="36.65" customHeight="1" x14ac:dyDescent="0.25">
      <c r="A4" s="6" t="s">
        <v>4</v>
      </c>
      <c r="B4" s="6" t="s">
        <v>5</v>
      </c>
      <c r="C4" s="8">
        <v>2023</v>
      </c>
      <c r="D4" s="8">
        <v>2024</v>
      </c>
      <c r="E4" s="8">
        <v>2025</v>
      </c>
      <c r="F4" s="8" t="s">
        <v>60</v>
      </c>
    </row>
    <row r="5" spans="1:6" s="9" customFormat="1" ht="15" customHeight="1" x14ac:dyDescent="0.25">
      <c r="A5" s="6" t="s">
        <v>2</v>
      </c>
      <c r="B5" s="10" t="s">
        <v>12</v>
      </c>
      <c r="C5" s="50">
        <v>4</v>
      </c>
      <c r="D5" s="51">
        <v>4</v>
      </c>
      <c r="E5" s="51">
        <v>4</v>
      </c>
      <c r="F5" s="74">
        <v>4</v>
      </c>
    </row>
    <row r="6" spans="1:6" ht="28.5" customHeight="1" x14ac:dyDescent="0.25">
      <c r="A6" s="6" t="s">
        <v>1</v>
      </c>
      <c r="B6" s="11" t="s">
        <v>13</v>
      </c>
      <c r="C6" s="49">
        <v>0.3</v>
      </c>
      <c r="D6" s="49">
        <v>0.3</v>
      </c>
      <c r="E6" s="49">
        <v>0.3</v>
      </c>
      <c r="F6" s="49">
        <v>0.3</v>
      </c>
    </row>
    <row r="7" spans="1:6" ht="40.5" customHeight="1" x14ac:dyDescent="0.25">
      <c r="A7" s="24" t="s">
        <v>0</v>
      </c>
      <c r="B7" s="11" t="s">
        <v>14</v>
      </c>
      <c r="C7" s="12">
        <v>335</v>
      </c>
      <c r="D7" s="12">
        <v>335</v>
      </c>
      <c r="E7" s="12">
        <v>335</v>
      </c>
      <c r="F7" s="12">
        <v>335</v>
      </c>
    </row>
    <row r="8" spans="1:6" ht="38.25" customHeight="1" x14ac:dyDescent="0.25">
      <c r="A8" s="6" t="s">
        <v>7</v>
      </c>
      <c r="B8" s="11" t="s">
        <v>51</v>
      </c>
      <c r="C8" s="5">
        <f>ROUND(C5*C6*C7,0)</f>
        <v>402</v>
      </c>
      <c r="D8" s="5">
        <f t="shared" ref="D8:F8" si="0">ROUND(D5*D6*D7,0)</f>
        <v>402</v>
      </c>
      <c r="E8" s="5">
        <f t="shared" si="0"/>
        <v>402</v>
      </c>
      <c r="F8" s="5">
        <f t="shared" si="0"/>
        <v>402</v>
      </c>
    </row>
    <row r="9" spans="1:6" ht="17.25" customHeight="1" x14ac:dyDescent="0.25">
      <c r="A9" s="24" t="s">
        <v>16</v>
      </c>
      <c r="B9" s="11" t="s">
        <v>15</v>
      </c>
      <c r="C9" s="12">
        <v>500</v>
      </c>
      <c r="D9" s="12">
        <v>500</v>
      </c>
      <c r="E9" s="12">
        <v>500</v>
      </c>
      <c r="F9" s="12">
        <v>500</v>
      </c>
    </row>
    <row r="10" spans="1:6" s="55" customFormat="1" ht="16.5" customHeight="1" x14ac:dyDescent="0.25">
      <c r="A10" s="53" t="s">
        <v>50</v>
      </c>
      <c r="B10" s="54" t="s">
        <v>17</v>
      </c>
      <c r="C10" s="56">
        <f>ROUND(C8*C9,0)</f>
        <v>201000</v>
      </c>
      <c r="D10" s="56">
        <f t="shared" ref="D10:F10" si="1">ROUND(D8*D9,0)</f>
        <v>201000</v>
      </c>
      <c r="E10" s="56">
        <f t="shared" si="1"/>
        <v>201000</v>
      </c>
      <c r="F10" s="56">
        <f t="shared" si="1"/>
        <v>201000</v>
      </c>
    </row>
    <row r="11" spans="1:6" ht="15.75" customHeight="1" x14ac:dyDescent="0.25">
      <c r="A11" s="24" t="s">
        <v>19</v>
      </c>
      <c r="B11" s="14" t="s">
        <v>18</v>
      </c>
      <c r="C11" s="108">
        <v>0.4</v>
      </c>
      <c r="D11" s="108">
        <v>0.4</v>
      </c>
      <c r="E11" s="108">
        <v>0.36</v>
      </c>
      <c r="F11" s="108">
        <v>0.38</v>
      </c>
    </row>
    <row r="12" spans="1:6" s="18" customFormat="1" ht="39.65" customHeight="1" x14ac:dyDescent="0.25">
      <c r="A12" s="16" t="s">
        <v>22</v>
      </c>
      <c r="B12" s="17" t="s">
        <v>20</v>
      </c>
      <c r="C12" s="16">
        <f>ROUND(C10*C11,0)</f>
        <v>80400</v>
      </c>
      <c r="D12" s="16">
        <f t="shared" ref="D12:F12" si="2">ROUND(D10*D11,0)</f>
        <v>80400</v>
      </c>
      <c r="E12" s="16">
        <f t="shared" si="2"/>
        <v>72360</v>
      </c>
      <c r="F12" s="16">
        <f t="shared" si="2"/>
        <v>76380</v>
      </c>
    </row>
    <row r="13" spans="1:6" s="18" customFormat="1" ht="17.25" customHeight="1" x14ac:dyDescent="0.25">
      <c r="A13" s="23" t="s">
        <v>21</v>
      </c>
      <c r="B13" s="22" t="s">
        <v>56</v>
      </c>
      <c r="C13" s="56">
        <v>0</v>
      </c>
      <c r="D13" s="56">
        <v>0</v>
      </c>
      <c r="E13" s="56">
        <v>0</v>
      </c>
      <c r="F13" s="56">
        <v>0</v>
      </c>
    </row>
    <row r="14" spans="1:6" s="20" customFormat="1" ht="17.25" customHeight="1" x14ac:dyDescent="0.25">
      <c r="A14" s="4" t="s">
        <v>52</v>
      </c>
      <c r="B14" s="19" t="s">
        <v>54</v>
      </c>
      <c r="C14" s="51">
        <f>C12-C13</f>
        <v>80400</v>
      </c>
      <c r="D14" s="51">
        <f>D12-D13</f>
        <v>80400</v>
      </c>
      <c r="E14" s="51">
        <f t="shared" ref="E14:F14" si="3">E12-E13</f>
        <v>72360</v>
      </c>
      <c r="F14" s="51">
        <f t="shared" si="3"/>
        <v>76380</v>
      </c>
    </row>
  </sheetData>
  <mergeCells count="1">
    <mergeCell ref="A2:B2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F14"/>
  <sheetViews>
    <sheetView topLeftCell="A7" zoomScaleNormal="100" workbookViewId="0">
      <selection activeCell="J4" sqref="J4"/>
    </sheetView>
  </sheetViews>
  <sheetFormatPr defaultColWidth="9.1796875" defaultRowHeight="11.5" x14ac:dyDescent="0.25"/>
  <cols>
    <col min="1" max="1" width="10.81640625" style="13" customWidth="1"/>
    <col min="2" max="2" width="59.7265625" style="13" customWidth="1"/>
    <col min="3" max="3" width="11.1796875" style="13" customWidth="1"/>
    <col min="4" max="4" width="10.26953125" style="13" customWidth="1"/>
    <col min="5" max="5" width="12.26953125" style="13" customWidth="1"/>
    <col min="6" max="6" width="14.54296875" style="13" customWidth="1"/>
    <col min="7" max="7" width="10.1796875" style="13" customWidth="1"/>
    <col min="8" max="16384" width="9.1796875" style="13"/>
  </cols>
  <sheetData>
    <row r="1" spans="1:6" ht="16.5" customHeight="1" x14ac:dyDescent="0.25">
      <c r="E1" s="25" t="s">
        <v>63</v>
      </c>
    </row>
    <row r="2" spans="1:6" s="7" customFormat="1" ht="69" customHeight="1" x14ac:dyDescent="0.3">
      <c r="A2" s="112" t="s">
        <v>77</v>
      </c>
      <c r="B2" s="113"/>
      <c r="C2" s="21"/>
      <c r="D2" s="21"/>
      <c r="E2" s="21"/>
    </row>
    <row r="3" spans="1:6" ht="12" customHeight="1" x14ac:dyDescent="0.25"/>
    <row r="4" spans="1:6" s="9" customFormat="1" ht="36.65" customHeight="1" x14ac:dyDescent="0.25">
      <c r="A4" s="6" t="s">
        <v>4</v>
      </c>
      <c r="B4" s="6" t="s">
        <v>5</v>
      </c>
      <c r="C4" s="8">
        <v>2023</v>
      </c>
      <c r="D4" s="8">
        <v>2024</v>
      </c>
      <c r="E4" s="8">
        <v>2025</v>
      </c>
      <c r="F4" s="8" t="s">
        <v>60</v>
      </c>
    </row>
    <row r="5" spans="1:6" s="9" customFormat="1" ht="15" customHeight="1" x14ac:dyDescent="0.25">
      <c r="A5" s="6" t="s">
        <v>2</v>
      </c>
      <c r="B5" s="10" t="s">
        <v>12</v>
      </c>
      <c r="C5" s="50">
        <v>100</v>
      </c>
      <c r="D5" s="51">
        <v>100</v>
      </c>
      <c r="E5" s="51">
        <v>100</v>
      </c>
      <c r="F5" s="6" t="s">
        <v>3</v>
      </c>
    </row>
    <row r="6" spans="1:6" ht="28.5" customHeight="1" x14ac:dyDescent="0.25">
      <c r="A6" s="6" t="s">
        <v>1</v>
      </c>
      <c r="B6" s="11" t="s">
        <v>13</v>
      </c>
      <c r="C6" s="75">
        <v>7</v>
      </c>
      <c r="D6" s="75">
        <v>6</v>
      </c>
      <c r="E6" s="75">
        <v>6</v>
      </c>
      <c r="F6" s="49"/>
    </row>
    <row r="7" spans="1:6" ht="40.5" customHeight="1" x14ac:dyDescent="0.25">
      <c r="A7" s="24" t="s">
        <v>0</v>
      </c>
      <c r="B7" s="11" t="s">
        <v>67</v>
      </c>
      <c r="C7" s="12">
        <v>340</v>
      </c>
      <c r="D7" s="12">
        <v>340</v>
      </c>
      <c r="E7" s="12">
        <v>340</v>
      </c>
      <c r="F7" s="12"/>
    </row>
    <row r="8" spans="1:6" ht="55.5" customHeight="1" x14ac:dyDescent="0.25">
      <c r="A8" s="6" t="s">
        <v>7</v>
      </c>
      <c r="B8" s="11" t="s">
        <v>51</v>
      </c>
      <c r="C8" s="5">
        <f>ROUND(C5*C6*C7,0)</f>
        <v>238000</v>
      </c>
      <c r="D8" s="5">
        <f t="shared" ref="D8:E8" si="0">ROUND(D5*D6*D7,0)</f>
        <v>204000</v>
      </c>
      <c r="E8" s="5">
        <f t="shared" si="0"/>
        <v>204000</v>
      </c>
      <c r="F8" s="5"/>
    </row>
    <row r="9" spans="1:6" ht="17.25" customHeight="1" x14ac:dyDescent="0.25">
      <c r="A9" s="24" t="s">
        <v>16</v>
      </c>
      <c r="B9" s="11" t="s">
        <v>15</v>
      </c>
      <c r="C9" s="52">
        <v>40</v>
      </c>
      <c r="D9" s="52">
        <v>40</v>
      </c>
      <c r="E9" s="52">
        <v>40</v>
      </c>
      <c r="F9" s="52"/>
    </row>
    <row r="10" spans="1:6" s="55" customFormat="1" ht="16.5" customHeight="1" x14ac:dyDescent="0.25">
      <c r="A10" s="53" t="s">
        <v>50</v>
      </c>
      <c r="B10" s="54" t="s">
        <v>17</v>
      </c>
      <c r="C10" s="53">
        <f>ROUND(C8*C9,0)</f>
        <v>9520000</v>
      </c>
      <c r="D10" s="53">
        <f t="shared" ref="D10:E10" si="1">ROUND(D8*D9,0)</f>
        <v>8160000</v>
      </c>
      <c r="E10" s="53">
        <f t="shared" si="1"/>
        <v>8160000</v>
      </c>
      <c r="F10" s="53"/>
    </row>
    <row r="11" spans="1:6" ht="15.75" customHeight="1" x14ac:dyDescent="0.25">
      <c r="A11" s="24" t="s">
        <v>19</v>
      </c>
      <c r="B11" s="14" t="s">
        <v>18</v>
      </c>
      <c r="C11" s="15">
        <v>0.6</v>
      </c>
      <c r="D11" s="15">
        <v>0.6</v>
      </c>
      <c r="E11" s="15">
        <v>0.6</v>
      </c>
      <c r="F11" s="15"/>
    </row>
    <row r="12" spans="1:6" s="18" customFormat="1" ht="39.65" customHeight="1" x14ac:dyDescent="0.25">
      <c r="A12" s="16" t="s">
        <v>22</v>
      </c>
      <c r="B12" s="17" t="s">
        <v>20</v>
      </c>
      <c r="C12" s="16">
        <f>ROUND(C10*C11,0)</f>
        <v>5712000</v>
      </c>
      <c r="D12" s="16">
        <f t="shared" ref="D12:E12" si="2">ROUND(D10*D11,0)</f>
        <v>4896000</v>
      </c>
      <c r="E12" s="16">
        <f t="shared" si="2"/>
        <v>4896000</v>
      </c>
      <c r="F12" s="16" t="s">
        <v>3</v>
      </c>
    </row>
    <row r="13" spans="1:6" s="18" customFormat="1" ht="17.25" customHeight="1" x14ac:dyDescent="0.25">
      <c r="A13" s="23" t="s">
        <v>21</v>
      </c>
      <c r="B13" s="22" t="s">
        <v>56</v>
      </c>
      <c r="C13" s="56">
        <v>4167475</v>
      </c>
      <c r="D13" s="56">
        <v>2976768</v>
      </c>
      <c r="E13" s="56">
        <v>1984512</v>
      </c>
      <c r="F13" s="56">
        <v>0</v>
      </c>
    </row>
    <row r="14" spans="1:6" s="20" customFormat="1" ht="17.25" customHeight="1" x14ac:dyDescent="0.25">
      <c r="A14" s="4" t="s">
        <v>52</v>
      </c>
      <c r="B14" s="19" t="s">
        <v>54</v>
      </c>
      <c r="C14" s="51">
        <f>C12-C13</f>
        <v>1544525</v>
      </c>
      <c r="D14" s="51">
        <f>D12-D13</f>
        <v>1919232</v>
      </c>
      <c r="E14" s="51">
        <f t="shared" ref="E14" si="3">E12-E13</f>
        <v>2911488</v>
      </c>
      <c r="F14" s="51" t="s">
        <v>3</v>
      </c>
    </row>
  </sheetData>
  <mergeCells count="1">
    <mergeCell ref="A2:B2"/>
  </mergeCells>
  <pageMargins left="0.27559055118110237" right="0.35433070866141736" top="0.47" bottom="0.43" header="0.31496062992125984" footer="0.19"/>
  <pageSetup paperSize="9" fitToHeight="0" orientation="landscape" r:id="rId1"/>
  <headerFooter>
    <oddFooter>&amp;L&amp;"Times New Roman,Regular"&amp;12&amp;F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J9"/>
  <sheetViews>
    <sheetView tabSelected="1" zoomScale="90" zoomScaleNormal="90" workbookViewId="0"/>
  </sheetViews>
  <sheetFormatPr defaultRowHeight="14" x14ac:dyDescent="0.3"/>
  <cols>
    <col min="1" max="1" width="8.7265625" style="30"/>
    <col min="2" max="2" width="40.81640625" style="30" customWidth="1"/>
    <col min="3" max="3" width="14.453125" style="30" customWidth="1"/>
    <col min="4" max="4" width="11.54296875" style="30" customWidth="1"/>
    <col min="5" max="5" width="13.453125" style="30" customWidth="1"/>
    <col min="6" max="6" width="11.7265625" style="30" customWidth="1"/>
    <col min="7" max="7" width="13.1796875" style="30" customWidth="1"/>
    <col min="8" max="8" width="12.453125" style="30" customWidth="1"/>
    <col min="9" max="9" width="16.453125" style="30" customWidth="1"/>
    <col min="10" max="10" width="16.1796875" style="30" customWidth="1"/>
  </cols>
  <sheetData>
    <row r="1" spans="1:10" ht="19.5" customHeight="1" x14ac:dyDescent="0.3">
      <c r="J1" s="78" t="s">
        <v>64</v>
      </c>
    </row>
    <row r="2" spans="1:10" ht="33.65" customHeight="1" x14ac:dyDescent="0.3">
      <c r="A2" s="117" t="s">
        <v>91</v>
      </c>
      <c r="B2" s="118"/>
      <c r="C2" s="118"/>
      <c r="D2" s="118"/>
      <c r="E2" s="118"/>
      <c r="F2" s="118"/>
      <c r="G2" s="118"/>
      <c r="H2" s="118"/>
      <c r="I2" s="118"/>
      <c r="J2" s="118"/>
    </row>
    <row r="3" spans="1:10" s="2" customFormat="1" ht="52" x14ac:dyDescent="0.3">
      <c r="A3" s="76" t="s">
        <v>4</v>
      </c>
      <c r="B3" s="76" t="s">
        <v>5</v>
      </c>
      <c r="C3" s="77" t="s">
        <v>69</v>
      </c>
      <c r="D3" s="83" t="s">
        <v>8</v>
      </c>
      <c r="E3" s="77" t="s">
        <v>70</v>
      </c>
      <c r="F3" s="83" t="s">
        <v>9</v>
      </c>
      <c r="G3" s="77" t="s">
        <v>71</v>
      </c>
      <c r="H3" s="83" t="s">
        <v>10</v>
      </c>
      <c r="I3" s="77" t="s">
        <v>72</v>
      </c>
      <c r="J3" s="83" t="s">
        <v>73</v>
      </c>
    </row>
    <row r="4" spans="1:10" ht="48" customHeight="1" x14ac:dyDescent="0.3">
      <c r="A4" s="80" t="s">
        <v>74</v>
      </c>
      <c r="B4" s="81" t="s">
        <v>75</v>
      </c>
      <c r="C4" s="80">
        <f>'IEŅ P2P ātrums'!C14+'IEŅ P2P tehn. apskate'!C13+'IEŅ P2P OCTA'!C13+'IEŅ  P2P vinjete'!C13</f>
        <v>1387513</v>
      </c>
      <c r="D4" s="84">
        <f>'IEŅ P2P ātrums'!C13+'IEŅ P2P tehn. apskate'!C12+'IEŅ P2P OCTA'!C12+'IEŅ  P2P vinjete'!C12</f>
        <v>2615488</v>
      </c>
      <c r="E4" s="80">
        <f>'IEŅ P2P ātrums'!D14+'IEŅ P2P tehn. apskate'!D13+'IEŅ P2P OCTA'!D13+'IEŅ  P2P vinjete'!D13</f>
        <v>1097558</v>
      </c>
      <c r="F4" s="84">
        <f>'IEŅ P2P ātrums'!D13+'IEŅ P2P tehn. apskate'!D12+'IEŅ P2P OCTA'!D12+'IEŅ  P2P vinjete'!D12</f>
        <v>2817332</v>
      </c>
      <c r="G4" s="80">
        <f>'IEŅ P2P ātrums'!E14+'IEŅ P2P tehn. apskate'!E13+'IEŅ P2P OCTA'!E13+'IEŅ  P2P vinjete'!E13</f>
        <v>806178</v>
      </c>
      <c r="H4" s="84">
        <f>'IEŅ P2P ātrums'!E13+'IEŅ P2P tehn. apskate'!E12+'IEŅ P2P OCTA'!E12+'IEŅ  P2P vinjete'!E12</f>
        <v>2004959</v>
      </c>
      <c r="I4" s="80">
        <f>'IEŅ P2P ātrums'!F14+'IEŅ P2P tehn. apskate'!F13+'IEŅ P2P OCTA'!F13+'IEŅ  P2P vinjete'!F13</f>
        <v>806178</v>
      </c>
      <c r="J4" s="84">
        <f>'IEŅ P2P ātrums'!F13+'IEŅ P2P tehn. apskate'!F12+'IEŅ P2P OCTA'!F12+'IEŅ  P2P vinjete'!F12</f>
        <v>2099092</v>
      </c>
    </row>
    <row r="5" spans="1:10" ht="46.5" customHeight="1" x14ac:dyDescent="0.3">
      <c r="A5" s="80" t="s">
        <v>1</v>
      </c>
      <c r="B5" s="81" t="s">
        <v>76</v>
      </c>
      <c r="C5" s="80">
        <v>0</v>
      </c>
      <c r="D5" s="84">
        <f>'IEŅ metostac vinjete'!C12</f>
        <v>80400</v>
      </c>
      <c r="E5" s="80">
        <v>0</v>
      </c>
      <c r="F5" s="84">
        <f>'IEŅ metostac vinjete'!D12</f>
        <v>80400</v>
      </c>
      <c r="G5" s="80">
        <v>0</v>
      </c>
      <c r="H5" s="84">
        <f>'IEŅ metostac vinjete'!E12</f>
        <v>72360</v>
      </c>
      <c r="I5" s="80">
        <v>0</v>
      </c>
      <c r="J5" s="84">
        <f>'IEŅ metostac vinjete'!F12</f>
        <v>76380</v>
      </c>
    </row>
    <row r="6" spans="1:10" ht="57.75" customHeight="1" x14ac:dyDescent="0.3">
      <c r="A6" s="80" t="s">
        <v>0</v>
      </c>
      <c r="B6" s="81" t="s">
        <v>78</v>
      </c>
      <c r="C6" s="80">
        <f>'IEŅ fotoradari ātrums'!C13</f>
        <v>4167475</v>
      </c>
      <c r="D6" s="84">
        <f>'IEŅ fotoradari ātrums'!C12</f>
        <v>5712000</v>
      </c>
      <c r="E6" s="80">
        <f>'IEŅ fotoradari ātrums'!D13</f>
        <v>2976768</v>
      </c>
      <c r="F6" s="84">
        <f>'IEŅ fotoradari ātrums'!D12</f>
        <v>4896000</v>
      </c>
      <c r="G6" s="80">
        <f>'IEŅ fotoradari ātrums'!E13</f>
        <v>1984512</v>
      </c>
      <c r="H6" s="84">
        <f>'IEŅ fotoradari ātrums'!E12</f>
        <v>4896000</v>
      </c>
      <c r="I6" s="80">
        <v>0</v>
      </c>
      <c r="J6" s="84">
        <v>0</v>
      </c>
    </row>
    <row r="7" spans="1:10" s="1" customFormat="1" ht="18.649999999999999" customHeight="1" x14ac:dyDescent="0.3">
      <c r="A7" s="82"/>
      <c r="B7" s="76" t="s">
        <v>79</v>
      </c>
      <c r="C7" s="76">
        <f>C4+C5+C6</f>
        <v>5554988</v>
      </c>
      <c r="D7" s="85">
        <f>D4+D5+D6</f>
        <v>8407888</v>
      </c>
      <c r="E7" s="85">
        <f t="shared" ref="E7:J7" si="0">E4+E5+E6</f>
        <v>4074326</v>
      </c>
      <c r="F7" s="85">
        <f t="shared" si="0"/>
        <v>7793732</v>
      </c>
      <c r="G7" s="85">
        <f t="shared" si="0"/>
        <v>2790690</v>
      </c>
      <c r="H7" s="85">
        <f t="shared" si="0"/>
        <v>6973319</v>
      </c>
      <c r="I7" s="85">
        <f t="shared" si="0"/>
        <v>806178</v>
      </c>
      <c r="J7" s="85">
        <f>J4+J5+J6</f>
        <v>2175472</v>
      </c>
    </row>
    <row r="8" spans="1:10" s="87" customFormat="1" x14ac:dyDescent="0.3">
      <c r="A8" s="86"/>
      <c r="B8" s="88" t="s">
        <v>80</v>
      </c>
      <c r="C8" s="86"/>
      <c r="D8" s="86">
        <f>D7-C7</f>
        <v>2852900</v>
      </c>
      <c r="E8" s="86"/>
      <c r="F8" s="86">
        <f>F7-E7</f>
        <v>3719406</v>
      </c>
      <c r="G8" s="86"/>
      <c r="H8" s="86">
        <f>H7-G7</f>
        <v>4182629</v>
      </c>
      <c r="I8" s="86"/>
      <c r="J8" s="86">
        <f>J7-I7</f>
        <v>1369294</v>
      </c>
    </row>
    <row r="9" spans="1:10" x14ac:dyDescent="0.3">
      <c r="B9" s="79"/>
    </row>
  </sheetData>
  <mergeCells count="1">
    <mergeCell ref="A2:J2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K19"/>
  <sheetViews>
    <sheetView topLeftCell="A4" zoomScale="80" zoomScaleNormal="80" workbookViewId="0">
      <selection activeCell="L6" sqref="L6"/>
    </sheetView>
  </sheetViews>
  <sheetFormatPr defaultRowHeight="14" x14ac:dyDescent="0.3"/>
  <cols>
    <col min="1" max="1" width="8.7265625" style="30"/>
    <col min="2" max="2" width="48.54296875" style="30" customWidth="1"/>
    <col min="3" max="3" width="14.453125" style="30" customWidth="1"/>
    <col min="4" max="4" width="11.54296875" style="30" customWidth="1"/>
    <col min="5" max="5" width="13.453125" style="30" customWidth="1"/>
    <col min="6" max="6" width="11.7265625" style="30" customWidth="1"/>
    <col min="7" max="7" width="13.1796875" style="30" customWidth="1"/>
    <col min="8" max="8" width="12.453125" style="30" customWidth="1"/>
    <col min="9" max="9" width="16.453125" style="30" customWidth="1"/>
    <col min="10" max="10" width="16.1796875" style="30" customWidth="1"/>
  </cols>
  <sheetData>
    <row r="1" spans="2:11" x14ac:dyDescent="0.3">
      <c r="J1" s="78" t="s">
        <v>104</v>
      </c>
    </row>
    <row r="2" spans="2:11" ht="19.5" customHeight="1" x14ac:dyDescent="0.3">
      <c r="B2" s="119" t="s">
        <v>103</v>
      </c>
      <c r="C2" s="119"/>
      <c r="D2" s="119"/>
      <c r="E2" s="119"/>
      <c r="F2" s="119"/>
      <c r="G2" s="119"/>
      <c r="H2" s="119"/>
      <c r="I2" s="119"/>
      <c r="J2" s="119"/>
    </row>
    <row r="3" spans="2:11" x14ac:dyDescent="0.3">
      <c r="B3" s="79"/>
    </row>
    <row r="4" spans="2:11" ht="46" x14ac:dyDescent="0.3">
      <c r="B4" s="92" t="s">
        <v>5</v>
      </c>
      <c r="C4" s="93" t="s">
        <v>69</v>
      </c>
      <c r="D4" s="94" t="s">
        <v>8</v>
      </c>
      <c r="E4" s="93" t="s">
        <v>70</v>
      </c>
      <c r="F4" s="94" t="s">
        <v>9</v>
      </c>
      <c r="G4" s="93" t="s">
        <v>71</v>
      </c>
      <c r="H4" s="94" t="s">
        <v>10</v>
      </c>
      <c r="I4" s="93" t="s">
        <v>72</v>
      </c>
      <c r="J4" s="94" t="s">
        <v>73</v>
      </c>
    </row>
    <row r="5" spans="2:11" ht="33" customHeight="1" x14ac:dyDescent="0.3">
      <c r="B5" s="95" t="s">
        <v>93</v>
      </c>
      <c r="C5" s="105">
        <f>C6+C15</f>
        <v>190400</v>
      </c>
      <c r="D5" s="106">
        <f>D6+D15</f>
        <v>373826</v>
      </c>
      <c r="E5" s="105">
        <f t="shared" ref="E5:I5" si="0">E6+E15</f>
        <v>140080</v>
      </c>
      <c r="F5" s="106">
        <f>F6+F15</f>
        <v>340183</v>
      </c>
      <c r="G5" s="105">
        <f t="shared" si="0"/>
        <v>96560</v>
      </c>
      <c r="H5" s="106">
        <f>H6+H15</f>
        <v>306723</v>
      </c>
      <c r="I5" s="105">
        <f t="shared" si="0"/>
        <v>28560</v>
      </c>
      <c r="J5" s="106">
        <f>J6+J15</f>
        <v>102723</v>
      </c>
    </row>
    <row r="6" spans="2:11" ht="49.5" customHeight="1" x14ac:dyDescent="0.3">
      <c r="B6" s="96" t="s">
        <v>106</v>
      </c>
      <c r="C6" s="97">
        <f>142800+19040+28560</f>
        <v>190400</v>
      </c>
      <c r="D6" s="98">
        <f>'IEŅ P2P ātrums'!C9+'IEŅ P2P tehn. apskate'!C8+'IEŅ P2P OCTA'!C8+'IEŅ  P2P vinjete'!C8+'IEŅ metostac vinjete'!C8+'IEŅ fotoradari ātrums'!C8</f>
        <v>305576</v>
      </c>
      <c r="E6" s="97">
        <f>102000+14280+23800</f>
        <v>140080</v>
      </c>
      <c r="F6" s="98">
        <f>'IEŅ P2P ātrums'!D9+'IEŅ P2P tehn. apskate'!D8+'IEŅ P2P OCTA'!D8+'IEŅ  P2P vinjete'!D8+'IEŅ metostac vinjete'!D8+'IEŅ fotoradari ātrums'!D8</f>
        <v>277888</v>
      </c>
      <c r="G6" s="97">
        <f>68000+19040+9520</f>
        <v>96560</v>
      </c>
      <c r="H6" s="98">
        <f>'IEŅ P2P ātrums'!E9+'IEŅ P2P tehn. apskate'!E8+'IEŅ P2P OCTA'!E8+'IEŅ  P2P vinjete'!E8+'IEŅ metostac vinjete'!E8+'IEŅ fotoradari ātrums'!E8</f>
        <v>251088</v>
      </c>
      <c r="I6" s="97">
        <f>9520+19040</f>
        <v>28560</v>
      </c>
      <c r="J6" s="98">
        <f>'IEŅ P2P ātrums'!F9+'IEŅ P2P tehn. apskate'!F8+'IEŅ P2P OCTA'!F8+'IEŅ  P2P vinjete'!F8+'IEŅ metostac vinjete'!F8+'IEŅ fotoradari ātrums'!F8</f>
        <v>47088</v>
      </c>
    </row>
    <row r="7" spans="2:11" ht="23.25" customHeight="1" x14ac:dyDescent="0.3">
      <c r="B7" s="99" t="s">
        <v>89</v>
      </c>
      <c r="C7" s="100"/>
      <c r="D7" s="101">
        <f>D8+D9</f>
        <v>286240</v>
      </c>
      <c r="E7" s="101"/>
      <c r="F7" s="101">
        <f t="shared" ref="F7:J7" si="1">F8+F9</f>
        <v>257600</v>
      </c>
      <c r="G7" s="101"/>
      <c r="H7" s="101">
        <f t="shared" si="1"/>
        <v>236160</v>
      </c>
      <c r="I7" s="101"/>
      <c r="J7" s="101">
        <f t="shared" si="1"/>
        <v>32160</v>
      </c>
    </row>
    <row r="8" spans="2:11" x14ac:dyDescent="0.3">
      <c r="B8" s="102" t="s">
        <v>94</v>
      </c>
      <c r="C8" s="103"/>
      <c r="D8" s="107">
        <f>'IEŅ P2P ātrums'!C9</f>
        <v>48240</v>
      </c>
      <c r="E8" s="107"/>
      <c r="F8" s="107">
        <f>'IEŅ P2P ātrums'!D9</f>
        <v>53600</v>
      </c>
      <c r="G8" s="107"/>
      <c r="H8" s="102">
        <f>'IEŅ P2P ātrums'!E9</f>
        <v>32160</v>
      </c>
      <c r="I8" s="102"/>
      <c r="J8" s="102">
        <f>'IEŅ P2P ātrums'!F9</f>
        <v>32160</v>
      </c>
      <c r="K8" s="91"/>
    </row>
    <row r="9" spans="2:11" x14ac:dyDescent="0.3">
      <c r="B9" s="102" t="s">
        <v>95</v>
      </c>
      <c r="C9" s="103"/>
      <c r="D9" s="102">
        <f>'IEŅ fotoradari ātrums'!C8</f>
        <v>238000</v>
      </c>
      <c r="E9" s="102"/>
      <c r="F9" s="102">
        <f>'IEŅ fotoradari ātrums'!D8</f>
        <v>204000</v>
      </c>
      <c r="G9" s="102"/>
      <c r="H9" s="102">
        <f>'IEŅ fotoradari ātrums'!E8</f>
        <v>204000</v>
      </c>
      <c r="I9" s="102"/>
      <c r="J9" s="102">
        <v>0</v>
      </c>
      <c r="K9" s="91"/>
    </row>
    <row r="10" spans="2:11" ht="22.5" customHeight="1" x14ac:dyDescent="0.3">
      <c r="B10" s="99" t="s">
        <v>90</v>
      </c>
      <c r="C10" s="100"/>
      <c r="D10" s="101">
        <f>D11+D12+D13+D14</f>
        <v>19336</v>
      </c>
      <c r="E10" s="101"/>
      <c r="F10" s="101">
        <f t="shared" ref="F10:J10" si="2">F11+F12+F13+F14</f>
        <v>20288</v>
      </c>
      <c r="G10" s="101"/>
      <c r="H10" s="101">
        <f t="shared" si="2"/>
        <v>14928</v>
      </c>
      <c r="I10" s="101"/>
      <c r="J10" s="101">
        <f t="shared" si="2"/>
        <v>14928</v>
      </c>
      <c r="K10" s="91"/>
    </row>
    <row r="11" spans="2:11" x14ac:dyDescent="0.3">
      <c r="B11" s="102" t="s">
        <v>96</v>
      </c>
      <c r="C11" s="103"/>
      <c r="D11" s="102">
        <f>'IEŅ P2P tehn. apskate'!C8</f>
        <v>2854</v>
      </c>
      <c r="E11" s="102"/>
      <c r="F11" s="102">
        <f>'IEŅ P2P tehn. apskate'!D8</f>
        <v>3806</v>
      </c>
      <c r="G11" s="102"/>
      <c r="H11" s="102">
        <f>'IEŅ P2P tehn. apskate'!E8</f>
        <v>3806</v>
      </c>
      <c r="I11" s="102"/>
      <c r="J11" s="102">
        <f>'IEŅ P2P tehn. apskate'!F8</f>
        <v>3806</v>
      </c>
      <c r="K11" s="91"/>
    </row>
    <row r="12" spans="2:11" x14ac:dyDescent="0.3">
      <c r="B12" s="102" t="s">
        <v>97</v>
      </c>
      <c r="C12" s="103"/>
      <c r="D12" s="102">
        <f>'IEŅ P2P OCTA'!C8</f>
        <v>12060</v>
      </c>
      <c r="E12" s="102"/>
      <c r="F12" s="102">
        <f>'IEŅ P2P OCTA'!D8</f>
        <v>10720</v>
      </c>
      <c r="G12" s="102"/>
      <c r="H12" s="102">
        <f>'IEŅ P2P OCTA'!E8</f>
        <v>5360</v>
      </c>
      <c r="I12" s="102"/>
      <c r="J12" s="102">
        <f>'IEŅ P2P OCTA'!F8</f>
        <v>5360</v>
      </c>
      <c r="K12" s="91"/>
    </row>
    <row r="13" spans="2:11" x14ac:dyDescent="0.3">
      <c r="B13" s="102" t="s">
        <v>98</v>
      </c>
      <c r="C13" s="103"/>
      <c r="D13" s="102">
        <f>'IEŅ  P2P vinjete'!C8</f>
        <v>4020</v>
      </c>
      <c r="E13" s="102"/>
      <c r="F13" s="102">
        <f>'IEŅ  P2P vinjete'!D8</f>
        <v>5360</v>
      </c>
      <c r="G13" s="102"/>
      <c r="H13" s="102">
        <f>'IEŅ  P2P vinjete'!E8</f>
        <v>5360</v>
      </c>
      <c r="I13" s="102"/>
      <c r="J13" s="102">
        <f>'IEŅ  P2P vinjete'!F8</f>
        <v>5360</v>
      </c>
      <c r="K13" s="91"/>
    </row>
    <row r="14" spans="2:11" x14ac:dyDescent="0.3">
      <c r="B14" s="102" t="s">
        <v>99</v>
      </c>
      <c r="C14" s="103"/>
      <c r="D14" s="102">
        <f>'IEŅ metostac vinjete'!C8</f>
        <v>402</v>
      </c>
      <c r="E14" s="102"/>
      <c r="F14" s="102">
        <f>'IEŅ metostac vinjete'!D8</f>
        <v>402</v>
      </c>
      <c r="G14" s="102"/>
      <c r="H14" s="102">
        <f>'IEŅ metostac vinjete'!E8</f>
        <v>402</v>
      </c>
      <c r="I14" s="102"/>
      <c r="J14" s="102">
        <f>'IEŅ metostac vinjete'!F8</f>
        <v>402</v>
      </c>
      <c r="K14" s="91"/>
    </row>
    <row r="15" spans="2:11" ht="46" customHeight="1" x14ac:dyDescent="0.3">
      <c r="B15" s="96" t="s">
        <v>105</v>
      </c>
      <c r="C15" s="104"/>
      <c r="D15" s="98">
        <f>D16+D17</f>
        <v>68250</v>
      </c>
      <c r="E15" s="104"/>
      <c r="F15" s="98">
        <f>F16+F17</f>
        <v>62295</v>
      </c>
      <c r="G15" s="104"/>
      <c r="H15" s="98">
        <f>H16+H17</f>
        <v>55635</v>
      </c>
      <c r="I15" s="104"/>
      <c r="J15" s="98">
        <f>J16+J17</f>
        <v>55635</v>
      </c>
    </row>
    <row r="16" spans="2:11" x14ac:dyDescent="0.3">
      <c r="B16" s="102" t="s">
        <v>100</v>
      </c>
      <c r="C16" s="103"/>
      <c r="D16" s="107">
        <v>49920</v>
      </c>
      <c r="E16" s="107"/>
      <c r="F16" s="107">
        <v>46080</v>
      </c>
      <c r="G16" s="107"/>
      <c r="H16" s="107">
        <v>42240</v>
      </c>
      <c r="I16" s="107"/>
      <c r="J16" s="107">
        <v>42240</v>
      </c>
    </row>
    <row r="17" spans="2:10" x14ac:dyDescent="0.3">
      <c r="B17" s="102" t="s">
        <v>101</v>
      </c>
      <c r="C17" s="103"/>
      <c r="D17" s="107">
        <v>18330</v>
      </c>
      <c r="E17" s="107"/>
      <c r="F17" s="107">
        <v>16215</v>
      </c>
      <c r="G17" s="107"/>
      <c r="H17" s="107">
        <v>13395</v>
      </c>
      <c r="I17" s="107"/>
      <c r="J17" s="107">
        <v>13395</v>
      </c>
    </row>
    <row r="18" spans="2:10" x14ac:dyDescent="0.3">
      <c r="D18" s="78"/>
      <c r="E18" s="78"/>
      <c r="F18" s="78"/>
      <c r="G18" s="78"/>
      <c r="H18" s="78"/>
      <c r="I18" s="78"/>
      <c r="J18" s="78"/>
    </row>
    <row r="19" spans="2:10" x14ac:dyDescent="0.3">
      <c r="D19" s="78"/>
      <c r="E19" s="78"/>
      <c r="F19" s="78"/>
      <c r="G19" s="78"/>
      <c r="H19" s="78"/>
      <c r="I19" s="78"/>
      <c r="J19" s="78"/>
    </row>
  </sheetData>
  <mergeCells count="1">
    <mergeCell ref="B2:J2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zoomScale="80" zoomScaleNormal="80" workbookViewId="0">
      <selection activeCell="M29" sqref="M29"/>
    </sheetView>
  </sheetViews>
  <sheetFormatPr defaultColWidth="9.1796875" defaultRowHeight="14" x14ac:dyDescent="0.3"/>
  <cols>
    <col min="1" max="1" width="6.81640625" style="3" customWidth="1"/>
    <col min="2" max="2" width="9.1796875" style="3"/>
    <col min="3" max="3" width="8.1796875" style="3" customWidth="1"/>
    <col min="4" max="4" width="9.453125" style="3" customWidth="1"/>
    <col min="5" max="5" width="9.1796875" style="3"/>
    <col min="6" max="6" width="16.54296875" style="3" customWidth="1"/>
    <col min="7" max="7" width="17.7265625" style="3" customWidth="1"/>
    <col min="8" max="8" width="23.453125" style="3" customWidth="1"/>
    <col min="9" max="9" width="17.81640625" style="3" customWidth="1"/>
    <col min="10" max="10" width="27.1796875" style="3" customWidth="1"/>
    <col min="11" max="11" width="15.1796875" style="3" customWidth="1"/>
    <col min="12" max="12" width="13.54296875" style="3" customWidth="1"/>
    <col min="13" max="13" width="14" style="3" customWidth="1"/>
    <col min="14" max="14" width="14.81640625" style="3" customWidth="1"/>
    <col min="15" max="16384" width="9.1796875" style="3"/>
  </cols>
  <sheetData>
    <row r="1" spans="1:14" x14ac:dyDescent="0.3">
      <c r="N1" s="3" t="s">
        <v>109</v>
      </c>
    </row>
    <row r="2" spans="1:14" x14ac:dyDescent="0.3">
      <c r="A2" s="123" t="s">
        <v>86</v>
      </c>
      <c r="B2" s="123"/>
      <c r="C2" s="123"/>
      <c r="D2" s="123"/>
      <c r="E2" s="123"/>
      <c r="F2" s="123"/>
      <c r="G2" s="123"/>
      <c r="H2" s="123"/>
    </row>
    <row r="3" spans="1:14" x14ac:dyDescent="0.3">
      <c r="A3" s="26"/>
      <c r="B3" s="26"/>
      <c r="C3" s="26"/>
      <c r="D3" s="26"/>
      <c r="E3" s="26"/>
      <c r="F3" s="26"/>
      <c r="G3" s="26"/>
      <c r="H3" s="26"/>
      <c r="I3" s="120" t="s">
        <v>92</v>
      </c>
      <c r="J3" s="121"/>
      <c r="K3" s="121"/>
      <c r="L3" s="122"/>
    </row>
    <row r="4" spans="1:14" ht="69" customHeight="1" x14ac:dyDescent="0.3">
      <c r="A4" s="31" t="s">
        <v>23</v>
      </c>
      <c r="B4" s="31" t="s">
        <v>112</v>
      </c>
      <c r="C4" s="31" t="s">
        <v>24</v>
      </c>
      <c r="D4" s="31" t="s">
        <v>25</v>
      </c>
      <c r="E4" s="32" t="s">
        <v>26</v>
      </c>
      <c r="F4" s="32" t="s">
        <v>27</v>
      </c>
      <c r="G4" s="33" t="s">
        <v>49</v>
      </c>
      <c r="H4" s="32" t="s">
        <v>48</v>
      </c>
      <c r="I4" s="34" t="s">
        <v>45</v>
      </c>
      <c r="J4" s="34" t="s">
        <v>44</v>
      </c>
      <c r="K4" s="34" t="s">
        <v>41</v>
      </c>
      <c r="L4" s="34" t="s">
        <v>42</v>
      </c>
      <c r="M4" s="35" t="s">
        <v>39</v>
      </c>
      <c r="N4" s="35" t="s">
        <v>47</v>
      </c>
    </row>
    <row r="5" spans="1:14" x14ac:dyDescent="0.3">
      <c r="A5" s="36">
        <v>1</v>
      </c>
      <c r="B5" s="36" t="s">
        <v>28</v>
      </c>
      <c r="C5" s="36">
        <v>24.24</v>
      </c>
      <c r="D5" s="36">
        <v>40.1</v>
      </c>
      <c r="E5" s="36">
        <v>15.860000000000003</v>
      </c>
      <c r="F5" s="48">
        <v>44986</v>
      </c>
      <c r="G5" s="47">
        <v>12011</v>
      </c>
      <c r="H5" s="38">
        <v>0.34699999999999998</v>
      </c>
      <c r="I5" s="39">
        <f>ROUND($G5*$D$24,2)</f>
        <v>10.81</v>
      </c>
      <c r="J5" s="40">
        <f>ROUND($G5*$D$25,2)</f>
        <v>1.2</v>
      </c>
      <c r="K5" s="40">
        <f>ROUND($G5*$D$26,2)</f>
        <v>1.2</v>
      </c>
      <c r="L5" s="40">
        <f>ROUND($G5*$D$27*H5,2)</f>
        <v>2.5</v>
      </c>
      <c r="M5" s="36">
        <v>10</v>
      </c>
      <c r="N5" s="37"/>
    </row>
    <row r="6" spans="1:14" x14ac:dyDescent="0.3">
      <c r="A6" s="36">
        <v>2</v>
      </c>
      <c r="B6" s="36" t="s">
        <v>29</v>
      </c>
      <c r="C6" s="36">
        <v>157.19999999999999</v>
      </c>
      <c r="D6" s="36">
        <v>169.65</v>
      </c>
      <c r="E6" s="36">
        <v>12.450000000000017</v>
      </c>
      <c r="F6" s="48">
        <v>44958</v>
      </c>
      <c r="G6" s="47">
        <v>4610</v>
      </c>
      <c r="H6" s="38">
        <v>0.32</v>
      </c>
      <c r="I6" s="39">
        <f t="shared" ref="I6:I20" si="0">ROUND($G6*$D$24,2)</f>
        <v>4.1500000000000004</v>
      </c>
      <c r="J6" s="40">
        <f t="shared" ref="J6:J20" si="1">ROUND($G6*$D$25,2)</f>
        <v>0.46</v>
      </c>
      <c r="K6" s="40">
        <f t="shared" ref="K6:K20" si="2">ROUND($G6*$D$26,2)</f>
        <v>0.46</v>
      </c>
      <c r="L6" s="40">
        <f t="shared" ref="L6:L20" si="3">ROUND($G6*$D$27*H6,2)</f>
        <v>0.89</v>
      </c>
      <c r="M6" s="36">
        <v>11</v>
      </c>
      <c r="N6" s="37"/>
    </row>
    <row r="7" spans="1:14" x14ac:dyDescent="0.3">
      <c r="A7" s="36">
        <v>3</v>
      </c>
      <c r="B7" s="36" t="s">
        <v>30</v>
      </c>
      <c r="C7" s="36">
        <v>81.75</v>
      </c>
      <c r="D7" s="36">
        <v>88.46</v>
      </c>
      <c r="E7" s="36">
        <v>6.7099999999999937</v>
      </c>
      <c r="F7" s="48">
        <v>44958</v>
      </c>
      <c r="G7" s="47">
        <v>2280</v>
      </c>
      <c r="H7" s="38">
        <v>0.4</v>
      </c>
      <c r="I7" s="39">
        <f t="shared" si="0"/>
        <v>2.0499999999999998</v>
      </c>
      <c r="J7" s="40">
        <f t="shared" si="1"/>
        <v>0.23</v>
      </c>
      <c r="K7" s="40">
        <f t="shared" si="2"/>
        <v>0.23</v>
      </c>
      <c r="L7" s="40">
        <f t="shared" si="3"/>
        <v>0.55000000000000004</v>
      </c>
      <c r="M7" s="36">
        <v>11</v>
      </c>
      <c r="N7" s="37"/>
    </row>
    <row r="8" spans="1:14" x14ac:dyDescent="0.3">
      <c r="A8" s="36">
        <v>4</v>
      </c>
      <c r="B8" s="36" t="s">
        <v>31</v>
      </c>
      <c r="C8" s="36">
        <v>22.074999999999999</v>
      </c>
      <c r="D8" s="36">
        <v>29.15</v>
      </c>
      <c r="E8" s="36">
        <v>7.0749999999999993</v>
      </c>
      <c r="F8" s="48">
        <v>44986</v>
      </c>
      <c r="G8" s="47">
        <v>8300</v>
      </c>
      <c r="H8" s="38">
        <v>0.03</v>
      </c>
      <c r="I8" s="39">
        <f t="shared" si="0"/>
        <v>7.47</v>
      </c>
      <c r="J8" s="40">
        <f t="shared" si="1"/>
        <v>0.83</v>
      </c>
      <c r="K8" s="40">
        <f t="shared" si="2"/>
        <v>0.83</v>
      </c>
      <c r="L8" s="40">
        <f t="shared" si="3"/>
        <v>0.15</v>
      </c>
      <c r="M8" s="36">
        <v>10</v>
      </c>
      <c r="N8" s="37"/>
    </row>
    <row r="9" spans="1:14" x14ac:dyDescent="0.3">
      <c r="A9" s="36">
        <v>5</v>
      </c>
      <c r="B9" s="36" t="s">
        <v>32</v>
      </c>
      <c r="C9" s="36">
        <v>23</v>
      </c>
      <c r="D9" s="36">
        <v>28.69</v>
      </c>
      <c r="E9" s="36">
        <v>5.6900000000000013</v>
      </c>
      <c r="F9" s="48">
        <v>44986</v>
      </c>
      <c r="G9" s="47">
        <v>13324</v>
      </c>
      <c r="H9" s="38">
        <v>0.2</v>
      </c>
      <c r="I9" s="39">
        <f t="shared" si="0"/>
        <v>11.99</v>
      </c>
      <c r="J9" s="40">
        <f t="shared" si="1"/>
        <v>1.33</v>
      </c>
      <c r="K9" s="40">
        <f t="shared" si="2"/>
        <v>1.33</v>
      </c>
      <c r="L9" s="40">
        <f t="shared" si="3"/>
        <v>1.6</v>
      </c>
      <c r="M9" s="36">
        <v>10</v>
      </c>
      <c r="N9" s="37"/>
    </row>
    <row r="10" spans="1:14" x14ac:dyDescent="0.3">
      <c r="A10" s="36">
        <v>6</v>
      </c>
      <c r="B10" s="36" t="s">
        <v>33</v>
      </c>
      <c r="C10" s="36">
        <v>13.44</v>
      </c>
      <c r="D10" s="36">
        <v>20.035</v>
      </c>
      <c r="E10" s="36">
        <v>6.5950000000000006</v>
      </c>
      <c r="F10" s="48">
        <v>44986</v>
      </c>
      <c r="G10" s="47">
        <v>6814</v>
      </c>
      <c r="H10" s="38">
        <v>0.33</v>
      </c>
      <c r="I10" s="39">
        <f t="shared" si="0"/>
        <v>6.13</v>
      </c>
      <c r="J10" s="40">
        <f t="shared" si="1"/>
        <v>0.68</v>
      </c>
      <c r="K10" s="40">
        <f t="shared" si="2"/>
        <v>0.68</v>
      </c>
      <c r="L10" s="40">
        <f t="shared" si="3"/>
        <v>1.35</v>
      </c>
      <c r="M10" s="36">
        <v>10</v>
      </c>
      <c r="N10" s="37"/>
    </row>
    <row r="11" spans="1:14" x14ac:dyDescent="0.3">
      <c r="A11" s="36">
        <v>7</v>
      </c>
      <c r="B11" s="36" t="s">
        <v>34</v>
      </c>
      <c r="C11" s="36">
        <v>36.204999999999998</v>
      </c>
      <c r="D11" s="36">
        <v>38.85</v>
      </c>
      <c r="E11" s="36">
        <v>2.6450000000000031</v>
      </c>
      <c r="F11" s="48">
        <v>44986</v>
      </c>
      <c r="G11" s="47">
        <v>5350</v>
      </c>
      <c r="H11" s="38">
        <v>0.33</v>
      </c>
      <c r="I11" s="39">
        <f t="shared" si="0"/>
        <v>4.82</v>
      </c>
      <c r="J11" s="40">
        <f t="shared" si="1"/>
        <v>0.54</v>
      </c>
      <c r="K11" s="40">
        <f t="shared" si="2"/>
        <v>0.54</v>
      </c>
      <c r="L11" s="40">
        <f t="shared" si="3"/>
        <v>1.06</v>
      </c>
      <c r="M11" s="36">
        <v>10</v>
      </c>
      <c r="N11" s="37"/>
    </row>
    <row r="12" spans="1:14" x14ac:dyDescent="0.3">
      <c r="A12" s="36">
        <v>8</v>
      </c>
      <c r="B12" s="36" t="s">
        <v>35</v>
      </c>
      <c r="C12" s="36">
        <v>24</v>
      </c>
      <c r="D12" s="36">
        <v>30.8</v>
      </c>
      <c r="E12" s="36">
        <v>6.8000000000000007</v>
      </c>
      <c r="F12" s="48">
        <v>45017</v>
      </c>
      <c r="G12" s="47">
        <v>11685</v>
      </c>
      <c r="H12" s="38">
        <v>0.2</v>
      </c>
      <c r="I12" s="39">
        <f t="shared" si="0"/>
        <v>10.52</v>
      </c>
      <c r="J12" s="40">
        <f t="shared" si="1"/>
        <v>1.17</v>
      </c>
      <c r="K12" s="40">
        <f t="shared" si="2"/>
        <v>1.17</v>
      </c>
      <c r="L12" s="40">
        <f t="shared" si="3"/>
        <v>1.4</v>
      </c>
      <c r="M12" s="36">
        <v>9</v>
      </c>
      <c r="N12" s="37"/>
    </row>
    <row r="13" spans="1:14" x14ac:dyDescent="0.3">
      <c r="A13" s="36">
        <v>9</v>
      </c>
      <c r="B13" s="36" t="s">
        <v>36</v>
      </c>
      <c r="C13" s="36">
        <v>54.4</v>
      </c>
      <c r="D13" s="36">
        <v>62.23</v>
      </c>
      <c r="E13" s="36">
        <v>7.8299999999999983</v>
      </c>
      <c r="F13" s="48">
        <v>45017</v>
      </c>
      <c r="G13" s="47">
        <v>11580</v>
      </c>
      <c r="H13" s="38">
        <v>0.21</v>
      </c>
      <c r="I13" s="39">
        <f t="shared" si="0"/>
        <v>10.42</v>
      </c>
      <c r="J13" s="40">
        <f t="shared" si="1"/>
        <v>1.1599999999999999</v>
      </c>
      <c r="K13" s="40">
        <f t="shared" si="2"/>
        <v>1.1599999999999999</v>
      </c>
      <c r="L13" s="40">
        <f t="shared" si="3"/>
        <v>1.46</v>
      </c>
      <c r="M13" s="36">
        <v>9</v>
      </c>
      <c r="N13" s="37"/>
    </row>
    <row r="14" spans="1:14" x14ac:dyDescent="0.3">
      <c r="A14" s="36">
        <v>10</v>
      </c>
      <c r="B14" s="36" t="s">
        <v>37</v>
      </c>
      <c r="C14" s="36">
        <v>150.22</v>
      </c>
      <c r="D14" s="36">
        <v>159.65</v>
      </c>
      <c r="E14" s="36">
        <v>9.4300000000000068</v>
      </c>
      <c r="F14" s="48">
        <v>45047</v>
      </c>
      <c r="G14" s="47">
        <v>3957</v>
      </c>
      <c r="H14" s="38">
        <v>0.22</v>
      </c>
      <c r="I14" s="39">
        <f t="shared" si="0"/>
        <v>3.56</v>
      </c>
      <c r="J14" s="40">
        <f t="shared" si="1"/>
        <v>0.4</v>
      </c>
      <c r="K14" s="40">
        <f t="shared" si="2"/>
        <v>0.4</v>
      </c>
      <c r="L14" s="40">
        <f t="shared" si="3"/>
        <v>0.52</v>
      </c>
      <c r="M14" s="36">
        <v>8</v>
      </c>
      <c r="N14" s="37"/>
    </row>
    <row r="15" spans="1:14" x14ac:dyDescent="0.3">
      <c r="A15" s="36">
        <v>11</v>
      </c>
      <c r="B15" s="36" t="s">
        <v>37</v>
      </c>
      <c r="C15" s="36">
        <v>133.30000000000001</v>
      </c>
      <c r="D15" s="36">
        <v>139.19999999999999</v>
      </c>
      <c r="E15" s="36">
        <v>5.8999999999999773</v>
      </c>
      <c r="F15" s="48">
        <v>45047</v>
      </c>
      <c r="G15" s="47">
        <v>7394</v>
      </c>
      <c r="H15" s="38">
        <v>0.24</v>
      </c>
      <c r="I15" s="39">
        <f t="shared" si="0"/>
        <v>6.65</v>
      </c>
      <c r="J15" s="40">
        <f t="shared" si="1"/>
        <v>0.74</v>
      </c>
      <c r="K15" s="40">
        <f t="shared" si="2"/>
        <v>0.74</v>
      </c>
      <c r="L15" s="40">
        <f t="shared" si="3"/>
        <v>1.06</v>
      </c>
      <c r="M15" s="36">
        <v>8</v>
      </c>
      <c r="N15" s="37"/>
    </row>
    <row r="16" spans="1:14" x14ac:dyDescent="0.3">
      <c r="A16" s="36">
        <v>12</v>
      </c>
      <c r="B16" s="36" t="s">
        <v>29</v>
      </c>
      <c r="C16" s="36">
        <v>26</v>
      </c>
      <c r="D16" s="36">
        <v>38.15</v>
      </c>
      <c r="E16" s="36">
        <v>12.149999999999999</v>
      </c>
      <c r="F16" s="48">
        <v>45047</v>
      </c>
      <c r="G16" s="47">
        <v>7311</v>
      </c>
      <c r="H16" s="38">
        <v>0.24</v>
      </c>
      <c r="I16" s="39">
        <f t="shared" si="0"/>
        <v>6.58</v>
      </c>
      <c r="J16" s="40">
        <f t="shared" si="1"/>
        <v>0.73</v>
      </c>
      <c r="K16" s="40">
        <f t="shared" si="2"/>
        <v>0.73</v>
      </c>
      <c r="L16" s="40">
        <f t="shared" si="3"/>
        <v>1.05</v>
      </c>
      <c r="M16" s="36">
        <v>8</v>
      </c>
      <c r="N16" s="37"/>
    </row>
    <row r="17" spans="1:14" x14ac:dyDescent="0.3">
      <c r="A17" s="36">
        <v>13</v>
      </c>
      <c r="B17" s="36" t="s">
        <v>38</v>
      </c>
      <c r="C17" s="36">
        <v>50</v>
      </c>
      <c r="D17" s="36">
        <v>69.3</v>
      </c>
      <c r="E17" s="36">
        <v>19.299999999999997</v>
      </c>
      <c r="F17" s="48">
        <v>45047</v>
      </c>
      <c r="G17" s="47">
        <v>4939</v>
      </c>
      <c r="H17" s="38">
        <v>0.2</v>
      </c>
      <c r="I17" s="39">
        <f t="shared" si="0"/>
        <v>4.45</v>
      </c>
      <c r="J17" s="40">
        <f t="shared" si="1"/>
        <v>0.49</v>
      </c>
      <c r="K17" s="40">
        <f t="shared" si="2"/>
        <v>0.49</v>
      </c>
      <c r="L17" s="40">
        <f t="shared" si="3"/>
        <v>0.59</v>
      </c>
      <c r="M17" s="36">
        <v>8</v>
      </c>
      <c r="N17" s="37"/>
    </row>
    <row r="18" spans="1:14" x14ac:dyDescent="0.3">
      <c r="A18" s="36">
        <v>14</v>
      </c>
      <c r="B18" s="36" t="s">
        <v>37</v>
      </c>
      <c r="C18" s="36">
        <v>102.2</v>
      </c>
      <c r="D18" s="36">
        <v>116.05</v>
      </c>
      <c r="E18" s="36">
        <v>13.849999999999994</v>
      </c>
      <c r="F18" s="48">
        <v>45047</v>
      </c>
      <c r="G18" s="47">
        <v>6318</v>
      </c>
      <c r="H18" s="38">
        <v>0.28000000000000003</v>
      </c>
      <c r="I18" s="39">
        <f t="shared" si="0"/>
        <v>5.69</v>
      </c>
      <c r="J18" s="40">
        <f t="shared" si="1"/>
        <v>0.63</v>
      </c>
      <c r="K18" s="40">
        <f t="shared" si="2"/>
        <v>0.63</v>
      </c>
      <c r="L18" s="40">
        <f t="shared" si="3"/>
        <v>1.06</v>
      </c>
      <c r="M18" s="36">
        <v>8</v>
      </c>
      <c r="N18" s="37"/>
    </row>
    <row r="19" spans="1:14" x14ac:dyDescent="0.3">
      <c r="A19" s="36">
        <v>15</v>
      </c>
      <c r="B19" s="36" t="s">
        <v>35</v>
      </c>
      <c r="C19" s="36">
        <v>44.97</v>
      </c>
      <c r="D19" s="36">
        <v>52.45</v>
      </c>
      <c r="E19" s="36">
        <v>7.480000000000004</v>
      </c>
      <c r="F19" s="48">
        <v>45078</v>
      </c>
      <c r="G19" s="47">
        <v>5300</v>
      </c>
      <c r="H19" s="38">
        <v>0.27</v>
      </c>
      <c r="I19" s="39">
        <f t="shared" si="0"/>
        <v>4.7699999999999996</v>
      </c>
      <c r="J19" s="40">
        <f t="shared" si="1"/>
        <v>0.53</v>
      </c>
      <c r="K19" s="40">
        <f t="shared" si="2"/>
        <v>0.53</v>
      </c>
      <c r="L19" s="40">
        <f t="shared" si="3"/>
        <v>0.86</v>
      </c>
      <c r="M19" s="36">
        <v>7</v>
      </c>
      <c r="N19" s="37"/>
    </row>
    <row r="20" spans="1:14" x14ac:dyDescent="0.3">
      <c r="A20" s="36">
        <v>16</v>
      </c>
      <c r="B20" s="36" t="s">
        <v>35</v>
      </c>
      <c r="C20" s="36">
        <v>134.9</v>
      </c>
      <c r="D20" s="36">
        <v>140.80000000000001</v>
      </c>
      <c r="E20" s="36">
        <v>5.9000000000000057</v>
      </c>
      <c r="F20" s="48">
        <v>45078</v>
      </c>
      <c r="G20" s="47">
        <v>2600</v>
      </c>
      <c r="H20" s="38">
        <v>0.24</v>
      </c>
      <c r="I20" s="39">
        <f t="shared" si="0"/>
        <v>2.34</v>
      </c>
      <c r="J20" s="40">
        <f t="shared" si="1"/>
        <v>0.26</v>
      </c>
      <c r="K20" s="40">
        <f t="shared" si="2"/>
        <v>0.26</v>
      </c>
      <c r="L20" s="40">
        <f t="shared" si="3"/>
        <v>0.37</v>
      </c>
      <c r="M20" s="36">
        <v>7</v>
      </c>
      <c r="N20" s="37"/>
    </row>
    <row r="21" spans="1:14" x14ac:dyDescent="0.3">
      <c r="F21" s="27"/>
      <c r="H21" s="41" t="s">
        <v>6</v>
      </c>
      <c r="I21" s="42">
        <f>SUM(I5:I20)</f>
        <v>102.4</v>
      </c>
      <c r="J21" s="42">
        <f>SUM(J5:J20)</f>
        <v>11.38</v>
      </c>
      <c r="K21" s="42">
        <f t="shared" ref="K21:L21" si="4">SUM(K5:K20)</f>
        <v>11.38</v>
      </c>
      <c r="L21" s="42">
        <f t="shared" si="4"/>
        <v>16.470000000000002</v>
      </c>
      <c r="M21" s="43">
        <f>SUM(M5:M20)</f>
        <v>144</v>
      </c>
      <c r="N21" s="44">
        <f>M21/12</f>
        <v>12</v>
      </c>
    </row>
    <row r="22" spans="1:14" x14ac:dyDescent="0.3">
      <c r="H22" s="46" t="s">
        <v>46</v>
      </c>
      <c r="I22" s="42">
        <f>ROUND(I21/16,0)</f>
        <v>6</v>
      </c>
      <c r="J22" s="42">
        <f t="shared" ref="J22" si="5">ROUND(J21/16,2)</f>
        <v>0.71</v>
      </c>
      <c r="K22" s="42">
        <f>ROUND(K21/16,0)</f>
        <v>1</v>
      </c>
      <c r="L22" s="42">
        <f>ROUND(L21/16,0)</f>
        <v>1</v>
      </c>
      <c r="M22" s="45" t="s">
        <v>3</v>
      </c>
      <c r="N22" s="45" t="s">
        <v>3</v>
      </c>
    </row>
    <row r="23" spans="1:14" x14ac:dyDescent="0.3">
      <c r="B23" s="28" t="s">
        <v>43</v>
      </c>
      <c r="C23" s="29"/>
      <c r="D23" s="29"/>
      <c r="E23" s="29"/>
      <c r="F23" s="30"/>
    </row>
    <row r="24" spans="1:14" x14ac:dyDescent="0.3">
      <c r="B24" s="29" t="s">
        <v>45</v>
      </c>
      <c r="C24" s="29"/>
      <c r="D24" s="111">
        <v>8.9999999999999998E-4</v>
      </c>
      <c r="E24" s="29"/>
      <c r="F24" s="30"/>
      <c r="H24" s="90" t="s">
        <v>82</v>
      </c>
      <c r="I24" s="89">
        <f>I22*2</f>
        <v>12</v>
      </c>
      <c r="J24" s="90" t="s">
        <v>87</v>
      </c>
      <c r="K24" s="89">
        <f>K22*3</f>
        <v>3</v>
      </c>
    </row>
    <row r="25" spans="1:14" x14ac:dyDescent="0.3">
      <c r="B25" s="29" t="s">
        <v>44</v>
      </c>
      <c r="C25" s="29"/>
      <c r="D25" s="111">
        <v>1E-4</v>
      </c>
      <c r="E25" s="29"/>
      <c r="F25" s="30"/>
      <c r="H25" s="90" t="s">
        <v>83</v>
      </c>
      <c r="I25" s="89">
        <f>ROUND(I22*1.66,0)</f>
        <v>10</v>
      </c>
      <c r="J25" s="90" t="s">
        <v>88</v>
      </c>
      <c r="K25" s="89">
        <f>K22*2</f>
        <v>2</v>
      </c>
    </row>
    <row r="26" spans="1:14" x14ac:dyDescent="0.3">
      <c r="B26" s="29" t="s">
        <v>41</v>
      </c>
      <c r="C26" s="29"/>
      <c r="D26" s="111">
        <v>1E-4</v>
      </c>
      <c r="E26" s="29"/>
      <c r="F26" s="30"/>
      <c r="H26" s="90" t="s">
        <v>84</v>
      </c>
      <c r="I26" s="89">
        <f>I22*1</f>
        <v>6</v>
      </c>
      <c r="J26" s="90" t="s">
        <v>84</v>
      </c>
      <c r="K26" s="89">
        <f>K22*1</f>
        <v>1</v>
      </c>
    </row>
    <row r="27" spans="1:14" x14ac:dyDescent="0.3">
      <c r="B27" s="29" t="s">
        <v>42</v>
      </c>
      <c r="C27" s="29"/>
      <c r="D27" s="111">
        <v>5.9999999999999995E-4</v>
      </c>
      <c r="E27" s="29"/>
      <c r="F27" s="30"/>
      <c r="H27" s="90" t="s">
        <v>85</v>
      </c>
      <c r="I27" s="89">
        <f>I22*1</f>
        <v>6</v>
      </c>
      <c r="J27" s="90" t="s">
        <v>85</v>
      </c>
      <c r="K27" s="89">
        <f>K22*1</f>
        <v>1</v>
      </c>
    </row>
    <row r="29" spans="1:14" x14ac:dyDescent="0.3">
      <c r="A29" s="124" t="s">
        <v>113</v>
      </c>
      <c r="B29" s="124"/>
      <c r="C29" s="124"/>
      <c r="D29" s="124"/>
      <c r="E29" s="124"/>
      <c r="F29" s="124"/>
      <c r="G29" s="124"/>
    </row>
  </sheetData>
  <mergeCells count="3">
    <mergeCell ref="I3:L3"/>
    <mergeCell ref="A2:H2"/>
    <mergeCell ref="A29:G29"/>
  </mergeCells>
  <pageMargins left="0.5" right="0.39370078740157483" top="0.74803149606299213" bottom="0.74803149606299213" header="0.31496062992125984" footer="0.31496062992125984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90" zoomScaleNormal="90" workbookViewId="0">
      <selection activeCell="A14" sqref="A14:G14"/>
    </sheetView>
  </sheetViews>
  <sheetFormatPr defaultColWidth="8.7265625" defaultRowHeight="14" x14ac:dyDescent="0.3"/>
  <cols>
    <col min="1" max="1" width="8.81640625" style="3" bestFit="1" customWidth="1"/>
    <col min="2" max="2" width="8.7265625" style="3"/>
    <col min="3" max="3" width="8.81640625" style="3" bestFit="1" customWidth="1"/>
    <col min="4" max="4" width="12.453125" style="3" customWidth="1"/>
    <col min="5" max="5" width="19.453125" style="3" customWidth="1"/>
    <col min="6" max="6" width="20.81640625" style="3" customWidth="1"/>
    <col min="7" max="7" width="19.26953125" style="3" customWidth="1"/>
    <col min="8" max="16384" width="8.7265625" style="3"/>
  </cols>
  <sheetData>
    <row r="1" spans="1:7" x14ac:dyDescent="0.3">
      <c r="G1" s="3" t="s">
        <v>110</v>
      </c>
    </row>
    <row r="2" spans="1:7" x14ac:dyDescent="0.3">
      <c r="B2" s="2" t="s">
        <v>111</v>
      </c>
    </row>
    <row r="3" spans="1:7" x14ac:dyDescent="0.3">
      <c r="A3" s="26"/>
      <c r="B3" s="26"/>
      <c r="C3" s="26"/>
      <c r="D3" s="26"/>
      <c r="E3" s="26"/>
      <c r="F3" s="26"/>
      <c r="G3" s="58"/>
    </row>
    <row r="4" spans="1:7" ht="42" x14ac:dyDescent="0.3">
      <c r="A4" s="71" t="s">
        <v>23</v>
      </c>
      <c r="B4" s="60" t="s">
        <v>112</v>
      </c>
      <c r="C4" s="59" t="s">
        <v>24</v>
      </c>
      <c r="D4" s="61" t="s">
        <v>27</v>
      </c>
      <c r="E4" s="64" t="s">
        <v>49</v>
      </c>
      <c r="F4" s="61" t="s">
        <v>48</v>
      </c>
      <c r="G4" s="61" t="s">
        <v>40</v>
      </c>
    </row>
    <row r="5" spans="1:7" x14ac:dyDescent="0.3">
      <c r="A5" s="62">
        <v>1</v>
      </c>
      <c r="B5" s="62" t="s">
        <v>36</v>
      </c>
      <c r="C5" s="62">
        <v>27</v>
      </c>
      <c r="D5" s="70">
        <v>44927</v>
      </c>
      <c r="E5" s="65">
        <v>15000</v>
      </c>
      <c r="F5" s="57">
        <v>0.2</v>
      </c>
      <c r="G5" s="69">
        <f>ROUND($E5*D12*F5,2)</f>
        <v>0.3</v>
      </c>
    </row>
    <row r="6" spans="1:7" x14ac:dyDescent="0.3">
      <c r="A6" s="62">
        <v>2</v>
      </c>
      <c r="B6" s="62" t="s">
        <v>61</v>
      </c>
      <c r="C6" s="62">
        <v>7.5</v>
      </c>
      <c r="D6" s="70">
        <v>44927</v>
      </c>
      <c r="E6" s="65">
        <v>12038</v>
      </c>
      <c r="F6" s="57">
        <v>0.35</v>
      </c>
      <c r="G6" s="69">
        <f>ROUND($E6*D12*F6,2)</f>
        <v>0.42</v>
      </c>
    </row>
    <row r="7" spans="1:7" x14ac:dyDescent="0.3">
      <c r="A7" s="62">
        <v>3</v>
      </c>
      <c r="B7" s="62" t="s">
        <v>29</v>
      </c>
      <c r="C7" s="62">
        <v>13</v>
      </c>
      <c r="D7" s="70">
        <v>44927</v>
      </c>
      <c r="E7" s="65">
        <v>8300</v>
      </c>
      <c r="F7" s="57">
        <v>0.28000000000000003</v>
      </c>
      <c r="G7" s="69">
        <f>ROUND($E7*D12*F7,2)</f>
        <v>0.23</v>
      </c>
    </row>
    <row r="8" spans="1:7" x14ac:dyDescent="0.3">
      <c r="A8" s="62">
        <v>4</v>
      </c>
      <c r="B8" s="62" t="s">
        <v>62</v>
      </c>
      <c r="C8" s="62">
        <v>13</v>
      </c>
      <c r="D8" s="70">
        <v>44927</v>
      </c>
      <c r="E8" s="65">
        <v>5000</v>
      </c>
      <c r="F8" s="57">
        <v>0.45</v>
      </c>
      <c r="G8" s="69">
        <f>ROUND($E8*D12*F8,2)</f>
        <v>0.23</v>
      </c>
    </row>
    <row r="9" spans="1:7" x14ac:dyDescent="0.3">
      <c r="D9" s="27"/>
      <c r="F9" s="67" t="s">
        <v>6</v>
      </c>
      <c r="G9" s="68">
        <f>SUM(G5:G8)</f>
        <v>1.18</v>
      </c>
    </row>
    <row r="10" spans="1:7" x14ac:dyDescent="0.3">
      <c r="F10" s="72" t="s">
        <v>46</v>
      </c>
      <c r="G10" s="73">
        <f>ROUND(G9/4,2)</f>
        <v>0.3</v>
      </c>
    </row>
    <row r="11" spans="1:7" x14ac:dyDescent="0.3">
      <c r="B11" s="63" t="s">
        <v>43</v>
      </c>
      <c r="C11" s="2"/>
    </row>
    <row r="12" spans="1:7" x14ac:dyDescent="0.3">
      <c r="B12" s="2" t="s">
        <v>42</v>
      </c>
      <c r="C12" s="2"/>
      <c r="D12" s="66">
        <v>1E-4</v>
      </c>
    </row>
    <row r="14" spans="1:7" x14ac:dyDescent="0.3">
      <c r="A14" s="125" t="s">
        <v>113</v>
      </c>
      <c r="B14" s="125"/>
      <c r="C14" s="125"/>
      <c r="D14" s="125"/>
      <c r="E14" s="125"/>
      <c r="F14" s="125"/>
      <c r="G14" s="125"/>
    </row>
  </sheetData>
  <mergeCells count="1">
    <mergeCell ref="A14:G14"/>
  </mergeCells>
  <pageMargins left="0.41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IEŅ P2P ātrums</vt:lpstr>
      <vt:lpstr>IEŅ P2P tehn. apskate</vt:lpstr>
      <vt:lpstr>IEŅ P2P OCTA</vt:lpstr>
      <vt:lpstr>IEŅ  P2P vinjete</vt:lpstr>
      <vt:lpstr>IEŅ metostac vinjete</vt:lpstr>
      <vt:lpstr>IEŅ fotoradari ātrums</vt:lpstr>
      <vt:lpstr>IEŅ KOPĀ</vt:lpstr>
      <vt:lpstr>Statistika lēmumi</vt:lpstr>
      <vt:lpstr>Statistika P2P</vt:lpstr>
      <vt:lpstr>Statistika Meteo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2022-09-24T10:08:23Z</dcterms:modified>
</cp:coreProperties>
</file>