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0219C166-2D02-4D33-BAD3-D9A4AF66BD32}" xr6:coauthVersionLast="36" xr6:coauthVersionMax="36" xr10:uidLastSave="{00000000-0000-0000-0000-000000000000}"/>
  <bookViews>
    <workbookView xWindow="0" yWindow="0" windowWidth="28800" windowHeight="8780" firstSheet="15" activeTab="27" xr2:uid="{00000000-000D-0000-FFFF-FFFF00000000}"/>
  </bookViews>
  <sheets>
    <sheet name="Saturs" sheetId="77" r:id="rId1"/>
    <sheet name="8.1.1." sheetId="91" r:id="rId2"/>
    <sheet name="8.1.2." sheetId="93" r:id="rId3"/>
    <sheet name="8.1.3." sheetId="92" r:id="rId4"/>
    <sheet name="8.1.4." sheetId="117" r:id="rId5"/>
    <sheet name="8.1.5." sheetId="119" r:id="rId6"/>
    <sheet name="8.2.1." sheetId="98" r:id="rId7"/>
    <sheet name="8.2.2." sheetId="104" r:id="rId8"/>
    <sheet name="8.2.3." sheetId="105" r:id="rId9"/>
    <sheet name="8.2.4." sheetId="106" r:id="rId10"/>
    <sheet name="8.2.5." sheetId="120" r:id="rId11"/>
    <sheet name="8.2.6." sheetId="121" r:id="rId12"/>
    <sheet name="8.2.7." sheetId="122" r:id="rId13"/>
    <sheet name="8.3." sheetId="99" r:id="rId14"/>
    <sheet name="8.4." sheetId="100" r:id="rId15"/>
    <sheet name="8.5." sheetId="101" r:id="rId16"/>
    <sheet name="8.6." sheetId="102" r:id="rId17"/>
    <sheet name="8.7." sheetId="103" r:id="rId18"/>
    <sheet name="8.8." sheetId="113" r:id="rId19"/>
    <sheet name="8.9.1." sheetId="90" r:id="rId20"/>
    <sheet name="8.9.2." sheetId="89" r:id="rId21"/>
    <sheet name="8.9.3." sheetId="94" r:id="rId22"/>
    <sheet name="8.9.4.1." sheetId="123" state="hidden" r:id="rId23"/>
    <sheet name="8.9.4.2." sheetId="124" state="hidden" r:id="rId24"/>
    <sheet name="8.9.4.3." sheetId="125" state="hidden" r:id="rId25"/>
    <sheet name="8.10.1." sheetId="95" r:id="rId26"/>
    <sheet name="8.10.2." sheetId="108" r:id="rId27"/>
    <sheet name="8.10.3.1." sheetId="109" r:id="rId28"/>
    <sheet name="8.10.3.2." sheetId="97" r:id="rId29"/>
    <sheet name="8.10.4." sheetId="96" r:id="rId30"/>
    <sheet name="8.11.1." sheetId="83" r:id="rId31"/>
    <sheet name="8.11.2." sheetId="110" r:id="rId32"/>
    <sheet name="8.12.1." sheetId="111" r:id="rId33"/>
    <sheet name="8.12.2." sheetId="112" r:id="rId34"/>
  </sheets>
  <externalReferences>
    <externalReference r:id="rId35"/>
  </externalReferences>
  <calcPr calcId="191029"/>
</workbook>
</file>

<file path=xl/calcChain.xml><?xml version="1.0" encoding="utf-8"?>
<calcChain xmlns="http://schemas.openxmlformats.org/spreadsheetml/2006/main">
  <c r="C47" i="110" l="1"/>
  <c r="E29" i="99"/>
  <c r="E26" i="99"/>
  <c r="I22" i="98"/>
  <c r="I24" i="98"/>
  <c r="D40" i="125"/>
  <c r="D67" i="125"/>
  <c r="D66" i="125"/>
  <c r="D62" i="125"/>
  <c r="D60" i="125"/>
  <c r="D59" i="125"/>
  <c r="D58" i="125"/>
  <c r="D55" i="125"/>
  <c r="D49" i="125"/>
  <c r="D45" i="125"/>
  <c r="D44" i="125"/>
  <c r="D42" i="125"/>
  <c r="D36" i="125"/>
  <c r="D31" i="125"/>
  <c r="C30" i="125"/>
  <c r="C71" i="125"/>
  <c r="C72" i="125" s="1"/>
  <c r="C75" i="125" s="1"/>
  <c r="D26" i="125"/>
  <c r="D25" i="125"/>
  <c r="D24" i="125"/>
  <c r="D23" i="125"/>
  <c r="C21" i="125"/>
  <c r="C27" i="125" s="1"/>
  <c r="D67" i="124"/>
  <c r="D66" i="124"/>
  <c r="D62" i="124"/>
  <c r="D60" i="124"/>
  <c r="D59" i="124"/>
  <c r="D58" i="124"/>
  <c r="D55" i="124"/>
  <c r="D49" i="124"/>
  <c r="D45" i="124"/>
  <c r="D44" i="124"/>
  <c r="D42" i="124"/>
  <c r="D36" i="124"/>
  <c r="D31" i="124"/>
  <c r="D71" i="124" s="1"/>
  <c r="C30" i="124"/>
  <c r="C71" i="124" s="1"/>
  <c r="D26" i="124"/>
  <c r="D27" i="124"/>
  <c r="D25" i="124"/>
  <c r="D24" i="124"/>
  <c r="D23" i="124"/>
  <c r="C21" i="124"/>
  <c r="C27" i="124" s="1"/>
  <c r="D67" i="123"/>
  <c r="D66" i="123"/>
  <c r="D62" i="123"/>
  <c r="D60" i="123"/>
  <c r="D59" i="123"/>
  <c r="D58" i="123"/>
  <c r="D55" i="123"/>
  <c r="D49" i="123"/>
  <c r="D45" i="123"/>
  <c r="D44" i="123"/>
  <c r="D42" i="123"/>
  <c r="D36" i="123"/>
  <c r="D31" i="123"/>
  <c r="C30" i="123"/>
  <c r="C71" i="123"/>
  <c r="D26" i="123"/>
  <c r="D25" i="123"/>
  <c r="D24" i="123"/>
  <c r="D23" i="123"/>
  <c r="C21" i="123"/>
  <c r="C27" i="123" s="1"/>
  <c r="F28" i="89"/>
  <c r="F57" i="89"/>
  <c r="F72" i="89" s="1"/>
  <c r="F73" i="89" s="1"/>
  <c r="F76" i="89" s="1"/>
  <c r="F59" i="89"/>
  <c r="F60" i="89"/>
  <c r="F61" i="89"/>
  <c r="F62" i="89"/>
  <c r="F63" i="89"/>
  <c r="F64" i="89"/>
  <c r="C72" i="122"/>
  <c r="C25" i="122"/>
  <c r="C29" i="122"/>
  <c r="C21" i="121"/>
  <c r="C29" i="121"/>
  <c r="C75" i="121"/>
  <c r="C76" i="121"/>
  <c r="C79" i="121"/>
  <c r="C28" i="120"/>
  <c r="C74" i="120"/>
  <c r="C75" i="120" s="1"/>
  <c r="C78" i="120" s="1"/>
  <c r="I73" i="119"/>
  <c r="C73" i="119"/>
  <c r="C74" i="119" s="1"/>
  <c r="C77" i="119" s="1"/>
  <c r="D72" i="119"/>
  <c r="E72" i="119"/>
  <c r="F72" i="119" s="1"/>
  <c r="D71" i="119"/>
  <c r="E71" i="119" s="1"/>
  <c r="F71" i="119" s="1"/>
  <c r="G71" i="119" s="1"/>
  <c r="D70" i="119"/>
  <c r="E70" i="119" s="1"/>
  <c r="F70" i="119" s="1"/>
  <c r="G70" i="119" s="1"/>
  <c r="D69" i="119"/>
  <c r="E69" i="119" s="1"/>
  <c r="F69" i="119" s="1"/>
  <c r="G69" i="119" s="1"/>
  <c r="D68" i="119"/>
  <c r="E68" i="119" s="1"/>
  <c r="F68" i="119" s="1"/>
  <c r="G68" i="119" s="1"/>
  <c r="D67" i="119"/>
  <c r="E67" i="119" s="1"/>
  <c r="F67" i="119" s="1"/>
  <c r="G67" i="119" s="1"/>
  <c r="D66" i="119"/>
  <c r="E66" i="119" s="1"/>
  <c r="F66" i="119" s="1"/>
  <c r="G66" i="119" s="1"/>
  <c r="D65" i="119"/>
  <c r="E65" i="119" s="1"/>
  <c r="F65" i="119" s="1"/>
  <c r="G65" i="119" s="1"/>
  <c r="D64" i="119"/>
  <c r="E64" i="119" s="1"/>
  <c r="F64" i="119" s="1"/>
  <c r="G64" i="119" s="1"/>
  <c r="D63" i="119"/>
  <c r="E63" i="119" s="1"/>
  <c r="F63" i="119" s="1"/>
  <c r="G63" i="119" s="1"/>
  <c r="D62" i="119"/>
  <c r="E62" i="119" s="1"/>
  <c r="F62" i="119" s="1"/>
  <c r="G62" i="119" s="1"/>
  <c r="D61" i="119"/>
  <c r="E61" i="119" s="1"/>
  <c r="F61" i="119" s="1"/>
  <c r="G61" i="119" s="1"/>
  <c r="D60" i="119"/>
  <c r="E60" i="119" s="1"/>
  <c r="F60" i="119" s="1"/>
  <c r="G60" i="119" s="1"/>
  <c r="D59" i="119"/>
  <c r="E59" i="119" s="1"/>
  <c r="F59" i="119" s="1"/>
  <c r="G59" i="119" s="1"/>
  <c r="D58" i="119"/>
  <c r="G57" i="119"/>
  <c r="D57" i="119"/>
  <c r="E57" i="119" s="1"/>
  <c r="D56" i="119"/>
  <c r="E56" i="119" s="1"/>
  <c r="F56" i="119" s="1"/>
  <c r="G56" i="119" s="1"/>
  <c r="E55" i="119"/>
  <c r="F55" i="119" s="1"/>
  <c r="G55" i="119" s="1"/>
  <c r="D55" i="119"/>
  <c r="D54" i="119"/>
  <c r="E54" i="119" s="1"/>
  <c r="F54" i="119" s="1"/>
  <c r="G54" i="119" s="1"/>
  <c r="E53" i="119"/>
  <c r="F53" i="119" s="1"/>
  <c r="G53" i="119" s="1"/>
  <c r="D53" i="119"/>
  <c r="D52" i="119"/>
  <c r="E52" i="119" s="1"/>
  <c r="F52" i="119" s="1"/>
  <c r="G52" i="119" s="1"/>
  <c r="D51" i="119"/>
  <c r="E51" i="119"/>
  <c r="F51" i="119"/>
  <c r="G51" i="119" s="1"/>
  <c r="D50" i="119"/>
  <c r="E50" i="119" s="1"/>
  <c r="F50" i="119" s="1"/>
  <c r="G50" i="119" s="1"/>
  <c r="E49" i="119"/>
  <c r="F49" i="119" s="1"/>
  <c r="G49" i="119" s="1"/>
  <c r="D49" i="119"/>
  <c r="D48" i="119"/>
  <c r="E48" i="119" s="1"/>
  <c r="F48" i="119" s="1"/>
  <c r="G48" i="119" s="1"/>
  <c r="E47" i="119"/>
  <c r="F47" i="119"/>
  <c r="G47" i="119" s="1"/>
  <c r="D47" i="119"/>
  <c r="D46" i="119"/>
  <c r="E46" i="119" s="1"/>
  <c r="F46" i="119" s="1"/>
  <c r="G46" i="119" s="1"/>
  <c r="D45" i="119"/>
  <c r="E45" i="119" s="1"/>
  <c r="F45" i="119" s="1"/>
  <c r="G45" i="119" s="1"/>
  <c r="D44" i="119"/>
  <c r="E44" i="119" s="1"/>
  <c r="F44" i="119" s="1"/>
  <c r="G44" i="119" s="1"/>
  <c r="E43" i="119"/>
  <c r="F43" i="119" s="1"/>
  <c r="G43" i="119" s="1"/>
  <c r="D43" i="119"/>
  <c r="D42" i="119"/>
  <c r="E42" i="119" s="1"/>
  <c r="F42" i="119" s="1"/>
  <c r="G42" i="119" s="1"/>
  <c r="E41" i="119"/>
  <c r="F41" i="119"/>
  <c r="G41" i="119"/>
  <c r="D41" i="119"/>
  <c r="D40" i="119"/>
  <c r="E40" i="119" s="1"/>
  <c r="F40" i="119" s="1"/>
  <c r="G40" i="119" s="1"/>
  <c r="D39" i="119"/>
  <c r="E39" i="119" s="1"/>
  <c r="F39" i="119" s="1"/>
  <c r="G39" i="119" s="1"/>
  <c r="D37" i="119"/>
  <c r="E37" i="119" s="1"/>
  <c r="F37" i="119" s="1"/>
  <c r="G37" i="119" s="1"/>
  <c r="D36" i="119"/>
  <c r="E36" i="119"/>
  <c r="F36" i="119"/>
  <c r="G36" i="119" s="1"/>
  <c r="D35" i="119"/>
  <c r="E34" i="119"/>
  <c r="F34" i="119" s="1"/>
  <c r="G34" i="119" s="1"/>
  <c r="H33" i="119"/>
  <c r="D33" i="119"/>
  <c r="E33" i="119" s="1"/>
  <c r="D32" i="119"/>
  <c r="E32" i="119"/>
  <c r="C30" i="119"/>
  <c r="H29" i="119"/>
  <c r="F29" i="119"/>
  <c r="G29" i="119" s="1"/>
  <c r="D29" i="119"/>
  <c r="H28" i="119"/>
  <c r="F28" i="119"/>
  <c r="G28" i="119" s="1"/>
  <c r="D28" i="119"/>
  <c r="D30" i="119" s="1"/>
  <c r="H27" i="119"/>
  <c r="F27" i="119"/>
  <c r="G27" i="119" s="1"/>
  <c r="D27" i="119"/>
  <c r="H26" i="119"/>
  <c r="I25" i="119"/>
  <c r="H25" i="119"/>
  <c r="H24" i="119"/>
  <c r="H23" i="119"/>
  <c r="I23" i="119" s="1"/>
  <c r="I30" i="119" s="1"/>
  <c r="I74" i="119" s="1"/>
  <c r="I77" i="119" s="1"/>
  <c r="H22" i="119"/>
  <c r="H21" i="119"/>
  <c r="D20" i="119"/>
  <c r="E20" i="119"/>
  <c r="H19" i="119"/>
  <c r="H20" i="119" s="1"/>
  <c r="D19" i="119"/>
  <c r="E19" i="119"/>
  <c r="E30" i="119"/>
  <c r="J49" i="92"/>
  <c r="J54" i="92"/>
  <c r="J58" i="92"/>
  <c r="J59" i="92"/>
  <c r="J60" i="92"/>
  <c r="J61" i="92"/>
  <c r="J62" i="92"/>
  <c r="J73" i="92"/>
  <c r="J63" i="92"/>
  <c r="J64" i="92"/>
  <c r="J65" i="92"/>
  <c r="I25" i="117"/>
  <c r="I73" i="117"/>
  <c r="C73" i="117"/>
  <c r="D72" i="117"/>
  <c r="E72" i="117"/>
  <c r="F72" i="117"/>
  <c r="D71" i="117"/>
  <c r="E71" i="117"/>
  <c r="F71" i="117" s="1"/>
  <c r="G71" i="117" s="1"/>
  <c r="D70" i="117"/>
  <c r="E70" i="117" s="1"/>
  <c r="F70" i="117" s="1"/>
  <c r="G70" i="117"/>
  <c r="D69" i="117"/>
  <c r="E69" i="117" s="1"/>
  <c r="F69" i="117" s="1"/>
  <c r="G69" i="117" s="1"/>
  <c r="D68" i="117"/>
  <c r="E68" i="117" s="1"/>
  <c r="F68" i="117" s="1"/>
  <c r="G68" i="117"/>
  <c r="D67" i="117"/>
  <c r="E67" i="117"/>
  <c r="F67" i="117" s="1"/>
  <c r="G67" i="117" s="1"/>
  <c r="D66" i="117"/>
  <c r="E66" i="117" s="1"/>
  <c r="F66" i="117" s="1"/>
  <c r="G66" i="117"/>
  <c r="D65" i="117"/>
  <c r="E65" i="117" s="1"/>
  <c r="F65" i="117" s="1"/>
  <c r="G65" i="117" s="1"/>
  <c r="D64" i="117"/>
  <c r="E64" i="117" s="1"/>
  <c r="F64" i="117" s="1"/>
  <c r="G64" i="117"/>
  <c r="D63" i="117"/>
  <c r="E63" i="117"/>
  <c r="F63" i="117" s="1"/>
  <c r="G63" i="117" s="1"/>
  <c r="D62" i="117"/>
  <c r="E62" i="117" s="1"/>
  <c r="F62" i="117" s="1"/>
  <c r="G62" i="117"/>
  <c r="D61" i="117"/>
  <c r="E61" i="117" s="1"/>
  <c r="F61" i="117" s="1"/>
  <c r="G61" i="117" s="1"/>
  <c r="D60" i="117"/>
  <c r="E60" i="117" s="1"/>
  <c r="F60" i="117" s="1"/>
  <c r="G60" i="117"/>
  <c r="D59" i="117"/>
  <c r="E59" i="117"/>
  <c r="F59" i="117" s="1"/>
  <c r="G59" i="117" s="1"/>
  <c r="D58" i="117"/>
  <c r="E58" i="117" s="1"/>
  <c r="F58" i="117" s="1"/>
  <c r="G58" i="117"/>
  <c r="G57" i="117"/>
  <c r="D57" i="117"/>
  <c r="E57" i="117" s="1"/>
  <c r="D56" i="117"/>
  <c r="E56" i="117"/>
  <c r="F56" i="117" s="1"/>
  <c r="G56" i="117" s="1"/>
  <c r="D55" i="117"/>
  <c r="E55" i="117"/>
  <c r="F55" i="117"/>
  <c r="G55" i="117" s="1"/>
  <c r="D54" i="117"/>
  <c r="E54" i="117"/>
  <c r="F54" i="117" s="1"/>
  <c r="G54" i="117" s="1"/>
  <c r="D53" i="117"/>
  <c r="E53" i="117" s="1"/>
  <c r="F53" i="117" s="1"/>
  <c r="G53" i="117" s="1"/>
  <c r="D52" i="117"/>
  <c r="E52" i="117"/>
  <c r="F52" i="117" s="1"/>
  <c r="G52" i="117" s="1"/>
  <c r="D51" i="117"/>
  <c r="E51" i="117"/>
  <c r="F51" i="117" s="1"/>
  <c r="G51" i="117" s="1"/>
  <c r="D50" i="117"/>
  <c r="E50" i="117"/>
  <c r="F50" i="117" s="1"/>
  <c r="G50" i="117" s="1"/>
  <c r="D49" i="117"/>
  <c r="E49" i="117" s="1"/>
  <c r="F49" i="117" s="1"/>
  <c r="G49" i="117" s="1"/>
  <c r="D48" i="117"/>
  <c r="E48" i="117"/>
  <c r="F48" i="117" s="1"/>
  <c r="G48" i="117" s="1"/>
  <c r="D47" i="117"/>
  <c r="E47" i="117" s="1"/>
  <c r="F47" i="117" s="1"/>
  <c r="G47" i="117" s="1"/>
  <c r="D46" i="117"/>
  <c r="E46" i="117"/>
  <c r="F46" i="117" s="1"/>
  <c r="G46" i="117" s="1"/>
  <c r="D45" i="117"/>
  <c r="E45" i="117"/>
  <c r="F45" i="117"/>
  <c r="G45" i="117" s="1"/>
  <c r="D44" i="117"/>
  <c r="E44" i="117"/>
  <c r="F44" i="117" s="1"/>
  <c r="G44" i="117" s="1"/>
  <c r="D43" i="117"/>
  <c r="E43" i="117"/>
  <c r="F43" i="117" s="1"/>
  <c r="G43" i="117" s="1"/>
  <c r="D42" i="117"/>
  <c r="E42" i="117"/>
  <c r="F42" i="117" s="1"/>
  <c r="G42" i="117" s="1"/>
  <c r="D41" i="117"/>
  <c r="D40" i="117"/>
  <c r="E40" i="117"/>
  <c r="F40" i="117" s="1"/>
  <c r="G40" i="117" s="1"/>
  <c r="D39" i="117"/>
  <c r="E39" i="117"/>
  <c r="F39" i="117"/>
  <c r="G39" i="117" s="1"/>
  <c r="D37" i="117"/>
  <c r="E37" i="117"/>
  <c r="F37" i="117" s="1"/>
  <c r="G37" i="117" s="1"/>
  <c r="D36" i="117"/>
  <c r="E36" i="117" s="1"/>
  <c r="F36" i="117" s="1"/>
  <c r="G36" i="117" s="1"/>
  <c r="D35" i="117"/>
  <c r="E35" i="117"/>
  <c r="F35" i="117" s="1"/>
  <c r="G35" i="117" s="1"/>
  <c r="E34" i="117"/>
  <c r="F34" i="117"/>
  <c r="H33" i="117"/>
  <c r="D33" i="117"/>
  <c r="E33" i="117"/>
  <c r="D32" i="117"/>
  <c r="C30" i="117"/>
  <c r="C74" i="117"/>
  <c r="C77" i="117" s="1"/>
  <c r="H29" i="117"/>
  <c r="F29" i="117"/>
  <c r="G29" i="117" s="1"/>
  <c r="D29" i="117"/>
  <c r="H28" i="117"/>
  <c r="F28" i="117"/>
  <c r="D28" i="117"/>
  <c r="H27" i="117"/>
  <c r="F27" i="117"/>
  <c r="F30" i="117" s="1"/>
  <c r="G27" i="117"/>
  <c r="D27" i="117"/>
  <c r="H26" i="117"/>
  <c r="H25" i="117"/>
  <c r="H24" i="117"/>
  <c r="H23" i="117"/>
  <c r="I23" i="117" s="1"/>
  <c r="I30" i="117" s="1"/>
  <c r="I74" i="117" s="1"/>
  <c r="I77" i="117" s="1"/>
  <c r="H22" i="117"/>
  <c r="H21" i="117"/>
  <c r="D20" i="117"/>
  <c r="E20" i="117" s="1"/>
  <c r="H19" i="117"/>
  <c r="D19" i="117"/>
  <c r="H27" i="92"/>
  <c r="H26" i="92"/>
  <c r="H25" i="92"/>
  <c r="H24" i="92"/>
  <c r="H21" i="92"/>
  <c r="H19" i="92"/>
  <c r="H20" i="92"/>
  <c r="J51" i="91"/>
  <c r="J59" i="91"/>
  <c r="J61" i="91"/>
  <c r="J62" i="91"/>
  <c r="J63" i="91"/>
  <c r="J74" i="91" s="1"/>
  <c r="J75" i="91" s="1"/>
  <c r="J79" i="91" s="1"/>
  <c r="J64" i="91"/>
  <c r="J65" i="91"/>
  <c r="J66" i="91"/>
  <c r="I45" i="91"/>
  <c r="I73" i="91"/>
  <c r="I44" i="91"/>
  <c r="I29" i="91"/>
  <c r="I27" i="91"/>
  <c r="I25" i="91"/>
  <c r="I23" i="91"/>
  <c r="I28" i="91"/>
  <c r="I26" i="91"/>
  <c r="I24" i="91"/>
  <c r="I22" i="91"/>
  <c r="I21" i="91"/>
  <c r="I19" i="91"/>
  <c r="I20" i="91" s="1"/>
  <c r="E32" i="117"/>
  <c r="G57" i="92"/>
  <c r="H33" i="92"/>
  <c r="H28" i="92"/>
  <c r="H23" i="92"/>
  <c r="I23" i="92" s="1"/>
  <c r="J30" i="91"/>
  <c r="H22" i="92"/>
  <c r="I55" i="91"/>
  <c r="J55" i="91"/>
  <c r="I33" i="91"/>
  <c r="I74" i="91"/>
  <c r="C33" i="91"/>
  <c r="D19" i="92"/>
  <c r="D20" i="92"/>
  <c r="E20" i="92" s="1"/>
  <c r="D27" i="92"/>
  <c r="F27" i="92"/>
  <c r="F30" i="92" s="1"/>
  <c r="D28" i="92"/>
  <c r="F28" i="92"/>
  <c r="G28" i="92" s="1"/>
  <c r="D29" i="92"/>
  <c r="D30" i="92" s="1"/>
  <c r="F29" i="92"/>
  <c r="C30" i="92"/>
  <c r="D32" i="92"/>
  <c r="E32" i="92"/>
  <c r="D33" i="92"/>
  <c r="E33" i="92" s="1"/>
  <c r="E34" i="92"/>
  <c r="F34" i="92" s="1"/>
  <c r="D35" i="92"/>
  <c r="E35" i="92" s="1"/>
  <c r="F35" i="92" s="1"/>
  <c r="G35" i="92" s="1"/>
  <c r="D36" i="92"/>
  <c r="E36" i="92"/>
  <c r="F36" i="92"/>
  <c r="G36" i="92" s="1"/>
  <c r="D37" i="92"/>
  <c r="E37" i="92" s="1"/>
  <c r="F37" i="92" s="1"/>
  <c r="G37" i="92" s="1"/>
  <c r="D39" i="92"/>
  <c r="E39" i="92" s="1"/>
  <c r="F39" i="92" s="1"/>
  <c r="G39" i="92" s="1"/>
  <c r="D40" i="92"/>
  <c r="E40" i="92" s="1"/>
  <c r="F40" i="92" s="1"/>
  <c r="G40" i="92" s="1"/>
  <c r="D41" i="92"/>
  <c r="E41" i="92"/>
  <c r="F41" i="92"/>
  <c r="G41" i="92" s="1"/>
  <c r="D42" i="92"/>
  <c r="E42" i="92" s="1"/>
  <c r="F42" i="92" s="1"/>
  <c r="G42" i="92" s="1"/>
  <c r="D43" i="92"/>
  <c r="E43" i="92" s="1"/>
  <c r="F43" i="92" s="1"/>
  <c r="G43" i="92" s="1"/>
  <c r="D44" i="92"/>
  <c r="E44" i="92" s="1"/>
  <c r="F44" i="92" s="1"/>
  <c r="G44" i="92" s="1"/>
  <c r="D45" i="92"/>
  <c r="E45" i="92"/>
  <c r="F45" i="92"/>
  <c r="G45" i="92" s="1"/>
  <c r="D46" i="92"/>
  <c r="E46" i="92" s="1"/>
  <c r="F46" i="92" s="1"/>
  <c r="G46" i="92" s="1"/>
  <c r="D47" i="92"/>
  <c r="E47" i="92" s="1"/>
  <c r="F47" i="92" s="1"/>
  <c r="G47" i="92" s="1"/>
  <c r="D48" i="92"/>
  <c r="E48" i="92" s="1"/>
  <c r="F48" i="92" s="1"/>
  <c r="G48" i="92" s="1"/>
  <c r="D49" i="92"/>
  <c r="E49" i="92"/>
  <c r="F49" i="92"/>
  <c r="G49" i="92" s="1"/>
  <c r="D50" i="92"/>
  <c r="E50" i="92" s="1"/>
  <c r="F50" i="92" s="1"/>
  <c r="G50" i="92" s="1"/>
  <c r="D51" i="92"/>
  <c r="E51" i="92" s="1"/>
  <c r="F51" i="92" s="1"/>
  <c r="G51" i="92" s="1"/>
  <c r="D52" i="92"/>
  <c r="E52" i="92" s="1"/>
  <c r="F52" i="92" s="1"/>
  <c r="G52" i="92" s="1"/>
  <c r="D53" i="92"/>
  <c r="E53" i="92"/>
  <c r="F53" i="92"/>
  <c r="G53" i="92" s="1"/>
  <c r="D54" i="92"/>
  <c r="E54" i="92" s="1"/>
  <c r="F54" i="92" s="1"/>
  <c r="G54" i="92" s="1"/>
  <c r="D55" i="92"/>
  <c r="E55" i="92" s="1"/>
  <c r="F55" i="92" s="1"/>
  <c r="G55" i="92" s="1"/>
  <c r="D56" i="92"/>
  <c r="E56" i="92" s="1"/>
  <c r="F56" i="92" s="1"/>
  <c r="G56" i="92" s="1"/>
  <c r="D57" i="92"/>
  <c r="E57" i="92"/>
  <c r="D58" i="92"/>
  <c r="E58" i="92" s="1"/>
  <c r="F58" i="92" s="1"/>
  <c r="G58" i="92" s="1"/>
  <c r="D59" i="92"/>
  <c r="E59" i="92"/>
  <c r="F59" i="92"/>
  <c r="G59" i="92" s="1"/>
  <c r="D60" i="92"/>
  <c r="E60" i="92" s="1"/>
  <c r="F60" i="92" s="1"/>
  <c r="G60" i="92" s="1"/>
  <c r="D61" i="92"/>
  <c r="E61" i="92"/>
  <c r="F61" i="92"/>
  <c r="G61" i="92"/>
  <c r="D62" i="92"/>
  <c r="E62" i="92" s="1"/>
  <c r="F62" i="92" s="1"/>
  <c r="D63" i="92"/>
  <c r="E63" i="92" s="1"/>
  <c r="F63" i="92" s="1"/>
  <c r="G63" i="92" s="1"/>
  <c r="D64" i="92"/>
  <c r="E64" i="92" s="1"/>
  <c r="F64" i="92" s="1"/>
  <c r="G64" i="92" s="1"/>
  <c r="D65" i="92"/>
  <c r="E65" i="92" s="1"/>
  <c r="F65" i="92" s="1"/>
  <c r="G65" i="92"/>
  <c r="D66" i="92"/>
  <c r="E66" i="92" s="1"/>
  <c r="F66" i="92" s="1"/>
  <c r="G66" i="92" s="1"/>
  <c r="D67" i="92"/>
  <c r="E67" i="92" s="1"/>
  <c r="F67" i="92" s="1"/>
  <c r="G67" i="92" s="1"/>
  <c r="D68" i="92"/>
  <c r="E68" i="92" s="1"/>
  <c r="F68" i="92" s="1"/>
  <c r="G68" i="92" s="1"/>
  <c r="D69" i="92"/>
  <c r="E69" i="92" s="1"/>
  <c r="F69" i="92" s="1"/>
  <c r="G69" i="92"/>
  <c r="D70" i="92"/>
  <c r="E70" i="92" s="1"/>
  <c r="F70" i="92" s="1"/>
  <c r="G70" i="92" s="1"/>
  <c r="D71" i="92"/>
  <c r="E71" i="92" s="1"/>
  <c r="F71" i="92" s="1"/>
  <c r="G71" i="92" s="1"/>
  <c r="D72" i="92"/>
  <c r="E72" i="92" s="1"/>
  <c r="F72" i="92" s="1"/>
  <c r="C73" i="92"/>
  <c r="B12" i="93"/>
  <c r="B11" i="93"/>
  <c r="C31" i="110"/>
  <c r="C25" i="110"/>
  <c r="C33" i="110" s="1"/>
  <c r="C66" i="110" s="1"/>
  <c r="C69" i="110" s="1"/>
  <c r="C29" i="102"/>
  <c r="C60" i="102" s="1"/>
  <c r="C63" i="102" s="1"/>
  <c r="C56" i="101"/>
  <c r="C26" i="101"/>
  <c r="C57" i="101" s="1"/>
  <c r="C60" i="101" s="1"/>
  <c r="C25" i="100"/>
  <c r="C55" i="100"/>
  <c r="D33" i="93"/>
  <c r="D32" i="93"/>
  <c r="D19" i="93"/>
  <c r="D20" i="93"/>
  <c r="C65" i="110"/>
  <c r="C35" i="83"/>
  <c r="E27" i="90"/>
  <c r="C70" i="113"/>
  <c r="D69" i="113"/>
  <c r="D66" i="113"/>
  <c r="D65" i="113"/>
  <c r="D64" i="113"/>
  <c r="D63" i="113"/>
  <c r="E63" i="113" s="1"/>
  <c r="D62" i="113"/>
  <c r="D61" i="113"/>
  <c r="E61" i="113" s="1"/>
  <c r="D60" i="113"/>
  <c r="E60" i="113"/>
  <c r="D59" i="113"/>
  <c r="D58" i="113"/>
  <c r="D57" i="113"/>
  <c r="D56" i="113"/>
  <c r="D55" i="113"/>
  <c r="E55" i="113" s="1"/>
  <c r="D54" i="113"/>
  <c r="D53" i="113"/>
  <c r="E53" i="113" s="1"/>
  <c r="D52" i="113"/>
  <c r="E52" i="113" s="1"/>
  <c r="D51" i="113"/>
  <c r="E51" i="113"/>
  <c r="D50" i="113"/>
  <c r="E50" i="113"/>
  <c r="D49" i="113"/>
  <c r="D48" i="113"/>
  <c r="E48" i="113" s="1"/>
  <c r="D47" i="113"/>
  <c r="E47" i="113"/>
  <c r="D46" i="113"/>
  <c r="D45" i="113"/>
  <c r="D44" i="113"/>
  <c r="D43" i="113"/>
  <c r="D42" i="113"/>
  <c r="E42" i="113" s="1"/>
  <c r="D41" i="113"/>
  <c r="D40" i="113"/>
  <c r="D39" i="113"/>
  <c r="D38" i="113"/>
  <c r="E38" i="113"/>
  <c r="D37" i="113"/>
  <c r="D36" i="113"/>
  <c r="E36" i="113" s="1"/>
  <c r="D35" i="113"/>
  <c r="D34" i="113"/>
  <c r="C32" i="113"/>
  <c r="D31" i="113"/>
  <c r="D30" i="113"/>
  <c r="D29" i="113"/>
  <c r="E29" i="113" s="1"/>
  <c r="D28" i="113"/>
  <c r="D27" i="113"/>
  <c r="E27" i="113"/>
  <c r="D26" i="113"/>
  <c r="D25" i="113"/>
  <c r="D24" i="113"/>
  <c r="D23" i="113"/>
  <c r="D22" i="113"/>
  <c r="E22" i="113" s="1"/>
  <c r="D21" i="113"/>
  <c r="D20" i="113"/>
  <c r="D19" i="113"/>
  <c r="D18" i="113"/>
  <c r="C71" i="113"/>
  <c r="C74" i="113"/>
  <c r="D48" i="112"/>
  <c r="D55" i="112"/>
  <c r="D56" i="112" s="1"/>
  <c r="D59" i="112" s="1"/>
  <c r="C41" i="112"/>
  <c r="C55" i="112"/>
  <c r="C56" i="112" s="1"/>
  <c r="C33" i="112"/>
  <c r="D48" i="111"/>
  <c r="D55" i="111"/>
  <c r="D56" i="111" s="1"/>
  <c r="D59" i="111" s="1"/>
  <c r="D30" i="111"/>
  <c r="C41" i="111"/>
  <c r="C55" i="111" s="1"/>
  <c r="C56" i="111" s="1"/>
  <c r="C33" i="111"/>
  <c r="D30" i="112"/>
  <c r="D46" i="96"/>
  <c r="C39" i="96"/>
  <c r="C31" i="96"/>
  <c r="C53" i="96"/>
  <c r="C54" i="96" s="1"/>
  <c r="D46" i="97"/>
  <c r="D53" i="97" s="1"/>
  <c r="D54" i="97" s="1"/>
  <c r="D57" i="97" s="1"/>
  <c r="C39" i="97"/>
  <c r="C31" i="97"/>
  <c r="C53" i="97" s="1"/>
  <c r="C54" i="97" s="1"/>
  <c r="D46" i="109"/>
  <c r="D53" i="109" s="1"/>
  <c r="D28" i="109"/>
  <c r="D54" i="109" s="1"/>
  <c r="D57" i="109" s="1"/>
  <c r="C39" i="109"/>
  <c r="C31" i="109"/>
  <c r="D46" i="108"/>
  <c r="D53" i="108"/>
  <c r="C39" i="108"/>
  <c r="C31" i="108"/>
  <c r="C53" i="108"/>
  <c r="C54" i="108" s="1"/>
  <c r="D28" i="108"/>
  <c r="D46" i="95"/>
  <c r="C39" i="95"/>
  <c r="C31" i="95"/>
  <c r="C53" i="95" s="1"/>
  <c r="C54" i="95" s="1"/>
  <c r="D53" i="96"/>
  <c r="D28" i="96"/>
  <c r="D28" i="97"/>
  <c r="D53" i="95"/>
  <c r="D28" i="95"/>
  <c r="D54" i="95" s="1"/>
  <c r="D57" i="95" s="1"/>
  <c r="D19" i="94"/>
  <c r="C42" i="94"/>
  <c r="C29" i="94"/>
  <c r="C30" i="94" s="1"/>
  <c r="C71" i="94" s="1"/>
  <c r="F46" i="94"/>
  <c r="F58" i="94"/>
  <c r="F59" i="94"/>
  <c r="F60" i="94"/>
  <c r="F71" i="94" s="1"/>
  <c r="F61" i="94"/>
  <c r="F62" i="94"/>
  <c r="F63" i="94"/>
  <c r="F26" i="94"/>
  <c r="F24" i="94"/>
  <c r="F22" i="94"/>
  <c r="C37" i="106"/>
  <c r="C29" i="106"/>
  <c r="C51" i="106" s="1"/>
  <c r="C52" i="106" s="1"/>
  <c r="C37" i="105"/>
  <c r="C29" i="105"/>
  <c r="D44" i="104"/>
  <c r="D51" i="104"/>
  <c r="C37" i="104"/>
  <c r="C29" i="104"/>
  <c r="D26" i="106"/>
  <c r="D26" i="105"/>
  <c r="D26" i="104"/>
  <c r="D52" i="104" s="1"/>
  <c r="D55" i="104" s="1"/>
  <c r="D44" i="105"/>
  <c r="D51" i="105" s="1"/>
  <c r="D52" i="105" s="1"/>
  <c r="D55" i="105" s="1"/>
  <c r="D44" i="106"/>
  <c r="D51" i="106" s="1"/>
  <c r="D52" i="106" s="1"/>
  <c r="D55" i="106"/>
  <c r="C30" i="103"/>
  <c r="C61" i="103" s="1"/>
  <c r="C64" i="103" s="1"/>
  <c r="D55" i="99"/>
  <c r="D19" i="99"/>
  <c r="D20" i="99" s="1"/>
  <c r="E30" i="99"/>
  <c r="E37" i="99"/>
  <c r="E42" i="99"/>
  <c r="E43" i="99"/>
  <c r="E47" i="99"/>
  <c r="E48" i="99"/>
  <c r="E53" i="99"/>
  <c r="E54" i="99"/>
  <c r="E57" i="99"/>
  <c r="E58" i="99"/>
  <c r="E59" i="99"/>
  <c r="E65" i="99"/>
  <c r="E66" i="99"/>
  <c r="E67" i="99"/>
  <c r="D28" i="99"/>
  <c r="D29" i="99"/>
  <c r="D72" i="99"/>
  <c r="D52" i="99"/>
  <c r="D51" i="99"/>
  <c r="D22" i="99"/>
  <c r="D21" i="99"/>
  <c r="C72" i="99"/>
  <c r="C73" i="99" s="1"/>
  <c r="C76" i="99" s="1"/>
  <c r="C26" i="99"/>
  <c r="I33" i="98"/>
  <c r="I34" i="98"/>
  <c r="I36" i="98"/>
  <c r="I37" i="98"/>
  <c r="I38" i="98"/>
  <c r="I39" i="98"/>
  <c r="I41" i="98"/>
  <c r="I42" i="98"/>
  <c r="I43" i="98"/>
  <c r="I44" i="98"/>
  <c r="I45" i="98"/>
  <c r="I46" i="98"/>
  <c r="I47" i="98"/>
  <c r="I48" i="98"/>
  <c r="I49" i="98"/>
  <c r="I50" i="98"/>
  <c r="I51" i="98"/>
  <c r="I53" i="98"/>
  <c r="I54" i="98"/>
  <c r="I55" i="98"/>
  <c r="I56" i="98"/>
  <c r="I57" i="98"/>
  <c r="I58" i="98"/>
  <c r="I59" i="98"/>
  <c r="I60" i="98"/>
  <c r="I61" i="98"/>
  <c r="I62" i="98"/>
  <c r="I63" i="98"/>
  <c r="D71" i="93"/>
  <c r="D49" i="93"/>
  <c r="D54" i="93"/>
  <c r="D58" i="93"/>
  <c r="D59" i="93"/>
  <c r="D60" i="93"/>
  <c r="D61" i="93"/>
  <c r="D62" i="93"/>
  <c r="D63" i="93"/>
  <c r="D64" i="93"/>
  <c r="D65" i="93"/>
  <c r="C33" i="93"/>
  <c r="E46" i="90"/>
  <c r="E71" i="90" s="1"/>
  <c r="E56" i="90"/>
  <c r="E58" i="90"/>
  <c r="E59" i="90"/>
  <c r="E60" i="90"/>
  <c r="E61" i="90"/>
  <c r="E62" i="90"/>
  <c r="E63" i="90"/>
  <c r="D19" i="90"/>
  <c r="D27" i="90" s="1"/>
  <c r="E71" i="94"/>
  <c r="E26" i="94"/>
  <c r="E25" i="94"/>
  <c r="E24" i="94"/>
  <c r="E23" i="94"/>
  <c r="E22" i="94"/>
  <c r="E21" i="94"/>
  <c r="E20" i="94"/>
  <c r="E18" i="94"/>
  <c r="D71" i="89"/>
  <c r="D70" i="89"/>
  <c r="D69" i="89"/>
  <c r="D68" i="89"/>
  <c r="D67" i="89"/>
  <c r="D66" i="89"/>
  <c r="D65" i="89"/>
  <c r="D64" i="89"/>
  <c r="D63" i="89"/>
  <c r="D62" i="89"/>
  <c r="D61" i="89"/>
  <c r="D60" i="89"/>
  <c r="D59" i="89"/>
  <c r="D58" i="89"/>
  <c r="D57" i="89"/>
  <c r="D56" i="89"/>
  <c r="D55" i="89"/>
  <c r="D54" i="89"/>
  <c r="D52" i="89"/>
  <c r="D51" i="89"/>
  <c r="D50" i="89"/>
  <c r="D49" i="89"/>
  <c r="D48" i="89"/>
  <c r="D47" i="89"/>
  <c r="D46" i="89"/>
  <c r="D45" i="89"/>
  <c r="D44" i="89"/>
  <c r="E43" i="89"/>
  <c r="E72" i="89" s="1"/>
  <c r="D43" i="89"/>
  <c r="D42" i="89"/>
  <c r="D41" i="89"/>
  <c r="D40" i="89"/>
  <c r="D39" i="89"/>
  <c r="D38" i="89"/>
  <c r="D37" i="89"/>
  <c r="D36" i="89"/>
  <c r="D35" i="89"/>
  <c r="D34" i="89"/>
  <c r="D33" i="89"/>
  <c r="D32" i="89"/>
  <c r="C30" i="89"/>
  <c r="C31" i="89" s="1"/>
  <c r="D30" i="89"/>
  <c r="D28" i="89"/>
  <c r="E27" i="89"/>
  <c r="E26" i="89"/>
  <c r="E25" i="89"/>
  <c r="E24" i="89"/>
  <c r="E23" i="89"/>
  <c r="E22" i="89"/>
  <c r="E21" i="89"/>
  <c r="E19" i="89"/>
  <c r="C29" i="90"/>
  <c r="D21" i="98"/>
  <c r="E21" i="98" s="1"/>
  <c r="F21" i="98" s="1"/>
  <c r="D22" i="98"/>
  <c r="E22" i="98" s="1"/>
  <c r="F22" i="98" s="1"/>
  <c r="D24" i="98"/>
  <c r="E24" i="98" s="1"/>
  <c r="F24" i="98" s="1"/>
  <c r="G24" i="98" s="1"/>
  <c r="C74" i="98"/>
  <c r="F73" i="98"/>
  <c r="G73" i="98" s="1"/>
  <c r="D73" i="98"/>
  <c r="G72" i="98"/>
  <c r="E72" i="98"/>
  <c r="D71" i="98"/>
  <c r="E71" i="98" s="1"/>
  <c r="F71" i="98"/>
  <c r="G71" i="98" s="1"/>
  <c r="D70" i="98"/>
  <c r="E70" i="98" s="1"/>
  <c r="F70" i="98" s="1"/>
  <c r="D69" i="98"/>
  <c r="E69" i="98" s="1"/>
  <c r="F69" i="98" s="1"/>
  <c r="G69" i="98" s="1"/>
  <c r="D68" i="98"/>
  <c r="E68" i="98"/>
  <c r="F68" i="98"/>
  <c r="G68" i="98" s="1"/>
  <c r="D67" i="98"/>
  <c r="E67" i="98" s="1"/>
  <c r="F67" i="98" s="1"/>
  <c r="G67" i="98" s="1"/>
  <c r="D66" i="98"/>
  <c r="E66" i="98"/>
  <c r="F66" i="98" s="1"/>
  <c r="G66" i="98" s="1"/>
  <c r="D65" i="98"/>
  <c r="E65" i="98" s="1"/>
  <c r="F65" i="98" s="1"/>
  <c r="G65" i="98"/>
  <c r="D64" i="98"/>
  <c r="E64" i="98" s="1"/>
  <c r="F64" i="98" s="1"/>
  <c r="G64" i="98" s="1"/>
  <c r="G63" i="98"/>
  <c r="E63" i="98"/>
  <c r="D62" i="98"/>
  <c r="E62" i="98"/>
  <c r="F62" i="98"/>
  <c r="G62" i="98"/>
  <c r="D61" i="98"/>
  <c r="E61" i="98" s="1"/>
  <c r="F61" i="98" s="1"/>
  <c r="G61" i="98" s="1"/>
  <c r="D60" i="98"/>
  <c r="E60" i="98"/>
  <c r="F60" i="98"/>
  <c r="G60" i="98" s="1"/>
  <c r="D59" i="98"/>
  <c r="E59" i="98" s="1"/>
  <c r="F59" i="98" s="1"/>
  <c r="G59" i="98" s="1"/>
  <c r="D58" i="98"/>
  <c r="E58" i="98"/>
  <c r="F58" i="98" s="1"/>
  <c r="G58" i="98" s="1"/>
  <c r="D57" i="98"/>
  <c r="E57" i="98" s="1"/>
  <c r="F57" i="98" s="1"/>
  <c r="G57" i="98" s="1"/>
  <c r="D56" i="98"/>
  <c r="E56" i="98"/>
  <c r="F56" i="98"/>
  <c r="G56" i="98"/>
  <c r="D55" i="98"/>
  <c r="E55" i="98" s="1"/>
  <c r="F55" i="98" s="1"/>
  <c r="G55" i="98" s="1"/>
  <c r="G54" i="98"/>
  <c r="D54" i="98"/>
  <c r="E54" i="98"/>
  <c r="D53" i="98"/>
  <c r="E53" i="98" s="1"/>
  <c r="F53" i="98" s="1"/>
  <c r="G53" i="98" s="1"/>
  <c r="D52" i="98"/>
  <c r="E52" i="98"/>
  <c r="F52" i="98"/>
  <c r="G52" i="98" s="1"/>
  <c r="D51" i="98"/>
  <c r="E51" i="98"/>
  <c r="F51" i="98" s="1"/>
  <c r="G51" i="98" s="1"/>
  <c r="D50" i="98"/>
  <c r="E50" i="98"/>
  <c r="F50" i="98"/>
  <c r="G50" i="98"/>
  <c r="D49" i="98"/>
  <c r="E49" i="98" s="1"/>
  <c r="F49" i="98" s="1"/>
  <c r="G49" i="98" s="1"/>
  <c r="D48" i="98"/>
  <c r="E48" i="98"/>
  <c r="F48" i="98"/>
  <c r="G48" i="98" s="1"/>
  <c r="D47" i="98"/>
  <c r="E47" i="98"/>
  <c r="F47" i="98" s="1"/>
  <c r="G47" i="98" s="1"/>
  <c r="D46" i="98"/>
  <c r="E46" i="98"/>
  <c r="F46" i="98" s="1"/>
  <c r="G46" i="98" s="1"/>
  <c r="D45" i="98"/>
  <c r="E45" i="98" s="1"/>
  <c r="F45" i="98" s="1"/>
  <c r="G45" i="98" s="1"/>
  <c r="D44" i="98"/>
  <c r="E44" i="98"/>
  <c r="F44" i="98"/>
  <c r="G44" i="98" s="1"/>
  <c r="D43" i="98"/>
  <c r="E43" i="98"/>
  <c r="F43" i="98" s="1"/>
  <c r="G43" i="98" s="1"/>
  <c r="D42" i="98"/>
  <c r="E42" i="98" s="1"/>
  <c r="F42" i="98" s="1"/>
  <c r="G42" i="98" s="1"/>
  <c r="D41" i="98"/>
  <c r="E41" i="98" s="1"/>
  <c r="F41" i="98" s="1"/>
  <c r="G41" i="98" s="1"/>
  <c r="D40" i="98"/>
  <c r="E40" i="98"/>
  <c r="F40" i="98" s="1"/>
  <c r="G40" i="98" s="1"/>
  <c r="D39" i="98"/>
  <c r="E39" i="98"/>
  <c r="F39" i="98" s="1"/>
  <c r="G39" i="98" s="1"/>
  <c r="D38" i="98"/>
  <c r="E38" i="98"/>
  <c r="F38" i="98"/>
  <c r="G38" i="98" s="1"/>
  <c r="D37" i="98"/>
  <c r="E37" i="98"/>
  <c r="F37" i="98" s="1"/>
  <c r="G37" i="98"/>
  <c r="D36" i="98"/>
  <c r="E36" i="98" s="1"/>
  <c r="F36" i="98" s="1"/>
  <c r="G36" i="98" s="1"/>
  <c r="D35" i="98"/>
  <c r="E35" i="98"/>
  <c r="F35" i="98" s="1"/>
  <c r="G35" i="98"/>
  <c r="D34" i="98"/>
  <c r="E34" i="98" s="1"/>
  <c r="F34" i="98" s="1"/>
  <c r="G34" i="98" s="1"/>
  <c r="D33" i="98"/>
  <c r="E33" i="98" s="1"/>
  <c r="F33" i="98" s="1"/>
  <c r="G33" i="98" s="1"/>
  <c r="E32" i="98"/>
  <c r="F32" i="98"/>
  <c r="G32" i="98"/>
  <c r="D31" i="98"/>
  <c r="E31" i="98" s="1"/>
  <c r="D30" i="98"/>
  <c r="E30" i="98"/>
  <c r="C28" i="98"/>
  <c r="C75" i="98"/>
  <c r="C78" i="98" s="1"/>
  <c r="F27" i="98"/>
  <c r="G27" i="98"/>
  <c r="H27" i="98"/>
  <c r="I27" i="98" s="1"/>
  <c r="D27" i="98"/>
  <c r="F26" i="98"/>
  <c r="G26" i="98"/>
  <c r="H26" i="98" s="1"/>
  <c r="I26" i="98" s="1"/>
  <c r="D26" i="98"/>
  <c r="F25" i="98"/>
  <c r="G25" i="98" s="1"/>
  <c r="H25" i="98" s="1"/>
  <c r="D25" i="98"/>
  <c r="D20" i="98"/>
  <c r="E20" i="98" s="1"/>
  <c r="D19" i="98"/>
  <c r="E19" i="98"/>
  <c r="H20" i="91"/>
  <c r="H19" i="91"/>
  <c r="H32" i="91"/>
  <c r="H31" i="91"/>
  <c r="G61" i="91"/>
  <c r="G28" i="91"/>
  <c r="H28" i="91"/>
  <c r="C68" i="91"/>
  <c r="C69" i="91" s="1"/>
  <c r="C79" i="91" s="1"/>
  <c r="F67" i="91"/>
  <c r="G67" i="91"/>
  <c r="H67" i="91" s="1"/>
  <c r="D66" i="91"/>
  <c r="E66" i="91"/>
  <c r="F66" i="91"/>
  <c r="G66" i="91" s="1"/>
  <c r="H66" i="91" s="1"/>
  <c r="D65" i="91"/>
  <c r="E65" i="91"/>
  <c r="F65" i="91" s="1"/>
  <c r="G65" i="91" s="1"/>
  <c r="H65" i="91" s="1"/>
  <c r="D64" i="91"/>
  <c r="E64" i="91" s="1"/>
  <c r="F64" i="91" s="1"/>
  <c r="G64" i="91" s="1"/>
  <c r="H64" i="91"/>
  <c r="D63" i="91"/>
  <c r="E63" i="91" s="1"/>
  <c r="F63" i="91" s="1"/>
  <c r="G63" i="91" s="1"/>
  <c r="H63" i="91" s="1"/>
  <c r="D62" i="91"/>
  <c r="E62" i="91"/>
  <c r="F62" i="91"/>
  <c r="G62" i="91" s="1"/>
  <c r="H62" i="91" s="1"/>
  <c r="E61" i="91"/>
  <c r="D60" i="91"/>
  <c r="E60" i="91" s="1"/>
  <c r="F60" i="91" s="1"/>
  <c r="G60" i="91" s="1"/>
  <c r="H60" i="91" s="1"/>
  <c r="D59" i="91"/>
  <c r="E59" i="91" s="1"/>
  <c r="F59" i="91" s="1"/>
  <c r="G59" i="91" s="1"/>
  <c r="H59" i="91" s="1"/>
  <c r="D58" i="91"/>
  <c r="E58" i="91"/>
  <c r="F58" i="91"/>
  <c r="G58" i="91" s="1"/>
  <c r="H58" i="91" s="1"/>
  <c r="D57" i="91"/>
  <c r="E57" i="91"/>
  <c r="F57" i="91" s="1"/>
  <c r="G57" i="91" s="1"/>
  <c r="H57" i="91" s="1"/>
  <c r="D56" i="91"/>
  <c r="E56" i="91" s="1"/>
  <c r="F56" i="91" s="1"/>
  <c r="G56" i="91" s="1"/>
  <c r="D55" i="91"/>
  <c r="E55" i="91" s="1"/>
  <c r="F55" i="91" s="1"/>
  <c r="G55" i="91" s="1"/>
  <c r="H55" i="91"/>
  <c r="D54" i="91"/>
  <c r="E54" i="91" s="1"/>
  <c r="F54" i="91" s="1"/>
  <c r="G54" i="91" s="1"/>
  <c r="H54" i="91" s="1"/>
  <c r="D53" i="91"/>
  <c r="E53" i="91"/>
  <c r="F53" i="91"/>
  <c r="G53" i="91" s="1"/>
  <c r="H53" i="91" s="1"/>
  <c r="F52" i="91"/>
  <c r="G52" i="91"/>
  <c r="H52" i="91" s="1"/>
  <c r="D52" i="91"/>
  <c r="D51" i="91"/>
  <c r="E51" i="91"/>
  <c r="F51" i="91" s="1"/>
  <c r="G51" i="91" s="1"/>
  <c r="H51" i="91" s="1"/>
  <c r="D50" i="91"/>
  <c r="E50" i="91" s="1"/>
  <c r="F50" i="91" s="1"/>
  <c r="G50" i="91" s="1"/>
  <c r="H50" i="91" s="1"/>
  <c r="D49" i="91"/>
  <c r="D48" i="91"/>
  <c r="E48" i="91" s="1"/>
  <c r="F48" i="91" s="1"/>
  <c r="G48" i="91" s="1"/>
  <c r="H48" i="91" s="1"/>
  <c r="D47" i="91"/>
  <c r="E47" i="91"/>
  <c r="F47" i="91" s="1"/>
  <c r="G47" i="91" s="1"/>
  <c r="H47" i="91" s="1"/>
  <c r="D46" i="91"/>
  <c r="E46" i="91" s="1"/>
  <c r="F46" i="91" s="1"/>
  <c r="G46" i="91" s="1"/>
  <c r="H46" i="91"/>
  <c r="D45" i="91"/>
  <c r="E45" i="91" s="1"/>
  <c r="F45" i="91" s="1"/>
  <c r="G45" i="91" s="1"/>
  <c r="H45" i="91" s="1"/>
  <c r="D44" i="91"/>
  <c r="E44" i="91"/>
  <c r="F44" i="91"/>
  <c r="G44" i="91" s="1"/>
  <c r="H44" i="91" s="1"/>
  <c r="D43" i="91"/>
  <c r="E43" i="91"/>
  <c r="F43" i="91" s="1"/>
  <c r="G43" i="91" s="1"/>
  <c r="D42" i="91"/>
  <c r="E42" i="91"/>
  <c r="F42" i="91" s="1"/>
  <c r="G42" i="91" s="1"/>
  <c r="H42" i="91" s="1"/>
  <c r="D41" i="91"/>
  <c r="E41" i="91" s="1"/>
  <c r="F41" i="91" s="1"/>
  <c r="G41" i="91" s="1"/>
  <c r="H41" i="91" s="1"/>
  <c r="D40" i="91"/>
  <c r="E40" i="91" s="1"/>
  <c r="F40" i="91" s="1"/>
  <c r="G40" i="91" s="1"/>
  <c r="H40" i="91" s="1"/>
  <c r="D39" i="91"/>
  <c r="E39" i="91"/>
  <c r="F39" i="91"/>
  <c r="G39" i="91" s="1"/>
  <c r="H39" i="91" s="1"/>
  <c r="D38" i="91"/>
  <c r="E38" i="91"/>
  <c r="F38" i="91" s="1"/>
  <c r="G38" i="91" s="1"/>
  <c r="H38" i="91" s="1"/>
  <c r="D36" i="91"/>
  <c r="E36" i="91" s="1"/>
  <c r="F36" i="91" s="1"/>
  <c r="G36" i="91" s="1"/>
  <c r="H36" i="91" s="1"/>
  <c r="D35" i="91"/>
  <c r="E35" i="91"/>
  <c r="F35" i="91"/>
  <c r="G35" i="91"/>
  <c r="H35" i="91" s="1"/>
  <c r="D34" i="91"/>
  <c r="E34" i="91" s="1"/>
  <c r="F34" i="91" s="1"/>
  <c r="G34" i="91" s="1"/>
  <c r="H34" i="91" s="1"/>
  <c r="D33" i="91"/>
  <c r="E33" i="91" s="1"/>
  <c r="F33" i="91" s="1"/>
  <c r="D32" i="91"/>
  <c r="D31" i="91"/>
  <c r="C30" i="91"/>
  <c r="F29" i="91"/>
  <c r="G29" i="91" s="1"/>
  <c r="H29" i="91" s="1"/>
  <c r="D27" i="91"/>
  <c r="E27" i="91"/>
  <c r="F27" i="91" s="1"/>
  <c r="G27" i="91" s="1"/>
  <c r="H27" i="91" s="1"/>
  <c r="D23" i="91"/>
  <c r="E23" i="91" s="1"/>
  <c r="F23" i="91" s="1"/>
  <c r="G23" i="91" s="1"/>
  <c r="H23" i="91"/>
  <c r="D21" i="91"/>
  <c r="E21" i="91" s="1"/>
  <c r="F21" i="91" s="1"/>
  <c r="D20" i="91"/>
  <c r="D30" i="91" s="1"/>
  <c r="D19" i="91"/>
  <c r="E19" i="91"/>
  <c r="D28" i="98"/>
  <c r="D30" i="93"/>
  <c r="C60" i="103"/>
  <c r="C30" i="90"/>
  <c r="C71" i="90" s="1"/>
  <c r="C70" i="83"/>
  <c r="C71" i="83" s="1"/>
  <c r="C74" i="83" s="1"/>
  <c r="C59" i="102"/>
  <c r="C56" i="100"/>
  <c r="E31" i="91"/>
  <c r="I73" i="92"/>
  <c r="C74" i="92"/>
  <c r="C77" i="92"/>
  <c r="H29" i="92"/>
  <c r="D31" i="89"/>
  <c r="G34" i="92"/>
  <c r="G29" i="92"/>
  <c r="E19" i="92"/>
  <c r="E30" i="92" s="1"/>
  <c r="C59" i="100"/>
  <c r="E49" i="91"/>
  <c r="F49" i="91" s="1"/>
  <c r="G49" i="91" s="1"/>
  <c r="H49" i="91" s="1"/>
  <c r="G21" i="98"/>
  <c r="G62" i="92"/>
  <c r="E35" i="119"/>
  <c r="F35" i="119"/>
  <c r="G35" i="119" s="1"/>
  <c r="C73" i="122"/>
  <c r="C76" i="122" s="1"/>
  <c r="D54" i="96"/>
  <c r="D57" i="96"/>
  <c r="D73" i="93"/>
  <c r="E20" i="91"/>
  <c r="E28" i="89"/>
  <c r="E73" i="89" s="1"/>
  <c r="E76" i="89" s="1"/>
  <c r="D54" i="108"/>
  <c r="D57" i="108" s="1"/>
  <c r="E41" i="113"/>
  <c r="D70" i="113"/>
  <c r="G28" i="117"/>
  <c r="F27" i="94"/>
  <c r="H20" i="117"/>
  <c r="D26" i="99"/>
  <c r="D73" i="99"/>
  <c r="D76" i="99" s="1"/>
  <c r="C51" i="105"/>
  <c r="C52" i="105" s="1"/>
  <c r="E19" i="117"/>
  <c r="E30" i="117" s="1"/>
  <c r="D30" i="117"/>
  <c r="C72" i="123"/>
  <c r="C75" i="123" s="1"/>
  <c r="E32" i="91" l="1"/>
  <c r="E68" i="91" s="1"/>
  <c r="D68" i="91"/>
  <c r="D69" i="91" s="1"/>
  <c r="D79" i="91" s="1"/>
  <c r="D73" i="119"/>
  <c r="D74" i="119" s="1"/>
  <c r="D77" i="119" s="1"/>
  <c r="E58" i="119"/>
  <c r="F58" i="119" s="1"/>
  <c r="G58" i="119" s="1"/>
  <c r="E74" i="98"/>
  <c r="E75" i="98" s="1"/>
  <c r="E78" i="98" s="1"/>
  <c r="E73" i="119"/>
  <c r="E74" i="119" s="1"/>
  <c r="E77" i="119" s="1"/>
  <c r="E41" i="117"/>
  <c r="F41" i="117" s="1"/>
  <c r="G41" i="117" s="1"/>
  <c r="D73" i="117"/>
  <c r="D74" i="117" s="1"/>
  <c r="D77" i="117" s="1"/>
  <c r="J23" i="92"/>
  <c r="J30" i="92" s="1"/>
  <c r="J74" i="92" s="1"/>
  <c r="J77" i="92" s="1"/>
  <c r="I30" i="92"/>
  <c r="I74" i="92" s="1"/>
  <c r="I77" i="92" s="1"/>
  <c r="E30" i="91"/>
  <c r="G22" i="98"/>
  <c r="G28" i="98" s="1"/>
  <c r="F28" i="98"/>
  <c r="H32" i="98"/>
  <c r="G74" i="98"/>
  <c r="G75" i="98" s="1"/>
  <c r="G78" i="98" s="1"/>
  <c r="G34" i="117"/>
  <c r="E28" i="98"/>
  <c r="F74" i="98"/>
  <c r="G30" i="117"/>
  <c r="F30" i="91"/>
  <c r="G21" i="91"/>
  <c r="F72" i="94"/>
  <c r="F75" i="94" s="1"/>
  <c r="G33" i="91"/>
  <c r="F68" i="91"/>
  <c r="D74" i="93"/>
  <c r="D77" i="93" s="1"/>
  <c r="D72" i="89"/>
  <c r="D73" i="89" s="1"/>
  <c r="E73" i="92"/>
  <c r="E74" i="92" s="1"/>
  <c r="E77" i="92" s="1"/>
  <c r="D72" i="124"/>
  <c r="D75" i="124" s="1"/>
  <c r="G73" i="92"/>
  <c r="G74" i="92" s="1"/>
  <c r="G77" i="92" s="1"/>
  <c r="D73" i="92"/>
  <c r="D74" i="92" s="1"/>
  <c r="D77" i="92" s="1"/>
  <c r="G73" i="119"/>
  <c r="I25" i="98"/>
  <c r="I28" i="98" s="1"/>
  <c r="H28" i="98"/>
  <c r="E70" i="113"/>
  <c r="E71" i="113" s="1"/>
  <c r="E74" i="113" s="1"/>
  <c r="D74" i="91"/>
  <c r="D75" i="91" s="1"/>
  <c r="E27" i="94"/>
  <c r="E72" i="94" s="1"/>
  <c r="E75" i="94" s="1"/>
  <c r="D32" i="113"/>
  <c r="D71" i="113" s="1"/>
  <c r="D74" i="113" s="1"/>
  <c r="D71" i="123"/>
  <c r="H30" i="92"/>
  <c r="D74" i="98"/>
  <c r="D75" i="98" s="1"/>
  <c r="D78" i="98" s="1"/>
  <c r="E72" i="99"/>
  <c r="E73" i="99" s="1"/>
  <c r="E76" i="99" s="1"/>
  <c r="D27" i="123"/>
  <c r="D71" i="125"/>
  <c r="D72" i="125" s="1"/>
  <c r="D75" i="125" s="1"/>
  <c r="C72" i="89"/>
  <c r="C53" i="109"/>
  <c r="C54" i="109" s="1"/>
  <c r="E32" i="113"/>
  <c r="F30" i="119"/>
  <c r="C72" i="124"/>
  <c r="C75" i="124" s="1"/>
  <c r="D27" i="125"/>
  <c r="F73" i="92"/>
  <c r="F74" i="92" s="1"/>
  <c r="F77" i="92" s="1"/>
  <c r="C51" i="104"/>
  <c r="C52" i="104" s="1"/>
  <c r="E72" i="90"/>
  <c r="E75" i="90" s="1"/>
  <c r="G30" i="119"/>
  <c r="G27" i="92"/>
  <c r="G30" i="92" s="1"/>
  <c r="H30" i="117"/>
  <c r="H30" i="119"/>
  <c r="E73" i="117" l="1"/>
  <c r="E74" i="117" s="1"/>
  <c r="E77" i="117" s="1"/>
  <c r="F75" i="98"/>
  <c r="F78" i="98" s="1"/>
  <c r="I32" i="98"/>
  <c r="I74" i="98" s="1"/>
  <c r="I75" i="98" s="1"/>
  <c r="I78" i="98" s="1"/>
  <c r="H74" i="98"/>
  <c r="H75" i="98" s="1"/>
  <c r="H78" i="98" s="1"/>
  <c r="D72" i="123"/>
  <c r="D75" i="123" s="1"/>
  <c r="G74" i="119"/>
  <c r="G77" i="119" s="1"/>
  <c r="F69" i="91"/>
  <c r="F79" i="91" s="1"/>
  <c r="F73" i="119"/>
  <c r="F74" i="119" s="1"/>
  <c r="F77" i="119" s="1"/>
  <c r="H33" i="91"/>
  <c r="H68" i="91" s="1"/>
  <c r="G68" i="91"/>
  <c r="F73" i="117"/>
  <c r="F74" i="117" s="1"/>
  <c r="F77" i="117" s="1"/>
  <c r="H21" i="91"/>
  <c r="H30" i="91" s="1"/>
  <c r="G30" i="91"/>
  <c r="G73" i="117"/>
  <c r="G74" i="117" s="1"/>
  <c r="G77" i="117" s="1"/>
  <c r="E69" i="91"/>
  <c r="E79" i="91" s="1"/>
  <c r="G69" i="91" l="1"/>
  <c r="G79" i="91" s="1"/>
  <c r="H69" i="91"/>
  <c r="H79" i="91" s="1"/>
</calcChain>
</file>

<file path=xl/sharedStrings.xml><?xml version="1.0" encoding="utf-8"?>
<sst xmlns="http://schemas.openxmlformats.org/spreadsheetml/2006/main" count="2367" uniqueCount="265">
  <si>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</si>
  <si>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</si>
  <si>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</si>
  <si>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</si>
  <si>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</si>
  <si>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 xml:space="preserve">Tiešās izmaksas </t>
  </si>
  <si>
    <t>Maksas pakalpojuma izcenojuma aprēķins</t>
  </si>
  <si>
    <t>SASKAŅOTS</t>
  </si>
  <si>
    <t>Informācijas sistēmas licenču nomas izdevumi</t>
  </si>
  <si>
    <t>Pārējie informācijas tehnoloģiju pakalpojumi</t>
  </si>
  <si>
    <t> Ēku, būvju un telpu kārtējais remonts</t>
  </si>
  <si>
    <t> Transportlīdzekļu uzturēšana un remonts</t>
  </si>
  <si>
    <t> Iekārtas, inventāra un aparatūras remonts, tehniskā apkalpošana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</si>
  <si>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</si>
  <si>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</si>
  <si>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</si>
  <si>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</si>
  <si>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</si>
  <si>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</si>
  <si>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</si>
  <si>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</si>
  <si>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</si>
  <si>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</si>
  <si>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</si>
  <si>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</si>
  <si>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</si>
  <si>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</si>
  <si>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</si>
  <si>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</si>
  <si>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</si>
  <si>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</si>
  <si>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</si>
  <si>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</si>
  <si>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</si>
  <si>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</si>
  <si>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</si>
  <si>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</si>
  <si>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</si>
  <si>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</si>
  <si>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</si>
  <si>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</si>
  <si>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</si>
  <si>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Mācību, darba un dienesta komandējumi, dienesta, darba braucieni</t>
  </si>
  <si>
    <t> Izdevumi periodikas iegādei</t>
  </si>
  <si>
    <t>Sociālās integrācijas valsts aģentūras</t>
  </si>
  <si>
    <t>Maksas pakalpojuma vienību skaits noteiktā laikposmā (gab.)</t>
  </si>
  <si>
    <t>Piezīme. *Ailes neaizpilda, ja izvēlētais laikposms ir viens gads.</t>
  </si>
  <si>
    <t>sākotnējās ietekmes novērtējuma ziņojumam (anotācijai)</t>
  </si>
  <si>
    <t>Satura rādītājs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</si>
  <si>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</si>
  <si>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</si>
  <si>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</si>
  <si>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</si>
  <si>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 xml:space="preserve">Izmaksu apjoms noteiktā laikposmā viena maksas pakalpojuma veida nodrošināšanai </t>
  </si>
  <si>
    <t xml:space="preserve">Maksas pakalpojuma izcenojums (euro) </t>
  </si>
  <si>
    <t xml:space="preserve"> Budžeta iestāžu dabas resursu nodokļa maksājumi</t>
  </si>
  <si>
    <t xml:space="preserve"> Atalgojums</t>
  </si>
  <si>
    <t xml:space="preserve"> Netiešās izmaksas </t>
  </si>
  <si>
    <t xml:space="preserve"> Tiešās izmaksas kopā</t>
  </si>
  <si>
    <t xml:space="preserve"> Apdrošināšanas izdevumi</t>
  </si>
  <si>
    <t xml:space="preserve"> Netiešās izmaksas kopā</t>
  </si>
  <si>
    <t xml:space="preserve"> Pakalpojumu izmaksas kopā</t>
  </si>
  <si>
    <t>Prognozētais maksas pakalpojumu skaits gadā (gab.)*</t>
  </si>
  <si>
    <t xml:space="preserve">Prognozētie ieņēmumi gadā (euro)* </t>
  </si>
  <si>
    <t>Izmaksu apjoms noteiktā laikposmā viena maksas pakalpojuma veida nodrošināšanai</t>
  </si>
  <si>
    <t>Mīkstais inventārs</t>
  </si>
  <si>
    <t>Maksas pakalpojuma izcenojums (euro)</t>
  </si>
  <si>
    <t>Prognozētie ieņēmumi gadā (euro)*</t>
  </si>
  <si>
    <t>Sociālā rehabilitētāja nodarbība, līdz 10 cilvēkiem, 60min.</t>
  </si>
  <si>
    <t>Tiešās izmaksas kopā</t>
  </si>
  <si>
    <t xml:space="preserve">Netiešās izmaksas </t>
  </si>
  <si>
    <t>Apdrošināšanas izdevumi</t>
  </si>
  <si>
    <t>Informācijas sistēmas uzturēšana</t>
  </si>
  <si>
    <t>Budžeta iestāžu dabas resursu nodokļa maksājumi</t>
  </si>
  <si>
    <t>Netiešās izmaksas kopā</t>
  </si>
  <si>
    <t>Pakalpojumu izmaksas kopā</t>
  </si>
  <si>
    <t>Iekārtas, inventāra un aparatūras remonts, tehniskā apkalpošana</t>
  </si>
  <si>
    <t>Aerobika ūdenī grupā (vienai personai)</t>
  </si>
  <si>
    <t>Trenažieru zāles apmeklējums (vienai personai)</t>
  </si>
  <si>
    <t>Aerobika zālē grupā (vienai personai)</t>
  </si>
  <si>
    <t>Psihologa konsultācija</t>
  </si>
  <si>
    <t>Psihologa nodarbība  individuāli</t>
  </si>
  <si>
    <t>Psihologa nodarbība grupā (līdz 8 cilvēkiem)</t>
  </si>
  <si>
    <t>Atalgojums</t>
  </si>
  <si>
    <t>Aprēķinu sastādīja: SIVA Finanšu nodaļas finanšu ekonomiste E.Lipiņa</t>
  </si>
  <si>
    <t>Imatrikulācija un kvalifikācijas darba izstrādes un aizstāvēšanas nodrošināšana</t>
  </si>
  <si>
    <t>Nozaudētas studenta apliecības dublikāta izgatavošana</t>
  </si>
  <si>
    <t>Imatrikulācija un kvalifikācijas darba aizstāvēšana</t>
  </si>
  <si>
    <t>Kopēšana vai dokumenta ieskenēšana un nosūtīšana vai drukāšana</t>
  </si>
  <si>
    <t>direktores p.i. G.Apele</t>
  </si>
  <si>
    <t>2019. gada 15.martā</t>
  </si>
  <si>
    <t>direktore I.Jurševska</t>
  </si>
  <si>
    <t xml:space="preserve">2022. gada   </t>
  </si>
  <si>
    <t>Darba devēja valsts sociālās apdrošināšanas obligātās iemaksas, pabalsti un kompensācijas</t>
  </si>
  <si>
    <t>Izdevumi par elektroenerģiju</t>
  </si>
  <si>
    <t>Inventārs</t>
  </si>
  <si>
    <t>Kurināmais</t>
  </si>
  <si>
    <t>Zāles, ķimikālijas, laboratorijas preces</t>
  </si>
  <si>
    <t>Iestāžu uzturēšanas materiāli un preces</t>
  </si>
  <si>
    <t xml:space="preserve"> Pārējie iepriekš neklasificētie pamatlīdzekļi un ieguldījuma īpašumi</t>
  </si>
  <si>
    <t>Izdevumi par sakaru pakalpojumiem</t>
  </si>
  <si>
    <t>Izdevumi par ūdensapgādi un kanalizāciju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</si>
  <si>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</si>
  <si>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</si>
  <si>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</si>
  <si>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</si>
  <si>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</si>
  <si>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</si>
  <si>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Nekustamā īpašuma uzturēšana</t>
  </si>
  <si>
    <t>Pārējie remontdarbu un iestāžu uzturēšanas pakalpojumi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</si>
  <si>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</si>
  <si>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</si>
  <si>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</si>
  <si>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</si>
  <si>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</si>
  <si>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Darba aizsardzības līdzekļi</t>
  </si>
  <si>
    <t>Izdevumi par precēm iestādes sabiedrisko aktivitāšu īstenošanai</t>
  </si>
  <si>
    <t>Degviela</t>
  </si>
  <si>
    <t>Budžeta iestāžu nekustamā īpašuma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</si>
  <si>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</si>
  <si>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</si>
  <si>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</si>
  <si>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</si>
  <si>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</si>
  <si>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2023.gadā un turpmāk</t>
  </si>
  <si>
    <t>2022.gada</t>
  </si>
  <si>
    <t>Kārtējā remonta un iestāžu uzturēšanas materiāli</t>
  </si>
  <si>
    <t>Pārējie remonta darbu un iestāžu uzturēšanas pakalpojumi</t>
  </si>
  <si>
    <t>Ēku, telpu īre un noma</t>
  </si>
  <si>
    <t>Virtuves inventārs, trauki un galda piederumi</t>
  </si>
  <si>
    <t>Ēdināšanas izdevumi</t>
  </si>
  <si>
    <t>Mācību līdzekļi un materiāli</t>
  </si>
  <si>
    <t>Izdevumi periodikas iegādei</t>
  </si>
  <si>
    <t>Budžeta iestāžu pievienotās vērtības nodokļa maksājumi</t>
  </si>
  <si>
    <t>Aprēķinu sastādīja: SIVA Finanšu nodaļas finanšu ekonomiste Erna Lipiņa</t>
  </si>
  <si>
    <t xml:space="preserve"> Darba devēja valsts sociālās apdrošināšanas obligātās iemaksas, pabalsti un kompensācijas</t>
  </si>
  <si>
    <t>2022.g.</t>
  </si>
  <si>
    <t>2023.gads un turpmāk</t>
  </si>
  <si>
    <t>Pārējie pamatlīdzekļi</t>
  </si>
  <si>
    <t>Izdevumi par ūdensapgādi  un kanalizāciju</t>
  </si>
  <si>
    <t xml:space="preserve">Budžeta iestāžu nekustamā īpašuma nodokļa maksājumi </t>
  </si>
  <si>
    <t>Iekārtu un inventāra īre un noma</t>
  </si>
  <si>
    <t> Budžeta iestāžu nekustamā īpašuma nodokļa maksājumi budžetā</t>
  </si>
  <si>
    <t xml:space="preserve"> Izdevumi par ūdensapgādi un kanalizāciju </t>
  </si>
  <si>
    <t xml:space="preserve"> Nekustamā īpašuma uzturēšana</t>
  </si>
  <si>
    <t xml:space="preserve"> Biroja preces</t>
  </si>
  <si>
    <t xml:space="preserve"> Zāles, ķimikālijas, laboratorijas preces </t>
  </si>
  <si>
    <t xml:space="preserve"> Iestāžu uzturēšanas materiāli un preces</t>
  </si>
  <si>
    <t xml:space="preserve"> Pārējie valsts un pašvaldību aprūpē, apgādē un dienestā (amatā) esošo personu uzturēšanas izdevumi</t>
  </si>
  <si>
    <t xml:space="preserve"> Datortehnika, sakaru un cita biroja tehnika </t>
  </si>
  <si>
    <t> Izdevumi par sakaru pakalpojumiem</t>
  </si>
  <si>
    <t xml:space="preserve"> Izdevumi par atkritumu savākšanu, izvešanu un atkritumu utilizāciju </t>
  </si>
  <si>
    <t xml:space="preserve"> Izdevumi iestādes sabiedrisko aktiv itāšu īstenošanai</t>
  </si>
  <si>
    <t xml:space="preserve"> Pārējie neklasificētie pakalpojumi</t>
  </si>
  <si>
    <t> Ēku, būvju un telpu būvdarbi</t>
  </si>
  <si>
    <t xml:space="preserve"> Informācijas tehnoloģiju pakalpojumi </t>
  </si>
  <si>
    <t> Pārējie pamatlīdzekļi</t>
  </si>
  <si>
    <t>Pārējie valsts un pašvaldību aprūpē, apgādē un dienestā (amatā) esošo personu uzturēšanas izdevumi</t>
  </si>
  <si>
    <t xml:space="preserve"> Pārējie pamatlīdzekļi</t>
  </si>
  <si>
    <t>Izdevumi iestādes sabiedrisko aktiv itāšu īstenošanai</t>
  </si>
  <si>
    <t>Aprēķinu sastādīja:SIVA Finanšu nodaļas finanšu ekonomiste Erna Lipiņa</t>
  </si>
  <si>
    <t xml:space="preserve"> Izdevumi par saņemtajiem apmācību pakalpojumiem</t>
  </si>
  <si>
    <t>Aprēķinu sastādīja:SIVA Finanšu nodaļas vecākā finanšu ekonomiste Anita Ozoliņa</t>
  </si>
  <si>
    <t xml:space="preserve">2023. gada   </t>
  </si>
  <si>
    <t xml:space="preserve">2023.gada </t>
  </si>
  <si>
    <t>8. Pārējie maksas pakalpojumi</t>
  </si>
  <si>
    <t>8.1. Fitnesa pakalpojumi</t>
  </si>
  <si>
    <t>......</t>
  </si>
  <si>
    <t>9.pielikums</t>
  </si>
  <si>
    <t>8.1.1.</t>
  </si>
  <si>
    <t>8.1.1. Aerobika ūdenī grupā (vienai personai)  45min</t>
  </si>
  <si>
    <t>8.1.3. Aerobika zālē grupā (vienai personai)</t>
  </si>
  <si>
    <t>8.1.2. Trenažieru zāles apmeklējums</t>
  </si>
  <si>
    <t>8.1.4. Pilates zālē grupā (vienai personai)</t>
  </si>
  <si>
    <t>8.1.2.</t>
  </si>
  <si>
    <t>8.1.3.</t>
  </si>
  <si>
    <t>8.1.4.</t>
  </si>
  <si>
    <t>Pilates zālē grupā (vienai personai)</t>
  </si>
  <si>
    <t>8.1.5.</t>
  </si>
  <si>
    <t>Joga zālē grupā (vienai personai)</t>
  </si>
  <si>
    <t>8.1.5. Joga zālē grupā (vienai personai)</t>
  </si>
  <si>
    <t>8.2. Lietvedības pakalpojumi</t>
  </si>
  <si>
    <t>8.2.1. Kopēšana vai dokumenta ieskenēšana un nosūtīšana vai drukāšana</t>
  </si>
  <si>
    <t>8.2.2. Profesionālo izglītību un profesionālo kvalifikāciju apliecinoša dokumenta dublikāta izsniegšana</t>
  </si>
  <si>
    <t>8.2.4. Akadēmiskās izziņas izsniegšana</t>
  </si>
  <si>
    <t>8.2.3. Profesionālo izglītību un profesionālo kvalifikāciju apliecinoša dokumenta pielikuma dublikāta izsniegšana</t>
  </si>
  <si>
    <t xml:space="preserve"> Darba devēja valsts sociālās apdrošināšanas obligātās iemaksas, sociāla rakstura pabalsti un kompensācijas</t>
  </si>
  <si>
    <t> Ēku, būvju un telpu uzturēšana</t>
  </si>
  <si>
    <t>Pārējie sakaru pakalpojumi</t>
  </si>
  <si>
    <t>8.2.5. Medicīniskās dokumentācijas dublikāta izsniegšana</t>
  </si>
  <si>
    <t>8.2.6. Izrakstu/lēmumu nosūtīšana pa pastu vēstulē</t>
  </si>
  <si>
    <t>8.2.7. Iestādes arhivēto dokumentu dublikāta izsniegšana</t>
  </si>
  <si>
    <t xml:space="preserve">8.3. Klienta veļas mazgāšana </t>
  </si>
  <si>
    <t>8.4. Klienta veļas žāvēšana</t>
  </si>
  <si>
    <t>8.5. Gultas veļas papildu maiņa</t>
  </si>
  <si>
    <t>8.6. Pārcelšana no viena numura uz citu numuru pēc klienta vēlēšanās</t>
  </si>
  <si>
    <t>8.9. Psihologa pakalpojumi</t>
  </si>
  <si>
    <t>8.9.1. Psihologa konsultācija</t>
  </si>
  <si>
    <t xml:space="preserve">8.9.2. Psihologa nodarbība grupā </t>
  </si>
  <si>
    <t>8.9.3. Psihologa nodarbība individuāli</t>
  </si>
  <si>
    <t xml:space="preserve">8.9. Psihologa pakalpojums </t>
  </si>
  <si>
    <t>8.9.4. Supervīzija</t>
  </si>
  <si>
    <t>8.9.4.1. Individuāla</t>
  </si>
  <si>
    <t>8.9.4.2. Vienai personai grupā līdz 6 cilv.</t>
  </si>
  <si>
    <t>Izdevumi par saņemtajiem apmācību pakalpojumiem</t>
  </si>
  <si>
    <t>8.9.4.3. Vienai personai grupā līdz 12 cilv.</t>
  </si>
  <si>
    <t>8.10. Citi ar izglītības iegūšanu saistītie pakalpojumi</t>
  </si>
  <si>
    <t>8.10.1. Atkārtota zināšanu pārbaude (ieskaite,eksāmens,kursa darbs)</t>
  </si>
  <si>
    <t>8.10.2. Atkārtota kursa darba vai kvalifikācijas darba vērtēšana, ja konstatēts autortiesību pārkāpums</t>
  </si>
  <si>
    <t>8.10.3. Imatrikulācija un kvalifikācijas darba nodrošināšana un aizstāvēšana</t>
  </si>
  <si>
    <t>8.10.3.1. Imatrikulācija un kvalifikācijas darba izstrādes un aizstāvēšanas nodrošināšana</t>
  </si>
  <si>
    <t>8.10.3.2. Imatrikulācija un kvalifikācijas darba aizstāvēšana</t>
  </si>
  <si>
    <t>8.10.4. Nozaudētas studenta apliecības dublikāta izgatavošana</t>
  </si>
  <si>
    <t xml:space="preserve">8.11.  Sociālā rehabilitētāja nodarbības </t>
  </si>
  <si>
    <t>8.12. Izglītojamo gatavotie suvenīri</t>
  </si>
  <si>
    <t>8.12.1. Suvenīri 1.veids</t>
  </si>
  <si>
    <t>8.12.2. Suvenīri 2.veids</t>
  </si>
  <si>
    <t>8.2.1.</t>
  </si>
  <si>
    <t>8.2.2.</t>
  </si>
  <si>
    <t>8.2.3.</t>
  </si>
  <si>
    <t>Profesionālo izglītību un profesionālo kvalifikāciju apliecinoša dokumenta dublikāta izsniegšana</t>
  </si>
  <si>
    <t>8.2.4.</t>
  </si>
  <si>
    <t>Akadēmiskās izziņas izsniegšana</t>
  </si>
  <si>
    <t>Profesionālo izglītību un profesionālo kvalifikāciju apliecinoša dokumenta pielikuma dublikāta izsniegšana</t>
  </si>
  <si>
    <t>8.2.5.</t>
  </si>
  <si>
    <t>8.2.6.</t>
  </si>
  <si>
    <t>8.2.7.</t>
  </si>
  <si>
    <t>Medicīniskās dokumentācijas dublikāta izsniegšana</t>
  </si>
  <si>
    <t>Izrakstu/lēmumu nosūtīšana pa pastu vēstulē</t>
  </si>
  <si>
    <t>Iestādes arhivēto dokumentu dublikāta izsniegšana</t>
  </si>
  <si>
    <t>8.3.</t>
  </si>
  <si>
    <t>8.4.</t>
  </si>
  <si>
    <t>8.5.</t>
  </si>
  <si>
    <t>8.6.</t>
  </si>
  <si>
    <t>8.7.</t>
  </si>
  <si>
    <t>Klienta veļas mazgāšana</t>
  </si>
  <si>
    <t>Klienta veļas žāvēšana</t>
  </si>
  <si>
    <t>Gultas veļas papildu maiņa</t>
  </si>
  <si>
    <t>Pārcelšana no viena numura uz citu numuru pēc klienta vēlēšanās</t>
  </si>
  <si>
    <t>Nozaudētas atslēgas dublikāta izgatavošana vai slēdzamas mantu glabātavas izmantošana</t>
  </si>
  <si>
    <t>8.7. Nozaudētas atslēgas dublikāta izgatavošana vai slēdzamas mantu glabātavas izmantošana</t>
  </si>
  <si>
    <t>8.9.1.</t>
  </si>
  <si>
    <t>8.9.2.</t>
  </si>
  <si>
    <t>8.9.3.</t>
  </si>
  <si>
    <t>8.10.3.1.</t>
  </si>
  <si>
    <t>8.10.1.</t>
  </si>
  <si>
    <t>Atkārtota zināšanu pārbaude (ieskaite,eksāmens,kursa darbs)</t>
  </si>
  <si>
    <t>8.10.2.</t>
  </si>
  <si>
    <t>8.10.3.2.</t>
  </si>
  <si>
    <t>Atkārtota kursa darba vai kvalifikācijas darba vērtēšana, ja konstatēts autortiesību pārkāpums</t>
  </si>
  <si>
    <t>8.10.4.</t>
  </si>
  <si>
    <t>8.11.1.</t>
  </si>
  <si>
    <t>Sociālā rehabilitētāja nodarbība grupā līdz 3 cilvēkiem, 1 reize līdz 60 min.</t>
  </si>
  <si>
    <t>8.11.2.</t>
  </si>
  <si>
    <t>8.12.1.</t>
  </si>
  <si>
    <t>8.12.2.</t>
  </si>
  <si>
    <t>Suvenīri 1.veids</t>
  </si>
  <si>
    <t>Suvenīri 2.veids</t>
  </si>
  <si>
    <t>Eksperta karjeras atbalsta jomā konsultācija</t>
  </si>
  <si>
    <t>Izdevumi par ūdeni un kanalizāciju</t>
  </si>
  <si>
    <t>2023.gada 29.martā</t>
  </si>
  <si>
    <t>8.8.</t>
  </si>
  <si>
    <t>8.8.  Eksperta karjeras atbalsta jomā konsultācija</t>
  </si>
  <si>
    <t>8.11.1.  Sociālā rehabilitētāja nodarbība grupā līdz 10 cilvēkiem</t>
  </si>
  <si>
    <t>8.11.2.  Sociālā rehabilitētāja nodarbība grupā līdz 3 cilvēkiem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</si>
</sst>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0.000000"/>
    <numFmt numFmtId="166" formatCode="0.00000"/>
    <numFmt numFmtId="167" formatCode="0.0000"/>
    <numFmt numFmtId="168" formatCode="0.000"/>
  </numFmts>
  <fonts count="12" x14ac:knownFonts="1">
    <font>
      <sz val="10"/>
      <name val="Arial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4"/>
      <name val="Times New Roman"/>
      <family val="1"/>
      <charset val="186"/>
    </font>
    <font>
      <sz val="11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theme="0" tint="-0.34998626667073579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7">
    <xf numFmtId="0" fontId="0" fillId="0" borderId="0" xfId="0"/>
    <xf numFmtId="0" fontId="2" fillId="0" borderId="0" xfId="0" applyFont="1" applyBorder="1" applyAlignment="1">
      <alignment horizontal="left"/>
    </xf>
    <xf numFmtId="0" fontId="2" fillId="0" borderId="0" xfId="0" applyFont="1"/>
    <xf numFmtId="0" fontId="2" fillId="0" borderId="0" xfId="0" applyFont="1" applyBorder="1"/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right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7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2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/>
    </xf>
    <xf numFmtId="2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7" fillId="0" borderId="1" xfId="0" applyFont="1" applyBorder="1" applyAlignment="1"/>
    <xf numFmtId="0" fontId="3" fillId="0" borderId="0" xfId="0" applyFont="1" applyBorder="1"/>
    <xf numFmtId="2" fontId="3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3" fillId="0" borderId="0" xfId="1" applyFont="1"/>
    <xf numFmtId="0" fontId="3" fillId="0" borderId="0" xfId="1" applyFont="1" applyBorder="1"/>
    <xf numFmtId="0" fontId="3" fillId="0" borderId="0" xfId="1" applyFont="1" applyAlignment="1">
      <alignment horizontal="center"/>
    </xf>
    <xf numFmtId="0" fontId="1" fillId="0" borderId="0" xfId="0" applyFont="1"/>
    <xf numFmtId="2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2" fontId="7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2" xfId="1" applyFont="1" applyBorder="1" applyAlignment="1">
      <alignment wrapText="1"/>
    </xf>
    <xf numFmtId="0" fontId="4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/>
    <xf numFmtId="2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2" fontId="3" fillId="0" borderId="0" xfId="0" applyNumberFormat="1" applyFont="1" applyBorder="1" applyAlignment="1">
      <alignment horizontal="center" vertical="top"/>
    </xf>
    <xf numFmtId="0" fontId="3" fillId="0" borderId="1" xfId="1" applyFont="1" applyBorder="1"/>
    <xf numFmtId="0" fontId="3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top"/>
    </xf>
    <xf numFmtId="2" fontId="7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0" xfId="0" applyFont="1" applyFill="1" applyBorder="1"/>
    <xf numFmtId="2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0" fontId="7" fillId="0" borderId="0" xfId="0" applyFont="1" applyAlignment="1"/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right" wrapText="1"/>
    </xf>
    <xf numFmtId="0" fontId="9" fillId="0" borderId="0" xfId="0" applyFont="1"/>
    <xf numFmtId="2" fontId="3" fillId="0" borderId="0" xfId="0" applyNumberFormat="1" applyFont="1" applyAlignment="1">
      <alignment horizontal="right"/>
    </xf>
    <xf numFmtId="2" fontId="3" fillId="0" borderId="0" xfId="0" applyNumberFormat="1" applyFont="1" applyAlignment="1"/>
    <xf numFmtId="2" fontId="3" fillId="0" borderId="0" xfId="0" applyNumberFormat="1" applyFont="1" applyAlignment="1">
      <alignment wrapText="1"/>
    </xf>
    <xf numFmtId="2" fontId="3" fillId="0" borderId="0" xfId="0" applyNumberFormat="1" applyFont="1"/>
    <xf numFmtId="2" fontId="3" fillId="0" borderId="0" xfId="0" applyNumberFormat="1" applyFont="1" applyBorder="1" applyAlignment="1">
      <alignment horizontal="left"/>
    </xf>
    <xf numFmtId="2" fontId="3" fillId="0" borderId="0" xfId="0" applyNumberFormat="1" applyFont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vertical="top"/>
    </xf>
    <xf numFmtId="2" fontId="7" fillId="0" borderId="1" xfId="0" applyNumberFormat="1" applyFont="1" applyBorder="1" applyAlignment="1">
      <alignment vertical="top"/>
    </xf>
    <xf numFmtId="167" fontId="3" fillId="0" borderId="1" xfId="0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2" fontId="3" fillId="0" borderId="0" xfId="0" applyNumberFormat="1" applyFont="1" applyBorder="1"/>
    <xf numFmtId="0" fontId="3" fillId="0" borderId="0" xfId="1" applyFont="1" applyBorder="1" applyAlignment="1">
      <alignment wrapText="1"/>
    </xf>
    <xf numFmtId="2" fontId="3" fillId="0" borderId="2" xfId="1" applyNumberFormat="1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3" fillId="0" borderId="0" xfId="1" applyFont="1" applyBorder="1" applyAlignment="1">
      <alignment vertical="top" wrapText="1"/>
    </xf>
    <xf numFmtId="2" fontId="3" fillId="0" borderId="2" xfId="1" applyNumberFormat="1" applyFont="1" applyBorder="1" applyAlignment="1">
      <alignment vertical="top" wrapText="1"/>
    </xf>
    <xf numFmtId="2" fontId="3" fillId="0" borderId="0" xfId="1" applyNumberFormat="1" applyFont="1"/>
    <xf numFmtId="2" fontId="3" fillId="0" borderId="0" xfId="1" applyNumberFormat="1" applyFont="1" applyBorder="1"/>
    <xf numFmtId="2" fontId="3" fillId="0" borderId="0" xfId="0" applyNumberFormat="1" applyFont="1" applyAlignment="1">
      <alignment horizontal="left"/>
    </xf>
    <xf numFmtId="168" fontId="3" fillId="0" borderId="0" xfId="0" applyNumberFormat="1" applyFont="1"/>
    <xf numFmtId="0" fontId="5" fillId="0" borderId="0" xfId="0" applyFont="1" applyAlignment="1">
      <alignment horizontal="center"/>
    </xf>
    <xf numFmtId="2" fontId="0" fillId="0" borderId="0" xfId="0" applyNumberFormat="1"/>
    <xf numFmtId="2" fontId="7" fillId="0" borderId="0" xfId="0" applyNumberFormat="1" applyFont="1" applyFill="1" applyBorder="1" applyAlignment="1">
      <alignment horizontal="center"/>
    </xf>
    <xf numFmtId="0" fontId="10" fillId="0" borderId="1" xfId="0" applyFont="1" applyBorder="1"/>
    <xf numFmtId="166" fontId="10" fillId="0" borderId="1" xfId="0" applyNumberFormat="1" applyFont="1" applyBorder="1"/>
    <xf numFmtId="2" fontId="7" fillId="0" borderId="3" xfId="0" applyNumberFormat="1" applyFont="1" applyFill="1" applyBorder="1" applyAlignment="1">
      <alignment horizontal="center" vertical="top"/>
    </xf>
    <xf numFmtId="0" fontId="0" fillId="0" borderId="0" xfId="0" applyBorder="1"/>
    <xf numFmtId="165" fontId="3" fillId="0" borderId="0" xfId="1" applyNumberFormat="1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/>
    <xf numFmtId="0" fontId="3" fillId="0" borderId="1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2" xfId="1" applyFont="1" applyFill="1" applyBorder="1" applyAlignment="1">
      <alignment wrapText="1"/>
    </xf>
    <xf numFmtId="168" fontId="3" fillId="0" borderId="0" xfId="1" applyNumberFormat="1" applyFont="1"/>
    <xf numFmtId="2" fontId="3" fillId="0" borderId="1" xfId="1" applyNumberFormat="1" applyFont="1" applyBorder="1"/>
    <xf numFmtId="0" fontId="3" fillId="3" borderId="2" xfId="1" applyFont="1" applyFill="1" applyBorder="1" applyAlignment="1">
      <alignment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/>
    </xf>
    <xf numFmtId="0" fontId="3" fillId="0" borderId="0" xfId="1" applyFont="1" applyBorder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Fill="1" applyBorder="1"/>
    <xf numFmtId="2" fontId="8" fillId="0" borderId="0" xfId="0" applyNumberFormat="1" applyFont="1"/>
    <xf numFmtId="164" fontId="3" fillId="0" borderId="1" xfId="0" applyNumberFormat="1" applyFont="1" applyBorder="1" applyAlignment="1">
      <alignment horizontal="center"/>
    </xf>
    <xf numFmtId="0" fontId="4" fillId="0" borderId="0" xfId="0" applyFont="1"/>
    <xf numFmtId="4" fontId="2" fillId="0" borderId="0" xfId="0" applyNumberFormat="1" applyFont="1" applyAlignment="1"/>
    <xf numFmtId="4" fontId="11" fillId="0" borderId="0" xfId="0" applyNumberFormat="1" applyFont="1" applyAlignment="1"/>
    <xf numFmtId="0" fontId="3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wrapText="1"/>
    </xf>
    <xf numFmtId="0" fontId="4" fillId="0" borderId="0" xfId="0" applyFont="1" applyBorder="1" applyAlignment="1"/>
    <xf numFmtId="168" fontId="1" fillId="0" borderId="0" xfId="0" applyNumberFormat="1" applyFont="1"/>
    <xf numFmtId="0" fontId="1" fillId="0" borderId="1" xfId="0" applyFont="1" applyBorder="1"/>
    <xf numFmtId="2" fontId="7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2" fontId="7" fillId="0" borderId="0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 vertical="top"/>
    </xf>
    <xf numFmtId="2" fontId="7" fillId="3" borderId="5" xfId="0" applyNumberFormat="1" applyFont="1" applyFill="1" applyBorder="1" applyAlignment="1">
      <alignment horizontal="center" vertical="top"/>
    </xf>
    <xf numFmtId="0" fontId="3" fillId="0" borderId="4" xfId="1" applyFont="1" applyBorder="1"/>
    <xf numFmtId="0" fontId="3" fillId="0" borderId="5" xfId="1" applyFont="1" applyBorder="1"/>
    <xf numFmtId="0" fontId="8" fillId="0" borderId="1" xfId="0" applyFont="1" applyBorder="1"/>
    <xf numFmtId="166" fontId="8" fillId="0" borderId="1" xfId="0" applyNumberFormat="1" applyFont="1" applyBorder="1"/>
    <xf numFmtId="2" fontId="1" fillId="0" borderId="0" xfId="0" applyNumberFormat="1" applyFont="1"/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right" wrapText="1"/>
    </xf>
    <xf numFmtId="0" fontId="3" fillId="0" borderId="0" xfId="0" applyFont="1" applyFill="1" applyBorder="1" applyAlignment="1">
      <alignment vertical="center"/>
    </xf>
    <xf numFmtId="164" fontId="3" fillId="0" borderId="0" xfId="1" applyNumberFormat="1" applyFont="1"/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/>
    </xf>
    <xf numFmtId="0" fontId="3" fillId="0" borderId="0" xfId="1" applyFont="1" applyBorder="1" applyAlignment="1">
      <alignment wrapText="1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1" applyFont="1" applyAlignment="1">
      <alignment wrapText="1"/>
    </xf>
    <xf numFmtId="0" fontId="3" fillId="0" borderId="2" xfId="1" applyFont="1" applyBorder="1" applyAlignment="1">
      <alignment wrapText="1"/>
    </xf>
    <xf numFmtId="0" fontId="3" fillId="3" borderId="0" xfId="1" applyFont="1" applyFill="1" applyAlignment="1">
      <alignment wrapText="1"/>
    </xf>
    <xf numFmtId="0" fontId="3" fillId="3" borderId="2" xfId="1" applyFont="1" applyFill="1" applyBorder="1" applyAlignment="1">
      <alignment wrapText="1"/>
    </xf>
    <xf numFmtId="0" fontId="3" fillId="3" borderId="0" xfId="1" applyFont="1" applyFill="1" applyAlignment="1">
      <alignment vertical="top" wrapText="1"/>
    </xf>
    <xf numFmtId="0" fontId="3" fillId="3" borderId="2" xfId="1" applyFont="1" applyFill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right" wrapText="1"/>
    </xf>
    <xf numFmtId="0" fontId="0" fillId="0" borderId="0" xfId="0" applyAlignment="1">
      <alignment horizontal="right" wrapText="1"/>
    </xf>
    <xf numFmtId="0" fontId="3" fillId="0" borderId="0" xfId="1" applyFont="1" applyBorder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3" fillId="3" borderId="0" xfId="1" applyFont="1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0BF58\apr&#275;&#311;ini_jaunam%20MPC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5.3."/>
      <sheetName val="5.5.5."/>
      <sheetName val="5.5.1.3."/>
      <sheetName val="5.5.1.2."/>
      <sheetName val="5.5.8.2."/>
      <sheetName val="9.6.-9.7."/>
      <sheetName val="8.1.1.,8.1.3_aerobika"/>
      <sheetName val="8.1.4.,8.1.5."/>
      <sheetName val="147.telpa"/>
      <sheetName val="Sheet2"/>
      <sheetName val="11.14."/>
      <sheetName val="71-153"/>
      <sheetName val="11.11.2."/>
      <sheetName val="ĒPN"/>
      <sheetName val="Koledža"/>
      <sheetName val="Amatu sar2020"/>
      <sheetName val="PPN"/>
      <sheetName val="68-204"/>
      <sheetName val="materiāli_datori_2019"/>
      <sheetName val="Soc.rehabilitētājs_nodarb_2019"/>
      <sheetName val="Algas2020"/>
    </sheetNames>
    <sheetDataSet>
      <sheetData sheetId="0"/>
      <sheetData sheetId="1"/>
      <sheetData sheetId="2"/>
      <sheetData sheetId="3"/>
      <sheetData sheetId="4"/>
      <sheetData sheetId="5"/>
      <sheetData sheetId="6">
        <row r="22">
          <cell r="D22">
            <v>3.9232754491017969</v>
          </cell>
        </row>
        <row r="24">
          <cell r="D24">
            <v>0.21000000000000002</v>
          </cell>
        </row>
        <row r="25">
          <cell r="D25">
            <v>0.7</v>
          </cell>
        </row>
        <row r="26">
          <cell r="D26">
            <v>0.85</v>
          </cell>
        </row>
        <row r="27">
          <cell r="D27">
            <v>0.22799999999999998</v>
          </cell>
        </row>
        <row r="28">
          <cell r="D28">
            <v>3.3000000000000002E-2</v>
          </cell>
        </row>
        <row r="29">
          <cell r="D29">
            <v>0.30600000000000005</v>
          </cell>
        </row>
        <row r="30">
          <cell r="D30">
            <v>0.11</v>
          </cell>
        </row>
        <row r="31">
          <cell r="D31">
            <v>0.02</v>
          </cell>
        </row>
        <row r="32">
          <cell r="D32">
            <v>9.9999999999999992E-2</v>
          </cell>
        </row>
        <row r="55">
          <cell r="D55">
            <v>2.7486467065868267</v>
          </cell>
        </row>
        <row r="57">
          <cell r="D57">
            <v>0.22750000000000001</v>
          </cell>
        </row>
        <row r="58">
          <cell r="D58">
            <v>0.37662499999999999</v>
          </cell>
        </row>
        <row r="60">
          <cell r="D60">
            <v>0.33152129652101553</v>
          </cell>
        </row>
        <row r="61">
          <cell r="D61">
            <v>0.1734806561876247</v>
          </cell>
        </row>
        <row r="62">
          <cell r="D62">
            <v>0.38</v>
          </cell>
        </row>
        <row r="63">
          <cell r="D63">
            <v>0.16000000000000003</v>
          </cell>
        </row>
      </sheetData>
      <sheetData sheetId="7">
        <row r="27">
          <cell r="D27">
            <v>0.02</v>
          </cell>
        </row>
        <row r="28">
          <cell r="D28">
            <v>0.19096806387225551</v>
          </cell>
        </row>
        <row r="56">
          <cell r="D56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view="pageLayout" topLeftCell="A22" zoomScale="90" zoomScaleNormal="100" zoomScalePageLayoutView="90" workbookViewId="0">
      <selection activeCell="A30" sqref="A30"/>
    </sheetView>
  </sheetViews>
  <sheetFormatPr defaultRowHeight="12.5" x14ac:dyDescent="0.25"/>
  <cols>
    <col min="1" max="1" width="11.7265625" customWidth="1"/>
    <col min="2" max="2" width="72.26953125" bestFit="1" customWidth="1"/>
  </cols>
  <sheetData>
    <row r="1" spans="1:10" ht="14" x14ac:dyDescent="0.3">
      <c r="A1" s="12"/>
      <c r="D1" s="132"/>
      <c r="E1" s="13" t="s">
        <v>168</v>
      </c>
      <c r="F1" s="132"/>
      <c r="G1" s="132"/>
      <c r="H1" s="132"/>
      <c r="I1" s="132"/>
      <c r="J1" s="132"/>
    </row>
    <row r="2" spans="1:10" ht="14" x14ac:dyDescent="0.3">
      <c r="A2" s="12"/>
      <c r="D2" s="131"/>
      <c r="E2" s="13" t="s">
        <v>50</v>
      </c>
      <c r="F2" s="131"/>
      <c r="G2" s="131"/>
      <c r="H2" s="131"/>
      <c r="I2" s="131"/>
      <c r="J2" s="131"/>
    </row>
    <row r="3" spans="1:10" ht="14" x14ac:dyDescent="0.3">
      <c r="C3" s="131"/>
      <c r="D3" s="131"/>
      <c r="E3" s="13" t="s">
        <v>51</v>
      </c>
      <c r="F3" s="131"/>
      <c r="G3" s="131"/>
      <c r="H3" s="131"/>
      <c r="I3" s="131"/>
      <c r="J3" s="131"/>
    </row>
    <row r="4" spans="1:10" ht="14" x14ac:dyDescent="0.3">
      <c r="A4" s="12"/>
      <c r="C4" s="131"/>
      <c r="D4" s="131"/>
      <c r="E4" s="13" t="s">
        <v>52</v>
      </c>
      <c r="F4" s="131"/>
      <c r="G4" s="131"/>
      <c r="H4" s="131"/>
      <c r="I4" s="131"/>
      <c r="J4" s="131"/>
    </row>
    <row r="5" spans="1:10" ht="14" x14ac:dyDescent="0.3">
      <c r="A5" s="12"/>
      <c r="C5" s="12"/>
      <c r="D5" s="12"/>
      <c r="E5" s="13" t="s">
        <v>47</v>
      </c>
      <c r="G5" s="131"/>
      <c r="H5" s="131"/>
      <c r="I5" s="131"/>
      <c r="J5" s="131"/>
    </row>
    <row r="9" spans="1:10" ht="15.75" customHeight="1" x14ac:dyDescent="0.25">
      <c r="A9" s="159" t="s">
        <v>48</v>
      </c>
      <c r="B9" s="159"/>
    </row>
    <row r="11" spans="1:10" ht="15" x14ac:dyDescent="0.3">
      <c r="D11" s="68"/>
      <c r="E11" s="68"/>
    </row>
    <row r="12" spans="1:10" ht="15" x14ac:dyDescent="0.3">
      <c r="D12" s="68"/>
      <c r="E12" s="68"/>
    </row>
    <row r="13" spans="1:10" ht="15.5" x14ac:dyDescent="0.35">
      <c r="A13" s="46" t="s">
        <v>169</v>
      </c>
      <c r="B13" s="136" t="s">
        <v>77</v>
      </c>
      <c r="C13" s="133"/>
      <c r="D13" s="133"/>
      <c r="E13" s="133"/>
      <c r="F13" s="133"/>
      <c r="G13" s="133"/>
      <c r="H13" s="133"/>
      <c r="I13" s="133"/>
      <c r="J13" s="134"/>
    </row>
    <row r="14" spans="1:10" ht="15.5" x14ac:dyDescent="0.35">
      <c r="A14" s="46" t="s">
        <v>174</v>
      </c>
      <c r="B14" s="136" t="s">
        <v>78</v>
      </c>
      <c r="C14" s="133"/>
      <c r="D14" s="133"/>
      <c r="E14" s="133"/>
      <c r="F14" s="133"/>
      <c r="G14" s="133"/>
      <c r="H14" s="133"/>
      <c r="I14" s="133"/>
      <c r="J14" s="134"/>
    </row>
    <row r="15" spans="1:10" ht="15.5" x14ac:dyDescent="0.35">
      <c r="A15" s="46" t="s">
        <v>175</v>
      </c>
      <c r="B15" s="136" t="s">
        <v>79</v>
      </c>
      <c r="C15" s="133"/>
      <c r="D15" s="133"/>
      <c r="E15" s="133"/>
      <c r="F15" s="133"/>
      <c r="G15" s="133"/>
      <c r="H15" s="133"/>
      <c r="I15" s="133"/>
      <c r="J15" s="134"/>
    </row>
    <row r="16" spans="1:10" ht="15.5" x14ac:dyDescent="0.35">
      <c r="A16" s="46" t="s">
        <v>176</v>
      </c>
      <c r="B16" s="136" t="s">
        <v>177</v>
      </c>
      <c r="C16" s="133"/>
      <c r="D16" s="133"/>
      <c r="E16" s="133"/>
      <c r="F16" s="133"/>
      <c r="G16" s="133"/>
      <c r="H16" s="133"/>
      <c r="I16" s="133"/>
      <c r="J16" s="134"/>
    </row>
    <row r="17" spans="1:10" ht="15.5" x14ac:dyDescent="0.35">
      <c r="A17" s="46" t="s">
        <v>178</v>
      </c>
      <c r="B17" s="136" t="s">
        <v>179</v>
      </c>
      <c r="C17" s="133"/>
      <c r="D17" s="133"/>
      <c r="E17" s="133"/>
      <c r="F17" s="133"/>
      <c r="G17" s="133"/>
      <c r="H17" s="133"/>
      <c r="I17" s="133"/>
      <c r="J17" s="134"/>
    </row>
    <row r="18" spans="1:10" ht="15.5" x14ac:dyDescent="0.35">
      <c r="A18" s="46" t="s">
        <v>217</v>
      </c>
      <c r="B18" s="137" t="s">
        <v>88</v>
      </c>
      <c r="C18" s="134"/>
      <c r="D18" s="134"/>
      <c r="E18" s="134"/>
      <c r="F18" s="134"/>
      <c r="G18" s="134"/>
      <c r="H18" s="134"/>
      <c r="I18" s="134"/>
      <c r="J18" s="134"/>
    </row>
    <row r="19" spans="1:10" ht="15.5" x14ac:dyDescent="0.35">
      <c r="A19" s="46" t="s">
        <v>218</v>
      </c>
      <c r="B19" s="136" t="s">
        <v>220</v>
      </c>
      <c r="C19" s="134"/>
      <c r="D19" s="134"/>
      <c r="E19" s="134"/>
      <c r="F19" s="134"/>
      <c r="G19" s="134"/>
      <c r="H19" s="134"/>
      <c r="I19" s="134"/>
      <c r="J19" s="134"/>
    </row>
    <row r="20" spans="1:10" ht="15.5" x14ac:dyDescent="0.35">
      <c r="A20" s="46" t="s">
        <v>219</v>
      </c>
      <c r="B20" s="136" t="s">
        <v>223</v>
      </c>
      <c r="C20" s="134"/>
      <c r="D20" s="134"/>
      <c r="E20" s="134"/>
      <c r="F20" s="134"/>
      <c r="G20" s="134"/>
      <c r="H20" s="134"/>
      <c r="I20" s="134"/>
      <c r="J20" s="134"/>
    </row>
    <row r="21" spans="1:10" ht="15.5" x14ac:dyDescent="0.35">
      <c r="A21" s="46" t="s">
        <v>221</v>
      </c>
      <c r="B21" s="136" t="s">
        <v>222</v>
      </c>
      <c r="C21" s="134"/>
      <c r="D21" s="134"/>
      <c r="E21" s="134"/>
      <c r="F21" s="134"/>
      <c r="G21" s="134"/>
      <c r="H21" s="134"/>
      <c r="I21" s="134"/>
      <c r="J21" s="134"/>
    </row>
    <row r="22" spans="1:10" ht="15.5" x14ac:dyDescent="0.35">
      <c r="A22" s="46" t="s">
        <v>224</v>
      </c>
      <c r="B22" s="136" t="s">
        <v>227</v>
      </c>
      <c r="C22" s="134"/>
      <c r="D22" s="134"/>
      <c r="E22" s="134"/>
      <c r="F22" s="134"/>
      <c r="G22" s="134"/>
      <c r="H22" s="134"/>
      <c r="I22" s="134"/>
      <c r="J22" s="134"/>
    </row>
    <row r="23" spans="1:10" ht="15.5" x14ac:dyDescent="0.35">
      <c r="A23" s="46" t="s">
        <v>225</v>
      </c>
      <c r="B23" s="136" t="s">
        <v>228</v>
      </c>
      <c r="C23" s="134"/>
      <c r="D23" s="134"/>
      <c r="E23" s="134"/>
      <c r="F23" s="134"/>
      <c r="G23" s="134"/>
      <c r="H23" s="134"/>
      <c r="I23" s="134"/>
      <c r="J23" s="134"/>
    </row>
    <row r="24" spans="1:10" ht="15.5" x14ac:dyDescent="0.35">
      <c r="A24" s="46" t="s">
        <v>226</v>
      </c>
      <c r="B24" s="136" t="s">
        <v>229</v>
      </c>
      <c r="C24" s="134"/>
      <c r="D24" s="134"/>
      <c r="E24" s="134"/>
      <c r="F24" s="134"/>
      <c r="G24" s="134"/>
      <c r="H24" s="134"/>
      <c r="I24" s="134"/>
      <c r="J24" s="134"/>
    </row>
    <row r="25" spans="1:10" ht="15.5" x14ac:dyDescent="0.35">
      <c r="A25" s="46" t="s">
        <v>230</v>
      </c>
      <c r="B25" s="136" t="s">
        <v>235</v>
      </c>
      <c r="C25" s="134"/>
      <c r="D25" s="134"/>
      <c r="E25" s="134"/>
      <c r="F25" s="134"/>
      <c r="G25" s="134"/>
      <c r="H25" s="134"/>
      <c r="I25" s="134"/>
      <c r="J25" s="134"/>
    </row>
    <row r="26" spans="1:10" ht="15.5" x14ac:dyDescent="0.35">
      <c r="A26" s="46" t="s">
        <v>231</v>
      </c>
      <c r="B26" s="136" t="s">
        <v>236</v>
      </c>
      <c r="C26" s="134"/>
      <c r="D26" s="134"/>
      <c r="E26" s="134"/>
      <c r="F26" s="134"/>
      <c r="G26" s="134"/>
      <c r="H26" s="134"/>
      <c r="I26" s="134"/>
      <c r="J26" s="134"/>
    </row>
    <row r="27" spans="1:10" ht="15.5" x14ac:dyDescent="0.35">
      <c r="A27" s="46" t="s">
        <v>232</v>
      </c>
      <c r="B27" s="136" t="s">
        <v>237</v>
      </c>
      <c r="C27" s="134"/>
      <c r="D27" s="134"/>
      <c r="E27" s="134"/>
      <c r="F27" s="134"/>
      <c r="G27" s="134"/>
      <c r="H27" s="134"/>
      <c r="I27" s="134"/>
      <c r="J27" s="134"/>
    </row>
    <row r="28" spans="1:10" ht="15.5" x14ac:dyDescent="0.35">
      <c r="A28" s="46" t="s">
        <v>233</v>
      </c>
      <c r="B28" s="136" t="s">
        <v>238</v>
      </c>
      <c r="C28" s="134"/>
      <c r="D28" s="134"/>
      <c r="E28" s="134"/>
      <c r="F28" s="134"/>
      <c r="G28" s="134"/>
      <c r="H28" s="134"/>
      <c r="I28" s="134"/>
      <c r="J28" s="134"/>
    </row>
    <row r="29" spans="1:10" ht="15.5" x14ac:dyDescent="0.35">
      <c r="A29" s="46" t="s">
        <v>234</v>
      </c>
      <c r="B29" s="136" t="s">
        <v>239</v>
      </c>
      <c r="C29" s="134"/>
      <c r="D29" s="134"/>
      <c r="E29" s="134"/>
      <c r="F29" s="134"/>
      <c r="G29" s="134"/>
      <c r="H29" s="134"/>
      <c r="I29" s="134"/>
      <c r="J29" s="134"/>
    </row>
    <row r="30" spans="1:10" ht="15.5" x14ac:dyDescent="0.35">
      <c r="A30" s="46" t="s">
        <v>261</v>
      </c>
      <c r="B30" s="133" t="s">
        <v>258</v>
      </c>
      <c r="C30" s="133"/>
      <c r="D30" s="133"/>
      <c r="E30" s="133"/>
      <c r="F30" s="133"/>
      <c r="G30" s="133"/>
      <c r="H30" s="133"/>
      <c r="I30" s="133"/>
      <c r="J30" s="134"/>
    </row>
    <row r="31" spans="1:10" ht="15.5" x14ac:dyDescent="0.35">
      <c r="A31" s="46" t="s">
        <v>241</v>
      </c>
      <c r="B31" s="136" t="s">
        <v>80</v>
      </c>
      <c r="C31" s="133"/>
      <c r="D31" s="133"/>
      <c r="E31" s="133"/>
      <c r="F31" s="133"/>
      <c r="G31" s="133"/>
      <c r="H31" s="133"/>
      <c r="I31" s="133"/>
      <c r="J31" s="4"/>
    </row>
    <row r="32" spans="1:10" ht="15.5" x14ac:dyDescent="0.35">
      <c r="A32" s="46" t="s">
        <v>242</v>
      </c>
      <c r="B32" s="91" t="s">
        <v>82</v>
      </c>
      <c r="C32" s="135"/>
      <c r="D32" s="135"/>
      <c r="E32" s="135"/>
      <c r="F32" s="135"/>
      <c r="G32" s="135"/>
      <c r="H32" s="135"/>
      <c r="I32" s="135"/>
      <c r="J32" s="135"/>
    </row>
    <row r="33" spans="1:10" ht="15.5" x14ac:dyDescent="0.35">
      <c r="A33" s="46" t="s">
        <v>243</v>
      </c>
      <c r="B33" s="91" t="s">
        <v>81</v>
      </c>
      <c r="C33" s="135"/>
      <c r="D33" s="135"/>
      <c r="E33" s="135"/>
      <c r="F33" s="135"/>
      <c r="G33" s="135"/>
      <c r="H33" s="135"/>
      <c r="I33" s="135"/>
      <c r="J33" s="135"/>
    </row>
    <row r="34" spans="1:10" ht="15.5" x14ac:dyDescent="0.35">
      <c r="A34" s="46" t="s">
        <v>245</v>
      </c>
      <c r="B34" s="157" t="s">
        <v>246</v>
      </c>
      <c r="C34" s="135"/>
      <c r="D34" s="135"/>
      <c r="E34" s="135"/>
      <c r="F34" s="135"/>
      <c r="G34" s="135"/>
      <c r="H34" s="135"/>
      <c r="I34" s="135"/>
      <c r="J34" s="135"/>
    </row>
    <row r="35" spans="1:10" ht="15.5" x14ac:dyDescent="0.35">
      <c r="A35" s="46" t="s">
        <v>247</v>
      </c>
      <c r="B35" s="91" t="s">
        <v>249</v>
      </c>
      <c r="C35" s="135"/>
      <c r="D35" s="135"/>
      <c r="E35" s="135"/>
      <c r="F35" s="135"/>
      <c r="G35" s="135"/>
      <c r="H35" s="135"/>
      <c r="I35" s="135"/>
      <c r="J35" s="135"/>
    </row>
    <row r="36" spans="1:10" ht="15.5" x14ac:dyDescent="0.35">
      <c r="A36" s="46" t="s">
        <v>244</v>
      </c>
      <c r="B36" s="91" t="s">
        <v>85</v>
      </c>
      <c r="C36" s="135"/>
      <c r="D36" s="135"/>
      <c r="E36" s="135"/>
      <c r="F36" s="135"/>
      <c r="G36" s="135"/>
      <c r="H36" s="135"/>
      <c r="I36" s="135"/>
      <c r="J36" s="135"/>
    </row>
    <row r="37" spans="1:10" ht="15.5" x14ac:dyDescent="0.35">
      <c r="A37" s="46" t="s">
        <v>248</v>
      </c>
      <c r="B37" s="91" t="s">
        <v>87</v>
      </c>
      <c r="C37" s="135"/>
      <c r="D37" s="135"/>
      <c r="E37" s="135"/>
      <c r="F37" s="135"/>
      <c r="G37" s="135"/>
      <c r="H37" s="135"/>
      <c r="I37" s="135"/>
      <c r="J37" s="135"/>
    </row>
    <row r="38" spans="1:10" ht="15.5" x14ac:dyDescent="0.35">
      <c r="A38" s="46" t="s">
        <v>250</v>
      </c>
      <c r="B38" s="91" t="s">
        <v>86</v>
      </c>
      <c r="C38" s="135"/>
      <c r="D38" s="135"/>
      <c r="E38" s="135"/>
      <c r="F38" s="135"/>
      <c r="G38" s="135"/>
      <c r="H38" s="135"/>
      <c r="I38" s="69"/>
      <c r="J38" s="69"/>
    </row>
    <row r="39" spans="1:10" ht="15.5" x14ac:dyDescent="0.35">
      <c r="A39" s="46" t="s">
        <v>251</v>
      </c>
      <c r="B39" s="136" t="s">
        <v>68</v>
      </c>
      <c r="C39" s="133"/>
      <c r="D39" s="133"/>
      <c r="E39" s="133"/>
      <c r="F39" s="133"/>
      <c r="G39" s="133"/>
      <c r="H39" s="133"/>
      <c r="I39" s="133"/>
      <c r="J39" s="4"/>
    </row>
    <row r="40" spans="1:10" ht="15.5" x14ac:dyDescent="0.35">
      <c r="A40" s="46" t="s">
        <v>253</v>
      </c>
      <c r="B40" s="133" t="s">
        <v>252</v>
      </c>
      <c r="C40" s="133"/>
      <c r="D40" s="133"/>
      <c r="E40" s="133"/>
      <c r="F40" s="133"/>
      <c r="G40" s="133"/>
      <c r="H40" s="133"/>
      <c r="I40" s="133"/>
      <c r="J40" s="4"/>
    </row>
    <row r="41" spans="1:10" ht="15.5" x14ac:dyDescent="0.35">
      <c r="A41" s="46" t="s">
        <v>254</v>
      </c>
      <c r="B41" s="133" t="s">
        <v>256</v>
      </c>
      <c r="C41" s="134"/>
      <c r="D41" s="134"/>
      <c r="E41" s="134"/>
      <c r="F41" s="134"/>
      <c r="G41" s="134"/>
      <c r="H41" s="134"/>
      <c r="I41" s="134"/>
      <c r="J41" s="134"/>
    </row>
    <row r="42" spans="1:10" ht="15.5" x14ac:dyDescent="0.35">
      <c r="A42" s="46" t="s">
        <v>255</v>
      </c>
      <c r="B42" s="133" t="s">
        <v>257</v>
      </c>
      <c r="C42" s="133"/>
      <c r="D42" s="133"/>
      <c r="E42" s="133"/>
      <c r="F42" s="133"/>
      <c r="G42" s="133"/>
      <c r="H42" s="133"/>
      <c r="I42" s="133"/>
      <c r="J42" s="4"/>
    </row>
    <row r="43" spans="1:10" ht="15.5" x14ac:dyDescent="0.35">
      <c r="A43" s="46"/>
      <c r="B43" s="133"/>
      <c r="C43" s="133"/>
      <c r="D43" s="133"/>
      <c r="E43" s="133"/>
      <c r="F43" s="133"/>
      <c r="G43" s="133"/>
      <c r="H43" s="133"/>
      <c r="I43" s="133"/>
      <c r="J43" s="134"/>
    </row>
    <row r="44" spans="1:10" ht="15.5" x14ac:dyDescent="0.35">
      <c r="A44" s="46"/>
      <c r="B44" s="133"/>
      <c r="C44" s="133"/>
      <c r="D44" s="133"/>
      <c r="E44" s="133"/>
      <c r="F44" s="133"/>
      <c r="G44" s="133"/>
      <c r="H44" s="133"/>
      <c r="I44" s="133"/>
      <c r="J44" s="134"/>
    </row>
    <row r="45" spans="1:10" ht="15.5" x14ac:dyDescent="0.35">
      <c r="A45" s="46"/>
      <c r="B45" s="133"/>
      <c r="C45" s="133"/>
      <c r="D45" s="133"/>
      <c r="E45" s="133"/>
      <c r="F45" s="133"/>
      <c r="G45" s="133"/>
      <c r="H45" s="133"/>
      <c r="I45" s="133"/>
      <c r="J45" s="134"/>
    </row>
    <row r="46" spans="1:10" ht="15" customHeight="1" x14ac:dyDescent="0.35">
      <c r="B46" s="133"/>
      <c r="C46" s="133"/>
      <c r="D46" s="133"/>
      <c r="E46" s="133"/>
      <c r="F46" s="133"/>
      <c r="G46" s="133"/>
      <c r="H46" s="133"/>
      <c r="I46" s="133"/>
      <c r="J46" s="4"/>
    </row>
    <row r="47" spans="1:10" ht="15" customHeight="1" x14ac:dyDescent="0.35">
      <c r="B47" s="133"/>
      <c r="C47" s="133"/>
      <c r="D47" s="133"/>
      <c r="E47" s="133"/>
      <c r="F47" s="133"/>
      <c r="G47" s="133"/>
      <c r="H47" s="133"/>
      <c r="I47" s="133"/>
      <c r="J47" s="4"/>
    </row>
    <row r="48" spans="1:10" ht="15.5" x14ac:dyDescent="0.35">
      <c r="A48" s="46"/>
      <c r="B48" s="133"/>
      <c r="C48" s="133"/>
      <c r="D48" s="133"/>
      <c r="E48" s="133"/>
      <c r="F48" s="133"/>
      <c r="G48" s="133"/>
      <c r="H48" s="133"/>
      <c r="I48" s="133"/>
      <c r="J48" s="134"/>
    </row>
    <row r="49" spans="1:10" ht="15.5" x14ac:dyDescent="0.35">
      <c r="A49" s="46"/>
      <c r="B49" s="133"/>
      <c r="C49" s="133"/>
      <c r="D49" s="133"/>
      <c r="E49" s="133"/>
      <c r="F49" s="133"/>
      <c r="G49" s="133"/>
      <c r="H49" s="133"/>
      <c r="I49" s="133"/>
      <c r="J49" s="134"/>
    </row>
    <row r="50" spans="1:10" ht="15.5" x14ac:dyDescent="0.35">
      <c r="A50" s="46"/>
      <c r="B50" s="133"/>
      <c r="C50" s="133"/>
      <c r="D50" s="133"/>
      <c r="E50" s="133"/>
      <c r="F50" s="133"/>
      <c r="G50" s="133"/>
      <c r="H50" s="133"/>
      <c r="I50" s="133"/>
      <c r="J50" s="134"/>
    </row>
    <row r="51" spans="1:10" ht="15.5" x14ac:dyDescent="0.35">
      <c r="A51" s="46"/>
      <c r="B51" s="133"/>
      <c r="C51" s="133"/>
      <c r="D51" s="133"/>
      <c r="E51" s="133"/>
      <c r="F51" s="133"/>
      <c r="G51" s="133"/>
      <c r="H51" s="133"/>
      <c r="I51" s="133"/>
      <c r="J51" s="134"/>
    </row>
    <row r="52" spans="1:10" ht="15.5" x14ac:dyDescent="0.35">
      <c r="A52" s="46"/>
      <c r="B52" s="133"/>
      <c r="C52" s="133"/>
      <c r="D52" s="133"/>
      <c r="E52" s="133"/>
      <c r="F52" s="133"/>
      <c r="G52" s="133"/>
      <c r="H52" s="133"/>
      <c r="I52" s="133"/>
      <c r="J52" s="134"/>
    </row>
    <row r="53" spans="1:10" ht="15.5" x14ac:dyDescent="0.35">
      <c r="A53" s="46"/>
      <c r="B53" s="133"/>
      <c r="C53" s="133"/>
      <c r="D53" s="133"/>
      <c r="E53" s="133"/>
      <c r="F53" s="133"/>
      <c r="G53" s="133"/>
      <c r="H53" s="133"/>
      <c r="I53" s="133"/>
      <c r="J53" s="134"/>
    </row>
    <row r="54" spans="1:10" ht="15.5" x14ac:dyDescent="0.35">
      <c r="A54" s="46"/>
      <c r="B54" s="133"/>
      <c r="C54" s="133"/>
      <c r="D54" s="133"/>
      <c r="E54" s="133"/>
      <c r="F54" s="133"/>
      <c r="G54" s="133"/>
      <c r="H54" s="133"/>
      <c r="I54" s="133"/>
      <c r="J54" s="134"/>
    </row>
    <row r="55" spans="1:10" ht="15.5" x14ac:dyDescent="0.35">
      <c r="A55" s="46"/>
      <c r="B55" s="133"/>
      <c r="C55" s="133"/>
      <c r="D55" s="133"/>
      <c r="E55" s="133"/>
      <c r="F55" s="133"/>
      <c r="G55" s="133"/>
      <c r="H55" s="133"/>
      <c r="I55" s="133"/>
      <c r="J55" s="134"/>
    </row>
    <row r="56" spans="1:10" ht="15.5" x14ac:dyDescent="0.35">
      <c r="A56" s="46"/>
      <c r="B56" s="133"/>
      <c r="C56" s="133"/>
      <c r="D56" s="133"/>
      <c r="E56" s="133"/>
      <c r="F56" s="133"/>
      <c r="G56" s="133"/>
      <c r="H56" s="133"/>
      <c r="I56" s="133"/>
      <c r="J56" s="134"/>
    </row>
    <row r="57" spans="1:10" ht="15.5" x14ac:dyDescent="0.35">
      <c r="A57" s="46"/>
      <c r="B57" s="133"/>
      <c r="C57" s="133"/>
      <c r="D57" s="133"/>
      <c r="E57" s="133"/>
      <c r="F57" s="133"/>
      <c r="G57" s="133"/>
      <c r="H57" s="133"/>
      <c r="I57" s="133"/>
      <c r="J57" s="134"/>
    </row>
    <row r="58" spans="1:10" ht="15.5" x14ac:dyDescent="0.35">
      <c r="A58" s="46"/>
      <c r="B58" s="133"/>
      <c r="C58" s="133"/>
      <c r="D58" s="133"/>
      <c r="E58" s="133"/>
      <c r="F58" s="133"/>
      <c r="G58" s="133"/>
      <c r="H58" s="133"/>
      <c r="I58" s="133"/>
      <c r="J58" s="134"/>
    </row>
    <row r="59" spans="1:10" ht="15.5" x14ac:dyDescent="0.35">
      <c r="A59" s="46"/>
      <c r="B59" s="133"/>
      <c r="C59" s="133"/>
      <c r="D59" s="133"/>
      <c r="E59" s="133"/>
      <c r="F59" s="133"/>
      <c r="G59" s="133"/>
      <c r="H59" s="133"/>
      <c r="I59" s="133"/>
      <c r="J59" s="134"/>
    </row>
    <row r="60" spans="1:10" ht="15.5" x14ac:dyDescent="0.35">
      <c r="A60" s="46"/>
      <c r="B60" s="133"/>
      <c r="C60" s="133"/>
      <c r="D60" s="133"/>
      <c r="E60" s="133"/>
      <c r="F60" s="133"/>
      <c r="G60" s="133"/>
      <c r="H60" s="133"/>
      <c r="I60" s="133"/>
      <c r="J60" s="134"/>
    </row>
    <row r="61" spans="1:10" ht="15.5" x14ac:dyDescent="0.35">
      <c r="A61" s="46"/>
      <c r="B61" s="133"/>
      <c r="C61" s="133"/>
      <c r="D61" s="133"/>
      <c r="E61" s="133"/>
      <c r="F61" s="133"/>
      <c r="G61" s="133"/>
      <c r="H61" s="133"/>
      <c r="I61" s="133"/>
      <c r="J61" s="134"/>
    </row>
  </sheetData>
  <mergeCells count="1">
    <mergeCell ref="A9:B9"/>
  </mergeCell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90"/>
  <sheetViews>
    <sheetView view="pageLayout" topLeftCell="A4" zoomScale="80" zoomScaleNormal="100" zoomScalePageLayoutView="80" workbookViewId="0">
      <selection activeCell="B42" sqref="B42"/>
    </sheetView>
  </sheetViews>
  <sheetFormatPr defaultColWidth="9.1796875" defaultRowHeight="14" x14ac:dyDescent="0.3"/>
  <cols>
    <col min="1" max="1" width="12.1796875" style="2" customWidth="1"/>
    <col min="2" max="2" width="96.453125" style="2" customWidth="1"/>
    <col min="3" max="3" width="16.7265625" style="2" hidden="1" customWidth="1"/>
    <col min="4" max="4" width="17.453125" style="2" hidden="1" customWidth="1"/>
    <col min="5" max="7" width="21.54296875" style="2" hidden="1" customWidth="1"/>
    <col min="8" max="8" width="31.7265625" style="2" hidden="1" customWidth="1"/>
    <col min="9" max="9" width="8.1796875" style="2" hidden="1" customWidth="1"/>
    <col min="10" max="10" width="31.7265625" style="2" customWidth="1"/>
    <col min="11" max="16384" width="9.1796875" style="40"/>
  </cols>
  <sheetData>
    <row r="1" spans="1:10" ht="15.5" x14ac:dyDescent="0.35">
      <c r="B1" s="163"/>
      <c r="C1" s="163"/>
      <c r="D1" s="163"/>
      <c r="E1" s="163"/>
      <c r="F1" s="164"/>
      <c r="G1" s="7"/>
      <c r="H1" s="6" t="s">
        <v>7</v>
      </c>
      <c r="I1" s="6"/>
      <c r="J1" s="6" t="s">
        <v>7</v>
      </c>
    </row>
    <row r="2" spans="1:10" ht="15.5" x14ac:dyDescent="0.35">
      <c r="B2" s="8"/>
      <c r="C2" s="8"/>
      <c r="D2" s="8"/>
      <c r="E2" s="8"/>
      <c r="F2" s="8"/>
      <c r="G2" s="8"/>
      <c r="H2" s="9" t="s">
        <v>44</v>
      </c>
      <c r="I2" s="9"/>
      <c r="J2" s="9" t="s">
        <v>44</v>
      </c>
    </row>
    <row r="3" spans="1:10" ht="15.5" x14ac:dyDescent="0.35">
      <c r="C3" s="139"/>
      <c r="D3" s="139"/>
      <c r="E3" s="139"/>
      <c r="F3" s="8"/>
      <c r="G3" s="48"/>
      <c r="H3" s="48" t="s">
        <v>91</v>
      </c>
      <c r="I3" s="48"/>
      <c r="J3" s="48" t="s">
        <v>91</v>
      </c>
    </row>
    <row r="4" spans="1:10" ht="15.5" x14ac:dyDescent="0.35">
      <c r="B4" s="6"/>
      <c r="C4" s="6"/>
      <c r="D4" s="6"/>
      <c r="E4" s="51"/>
      <c r="F4" s="10"/>
      <c r="G4" s="10"/>
      <c r="H4" s="6"/>
      <c r="I4" s="6"/>
      <c r="J4" s="6"/>
    </row>
    <row r="5" spans="1:10" ht="15.5" x14ac:dyDescent="0.35">
      <c r="B5" s="165"/>
      <c r="C5" s="165"/>
      <c r="D5" s="165"/>
      <c r="E5" s="166"/>
      <c r="F5" s="166"/>
      <c r="G5" s="51"/>
      <c r="H5" s="9"/>
      <c r="I5" s="9"/>
      <c r="J5" s="9" t="s">
        <v>260</v>
      </c>
    </row>
    <row r="6" spans="1:10" x14ac:dyDescent="0.3">
      <c r="B6" s="167"/>
      <c r="C6" s="167"/>
      <c r="D6" s="167"/>
      <c r="E6" s="167"/>
      <c r="F6" s="168"/>
      <c r="G6" s="52"/>
      <c r="H6" s="3"/>
      <c r="I6" s="3"/>
      <c r="J6" s="3"/>
    </row>
    <row r="7" spans="1:10" ht="17.5" x14ac:dyDescent="0.35">
      <c r="A7" s="169" t="s">
        <v>6</v>
      </c>
      <c r="B7" s="169"/>
      <c r="C7" s="169"/>
      <c r="D7" s="169"/>
      <c r="E7" s="169"/>
      <c r="F7" s="169"/>
      <c r="G7" s="169"/>
      <c r="H7" s="169"/>
      <c r="I7" s="99"/>
      <c r="J7" s="99"/>
    </row>
    <row r="8" spans="1:10" x14ac:dyDescent="0.3">
      <c r="B8" s="170"/>
      <c r="C8" s="170"/>
      <c r="D8" s="170"/>
      <c r="E8" s="170"/>
    </row>
    <row r="9" spans="1:10" ht="15.5" x14ac:dyDescent="0.35">
      <c r="A9" s="160" t="s">
        <v>1</v>
      </c>
      <c r="B9" s="160"/>
      <c r="C9" s="160"/>
      <c r="D9" s="160"/>
      <c r="E9" s="160"/>
      <c r="F9" s="10"/>
      <c r="G9" s="10"/>
      <c r="H9" s="10"/>
      <c r="I9" s="10"/>
      <c r="J9" s="10"/>
    </row>
    <row r="10" spans="1:10" ht="15.5" x14ac:dyDescent="0.35">
      <c r="A10" s="160" t="s">
        <v>0</v>
      </c>
      <c r="B10" s="160"/>
      <c r="C10" s="160"/>
      <c r="D10" s="160"/>
      <c r="E10" s="160"/>
      <c r="F10" s="10"/>
      <c r="G10" s="10"/>
      <c r="H10" s="10"/>
      <c r="I10" s="10"/>
      <c r="J10" s="10"/>
    </row>
    <row r="11" spans="1:10" ht="15.5" x14ac:dyDescent="0.35">
      <c r="A11" s="5"/>
      <c r="B11" s="160" t="s">
        <v>165</v>
      </c>
      <c r="C11" s="160"/>
      <c r="D11" s="160"/>
      <c r="E11" s="160"/>
      <c r="F11" s="10"/>
      <c r="G11" s="10"/>
      <c r="H11" s="10"/>
      <c r="I11" s="10"/>
      <c r="J11" s="10"/>
    </row>
    <row r="12" spans="1:10" ht="15.5" x14ac:dyDescent="0.35">
      <c r="A12" s="5"/>
      <c r="B12" s="160" t="s">
        <v>166</v>
      </c>
      <c r="C12" s="160"/>
      <c r="D12" s="160"/>
      <c r="E12" s="160"/>
      <c r="F12" s="10"/>
      <c r="G12" s="10"/>
      <c r="H12" s="10"/>
      <c r="I12" s="10"/>
      <c r="J12" s="10"/>
    </row>
    <row r="13" spans="1:10" ht="15.5" x14ac:dyDescent="0.35">
      <c r="A13" s="5"/>
      <c r="B13" s="160" t="s">
        <v>170</v>
      </c>
      <c r="C13" s="160"/>
      <c r="D13" s="160"/>
      <c r="E13" s="160"/>
      <c r="F13" s="10"/>
      <c r="G13" s="10"/>
      <c r="H13" s="10"/>
      <c r="I13" s="10"/>
      <c r="J13" s="10"/>
    </row>
    <row r="14" spans="1:10" ht="15.5" x14ac:dyDescent="0.35">
      <c r="A14" s="5" t="s">
        <v>2</v>
      </c>
      <c r="B14" s="5" t="s">
        <v>124</v>
      </c>
      <c r="C14" s="5"/>
      <c r="D14" s="5"/>
      <c r="E14" s="5"/>
      <c r="F14" s="10"/>
      <c r="G14" s="10"/>
      <c r="H14" s="10"/>
      <c r="I14" s="10"/>
      <c r="J14" s="10"/>
    </row>
    <row r="15" spans="1:10" ht="15.5" hidden="1" x14ac:dyDescent="0.35">
      <c r="A15" s="10"/>
      <c r="B15" s="16"/>
      <c r="C15" s="16"/>
      <c r="D15" s="16"/>
      <c r="E15" s="51"/>
      <c r="F15" s="10"/>
      <c r="G15" s="10"/>
      <c r="H15" s="10"/>
      <c r="I15" s="10"/>
      <c r="J15" s="10"/>
    </row>
    <row r="16" spans="1:10" ht="65.25" customHeight="1" x14ac:dyDescent="0.25">
      <c r="A16" s="17" t="s">
        <v>3</v>
      </c>
      <c r="B16" s="17" t="s">
        <v>4</v>
      </c>
      <c r="C16" s="17"/>
      <c r="D16" s="17"/>
      <c r="E16" s="17"/>
      <c r="F16" s="17"/>
      <c r="G16" s="17"/>
      <c r="H16" s="17" t="s">
        <v>53</v>
      </c>
      <c r="I16" s="17"/>
      <c r="J16" s="17" t="s">
        <v>53</v>
      </c>
    </row>
    <row r="17" spans="1:11" ht="15" x14ac:dyDescent="0.25">
      <c r="A17" s="18">
        <v>1</v>
      </c>
      <c r="B17" s="19">
        <v>2</v>
      </c>
      <c r="C17" s="19"/>
      <c r="D17" s="19"/>
      <c r="E17" s="18">
        <v>3</v>
      </c>
      <c r="F17" s="19">
        <v>4</v>
      </c>
      <c r="G17" s="19"/>
      <c r="H17" s="19" t="s">
        <v>167</v>
      </c>
      <c r="I17" s="19"/>
      <c r="J17" s="19">
        <v>3</v>
      </c>
      <c r="K17" s="140"/>
    </row>
    <row r="18" spans="1:11" ht="15.5" x14ac:dyDescent="0.35">
      <c r="A18" s="18"/>
      <c r="B18" s="21" t="s">
        <v>5</v>
      </c>
      <c r="C18" s="21"/>
      <c r="D18" s="21"/>
      <c r="E18" s="53"/>
      <c r="F18" s="22"/>
      <c r="G18" s="22"/>
      <c r="H18" s="22"/>
      <c r="I18" s="22"/>
      <c r="J18" s="22"/>
    </row>
    <row r="19" spans="1:11" ht="15.5" x14ac:dyDescent="0.35">
      <c r="A19" s="22">
        <v>1100</v>
      </c>
      <c r="B19" s="24" t="s">
        <v>83</v>
      </c>
      <c r="C19" s="24">
        <v>1064.56</v>
      </c>
      <c r="D19" s="24">
        <f>ROUND(C19/0.702804,2)</f>
        <v>1514.73</v>
      </c>
      <c r="E19" s="41">
        <f>ROUND(D19/2,2)</f>
        <v>757.37</v>
      </c>
      <c r="F19" s="41">
        <v>814.8</v>
      </c>
      <c r="G19" s="41">
        <v>1034.8</v>
      </c>
      <c r="H19" s="41">
        <f>G19/400*200+200*0.36</f>
        <v>589.4</v>
      </c>
      <c r="I19" s="41">
        <f>'[1]8.1.1.,8.1.3_aerobika'!$D$22</f>
        <v>3.9232754491017969</v>
      </c>
      <c r="J19" s="41">
        <v>392.33</v>
      </c>
    </row>
    <row r="20" spans="1:11" ht="15.75" customHeight="1" x14ac:dyDescent="0.35">
      <c r="A20" s="42">
        <v>1200</v>
      </c>
      <c r="B20" s="10" t="s">
        <v>93</v>
      </c>
      <c r="C20" s="54">
        <v>251.13</v>
      </c>
      <c r="D20" s="24">
        <f>ROUND(C20/0.702804,2)</f>
        <v>357.33</v>
      </c>
      <c r="E20" s="41">
        <f>ROUND(D20/2,2)</f>
        <v>178.67</v>
      </c>
      <c r="F20" s="41">
        <v>192.21</v>
      </c>
      <c r="G20" s="41">
        <v>249.28</v>
      </c>
      <c r="H20" s="41">
        <f>G20/400*200+200*0.09</f>
        <v>142.63999999999999</v>
      </c>
      <c r="I20" s="41">
        <f>I19*0.2359</f>
        <v>0.9255006784431139</v>
      </c>
      <c r="J20" s="41">
        <v>92.55</v>
      </c>
    </row>
    <row r="21" spans="1:11" ht="15.5" x14ac:dyDescent="0.35">
      <c r="A21" s="22">
        <v>2222</v>
      </c>
      <c r="B21" s="26" t="s">
        <v>101</v>
      </c>
      <c r="C21" s="26">
        <v>528</v>
      </c>
      <c r="D21" s="24">
        <f>ROUND(C21/0.702804,2)</f>
        <v>751.28</v>
      </c>
      <c r="E21" s="41">
        <f>ROUND(D21/2,2)</f>
        <v>375.64</v>
      </c>
      <c r="F21" s="41">
        <f>E21</f>
        <v>375.64</v>
      </c>
      <c r="G21" s="41">
        <f>F21</f>
        <v>375.64</v>
      </c>
      <c r="H21" s="41">
        <f>G21/400*200*1.15</f>
        <v>215.99299999999997</v>
      </c>
      <c r="I21" s="41">
        <f>'[1]8.1.1.,8.1.3_aerobika'!$D$24</f>
        <v>0.21000000000000002</v>
      </c>
      <c r="J21" s="41">
        <v>21</v>
      </c>
    </row>
    <row r="22" spans="1:11" ht="15.5" x14ac:dyDescent="0.35">
      <c r="A22" s="42">
        <v>2223</v>
      </c>
      <c r="B22" s="26" t="s">
        <v>94</v>
      </c>
      <c r="C22" s="26"/>
      <c r="D22" s="24"/>
      <c r="E22" s="41"/>
      <c r="F22" s="41"/>
      <c r="G22" s="41"/>
      <c r="H22" s="41"/>
      <c r="I22" s="41">
        <f>'[1]8.1.1.,8.1.3_aerobika'!$D$25</f>
        <v>0.7</v>
      </c>
      <c r="J22" s="41">
        <v>70</v>
      </c>
    </row>
    <row r="23" spans="1:11" ht="15.5" x14ac:dyDescent="0.35">
      <c r="A23" s="22">
        <v>2243</v>
      </c>
      <c r="B23" s="26" t="s">
        <v>76</v>
      </c>
      <c r="C23" s="26">
        <v>279.3</v>
      </c>
      <c r="D23" s="24">
        <f>ROUND(C23/0.702804,2)</f>
        <v>397.41</v>
      </c>
      <c r="E23" s="41">
        <f>ROUND(D23/2,2)</f>
        <v>198.71</v>
      </c>
      <c r="F23" s="41">
        <f>E23</f>
        <v>198.71</v>
      </c>
      <c r="G23" s="41">
        <f>F23</f>
        <v>198.71</v>
      </c>
      <c r="H23" s="41">
        <f>G23/400*200</f>
        <v>99.355000000000004</v>
      </c>
      <c r="I23" s="41">
        <f>'[1]8.1.1.,8.1.3_aerobika'!$D$26</f>
        <v>0.85</v>
      </c>
      <c r="J23" s="41">
        <v>85</v>
      </c>
    </row>
    <row r="24" spans="1:11" ht="15.5" x14ac:dyDescent="0.35">
      <c r="A24" s="42">
        <v>2244</v>
      </c>
      <c r="B24" s="21" t="s">
        <v>108</v>
      </c>
      <c r="C24" s="26"/>
      <c r="D24" s="24"/>
      <c r="E24" s="41"/>
      <c r="F24" s="41"/>
      <c r="G24" s="41"/>
      <c r="H24" s="41"/>
      <c r="I24" s="41">
        <f>'[1]8.1.1.,8.1.3_aerobika'!$D$27</f>
        <v>0.22799999999999998</v>
      </c>
      <c r="J24" s="41">
        <v>22.8</v>
      </c>
    </row>
    <row r="25" spans="1:11" ht="15.5" x14ac:dyDescent="0.35">
      <c r="A25" s="42">
        <v>2312</v>
      </c>
      <c r="B25" s="26" t="s">
        <v>95</v>
      </c>
      <c r="C25" s="26"/>
      <c r="D25" s="24"/>
      <c r="E25" s="41"/>
      <c r="F25" s="41"/>
      <c r="G25" s="41"/>
      <c r="H25" s="41"/>
      <c r="I25" s="41">
        <f>'[1]8.1.1.,8.1.3_aerobika'!$D$28</f>
        <v>3.3000000000000002E-2</v>
      </c>
      <c r="J25" s="41">
        <v>3.3</v>
      </c>
    </row>
    <row r="26" spans="1:11" ht="15.5" x14ac:dyDescent="0.35">
      <c r="A26" s="42">
        <v>2321</v>
      </c>
      <c r="B26" s="26" t="s">
        <v>96</v>
      </c>
      <c r="C26" s="26"/>
      <c r="D26" s="24"/>
      <c r="E26" s="41"/>
      <c r="F26" s="41"/>
      <c r="G26" s="41"/>
      <c r="H26" s="41"/>
      <c r="I26" s="41">
        <f>'[1]8.1.1.,8.1.3_aerobika'!$D$29</f>
        <v>0.30600000000000005</v>
      </c>
      <c r="J26" s="41">
        <v>30.6</v>
      </c>
    </row>
    <row r="27" spans="1:11" ht="15.5" x14ac:dyDescent="0.35">
      <c r="A27" s="22">
        <v>2350</v>
      </c>
      <c r="B27" s="26" t="s">
        <v>98</v>
      </c>
      <c r="C27" s="26">
        <v>54.84</v>
      </c>
      <c r="D27" s="24">
        <f>ROUND(C27/0.702804,2)</f>
        <v>78.03</v>
      </c>
      <c r="E27" s="41">
        <f>ROUND(D27/2,2)</f>
        <v>39.020000000000003</v>
      </c>
      <c r="F27" s="41">
        <f>E27</f>
        <v>39.020000000000003</v>
      </c>
      <c r="G27" s="41">
        <f>F27</f>
        <v>39.020000000000003</v>
      </c>
      <c r="H27" s="41">
        <f>G27/400*200</f>
        <v>19.510000000000002</v>
      </c>
      <c r="I27" s="41">
        <f>'[1]8.1.1.,8.1.3_aerobika'!$D$31</f>
        <v>0.02</v>
      </c>
      <c r="J27" s="41">
        <v>2</v>
      </c>
    </row>
    <row r="28" spans="1:11" ht="15.5" x14ac:dyDescent="0.35">
      <c r="A28" s="27">
        <v>2341</v>
      </c>
      <c r="B28" s="26" t="s">
        <v>23</v>
      </c>
      <c r="C28" s="26"/>
      <c r="D28" s="26"/>
      <c r="E28" s="42"/>
      <c r="F28" s="43"/>
      <c r="G28" s="41">
        <f>F28</f>
        <v>0</v>
      </c>
      <c r="H28" s="41">
        <f>G28/400*200</f>
        <v>0</v>
      </c>
      <c r="I28" s="41">
        <f>'[1]8.1.1.,8.1.3_aerobika'!$D$30</f>
        <v>0.11</v>
      </c>
      <c r="J28" s="41">
        <v>11</v>
      </c>
    </row>
    <row r="29" spans="1:11" ht="15.5" x14ac:dyDescent="0.35">
      <c r="A29" s="42">
        <v>5239</v>
      </c>
      <c r="B29" s="10" t="s">
        <v>122</v>
      </c>
      <c r="C29" s="26"/>
      <c r="D29" s="26"/>
      <c r="E29" s="41">
        <v>0</v>
      </c>
      <c r="F29" s="41">
        <f>E29/128*75</f>
        <v>0</v>
      </c>
      <c r="G29" s="41">
        <f>F29</f>
        <v>0</v>
      </c>
      <c r="H29" s="41">
        <f>G29/400*200</f>
        <v>0</v>
      </c>
      <c r="I29" s="41">
        <f>'[1]8.1.1.,8.1.3_aerobika'!$D$32</f>
        <v>9.9999999999999992E-2</v>
      </c>
      <c r="J29" s="41">
        <v>10</v>
      </c>
    </row>
    <row r="30" spans="1:11" ht="15.5" x14ac:dyDescent="0.35">
      <c r="A30" s="22"/>
      <c r="B30" s="28" t="s">
        <v>69</v>
      </c>
      <c r="C30" s="29">
        <f t="shared" ref="C30:H30" si="0">SUM(C19:C29)</f>
        <v>2177.8300000000004</v>
      </c>
      <c r="D30" s="29">
        <f t="shared" si="0"/>
        <v>3098.78</v>
      </c>
      <c r="E30" s="43">
        <f t="shared" si="0"/>
        <v>1549.4099999999999</v>
      </c>
      <c r="F30" s="43">
        <f t="shared" si="0"/>
        <v>1620.38</v>
      </c>
      <c r="G30" s="43">
        <f t="shared" si="0"/>
        <v>1897.4499999999998</v>
      </c>
      <c r="H30" s="43">
        <f t="shared" si="0"/>
        <v>1066.8979999999999</v>
      </c>
      <c r="I30" s="43"/>
      <c r="J30" s="43">
        <f>SUM(J19:J29)</f>
        <v>740.57999999999993</v>
      </c>
    </row>
    <row r="31" spans="1:11" ht="15.5" x14ac:dyDescent="0.35">
      <c r="A31" s="44"/>
      <c r="B31" s="28" t="s">
        <v>70</v>
      </c>
      <c r="C31" s="28"/>
      <c r="D31" s="24">
        <f t="shared" ref="D31:D66" si="1">ROUND(C31/0.702804,2)</f>
        <v>0</v>
      </c>
      <c r="E31" s="41">
        <f t="shared" ref="E31:E66" si="2">ROUND(D31/2,2)</f>
        <v>0</v>
      </c>
      <c r="F31" s="41">
        <v>169.21</v>
      </c>
      <c r="G31" s="41">
        <v>168.53</v>
      </c>
      <c r="H31" s="41">
        <f t="shared" ref="H31:H67" si="3">G31/400*200</f>
        <v>84.265000000000001</v>
      </c>
      <c r="I31" s="41"/>
      <c r="J31" s="41"/>
    </row>
    <row r="32" spans="1:11" ht="15.75" customHeight="1" x14ac:dyDescent="0.35">
      <c r="A32" s="42">
        <v>1100</v>
      </c>
      <c r="B32" s="21" t="s">
        <v>83</v>
      </c>
      <c r="C32" s="141">
        <v>0.45928000000000002</v>
      </c>
      <c r="D32" s="24">
        <f t="shared" si="1"/>
        <v>0.65</v>
      </c>
      <c r="E32" s="41">
        <f t="shared" si="2"/>
        <v>0.33</v>
      </c>
      <c r="F32" s="41">
        <v>39.92</v>
      </c>
      <c r="G32" s="41">
        <v>40.6</v>
      </c>
      <c r="H32" s="41">
        <f t="shared" si="3"/>
        <v>20.3</v>
      </c>
      <c r="I32" s="22">
        <v>0.5</v>
      </c>
      <c r="J32" s="41">
        <v>142.21</v>
      </c>
    </row>
    <row r="33" spans="1:10" ht="15.5" x14ac:dyDescent="0.35">
      <c r="A33" s="42">
        <v>1200</v>
      </c>
      <c r="B33" s="21" t="s">
        <v>93</v>
      </c>
      <c r="C33" s="141">
        <f>C32*0.2359</f>
        <v>0.108344152</v>
      </c>
      <c r="D33" s="24">
        <f t="shared" si="1"/>
        <v>0.15</v>
      </c>
      <c r="E33" s="41">
        <f t="shared" si="2"/>
        <v>0.08</v>
      </c>
      <c r="F33" s="41">
        <f t="shared" ref="F33:F66" si="4">E33</f>
        <v>0.08</v>
      </c>
      <c r="G33" s="41">
        <f t="shared" ref="G33:G67" si="5">F33</f>
        <v>0.08</v>
      </c>
      <c r="H33" s="41">
        <f t="shared" si="3"/>
        <v>0.04</v>
      </c>
      <c r="I33" s="22">
        <f>I32*0.2359</f>
        <v>0.11795</v>
      </c>
      <c r="J33" s="41">
        <v>33.549999999999997</v>
      </c>
    </row>
    <row r="34" spans="1:10" ht="15.5" x14ac:dyDescent="0.35">
      <c r="A34" s="42">
        <v>2100</v>
      </c>
      <c r="B34" s="30" t="s">
        <v>42</v>
      </c>
      <c r="C34" s="141">
        <v>1.56E-3</v>
      </c>
      <c r="D34" s="24">
        <f t="shared" si="1"/>
        <v>0</v>
      </c>
      <c r="E34" s="41">
        <f t="shared" si="2"/>
        <v>0</v>
      </c>
      <c r="F34" s="41">
        <f t="shared" si="4"/>
        <v>0</v>
      </c>
      <c r="G34" s="41">
        <f t="shared" si="5"/>
        <v>0</v>
      </c>
      <c r="H34" s="41">
        <f t="shared" si="3"/>
        <v>0</v>
      </c>
      <c r="I34" s="22">
        <v>1.1659999999999999E-3</v>
      </c>
      <c r="J34" s="41">
        <v>0.33</v>
      </c>
    </row>
    <row r="35" spans="1:10" ht="15.5" x14ac:dyDescent="0.35">
      <c r="A35" s="45">
        <v>2210</v>
      </c>
      <c r="B35" s="26" t="s">
        <v>100</v>
      </c>
      <c r="C35" s="141">
        <v>8.2000000000000007E-3</v>
      </c>
      <c r="D35" s="24">
        <f t="shared" si="1"/>
        <v>0.01</v>
      </c>
      <c r="E35" s="41">
        <f t="shared" si="2"/>
        <v>0.01</v>
      </c>
      <c r="F35" s="41">
        <f t="shared" si="4"/>
        <v>0.01</v>
      </c>
      <c r="G35" s="41">
        <f t="shared" si="5"/>
        <v>0.01</v>
      </c>
      <c r="H35" s="41">
        <f t="shared" si="3"/>
        <v>5.0000000000000001E-3</v>
      </c>
      <c r="I35" s="22">
        <v>7.6E-3</v>
      </c>
      <c r="J35" s="41">
        <v>2.16</v>
      </c>
    </row>
    <row r="36" spans="1:10" ht="15.5" x14ac:dyDescent="0.35">
      <c r="A36" s="42">
        <v>2222</v>
      </c>
      <c r="B36" s="26" t="s">
        <v>101</v>
      </c>
      <c r="C36" s="141">
        <v>8.3599999999999994E-3</v>
      </c>
      <c r="D36" s="24">
        <f t="shared" si="1"/>
        <v>0.01</v>
      </c>
      <c r="E36" s="41">
        <f t="shared" si="2"/>
        <v>0.01</v>
      </c>
      <c r="F36" s="41">
        <f t="shared" si="4"/>
        <v>0.01</v>
      </c>
      <c r="G36" s="41">
        <f t="shared" si="5"/>
        <v>0.01</v>
      </c>
      <c r="H36" s="41">
        <f t="shared" si="3"/>
        <v>5.0000000000000001E-3</v>
      </c>
      <c r="I36" s="22">
        <v>9.4999999999999998E-3</v>
      </c>
      <c r="J36" s="41">
        <v>2.7</v>
      </c>
    </row>
    <row r="37" spans="1:10" ht="15.5" x14ac:dyDescent="0.35">
      <c r="A37" s="42">
        <v>2223</v>
      </c>
      <c r="B37" s="26" t="s">
        <v>94</v>
      </c>
      <c r="C37" s="141">
        <v>6.6970000000000002E-2</v>
      </c>
      <c r="D37" s="24"/>
      <c r="E37" s="41"/>
      <c r="F37" s="41"/>
      <c r="G37" s="41"/>
      <c r="H37" s="41"/>
      <c r="I37" s="22">
        <v>1.9019999999999999E-2</v>
      </c>
      <c r="J37" s="41">
        <v>5.41</v>
      </c>
    </row>
    <row r="38" spans="1:10" ht="31" x14ac:dyDescent="0.35">
      <c r="A38" s="42">
        <v>2224</v>
      </c>
      <c r="B38" s="26" t="s">
        <v>102</v>
      </c>
      <c r="C38" s="141">
        <v>3.8899999999999998E-3</v>
      </c>
      <c r="D38" s="24">
        <f t="shared" si="1"/>
        <v>0.01</v>
      </c>
      <c r="E38" s="41">
        <f t="shared" si="2"/>
        <v>0.01</v>
      </c>
      <c r="F38" s="41">
        <f t="shared" si="4"/>
        <v>0.01</v>
      </c>
      <c r="G38" s="41">
        <f t="shared" si="5"/>
        <v>0.01</v>
      </c>
      <c r="H38" s="41">
        <f t="shared" si="3"/>
        <v>5.0000000000000001E-3</v>
      </c>
      <c r="I38" s="22">
        <v>4.9500000000000004E-3</v>
      </c>
      <c r="J38" s="41">
        <v>1.41</v>
      </c>
    </row>
    <row r="39" spans="1:10" ht="15.5" x14ac:dyDescent="0.35">
      <c r="A39" s="42">
        <v>2231</v>
      </c>
      <c r="B39" s="21" t="s">
        <v>103</v>
      </c>
      <c r="C39" s="141">
        <v>1.0499999999999999E-3</v>
      </c>
      <c r="D39" s="24">
        <f t="shared" si="1"/>
        <v>0</v>
      </c>
      <c r="E39" s="41">
        <f t="shared" si="2"/>
        <v>0</v>
      </c>
      <c r="F39" s="41">
        <f t="shared" si="4"/>
        <v>0</v>
      </c>
      <c r="G39" s="41">
        <f t="shared" si="5"/>
        <v>0</v>
      </c>
      <c r="H39" s="41">
        <f t="shared" si="3"/>
        <v>0</v>
      </c>
      <c r="I39" s="22">
        <v>1.5499999999999999E-3</v>
      </c>
      <c r="J39" s="41">
        <v>0.44</v>
      </c>
    </row>
    <row r="40" spans="1:10" ht="15.5" x14ac:dyDescent="0.35">
      <c r="A40" s="42">
        <v>2235</v>
      </c>
      <c r="B40" s="85" t="s">
        <v>104</v>
      </c>
      <c r="C40" s="141">
        <v>1.469E-2</v>
      </c>
      <c r="D40" s="24">
        <f t="shared" si="1"/>
        <v>0.02</v>
      </c>
      <c r="E40" s="41">
        <f t="shared" si="2"/>
        <v>0.01</v>
      </c>
      <c r="F40" s="41">
        <f t="shared" si="4"/>
        <v>0.01</v>
      </c>
      <c r="G40" s="41">
        <f t="shared" si="5"/>
        <v>0.01</v>
      </c>
      <c r="H40" s="41">
        <f t="shared" si="3"/>
        <v>5.0000000000000001E-3</v>
      </c>
      <c r="I40" s="22">
        <v>1.65E-3</v>
      </c>
      <c r="J40" s="41">
        <v>0.47</v>
      </c>
    </row>
    <row r="41" spans="1:10" ht="15.5" x14ac:dyDescent="0.35">
      <c r="A41" s="42">
        <v>2239</v>
      </c>
      <c r="B41" s="21" t="s">
        <v>105</v>
      </c>
      <c r="C41" s="141">
        <v>1.56E-3</v>
      </c>
      <c r="D41" s="24">
        <f t="shared" si="1"/>
        <v>0</v>
      </c>
      <c r="E41" s="41">
        <f t="shared" si="2"/>
        <v>0</v>
      </c>
      <c r="F41" s="41">
        <f t="shared" si="4"/>
        <v>0</v>
      </c>
      <c r="G41" s="41">
        <f t="shared" si="5"/>
        <v>0</v>
      </c>
      <c r="H41" s="41">
        <f t="shared" si="3"/>
        <v>0</v>
      </c>
      <c r="I41" s="22">
        <v>4.4099999999999999E-3</v>
      </c>
      <c r="J41" s="41">
        <v>1.25</v>
      </c>
    </row>
    <row r="42" spans="1:10" ht="15.5" x14ac:dyDescent="0.35">
      <c r="A42" s="42">
        <v>2241</v>
      </c>
      <c r="B42" s="21" t="s">
        <v>106</v>
      </c>
      <c r="C42" s="141">
        <v>9.2000000000000003E-4</v>
      </c>
      <c r="D42" s="24">
        <f t="shared" si="1"/>
        <v>0</v>
      </c>
      <c r="E42" s="41">
        <f t="shared" si="2"/>
        <v>0</v>
      </c>
      <c r="F42" s="41">
        <f t="shared" si="4"/>
        <v>0</v>
      </c>
      <c r="G42" s="41">
        <f t="shared" si="5"/>
        <v>0</v>
      </c>
      <c r="H42" s="41">
        <f>G42/400*200+200*0.02</f>
        <v>4</v>
      </c>
      <c r="I42" s="22">
        <v>1.6500000000000001E-2</v>
      </c>
      <c r="J42" s="41">
        <v>4.6900000000000004</v>
      </c>
    </row>
    <row r="43" spans="1:10" ht="15.75" customHeight="1" x14ac:dyDescent="0.35">
      <c r="A43" s="42">
        <v>2242</v>
      </c>
      <c r="B43" s="26" t="s">
        <v>107</v>
      </c>
      <c r="C43" s="141">
        <v>6.0800000000000003E-3</v>
      </c>
      <c r="D43" s="24">
        <f t="shared" si="1"/>
        <v>0.01</v>
      </c>
      <c r="E43" s="41">
        <f t="shared" si="2"/>
        <v>0.01</v>
      </c>
      <c r="F43" s="41">
        <f t="shared" si="4"/>
        <v>0.01</v>
      </c>
      <c r="G43" s="41">
        <f t="shared" si="5"/>
        <v>0.01</v>
      </c>
      <c r="H43" s="41"/>
      <c r="I43" s="22">
        <v>2.2599999999999999E-3</v>
      </c>
      <c r="J43" s="41">
        <v>0.64</v>
      </c>
    </row>
    <row r="44" spans="1:10" ht="15.5" x14ac:dyDescent="0.35">
      <c r="A44" s="42">
        <v>2243</v>
      </c>
      <c r="B44" s="21" t="s">
        <v>76</v>
      </c>
      <c r="C44" s="141">
        <v>2.16E-3</v>
      </c>
      <c r="D44" s="24">
        <f t="shared" si="1"/>
        <v>0</v>
      </c>
      <c r="E44" s="41">
        <f t="shared" si="2"/>
        <v>0</v>
      </c>
      <c r="F44" s="41">
        <f t="shared" si="4"/>
        <v>0</v>
      </c>
      <c r="G44" s="41">
        <f t="shared" si="5"/>
        <v>0</v>
      </c>
      <c r="H44" s="41">
        <f t="shared" si="3"/>
        <v>0</v>
      </c>
      <c r="I44" s="22">
        <f>0.0326-0.01</f>
        <v>2.2599999999999995E-2</v>
      </c>
      <c r="J44" s="41">
        <v>6.43</v>
      </c>
    </row>
    <row r="45" spans="1:10" ht="15.5" x14ac:dyDescent="0.35">
      <c r="A45" s="42">
        <v>2244</v>
      </c>
      <c r="B45" s="21" t="s">
        <v>108</v>
      </c>
      <c r="C45" s="141">
        <v>1.635E-2</v>
      </c>
      <c r="D45" s="24">
        <f t="shared" si="1"/>
        <v>0.02</v>
      </c>
      <c r="E45" s="41">
        <f t="shared" si="2"/>
        <v>0.01</v>
      </c>
      <c r="F45" s="41">
        <f t="shared" si="4"/>
        <v>0.01</v>
      </c>
      <c r="G45" s="41">
        <f t="shared" si="5"/>
        <v>0.01</v>
      </c>
      <c r="H45" s="41">
        <f t="shared" si="3"/>
        <v>5.0000000000000001E-3</v>
      </c>
      <c r="I45" s="22">
        <f>0.20397-0.05-0.03</f>
        <v>0.12397</v>
      </c>
      <c r="J45" s="41">
        <v>35.26</v>
      </c>
    </row>
    <row r="46" spans="1:10" ht="15.5" x14ac:dyDescent="0.35">
      <c r="A46" s="42">
        <v>2247</v>
      </c>
      <c r="B46" s="21" t="s">
        <v>71</v>
      </c>
      <c r="C46" s="141">
        <v>0.11479</v>
      </c>
      <c r="D46" s="24">
        <f t="shared" si="1"/>
        <v>0.16</v>
      </c>
      <c r="E46" s="41">
        <f t="shared" si="2"/>
        <v>0.08</v>
      </c>
      <c r="F46" s="41">
        <f t="shared" si="4"/>
        <v>0.08</v>
      </c>
      <c r="G46" s="41">
        <f t="shared" si="5"/>
        <v>0.08</v>
      </c>
      <c r="H46" s="41">
        <f t="shared" si="3"/>
        <v>0.04</v>
      </c>
      <c r="I46" s="22">
        <v>0</v>
      </c>
      <c r="J46" s="41">
        <v>0</v>
      </c>
    </row>
    <row r="47" spans="1:10" ht="15.5" x14ac:dyDescent="0.35">
      <c r="A47" s="42">
        <v>2249</v>
      </c>
      <c r="B47" s="21" t="s">
        <v>109</v>
      </c>
      <c r="C47" s="141">
        <v>2.1000000000000001E-4</v>
      </c>
      <c r="D47" s="24">
        <f t="shared" si="1"/>
        <v>0</v>
      </c>
      <c r="E47" s="41">
        <f t="shared" si="2"/>
        <v>0</v>
      </c>
      <c r="F47" s="41">
        <f t="shared" si="4"/>
        <v>0</v>
      </c>
      <c r="G47" s="41">
        <f t="shared" si="5"/>
        <v>0</v>
      </c>
      <c r="H47" s="41">
        <f t="shared" si="3"/>
        <v>0</v>
      </c>
      <c r="I47" s="22">
        <v>2.32E-4</v>
      </c>
      <c r="J47" s="41">
        <v>7.0000000000000007E-2</v>
      </c>
    </row>
    <row r="48" spans="1:10" ht="15.75" customHeight="1" x14ac:dyDescent="0.35">
      <c r="A48" s="42">
        <v>2250</v>
      </c>
      <c r="B48" s="21" t="s">
        <v>110</v>
      </c>
      <c r="C48" s="141">
        <v>1.7000000000000001E-4</v>
      </c>
      <c r="D48" s="24">
        <f t="shared" si="1"/>
        <v>0</v>
      </c>
      <c r="E48" s="41">
        <f t="shared" si="2"/>
        <v>0</v>
      </c>
      <c r="F48" s="41">
        <f t="shared" si="4"/>
        <v>0</v>
      </c>
      <c r="G48" s="41">
        <f t="shared" si="5"/>
        <v>0</v>
      </c>
      <c r="H48" s="41">
        <f t="shared" si="3"/>
        <v>0</v>
      </c>
      <c r="I48" s="22">
        <v>2.4025999999999999E-2</v>
      </c>
      <c r="J48" s="41">
        <v>6.83</v>
      </c>
    </row>
    <row r="49" spans="1:10" ht="15.5" hidden="1" x14ac:dyDescent="0.35">
      <c r="A49" s="42">
        <v>2261</v>
      </c>
      <c r="B49" s="26" t="s">
        <v>14</v>
      </c>
      <c r="C49" s="141">
        <v>2.7300000000000001E-2</v>
      </c>
      <c r="D49" s="24">
        <f t="shared" si="1"/>
        <v>0.04</v>
      </c>
      <c r="E49" s="41">
        <f t="shared" si="2"/>
        <v>0.02</v>
      </c>
      <c r="F49" s="41">
        <f t="shared" si="4"/>
        <v>0.02</v>
      </c>
      <c r="G49" s="41">
        <f t="shared" si="5"/>
        <v>0.02</v>
      </c>
      <c r="H49" s="41">
        <f t="shared" si="3"/>
        <v>0.01</v>
      </c>
      <c r="I49" s="22">
        <v>0</v>
      </c>
      <c r="J49" s="41">
        <v>0</v>
      </c>
    </row>
    <row r="50" spans="1:10" ht="15.5" x14ac:dyDescent="0.35">
      <c r="A50" s="42">
        <v>2262</v>
      </c>
      <c r="B50" s="26" t="s">
        <v>111</v>
      </c>
      <c r="C50" s="141">
        <v>8.4499999999999992E-3</v>
      </c>
      <c r="D50" s="24">
        <f t="shared" si="1"/>
        <v>0.01</v>
      </c>
      <c r="E50" s="41">
        <f t="shared" si="2"/>
        <v>0.01</v>
      </c>
      <c r="F50" s="41">
        <f t="shared" si="4"/>
        <v>0.01</v>
      </c>
      <c r="G50" s="41">
        <f t="shared" si="5"/>
        <v>0.01</v>
      </c>
      <c r="H50" s="41">
        <f t="shared" si="3"/>
        <v>5.0000000000000001E-3</v>
      </c>
      <c r="I50" s="22">
        <v>6.2599999999999999E-3</v>
      </c>
      <c r="J50" s="41">
        <v>1.78</v>
      </c>
    </row>
    <row r="51" spans="1:10" ht="15.5" x14ac:dyDescent="0.35">
      <c r="A51" s="42">
        <v>2263</v>
      </c>
      <c r="B51" s="26" t="s">
        <v>112</v>
      </c>
      <c r="C51" s="141">
        <v>2.0400000000000001E-3</v>
      </c>
      <c r="D51" s="24">
        <f t="shared" si="1"/>
        <v>0</v>
      </c>
      <c r="E51" s="41">
        <f t="shared" si="2"/>
        <v>0</v>
      </c>
      <c r="F51" s="41">
        <f t="shared" si="4"/>
        <v>0</v>
      </c>
      <c r="G51" s="41">
        <f t="shared" si="5"/>
        <v>0</v>
      </c>
      <c r="H51" s="41">
        <f t="shared" si="3"/>
        <v>0</v>
      </c>
      <c r="I51" s="22">
        <v>4.58E-2</v>
      </c>
      <c r="J51" s="41">
        <f>13.02-0.54</f>
        <v>12.48</v>
      </c>
    </row>
    <row r="52" spans="1:10" ht="15.5" x14ac:dyDescent="0.35">
      <c r="A52" s="42">
        <v>2264</v>
      </c>
      <c r="B52" s="21" t="s">
        <v>113</v>
      </c>
      <c r="C52" s="141">
        <v>2.2000000000000001E-4</v>
      </c>
      <c r="D52" s="24">
        <f t="shared" si="1"/>
        <v>0</v>
      </c>
      <c r="E52" s="41">
        <v>8.9</v>
      </c>
      <c r="F52" s="41">
        <f t="shared" si="4"/>
        <v>8.9</v>
      </c>
      <c r="G52" s="41">
        <f t="shared" si="5"/>
        <v>8.9</v>
      </c>
      <c r="H52" s="41">
        <f t="shared" si="3"/>
        <v>4.45</v>
      </c>
      <c r="I52" s="22">
        <v>1.49E-3</v>
      </c>
      <c r="J52" s="41">
        <v>0.42</v>
      </c>
    </row>
    <row r="53" spans="1:10" ht="15.5" x14ac:dyDescent="0.35">
      <c r="A53" s="42">
        <v>2311</v>
      </c>
      <c r="B53" s="26" t="s">
        <v>114</v>
      </c>
      <c r="C53" s="141">
        <v>3.5300000000000002E-3</v>
      </c>
      <c r="D53" s="24">
        <f t="shared" si="1"/>
        <v>0.01</v>
      </c>
      <c r="E53" s="41">
        <f t="shared" si="2"/>
        <v>0.01</v>
      </c>
      <c r="F53" s="41">
        <f t="shared" si="4"/>
        <v>0.01</v>
      </c>
      <c r="G53" s="41">
        <f t="shared" si="5"/>
        <v>0.01</v>
      </c>
      <c r="H53" s="41">
        <f t="shared" si="3"/>
        <v>5.0000000000000001E-3</v>
      </c>
      <c r="I53" s="22">
        <v>4.7699999999999999E-3</v>
      </c>
      <c r="J53" s="41">
        <v>1.36</v>
      </c>
    </row>
    <row r="54" spans="1:10" ht="15.5" x14ac:dyDescent="0.35">
      <c r="A54" s="42">
        <v>2312</v>
      </c>
      <c r="B54" s="26" t="s">
        <v>95</v>
      </c>
      <c r="C54" s="141">
        <v>2.6800000000000001E-3</v>
      </c>
      <c r="D54" s="24">
        <f t="shared" si="1"/>
        <v>0</v>
      </c>
      <c r="E54" s="41">
        <f t="shared" si="2"/>
        <v>0</v>
      </c>
      <c r="F54" s="41">
        <f t="shared" si="4"/>
        <v>0</v>
      </c>
      <c r="G54" s="41">
        <f t="shared" si="5"/>
        <v>0</v>
      </c>
      <c r="H54" s="41">
        <f t="shared" si="3"/>
        <v>0</v>
      </c>
      <c r="I54" s="22">
        <v>5.79E-3</v>
      </c>
      <c r="J54" s="41">
        <v>1.65</v>
      </c>
    </row>
    <row r="55" spans="1:10" ht="15.5" hidden="1" x14ac:dyDescent="0.35">
      <c r="A55" s="42">
        <v>2313</v>
      </c>
      <c r="B55" s="26" t="s">
        <v>115</v>
      </c>
      <c r="C55" s="141">
        <v>2.2000000000000001E-4</v>
      </c>
      <c r="D55" s="24">
        <f t="shared" si="1"/>
        <v>0</v>
      </c>
      <c r="E55" s="41">
        <f t="shared" si="2"/>
        <v>0</v>
      </c>
      <c r="F55" s="41">
        <f t="shared" si="4"/>
        <v>0</v>
      </c>
      <c r="G55" s="41">
        <f t="shared" si="5"/>
        <v>0</v>
      </c>
      <c r="H55" s="41">
        <f t="shared" si="3"/>
        <v>0</v>
      </c>
      <c r="I55" s="22">
        <f>I46</f>
        <v>0</v>
      </c>
      <c r="J55" s="41">
        <f>I55*284.42</f>
        <v>0</v>
      </c>
    </row>
    <row r="56" spans="1:10" ht="15.5" x14ac:dyDescent="0.35">
      <c r="A56" s="42">
        <v>2314</v>
      </c>
      <c r="B56" s="85" t="s">
        <v>116</v>
      </c>
      <c r="C56" s="141">
        <v>6.3000000000000003E-4</v>
      </c>
      <c r="D56" s="24">
        <f t="shared" si="1"/>
        <v>0</v>
      </c>
      <c r="E56" s="41">
        <f t="shared" si="2"/>
        <v>0</v>
      </c>
      <c r="F56" s="41">
        <f t="shared" si="4"/>
        <v>0</v>
      </c>
      <c r="G56" s="41">
        <f t="shared" si="5"/>
        <v>0</v>
      </c>
      <c r="H56" s="41">
        <v>0</v>
      </c>
      <c r="I56" s="22">
        <v>2.2200000000000002E-3</v>
      </c>
      <c r="J56" s="41">
        <v>0.63</v>
      </c>
    </row>
    <row r="57" spans="1:10" ht="15.5" x14ac:dyDescent="0.35">
      <c r="A57" s="42">
        <v>2321</v>
      </c>
      <c r="B57" s="26" t="s">
        <v>96</v>
      </c>
      <c r="C57" s="141">
        <v>7.2260000000000005E-2</v>
      </c>
      <c r="D57" s="24">
        <f t="shared" si="1"/>
        <v>0.1</v>
      </c>
      <c r="E57" s="41">
        <f t="shared" si="2"/>
        <v>0.05</v>
      </c>
      <c r="F57" s="41">
        <f t="shared" si="4"/>
        <v>0.05</v>
      </c>
      <c r="G57" s="41">
        <f t="shared" si="5"/>
        <v>0.05</v>
      </c>
      <c r="H57" s="41">
        <f t="shared" si="3"/>
        <v>2.5000000000000001E-2</v>
      </c>
      <c r="I57" s="22">
        <v>1.9800000000000002E-2</v>
      </c>
      <c r="J57" s="41">
        <v>5.63</v>
      </c>
    </row>
    <row r="58" spans="1:10" ht="15.5" x14ac:dyDescent="0.35">
      <c r="A58" s="42">
        <v>2322</v>
      </c>
      <c r="B58" s="26" t="s">
        <v>117</v>
      </c>
      <c r="C58" s="141">
        <v>2.2599999999999999E-3</v>
      </c>
      <c r="D58" s="24">
        <f t="shared" si="1"/>
        <v>0</v>
      </c>
      <c r="E58" s="41">
        <f t="shared" si="2"/>
        <v>0</v>
      </c>
      <c r="F58" s="41">
        <f t="shared" si="4"/>
        <v>0</v>
      </c>
      <c r="G58" s="41">
        <f t="shared" si="5"/>
        <v>0</v>
      </c>
      <c r="H58" s="41">
        <f t="shared" si="3"/>
        <v>0</v>
      </c>
      <c r="I58" s="22">
        <v>3.5000000000000001E-3</v>
      </c>
      <c r="J58" s="41">
        <v>1</v>
      </c>
    </row>
    <row r="59" spans="1:10" ht="15.5" hidden="1" x14ac:dyDescent="0.35">
      <c r="A59" s="42">
        <v>2341</v>
      </c>
      <c r="B59" s="26" t="s">
        <v>23</v>
      </c>
      <c r="C59" s="141">
        <v>1.7770000000000001E-2</v>
      </c>
      <c r="D59" s="24">
        <f t="shared" si="1"/>
        <v>0.03</v>
      </c>
      <c r="E59" s="41">
        <f t="shared" si="2"/>
        <v>0.02</v>
      </c>
      <c r="F59" s="41">
        <f t="shared" si="4"/>
        <v>0.02</v>
      </c>
      <c r="G59" s="41">
        <f t="shared" si="5"/>
        <v>0.02</v>
      </c>
      <c r="H59" s="41">
        <f t="shared" si="3"/>
        <v>0.01</v>
      </c>
      <c r="I59" s="22"/>
      <c r="J59" s="41">
        <f>I59*284.42</f>
        <v>0</v>
      </c>
    </row>
    <row r="60" spans="1:10" ht="15.5" x14ac:dyDescent="0.35">
      <c r="A60" s="42">
        <v>2350</v>
      </c>
      <c r="B60" s="22" t="s">
        <v>98</v>
      </c>
      <c r="C60" s="141">
        <v>3.8999999999999999E-4</v>
      </c>
      <c r="D60" s="24">
        <f t="shared" si="1"/>
        <v>0</v>
      </c>
      <c r="E60" s="41">
        <f t="shared" si="2"/>
        <v>0</v>
      </c>
      <c r="F60" s="41">
        <f t="shared" si="4"/>
        <v>0</v>
      </c>
      <c r="G60" s="41">
        <f t="shared" si="5"/>
        <v>0</v>
      </c>
      <c r="H60" s="41">
        <f t="shared" si="3"/>
        <v>0</v>
      </c>
      <c r="I60" s="22">
        <v>8.5000000000000006E-3</v>
      </c>
      <c r="J60" s="41">
        <v>2.42</v>
      </c>
    </row>
    <row r="61" spans="1:10" ht="15.75" hidden="1" customHeight="1" x14ac:dyDescent="0.35">
      <c r="A61" s="42">
        <v>2361</v>
      </c>
      <c r="B61" s="26" t="s">
        <v>26</v>
      </c>
      <c r="C61" s="141">
        <v>5.0699999999999999E-3</v>
      </c>
      <c r="D61" s="24">
        <v>970.51</v>
      </c>
      <c r="E61" s="41">
        <f t="shared" si="2"/>
        <v>485.26</v>
      </c>
      <c r="F61" s="41">
        <v>504</v>
      </c>
      <c r="G61" s="41">
        <f t="shared" si="5"/>
        <v>504</v>
      </c>
      <c r="H61" s="41">
        <v>300</v>
      </c>
      <c r="I61" s="22">
        <v>0</v>
      </c>
      <c r="J61" s="41">
        <f t="shared" ref="J61:J66" si="6">I61*284.42</f>
        <v>0</v>
      </c>
    </row>
    <row r="62" spans="1:10" ht="15.5" hidden="1" x14ac:dyDescent="0.35">
      <c r="A62" s="42">
        <v>2362</v>
      </c>
      <c r="B62" s="26" t="s">
        <v>27</v>
      </c>
      <c r="C62" s="141">
        <v>5.7999999999999996E-3</v>
      </c>
      <c r="D62" s="24">
        <f t="shared" si="1"/>
        <v>0.01</v>
      </c>
      <c r="E62" s="41">
        <f t="shared" si="2"/>
        <v>0.01</v>
      </c>
      <c r="F62" s="41">
        <f t="shared" si="4"/>
        <v>0.01</v>
      </c>
      <c r="G62" s="41">
        <f t="shared" si="5"/>
        <v>0.01</v>
      </c>
      <c r="H62" s="41">
        <f t="shared" si="3"/>
        <v>5.0000000000000001E-3</v>
      </c>
      <c r="I62" s="22">
        <v>0</v>
      </c>
      <c r="J62" s="41">
        <f t="shared" si="6"/>
        <v>0</v>
      </c>
    </row>
    <row r="63" spans="1:10" ht="15.5" hidden="1" x14ac:dyDescent="0.35">
      <c r="A63" s="42">
        <v>2363</v>
      </c>
      <c r="B63" s="26" t="s">
        <v>28</v>
      </c>
      <c r="C63" s="141">
        <v>5.8E-4</v>
      </c>
      <c r="D63" s="24">
        <f t="shared" si="1"/>
        <v>0</v>
      </c>
      <c r="E63" s="41">
        <f t="shared" si="2"/>
        <v>0</v>
      </c>
      <c r="F63" s="41">
        <f t="shared" si="4"/>
        <v>0</v>
      </c>
      <c r="G63" s="41">
        <f t="shared" si="5"/>
        <v>0</v>
      </c>
      <c r="H63" s="41">
        <f t="shared" si="3"/>
        <v>0</v>
      </c>
      <c r="I63" s="22">
        <v>0</v>
      </c>
      <c r="J63" s="41">
        <f t="shared" si="6"/>
        <v>0</v>
      </c>
    </row>
    <row r="64" spans="1:10" ht="15.5" hidden="1" x14ac:dyDescent="0.35">
      <c r="A64" s="42">
        <v>2370</v>
      </c>
      <c r="B64" s="26" t="s">
        <v>29</v>
      </c>
      <c r="C64" s="141">
        <v>2.3800000000000002E-3</v>
      </c>
      <c r="D64" s="24">
        <f t="shared" si="1"/>
        <v>0</v>
      </c>
      <c r="E64" s="41">
        <f t="shared" si="2"/>
        <v>0</v>
      </c>
      <c r="F64" s="41">
        <f t="shared" si="4"/>
        <v>0</v>
      </c>
      <c r="G64" s="41">
        <f t="shared" si="5"/>
        <v>0</v>
      </c>
      <c r="H64" s="41">
        <f t="shared" si="3"/>
        <v>0</v>
      </c>
      <c r="I64" s="22">
        <v>0</v>
      </c>
      <c r="J64" s="41">
        <f t="shared" si="6"/>
        <v>0</v>
      </c>
    </row>
    <row r="65" spans="1:10" ht="15.75" hidden="1" customHeight="1" x14ac:dyDescent="0.35">
      <c r="A65" s="42">
        <v>2400</v>
      </c>
      <c r="B65" s="26" t="s">
        <v>43</v>
      </c>
      <c r="C65" s="141">
        <v>1.128E-2</v>
      </c>
      <c r="D65" s="24">
        <f t="shared" si="1"/>
        <v>0.02</v>
      </c>
      <c r="E65" s="41">
        <f t="shared" si="2"/>
        <v>0.01</v>
      </c>
      <c r="F65" s="41">
        <f t="shared" si="4"/>
        <v>0.01</v>
      </c>
      <c r="G65" s="41">
        <f t="shared" si="5"/>
        <v>0.01</v>
      </c>
      <c r="H65" s="41">
        <f t="shared" si="3"/>
        <v>5.0000000000000001E-3</v>
      </c>
      <c r="I65" s="22">
        <v>0</v>
      </c>
      <c r="J65" s="41">
        <f t="shared" si="6"/>
        <v>0</v>
      </c>
    </row>
    <row r="66" spans="1:10" ht="15.75" hidden="1" customHeight="1" x14ac:dyDescent="0.35">
      <c r="A66" s="42">
        <v>2512</v>
      </c>
      <c r="B66" s="26" t="s">
        <v>30</v>
      </c>
      <c r="C66" s="141">
        <v>2.256E-2</v>
      </c>
      <c r="D66" s="24">
        <f t="shared" si="1"/>
        <v>0.03</v>
      </c>
      <c r="E66" s="41">
        <f t="shared" si="2"/>
        <v>0.02</v>
      </c>
      <c r="F66" s="41">
        <f t="shared" si="4"/>
        <v>0.02</v>
      </c>
      <c r="G66" s="41">
        <f t="shared" si="5"/>
        <v>0.02</v>
      </c>
      <c r="H66" s="41">
        <f t="shared" si="3"/>
        <v>0.01</v>
      </c>
      <c r="I66" s="22">
        <v>0</v>
      </c>
      <c r="J66" s="41">
        <f t="shared" si="6"/>
        <v>0</v>
      </c>
    </row>
    <row r="67" spans="1:10" ht="15.5" x14ac:dyDescent="0.35">
      <c r="A67" s="42">
        <v>2513</v>
      </c>
      <c r="B67" s="22" t="s">
        <v>118</v>
      </c>
      <c r="C67" s="54"/>
      <c r="D67" s="54"/>
      <c r="E67" s="41">
        <v>0</v>
      </c>
      <c r="F67" s="41">
        <f>E67/1452*500</f>
        <v>0</v>
      </c>
      <c r="G67" s="41">
        <f t="shared" si="5"/>
        <v>0</v>
      </c>
      <c r="H67" s="41">
        <f t="shared" si="3"/>
        <v>0</v>
      </c>
      <c r="I67" s="22">
        <v>1.4599999999999999E-3</v>
      </c>
      <c r="J67" s="41">
        <v>0.42</v>
      </c>
    </row>
    <row r="68" spans="1:10" ht="15.5" x14ac:dyDescent="0.35">
      <c r="A68" s="42">
        <v>2515</v>
      </c>
      <c r="B68" s="26" t="s">
        <v>73</v>
      </c>
      <c r="C68" s="43">
        <f t="shared" ref="C68:H68" si="7">SUM(C31:C67)</f>
        <v>1.0000041520000003</v>
      </c>
      <c r="D68" s="43">
        <f t="shared" si="7"/>
        <v>971.8</v>
      </c>
      <c r="E68" s="43">
        <f t="shared" si="7"/>
        <v>494.85999999999996</v>
      </c>
      <c r="F68" s="43">
        <f t="shared" si="7"/>
        <v>722.4</v>
      </c>
      <c r="G68" s="43">
        <f t="shared" si="7"/>
        <v>722.4</v>
      </c>
      <c r="H68" s="43">
        <f t="shared" si="7"/>
        <v>413.19499999999999</v>
      </c>
      <c r="I68" s="22">
        <v>1.9E-3</v>
      </c>
      <c r="J68" s="41">
        <v>0.54</v>
      </c>
    </row>
    <row r="69" spans="1:10" ht="15.5" x14ac:dyDescent="0.35">
      <c r="A69" s="42">
        <v>2519</v>
      </c>
      <c r="B69" s="26" t="s">
        <v>119</v>
      </c>
      <c r="C69" s="43">
        <f t="shared" ref="C69:H69" si="8">C68+C30</f>
        <v>2178.8300041520006</v>
      </c>
      <c r="D69" s="43">
        <f t="shared" si="8"/>
        <v>4070.58</v>
      </c>
      <c r="E69" s="43">
        <f t="shared" si="8"/>
        <v>2044.2699999999998</v>
      </c>
      <c r="F69" s="43">
        <f t="shared" si="8"/>
        <v>2342.7800000000002</v>
      </c>
      <c r="G69" s="43">
        <f t="shared" si="8"/>
        <v>2619.85</v>
      </c>
      <c r="H69" s="43">
        <f t="shared" si="8"/>
        <v>1480.0929999999998</v>
      </c>
      <c r="I69" s="22">
        <v>2E-3</v>
      </c>
      <c r="J69" s="41">
        <v>0.56999999999999995</v>
      </c>
    </row>
    <row r="70" spans="1:10" ht="15.5" x14ac:dyDescent="0.35">
      <c r="A70" s="42">
        <v>5220</v>
      </c>
      <c r="B70" s="26" t="s">
        <v>120</v>
      </c>
      <c r="C70" s="142"/>
      <c r="D70" s="142"/>
      <c r="E70" s="142"/>
      <c r="F70" s="142"/>
      <c r="G70" s="142"/>
      <c r="H70" s="142"/>
      <c r="I70" s="22">
        <v>1.06E-2</v>
      </c>
      <c r="J70" s="41">
        <v>3.01</v>
      </c>
    </row>
    <row r="71" spans="1:10" ht="15.5" x14ac:dyDescent="0.35">
      <c r="A71" s="42">
        <v>5238</v>
      </c>
      <c r="B71" s="22" t="s">
        <v>121</v>
      </c>
      <c r="C71" s="142"/>
      <c r="D71" s="142"/>
      <c r="E71" s="142"/>
      <c r="F71" s="142"/>
      <c r="G71" s="142"/>
      <c r="H71" s="142"/>
      <c r="I71" s="22">
        <v>1.65E-3</v>
      </c>
      <c r="J71" s="41">
        <v>0.47</v>
      </c>
    </row>
    <row r="72" spans="1:10" ht="15.5" x14ac:dyDescent="0.35">
      <c r="A72" s="42">
        <v>5239</v>
      </c>
      <c r="B72" s="22" t="s">
        <v>122</v>
      </c>
      <c r="C72" s="142"/>
      <c r="D72" s="142"/>
      <c r="E72" s="142"/>
      <c r="F72" s="142"/>
      <c r="G72" s="142"/>
      <c r="H72" s="142"/>
      <c r="I72" s="22">
        <v>1.38E-2</v>
      </c>
      <c r="J72" s="41">
        <v>3.92</v>
      </c>
    </row>
    <row r="73" spans="1:10" ht="15.5" x14ac:dyDescent="0.35">
      <c r="A73" s="42">
        <v>5250</v>
      </c>
      <c r="B73" s="26" t="s">
        <v>123</v>
      </c>
      <c r="C73" s="142"/>
      <c r="D73" s="142"/>
      <c r="E73" s="142"/>
      <c r="F73" s="142"/>
      <c r="G73" s="142"/>
      <c r="H73" s="142"/>
      <c r="I73" s="22">
        <f>0.025-0.01</f>
        <v>1.5000000000000001E-2</v>
      </c>
      <c r="J73" s="41">
        <v>4.2699999999999996</v>
      </c>
    </row>
    <row r="74" spans="1:10" ht="15.5" x14ac:dyDescent="0.35">
      <c r="A74" s="23"/>
      <c r="B74" s="31" t="s">
        <v>74</v>
      </c>
      <c r="C74" s="31"/>
      <c r="D74" s="29">
        <f>SUM(D33:D73)</f>
        <v>6013.53</v>
      </c>
      <c r="E74" s="142"/>
      <c r="F74" s="142"/>
      <c r="G74" s="142"/>
      <c r="H74" s="142"/>
      <c r="I74" s="22">
        <f>SUM(I32:I73)</f>
        <v>1.0019240000000003</v>
      </c>
      <c r="J74" s="29">
        <f>SUM(J32:J73)</f>
        <v>284.42</v>
      </c>
    </row>
    <row r="75" spans="1:10" ht="15.5" x14ac:dyDescent="0.35">
      <c r="A75" s="23"/>
      <c r="B75" s="31" t="s">
        <v>75</v>
      </c>
      <c r="C75" s="31"/>
      <c r="D75" s="29">
        <f>D31+D74</f>
        <v>6013.53</v>
      </c>
      <c r="E75" s="142"/>
      <c r="F75" s="142"/>
      <c r="G75" s="142"/>
      <c r="H75" s="142"/>
      <c r="I75" s="43"/>
      <c r="J75" s="43">
        <f>J30+J74</f>
        <v>1025</v>
      </c>
    </row>
    <row r="76" spans="1:10" ht="15.5" x14ac:dyDescent="0.35">
      <c r="A76" s="91"/>
      <c r="B76" s="138"/>
      <c r="C76" s="142"/>
      <c r="D76" s="142"/>
      <c r="E76" s="142"/>
      <c r="F76" s="142"/>
      <c r="G76" s="142"/>
      <c r="H76" s="142"/>
      <c r="I76" s="142"/>
      <c r="J76" s="142"/>
    </row>
    <row r="77" spans="1:10" ht="15.5" x14ac:dyDescent="0.35">
      <c r="A77" s="9"/>
      <c r="B77" s="32"/>
      <c r="C77" s="33"/>
      <c r="D77" s="33"/>
      <c r="E77" s="55"/>
      <c r="F77" s="55"/>
      <c r="G77" s="55"/>
      <c r="H77" s="55"/>
      <c r="I77" s="142"/>
      <c r="J77" s="55"/>
    </row>
    <row r="78" spans="1:10" ht="15.5" x14ac:dyDescent="0.35">
      <c r="A78" s="162" t="s">
        <v>45</v>
      </c>
      <c r="B78" s="162"/>
      <c r="C78" s="143">
        <v>800</v>
      </c>
      <c r="D78" s="143">
        <v>800</v>
      </c>
      <c r="E78" s="144">
        <v>400</v>
      </c>
      <c r="F78" s="145">
        <v>400</v>
      </c>
      <c r="G78" s="121">
        <v>400</v>
      </c>
      <c r="H78" s="146">
        <v>200</v>
      </c>
      <c r="I78" s="142"/>
      <c r="J78" s="62">
        <v>100</v>
      </c>
    </row>
    <row r="79" spans="1:10" ht="15.5" x14ac:dyDescent="0.35">
      <c r="A79" s="162" t="s">
        <v>54</v>
      </c>
      <c r="B79" s="162"/>
      <c r="C79" s="147">
        <f>C69/C78</f>
        <v>2.7235375051900008</v>
      </c>
      <c r="D79" s="147">
        <f>ROUND(D69/D78,2)</f>
        <v>5.09</v>
      </c>
      <c r="E79" s="142">
        <f>ROUND(E69/E78,2)</f>
        <v>5.1100000000000003</v>
      </c>
      <c r="F79" s="148">
        <f>F69/F78</f>
        <v>5.8569500000000003</v>
      </c>
      <c r="G79" s="43">
        <f>G69/G78</f>
        <v>6.5496249999999998</v>
      </c>
      <c r="H79" s="149">
        <f>H69/H78</f>
        <v>7.4004649999999996</v>
      </c>
      <c r="I79" s="142"/>
      <c r="J79" s="60">
        <f>J75/J78</f>
        <v>10.25</v>
      </c>
    </row>
    <row r="80" spans="1:10" ht="15.5" hidden="1" x14ac:dyDescent="0.35">
      <c r="A80" s="32"/>
      <c r="B80" s="161"/>
      <c r="C80" s="161"/>
      <c r="D80" s="161"/>
      <c r="E80" s="161"/>
      <c r="F80" s="75"/>
      <c r="G80" s="75"/>
      <c r="H80" s="75"/>
      <c r="I80" s="142"/>
      <c r="J80" s="75"/>
    </row>
    <row r="81" spans="1:10" ht="15.5" x14ac:dyDescent="0.35">
      <c r="A81" s="32"/>
      <c r="B81" s="32"/>
      <c r="C81" s="32"/>
      <c r="D81" s="32"/>
      <c r="E81" s="32"/>
      <c r="F81" s="75"/>
      <c r="G81" s="75"/>
      <c r="H81" s="75"/>
      <c r="I81" s="142"/>
      <c r="J81" s="75"/>
    </row>
    <row r="82" spans="1:10" ht="15.5" x14ac:dyDescent="0.35">
      <c r="A82" s="162" t="s">
        <v>62</v>
      </c>
      <c r="B82" s="162"/>
      <c r="C82" s="87"/>
      <c r="D82" s="87"/>
      <c r="E82" s="38"/>
      <c r="F82" s="150"/>
      <c r="G82" s="56"/>
      <c r="H82" s="151"/>
      <c r="I82" s="142"/>
      <c r="J82" s="117"/>
    </row>
    <row r="83" spans="1:10" ht="15.5" x14ac:dyDescent="0.35">
      <c r="A83" s="162" t="s">
        <v>63</v>
      </c>
      <c r="B83" s="162"/>
      <c r="C83" s="87"/>
      <c r="D83" s="87"/>
      <c r="E83" s="38"/>
      <c r="F83" s="150"/>
      <c r="G83" s="56"/>
      <c r="H83" s="151"/>
      <c r="I83" s="142"/>
      <c r="J83" s="56"/>
    </row>
    <row r="84" spans="1:10" ht="15.5" x14ac:dyDescent="0.35">
      <c r="A84" s="36"/>
      <c r="B84" s="11"/>
      <c r="C84" s="11"/>
      <c r="D84" s="11"/>
      <c r="E84" s="57"/>
      <c r="F84" s="10"/>
      <c r="G84" s="10"/>
      <c r="H84" s="10"/>
      <c r="I84" s="142"/>
      <c r="J84" s="10"/>
    </row>
    <row r="85" spans="1:10" ht="15.5" x14ac:dyDescent="0.35">
      <c r="A85" s="37" t="s">
        <v>46</v>
      </c>
      <c r="B85" s="37"/>
      <c r="C85" s="37"/>
      <c r="D85" s="37"/>
      <c r="E85" s="37"/>
      <c r="F85" s="37"/>
      <c r="G85" s="37"/>
      <c r="H85" s="37"/>
      <c r="I85" s="142"/>
      <c r="J85" s="37"/>
    </row>
    <row r="86" spans="1:10" ht="15.5" x14ac:dyDescent="0.35">
      <c r="A86" s="37"/>
      <c r="B86" s="37"/>
      <c r="C86" s="37"/>
      <c r="D86" s="37"/>
      <c r="E86" s="37"/>
      <c r="F86" s="37"/>
      <c r="G86" s="37"/>
      <c r="H86" s="37"/>
      <c r="I86" s="142"/>
      <c r="J86" s="37"/>
    </row>
    <row r="87" spans="1:10" ht="15.5" x14ac:dyDescent="0.35">
      <c r="A87" s="37" t="s">
        <v>134</v>
      </c>
      <c r="B87" s="38"/>
      <c r="C87" s="38"/>
      <c r="D87" s="38"/>
      <c r="E87" s="37"/>
      <c r="F87" s="37"/>
      <c r="G87" s="37"/>
      <c r="H87" s="37"/>
      <c r="I87" s="142"/>
      <c r="J87" s="37"/>
    </row>
    <row r="88" spans="1:10" ht="15.5" x14ac:dyDescent="0.35">
      <c r="A88" s="37"/>
      <c r="B88" s="39"/>
      <c r="C88" s="39"/>
      <c r="D88" s="39"/>
      <c r="E88" s="37"/>
      <c r="F88" s="37"/>
      <c r="G88" s="37"/>
      <c r="H88" s="37"/>
      <c r="I88" s="37"/>
      <c r="J88" s="37"/>
    </row>
    <row r="89" spans="1:10" ht="15.5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 spans="1:10" ht="15.5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</row>
  </sheetData>
  <mergeCells count="15">
    <mergeCell ref="B1:F1"/>
    <mergeCell ref="B5:F5"/>
    <mergeCell ref="B6:F6"/>
    <mergeCell ref="A7:H7"/>
    <mergeCell ref="B8:E8"/>
    <mergeCell ref="A9:E9"/>
    <mergeCell ref="B80:E80"/>
    <mergeCell ref="A82:B82"/>
    <mergeCell ref="A83:B83"/>
    <mergeCell ref="A10:E10"/>
    <mergeCell ref="B11:E11"/>
    <mergeCell ref="B12:E12"/>
    <mergeCell ref="B13:E13"/>
    <mergeCell ref="A78:B78"/>
    <mergeCell ref="A79:B7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7"/>
  <sheetViews>
    <sheetView view="pageLayout" topLeftCell="A2" zoomScale="80" zoomScaleNormal="100" zoomScalePageLayoutView="80" workbookViewId="0">
      <selection activeCell="D5" sqref="D5"/>
    </sheetView>
  </sheetViews>
  <sheetFormatPr defaultRowHeight="14" x14ac:dyDescent="0.3"/>
  <cols>
    <col min="1" max="1" width="12.453125" style="2" customWidth="1"/>
    <col min="2" max="2" width="89.54296875" style="2" customWidth="1"/>
    <col min="3" max="3" width="8.26953125" style="2" hidden="1" customWidth="1"/>
    <col min="4" max="4" width="29.453125" style="2" customWidth="1"/>
  </cols>
  <sheetData>
    <row r="1" spans="1:4" ht="15.5" x14ac:dyDescent="0.35">
      <c r="B1" s="163"/>
      <c r="C1" s="163"/>
      <c r="D1" s="6" t="s">
        <v>7</v>
      </c>
    </row>
    <row r="2" spans="1:4" ht="15.75" customHeight="1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65"/>
      <c r="C5" s="165"/>
      <c r="D5" s="9" t="s">
        <v>260</v>
      </c>
    </row>
    <row r="6" spans="1:4" x14ac:dyDescent="0.3">
      <c r="B6" s="167"/>
      <c r="C6" s="167"/>
      <c r="D6" s="3"/>
    </row>
    <row r="7" spans="1:4" ht="17.5" x14ac:dyDescent="0.35">
      <c r="A7" s="169" t="s">
        <v>6</v>
      </c>
      <c r="B7" s="169"/>
      <c r="C7" s="169"/>
      <c r="D7" s="99"/>
    </row>
    <row r="8" spans="1:4" x14ac:dyDescent="0.3">
      <c r="B8" s="170"/>
      <c r="C8" s="170"/>
    </row>
    <row r="9" spans="1:4" ht="15.75" customHeight="1" x14ac:dyDescent="0.35">
      <c r="A9" s="160" t="s">
        <v>1</v>
      </c>
      <c r="B9" s="160"/>
      <c r="C9" s="160"/>
      <c r="D9" s="10"/>
    </row>
    <row r="10" spans="1:4" ht="15.75" customHeight="1" x14ac:dyDescent="0.35">
      <c r="A10" s="160" t="s">
        <v>0</v>
      </c>
      <c r="B10" s="160"/>
      <c r="C10" s="160"/>
      <c r="D10" s="10"/>
    </row>
    <row r="11" spans="1:4" ht="15.5" x14ac:dyDescent="0.35">
      <c r="A11" s="5"/>
      <c r="B11" s="5" t="str">
        <f>'8.1.1.'!B11:E11</f>
        <v>8. Pārējie maksas pakalpojumi</v>
      </c>
      <c r="C11" s="5"/>
      <c r="D11" s="10"/>
    </row>
    <row r="12" spans="1:4" ht="15.5" x14ac:dyDescent="0.35">
      <c r="A12" s="5"/>
      <c r="B12" s="160" t="str">
        <f>'8.1.1.'!B12:E12</f>
        <v>8.1. Fitnesa pakalpojumi</v>
      </c>
      <c r="C12" s="160"/>
      <c r="D12" s="10"/>
    </row>
    <row r="13" spans="1:4" ht="15.5" x14ac:dyDescent="0.35">
      <c r="A13" s="5"/>
      <c r="B13" s="160" t="s">
        <v>172</v>
      </c>
      <c r="C13" s="160"/>
      <c r="D13" s="1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10"/>
      <c r="B15" s="16"/>
      <c r="C15" s="16"/>
      <c r="D15" s="10"/>
    </row>
    <row r="16" spans="1:4" ht="65.2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6" ht="15" x14ac:dyDescent="0.25">
      <c r="A17" s="18">
        <v>1</v>
      </c>
      <c r="B17" s="19">
        <v>2</v>
      </c>
      <c r="C17" s="19"/>
      <c r="D17" s="19">
        <v>3</v>
      </c>
    </row>
    <row r="18" spans="1:6" ht="15.5" x14ac:dyDescent="0.35">
      <c r="A18" s="20"/>
      <c r="B18" s="21" t="s">
        <v>5</v>
      </c>
      <c r="C18" s="21"/>
      <c r="D18" s="22"/>
    </row>
    <row r="19" spans="1:6" ht="15.5" x14ac:dyDescent="0.35">
      <c r="A19" s="23">
        <v>1100</v>
      </c>
      <c r="B19" s="24" t="s">
        <v>83</v>
      </c>
      <c r="C19" s="24"/>
      <c r="D19" s="25">
        <f>1216.25*1.1</f>
        <v>1337.875</v>
      </c>
    </row>
    <row r="20" spans="1:6" ht="15.5" x14ac:dyDescent="0.35">
      <c r="A20" s="23">
        <v>1200</v>
      </c>
      <c r="B20" s="26" t="s">
        <v>93</v>
      </c>
      <c r="C20" s="26"/>
      <c r="D20" s="25">
        <f>D19*0.2359</f>
        <v>315.60471250000001</v>
      </c>
    </row>
    <row r="21" spans="1:6" ht="15.5" x14ac:dyDescent="0.35">
      <c r="A21" s="23">
        <v>2222</v>
      </c>
      <c r="B21" s="26" t="s">
        <v>101</v>
      </c>
      <c r="C21" s="26"/>
      <c r="D21" s="25">
        <v>33.39</v>
      </c>
    </row>
    <row r="22" spans="1:6" ht="15.5" x14ac:dyDescent="0.35">
      <c r="A22" s="22">
        <v>2223</v>
      </c>
      <c r="B22" s="26" t="s">
        <v>94</v>
      </c>
      <c r="C22" s="26"/>
      <c r="D22" s="25">
        <v>65.39</v>
      </c>
    </row>
    <row r="23" spans="1:6" ht="15.5" x14ac:dyDescent="0.35">
      <c r="A23" s="23">
        <v>2243</v>
      </c>
      <c r="B23" s="26" t="s">
        <v>76</v>
      </c>
      <c r="C23" s="26"/>
      <c r="D23" s="25">
        <v>25.41</v>
      </c>
      <c r="E23" s="100"/>
    </row>
    <row r="24" spans="1:6" ht="15.5" x14ac:dyDescent="0.35">
      <c r="A24" s="23">
        <v>2244</v>
      </c>
      <c r="B24" s="26" t="s">
        <v>108</v>
      </c>
      <c r="C24" s="26"/>
      <c r="D24" s="25">
        <v>77.88</v>
      </c>
    </row>
    <row r="25" spans="1:6" ht="15.5" x14ac:dyDescent="0.35">
      <c r="A25" s="22">
        <v>2312</v>
      </c>
      <c r="B25" s="26" t="s">
        <v>95</v>
      </c>
      <c r="C25" s="26"/>
      <c r="D25" s="25">
        <v>19.420000000000002</v>
      </c>
    </row>
    <row r="26" spans="1:6" ht="15.5" x14ac:dyDescent="0.35">
      <c r="A26" s="22">
        <v>2321</v>
      </c>
      <c r="B26" s="26" t="s">
        <v>96</v>
      </c>
      <c r="C26" s="26"/>
      <c r="D26" s="25">
        <v>61.14</v>
      </c>
    </row>
    <row r="27" spans="1:6" ht="15.5" hidden="1" x14ac:dyDescent="0.35">
      <c r="A27" s="22">
        <v>2350</v>
      </c>
      <c r="B27" s="26" t="s">
        <v>126</v>
      </c>
      <c r="C27" s="26"/>
      <c r="D27" s="25"/>
    </row>
    <row r="28" spans="1:6" ht="15.5" hidden="1" x14ac:dyDescent="0.35">
      <c r="A28" s="27">
        <v>2341</v>
      </c>
      <c r="B28" s="26" t="s">
        <v>97</v>
      </c>
      <c r="C28" s="26"/>
      <c r="D28" s="25"/>
    </row>
    <row r="29" spans="1:6" ht="15.5" x14ac:dyDescent="0.35">
      <c r="A29" s="42">
        <v>5239</v>
      </c>
      <c r="B29" s="22" t="s">
        <v>122</v>
      </c>
      <c r="C29" s="22"/>
      <c r="D29" s="25">
        <v>248.42</v>
      </c>
    </row>
    <row r="30" spans="1:6" ht="15.5" x14ac:dyDescent="0.35">
      <c r="A30" s="22"/>
      <c r="B30" s="28" t="s">
        <v>69</v>
      </c>
      <c r="C30" s="28"/>
      <c r="D30" s="29">
        <f>SUM(D19:D29)</f>
        <v>2184.5297125000002</v>
      </c>
      <c r="E30" s="100"/>
      <c r="F30" s="101"/>
    </row>
    <row r="31" spans="1:6" ht="15.5" x14ac:dyDescent="0.35">
      <c r="A31" s="23"/>
      <c r="B31" s="24" t="s">
        <v>70</v>
      </c>
      <c r="C31" s="24"/>
      <c r="D31" s="25"/>
    </row>
    <row r="32" spans="1:6" ht="15.5" x14ac:dyDescent="0.35">
      <c r="A32" s="42">
        <v>1100</v>
      </c>
      <c r="B32" s="42" t="s">
        <v>83</v>
      </c>
      <c r="C32" s="102">
        <v>0.51439999999999997</v>
      </c>
      <c r="D32" s="25">
        <f>376.71*1.1</f>
        <v>414.38100000000003</v>
      </c>
    </row>
    <row r="33" spans="1:4" ht="15.75" customHeight="1" x14ac:dyDescent="0.35">
      <c r="A33" s="42">
        <v>1200</v>
      </c>
      <c r="B33" s="54" t="s">
        <v>93</v>
      </c>
      <c r="C33" s="102">
        <f>C32*0.2359</f>
        <v>0.12134695999999999</v>
      </c>
      <c r="D33" s="25">
        <f>D32*0.2359</f>
        <v>97.752477900000002</v>
      </c>
    </row>
    <row r="34" spans="1:4" ht="15.5" x14ac:dyDescent="0.35">
      <c r="A34" s="42">
        <v>2100</v>
      </c>
      <c r="B34" s="30" t="s">
        <v>42</v>
      </c>
      <c r="C34" s="102">
        <v>8.0999999999999996E-4</v>
      </c>
      <c r="D34" s="25">
        <v>0.59</v>
      </c>
    </row>
    <row r="35" spans="1:4" ht="15.5" x14ac:dyDescent="0.35">
      <c r="A35" s="45">
        <v>2210</v>
      </c>
      <c r="B35" s="54" t="s">
        <v>100</v>
      </c>
      <c r="C35" s="102">
        <v>8.0000000000000002E-3</v>
      </c>
      <c r="D35" s="25">
        <v>5.86</v>
      </c>
    </row>
    <row r="36" spans="1:4" ht="15.5" x14ac:dyDescent="0.35">
      <c r="A36" s="42">
        <v>2222</v>
      </c>
      <c r="B36" s="26" t="s">
        <v>101</v>
      </c>
      <c r="C36" s="102">
        <v>4.4400000000000004E-3</v>
      </c>
      <c r="D36" s="25">
        <v>3.25</v>
      </c>
    </row>
    <row r="37" spans="1:4" ht="15.5" x14ac:dyDescent="0.35">
      <c r="A37" s="42">
        <v>2223</v>
      </c>
      <c r="B37" s="26" t="s">
        <v>94</v>
      </c>
      <c r="C37" s="102">
        <v>5.4940000000000003E-2</v>
      </c>
      <c r="D37" s="25">
        <v>40.229999999999997</v>
      </c>
    </row>
    <row r="38" spans="1:4" ht="31" x14ac:dyDescent="0.35">
      <c r="A38" s="42">
        <v>2224</v>
      </c>
      <c r="B38" s="26" t="s">
        <v>102</v>
      </c>
      <c r="C38" s="102">
        <v>3.0899999999999999E-3</v>
      </c>
      <c r="D38" s="25">
        <v>2.2599999999999998</v>
      </c>
    </row>
    <row r="39" spans="1:4" ht="15.5" x14ac:dyDescent="0.35">
      <c r="A39" s="42">
        <v>2231</v>
      </c>
      <c r="B39" s="21" t="s">
        <v>103</v>
      </c>
      <c r="C39" s="102">
        <v>1.5E-3</v>
      </c>
      <c r="D39" s="25">
        <v>1.1000000000000001</v>
      </c>
    </row>
    <row r="40" spans="1:4" ht="15.5" x14ac:dyDescent="0.35">
      <c r="A40" s="42">
        <v>2235</v>
      </c>
      <c r="B40" s="85" t="s">
        <v>104</v>
      </c>
      <c r="C40" s="102">
        <v>2.5100000000000001E-3</v>
      </c>
      <c r="D40" s="25">
        <v>1.84</v>
      </c>
    </row>
    <row r="41" spans="1:4" ht="15.5" x14ac:dyDescent="0.35">
      <c r="A41" s="42">
        <v>2239</v>
      </c>
      <c r="B41" s="21" t="s">
        <v>105</v>
      </c>
      <c r="C41" s="102">
        <v>1.7899999999999999E-3</v>
      </c>
      <c r="D41" s="25">
        <v>1.31</v>
      </c>
    </row>
    <row r="42" spans="1:4" ht="15.5" x14ac:dyDescent="0.35">
      <c r="A42" s="42">
        <v>2241</v>
      </c>
      <c r="B42" s="21" t="s">
        <v>106</v>
      </c>
      <c r="C42" s="102">
        <v>1.6500000000000001E-2</v>
      </c>
      <c r="D42" s="25">
        <v>12.08</v>
      </c>
    </row>
    <row r="43" spans="1:4" ht="15.5" x14ac:dyDescent="0.35">
      <c r="A43" s="42">
        <v>2242</v>
      </c>
      <c r="B43" s="26" t="s">
        <v>107</v>
      </c>
      <c r="C43" s="102">
        <v>8.4999999999999995E-4</v>
      </c>
      <c r="D43" s="25">
        <v>0.62</v>
      </c>
    </row>
    <row r="44" spans="1:4" ht="15.5" x14ac:dyDescent="0.35">
      <c r="A44" s="42">
        <v>2243</v>
      </c>
      <c r="B44" s="21" t="s">
        <v>76</v>
      </c>
      <c r="C44" s="102">
        <v>4.0000000000000002E-4</v>
      </c>
      <c r="D44" s="25">
        <v>0.28999999999999998</v>
      </c>
    </row>
    <row r="45" spans="1:4" ht="15.5" x14ac:dyDescent="0.35">
      <c r="A45" s="42">
        <v>2244</v>
      </c>
      <c r="B45" s="21" t="s">
        <v>108</v>
      </c>
      <c r="C45" s="102">
        <v>6.8070000000000006E-2</v>
      </c>
      <c r="D45" s="25">
        <v>49.85</v>
      </c>
    </row>
    <row r="46" spans="1:4" ht="15.5" x14ac:dyDescent="0.35">
      <c r="A46" s="22">
        <v>2247</v>
      </c>
      <c r="B46" s="21" t="s">
        <v>71</v>
      </c>
      <c r="C46" s="102">
        <v>2.2000000000000001E-4</v>
      </c>
      <c r="D46" s="25">
        <v>0.16</v>
      </c>
    </row>
    <row r="47" spans="1:4" ht="15.5" x14ac:dyDescent="0.35">
      <c r="A47" s="22">
        <v>2249</v>
      </c>
      <c r="B47" s="26" t="s">
        <v>127</v>
      </c>
      <c r="C47" s="102">
        <v>2.5000000000000001E-4</v>
      </c>
      <c r="D47" s="25">
        <v>0.18</v>
      </c>
    </row>
    <row r="48" spans="1:4" ht="15.5" x14ac:dyDescent="0.35">
      <c r="A48" s="42">
        <v>2250</v>
      </c>
      <c r="B48" s="21" t="s">
        <v>110</v>
      </c>
      <c r="C48" s="102">
        <v>2.8400000000000002E-2</v>
      </c>
      <c r="D48" s="25">
        <v>20.8</v>
      </c>
    </row>
    <row r="49" spans="1:4" ht="15.5" hidden="1" x14ac:dyDescent="0.35">
      <c r="A49" s="42">
        <v>2261</v>
      </c>
      <c r="B49" s="26" t="s">
        <v>128</v>
      </c>
      <c r="C49" s="102">
        <v>0</v>
      </c>
      <c r="D49" s="25">
        <f>C49*732.32</f>
        <v>0</v>
      </c>
    </row>
    <row r="50" spans="1:4" ht="15.5" x14ac:dyDescent="0.35">
      <c r="A50" s="42">
        <v>2262</v>
      </c>
      <c r="B50" s="26" t="s">
        <v>111</v>
      </c>
      <c r="C50" s="102">
        <v>1.137E-2</v>
      </c>
      <c r="D50" s="25">
        <v>8.33</v>
      </c>
    </row>
    <row r="51" spans="1:4" ht="15.5" x14ac:dyDescent="0.35">
      <c r="A51" s="42">
        <v>2263</v>
      </c>
      <c r="B51" s="26" t="s">
        <v>112</v>
      </c>
      <c r="C51" s="102">
        <v>4.58E-2</v>
      </c>
      <c r="D51" s="25">
        <v>33.54</v>
      </c>
    </row>
    <row r="52" spans="1:4" ht="15.5" x14ac:dyDescent="0.35">
      <c r="A52" s="42">
        <v>2264</v>
      </c>
      <c r="B52" s="21" t="s">
        <v>113</v>
      </c>
      <c r="C52" s="102">
        <v>2.4000000000000001E-4</v>
      </c>
      <c r="D52" s="25">
        <v>0.18</v>
      </c>
    </row>
    <row r="53" spans="1:4" ht="15.5" x14ac:dyDescent="0.35">
      <c r="A53" s="42">
        <v>2311</v>
      </c>
      <c r="B53" s="26" t="s">
        <v>114</v>
      </c>
      <c r="C53" s="103">
        <v>7.1000000000000002E-4</v>
      </c>
      <c r="D53" s="25">
        <v>0.52</v>
      </c>
    </row>
    <row r="54" spans="1:4" ht="15.5" hidden="1" x14ac:dyDescent="0.35">
      <c r="A54" s="42">
        <v>2312</v>
      </c>
      <c r="B54" s="26" t="s">
        <v>95</v>
      </c>
      <c r="C54" s="102">
        <v>0</v>
      </c>
      <c r="D54" s="25">
        <f>C54*732.32</f>
        <v>0</v>
      </c>
    </row>
    <row r="55" spans="1:4" ht="15.5" x14ac:dyDescent="0.35">
      <c r="A55" s="42">
        <v>2314</v>
      </c>
      <c r="B55" s="85" t="s">
        <v>116</v>
      </c>
      <c r="C55" s="102">
        <v>4.6000000000000001E-4</v>
      </c>
      <c r="D55" s="25">
        <v>0.34</v>
      </c>
    </row>
    <row r="56" spans="1:4" ht="15.5" x14ac:dyDescent="0.35">
      <c r="A56" s="42">
        <v>2321</v>
      </c>
      <c r="B56" s="26" t="s">
        <v>96</v>
      </c>
      <c r="C56" s="102">
        <v>6.0220000000000003E-2</v>
      </c>
      <c r="D56" s="25">
        <v>44.1</v>
      </c>
    </row>
    <row r="57" spans="1:4" ht="15.5" x14ac:dyDescent="0.35">
      <c r="A57" s="42">
        <v>2322</v>
      </c>
      <c r="B57" s="26" t="s">
        <v>117</v>
      </c>
      <c r="C57" s="102">
        <v>2.0999999999999999E-3</v>
      </c>
      <c r="D57" s="25">
        <v>1.54</v>
      </c>
    </row>
    <row r="58" spans="1:4" ht="15.5" hidden="1" x14ac:dyDescent="0.35">
      <c r="A58" s="42">
        <v>2341</v>
      </c>
      <c r="B58" s="26" t="s">
        <v>97</v>
      </c>
      <c r="C58" s="102"/>
      <c r="D58" s="25">
        <f t="shared" ref="D58:D65" si="0">C58*732.32</f>
        <v>0</v>
      </c>
    </row>
    <row r="59" spans="1:4" ht="15.5" hidden="1" x14ac:dyDescent="0.35">
      <c r="A59" s="42">
        <v>2350</v>
      </c>
      <c r="B59" s="22" t="s">
        <v>98</v>
      </c>
      <c r="C59" s="102">
        <v>0</v>
      </c>
      <c r="D59" s="25">
        <f t="shared" si="0"/>
        <v>0</v>
      </c>
    </row>
    <row r="60" spans="1:4" ht="15.5" hidden="1" x14ac:dyDescent="0.35">
      <c r="A60" s="42">
        <v>2361</v>
      </c>
      <c r="B60" s="26" t="s">
        <v>65</v>
      </c>
      <c r="C60" s="102">
        <v>0</v>
      </c>
      <c r="D60" s="25">
        <f t="shared" si="0"/>
        <v>0</v>
      </c>
    </row>
    <row r="61" spans="1:4" ht="15.5" hidden="1" x14ac:dyDescent="0.35">
      <c r="A61" s="42">
        <v>2362</v>
      </c>
      <c r="B61" s="26" t="s">
        <v>129</v>
      </c>
      <c r="C61" s="102">
        <v>0</v>
      </c>
      <c r="D61" s="25">
        <f t="shared" si="0"/>
        <v>0</v>
      </c>
    </row>
    <row r="62" spans="1:4" ht="15.5" hidden="1" x14ac:dyDescent="0.35">
      <c r="A62" s="42">
        <v>2363</v>
      </c>
      <c r="B62" s="26" t="s">
        <v>130</v>
      </c>
      <c r="C62" s="102">
        <v>0</v>
      </c>
      <c r="D62" s="25">
        <f t="shared" si="0"/>
        <v>0</v>
      </c>
    </row>
    <row r="63" spans="1:4" ht="15.5" hidden="1" x14ac:dyDescent="0.35">
      <c r="A63" s="22">
        <v>2370</v>
      </c>
      <c r="B63" s="26" t="s">
        <v>131</v>
      </c>
      <c r="C63" s="102">
        <v>0</v>
      </c>
      <c r="D63" s="25">
        <f t="shared" si="0"/>
        <v>0</v>
      </c>
    </row>
    <row r="64" spans="1:4" ht="15.5" hidden="1" x14ac:dyDescent="0.35">
      <c r="A64" s="22">
        <v>2400</v>
      </c>
      <c r="B64" s="26" t="s">
        <v>132</v>
      </c>
      <c r="C64" s="102">
        <v>0</v>
      </c>
      <c r="D64" s="25">
        <f t="shared" si="0"/>
        <v>0</v>
      </c>
    </row>
    <row r="65" spans="1:4" ht="15.5" hidden="1" x14ac:dyDescent="0.35">
      <c r="A65" s="42">
        <v>2512</v>
      </c>
      <c r="B65" s="26" t="s">
        <v>133</v>
      </c>
      <c r="C65" s="102">
        <v>0</v>
      </c>
      <c r="D65" s="25">
        <f t="shared" si="0"/>
        <v>0</v>
      </c>
    </row>
    <row r="66" spans="1:4" ht="15.5" x14ac:dyDescent="0.35">
      <c r="A66" s="42">
        <v>2513</v>
      </c>
      <c r="B66" s="22" t="s">
        <v>118</v>
      </c>
      <c r="C66" s="102">
        <v>6.3000000000000003E-4</v>
      </c>
      <c r="D66" s="25">
        <v>0.46</v>
      </c>
    </row>
    <row r="67" spans="1:4" ht="15.5" x14ac:dyDescent="0.35">
      <c r="A67" s="42">
        <v>2515</v>
      </c>
      <c r="B67" s="26" t="s">
        <v>73</v>
      </c>
      <c r="C67" s="102">
        <v>2.7499999999999998E-3</v>
      </c>
      <c r="D67" s="25">
        <v>2.0099999999999998</v>
      </c>
    </row>
    <row r="68" spans="1:4" ht="15.5" x14ac:dyDescent="0.35">
      <c r="A68" s="42">
        <v>2519</v>
      </c>
      <c r="B68" s="26" t="s">
        <v>119</v>
      </c>
      <c r="C68" s="102">
        <v>1.5100000000000001E-3</v>
      </c>
      <c r="D68" s="25">
        <v>1.1100000000000001</v>
      </c>
    </row>
    <row r="69" spans="1:4" ht="15.5" x14ac:dyDescent="0.35">
      <c r="A69" s="42">
        <v>5220</v>
      </c>
      <c r="B69" s="26" t="s">
        <v>120</v>
      </c>
      <c r="C69" s="102">
        <v>1.06E-2</v>
      </c>
      <c r="D69" s="25">
        <v>7.76</v>
      </c>
    </row>
    <row r="70" spans="1:4" ht="15.5" x14ac:dyDescent="0.35">
      <c r="A70" s="42">
        <v>5238</v>
      </c>
      <c r="B70" s="22" t="s">
        <v>121</v>
      </c>
      <c r="C70" s="102">
        <v>1.65E-3</v>
      </c>
      <c r="D70" s="25">
        <v>2.23</v>
      </c>
    </row>
    <row r="71" spans="1:4" ht="15.5" x14ac:dyDescent="0.35">
      <c r="A71" s="42">
        <v>5239</v>
      </c>
      <c r="B71" s="10" t="s">
        <v>122</v>
      </c>
      <c r="C71" s="102">
        <v>1.9800000000000002E-2</v>
      </c>
      <c r="D71" s="25">
        <f>14.5-0.68</f>
        <v>13.82</v>
      </c>
    </row>
    <row r="72" spans="1:4" ht="15.5" x14ac:dyDescent="0.35">
      <c r="A72" s="42">
        <v>5250</v>
      </c>
      <c r="B72" s="26" t="s">
        <v>123</v>
      </c>
      <c r="C72" s="102">
        <v>1.4999999999999999E-2</v>
      </c>
      <c r="D72" s="25">
        <v>10.98</v>
      </c>
    </row>
    <row r="73" spans="1:4" ht="15.5" x14ac:dyDescent="0.35">
      <c r="A73" s="23"/>
      <c r="B73" s="31" t="s">
        <v>74</v>
      </c>
      <c r="C73" s="31"/>
      <c r="D73" s="29">
        <f>SUM(D32:D72)</f>
        <v>779.47347790000003</v>
      </c>
    </row>
    <row r="74" spans="1:4" ht="15.5" x14ac:dyDescent="0.35">
      <c r="A74" s="23"/>
      <c r="B74" s="31" t="s">
        <v>75</v>
      </c>
      <c r="C74" s="31"/>
      <c r="D74" s="29">
        <f>D30+D73</f>
        <v>2964.0031904000002</v>
      </c>
    </row>
    <row r="75" spans="1:4" ht="15.5" x14ac:dyDescent="0.35">
      <c r="A75" s="9"/>
      <c r="B75" s="32"/>
      <c r="C75" s="32"/>
      <c r="D75" s="33"/>
    </row>
    <row r="76" spans="1:4" ht="15.75" customHeight="1" x14ac:dyDescent="0.35">
      <c r="A76" s="162" t="s">
        <v>45</v>
      </c>
      <c r="B76" s="162"/>
      <c r="C76" s="87"/>
      <c r="D76" s="59">
        <v>300</v>
      </c>
    </row>
    <row r="77" spans="1:4" ht="15.75" customHeight="1" x14ac:dyDescent="0.35">
      <c r="A77" s="162" t="s">
        <v>54</v>
      </c>
      <c r="B77" s="162"/>
      <c r="C77" s="49"/>
      <c r="D77" s="61">
        <f>ROUND(D74/D76,2)</f>
        <v>9.8800000000000008</v>
      </c>
    </row>
    <row r="78" spans="1:4" ht="15.5" x14ac:dyDescent="0.35">
      <c r="A78" s="32"/>
      <c r="B78" s="11"/>
      <c r="C78" s="11"/>
      <c r="D78" s="11"/>
    </row>
    <row r="79" spans="1:4" ht="15.75" customHeight="1" x14ac:dyDescent="0.35">
      <c r="A79" s="162" t="s">
        <v>62</v>
      </c>
      <c r="B79" s="162"/>
      <c r="C79" s="49"/>
      <c r="D79" s="56"/>
    </row>
    <row r="80" spans="1:4" ht="15.75" customHeight="1" x14ac:dyDescent="0.35">
      <c r="A80" s="162" t="s">
        <v>63</v>
      </c>
      <c r="B80" s="162"/>
      <c r="C80" s="49"/>
      <c r="D80" s="117"/>
    </row>
    <row r="81" spans="1:4" ht="15.5" x14ac:dyDescent="0.35">
      <c r="A81" s="36"/>
      <c r="B81" s="11"/>
      <c r="C81" s="11"/>
      <c r="D81" s="10"/>
    </row>
    <row r="82" spans="1:4" ht="15.5" x14ac:dyDescent="0.35">
      <c r="A82" s="37" t="s">
        <v>46</v>
      </c>
      <c r="B82" s="37"/>
      <c r="C82" s="37"/>
      <c r="D82" s="37"/>
    </row>
    <row r="83" spans="1:4" ht="15.5" x14ac:dyDescent="0.35">
      <c r="A83" s="37"/>
      <c r="B83" s="37"/>
      <c r="C83" s="37"/>
      <c r="D83" s="37"/>
    </row>
    <row r="84" spans="1:4" ht="15.5" x14ac:dyDescent="0.35">
      <c r="A84" s="37" t="s">
        <v>134</v>
      </c>
      <c r="B84" s="38"/>
      <c r="C84" s="38"/>
      <c r="D84" s="37"/>
    </row>
    <row r="85" spans="1:4" ht="15.5" x14ac:dyDescent="0.35">
      <c r="A85" s="37"/>
      <c r="B85" s="39"/>
      <c r="C85" s="39"/>
      <c r="D85" s="37"/>
    </row>
    <row r="86" spans="1:4" ht="15.5" x14ac:dyDescent="0.35">
      <c r="A86" s="10"/>
      <c r="B86" s="10"/>
      <c r="C86" s="10"/>
      <c r="D86" s="10"/>
    </row>
    <row r="87" spans="1:4" ht="15.5" x14ac:dyDescent="0.35">
      <c r="A87" s="10"/>
      <c r="B87" s="10"/>
      <c r="C87" s="10"/>
      <c r="D87" s="10"/>
    </row>
  </sheetData>
  <mergeCells count="13">
    <mergeCell ref="A80:B80"/>
    <mergeCell ref="B12:C12"/>
    <mergeCell ref="B1:C1"/>
    <mergeCell ref="B5:C5"/>
    <mergeCell ref="B6:C6"/>
    <mergeCell ref="B8:C8"/>
    <mergeCell ref="A9:C9"/>
    <mergeCell ref="A10:C10"/>
    <mergeCell ref="A76:B76"/>
    <mergeCell ref="A77:B77"/>
    <mergeCell ref="B13:C13"/>
    <mergeCell ref="A7:C7"/>
    <mergeCell ref="A79:B79"/>
  </mergeCells>
  <pageMargins left="0.7" right="0.7" top="0.75" bottom="0.75" header="0.3" footer="0.3"/>
  <pageSetup paperSize="9" scale="64" orientation="portrait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6"/>
  <sheetViews>
    <sheetView view="pageLayout" zoomScale="80" zoomScaleNormal="100" zoomScalePageLayoutView="80" workbookViewId="0">
      <selection activeCell="B46" sqref="B46"/>
    </sheetView>
  </sheetViews>
  <sheetFormatPr defaultColWidth="9.1796875" defaultRowHeight="14" x14ac:dyDescent="0.3"/>
  <cols>
    <col min="1" max="1" width="12.26953125" style="2" customWidth="1"/>
    <col min="2" max="2" width="95.453125" style="2" customWidth="1"/>
    <col min="3" max="3" width="21.81640625" style="2" hidden="1" customWidth="1"/>
    <col min="4" max="4" width="22.1796875" style="2" hidden="1" customWidth="1"/>
    <col min="5" max="7" width="21.54296875" style="2" hidden="1" customWidth="1"/>
    <col min="8" max="8" width="10.54296875" style="2" hidden="1" customWidth="1"/>
    <col min="9" max="9" width="31.7265625" style="2" hidden="1" customWidth="1"/>
    <col min="10" max="10" width="31.7265625" style="2" customWidth="1"/>
    <col min="11" max="16384" width="9.1796875" style="40"/>
  </cols>
  <sheetData>
    <row r="1" spans="1:10" ht="15.5" x14ac:dyDescent="0.35">
      <c r="B1" s="163"/>
      <c r="C1" s="163"/>
      <c r="D1" s="163"/>
      <c r="E1" s="163"/>
      <c r="F1" s="163"/>
      <c r="G1" s="7"/>
      <c r="H1" s="7"/>
      <c r="I1" s="6" t="s">
        <v>7</v>
      </c>
      <c r="J1" s="6" t="s">
        <v>7</v>
      </c>
    </row>
    <row r="2" spans="1:10" ht="15.5" x14ac:dyDescent="0.35">
      <c r="B2" s="7"/>
      <c r="C2" s="7"/>
      <c r="D2" s="7"/>
      <c r="E2" s="7"/>
      <c r="F2" s="7"/>
      <c r="G2" s="7"/>
      <c r="H2" s="7"/>
      <c r="I2" s="9" t="s">
        <v>44</v>
      </c>
      <c r="J2" s="9" t="s">
        <v>44</v>
      </c>
    </row>
    <row r="3" spans="1:10" ht="15.5" x14ac:dyDescent="0.35">
      <c r="C3" s="50"/>
      <c r="D3" s="50"/>
      <c r="E3" s="50"/>
      <c r="F3" s="8"/>
      <c r="G3" s="48"/>
      <c r="H3" s="48"/>
      <c r="I3" s="48" t="s">
        <v>91</v>
      </c>
      <c r="J3" s="48" t="s">
        <v>91</v>
      </c>
    </row>
    <row r="4" spans="1:10" ht="15.5" x14ac:dyDescent="0.35">
      <c r="B4" s="6"/>
      <c r="C4" s="6"/>
      <c r="D4" s="6"/>
      <c r="E4" s="51"/>
      <c r="F4" s="10"/>
      <c r="G4" s="10"/>
      <c r="H4" s="10"/>
      <c r="I4" s="6"/>
      <c r="J4" s="6"/>
    </row>
    <row r="5" spans="1:10" ht="15.5" x14ac:dyDescent="0.35">
      <c r="B5" s="165"/>
      <c r="C5" s="165"/>
      <c r="D5" s="165"/>
      <c r="E5" s="165"/>
      <c r="F5" s="165"/>
      <c r="G5" s="51"/>
      <c r="H5" s="51"/>
      <c r="I5" s="9" t="s">
        <v>164</v>
      </c>
      <c r="J5" s="9" t="s">
        <v>260</v>
      </c>
    </row>
    <row r="6" spans="1:10" x14ac:dyDescent="0.3">
      <c r="B6" s="167"/>
      <c r="C6" s="167"/>
      <c r="D6" s="167"/>
      <c r="E6" s="167"/>
      <c r="F6" s="167"/>
      <c r="G6" s="52"/>
      <c r="H6" s="52"/>
      <c r="I6" s="3"/>
      <c r="J6" s="3"/>
    </row>
    <row r="7" spans="1:10" ht="17.5" x14ac:dyDescent="0.35">
      <c r="A7" s="169" t="s">
        <v>6</v>
      </c>
      <c r="B7" s="169"/>
      <c r="C7" s="169"/>
      <c r="D7" s="169"/>
      <c r="E7" s="169"/>
      <c r="F7" s="169"/>
      <c r="G7" s="169"/>
      <c r="H7" s="169"/>
      <c r="I7" s="169"/>
      <c r="J7" s="99"/>
    </row>
    <row r="8" spans="1:10" x14ac:dyDescent="0.3">
      <c r="B8" s="170"/>
      <c r="C8" s="170"/>
      <c r="D8" s="170"/>
      <c r="E8" s="170"/>
    </row>
    <row r="9" spans="1:10" ht="15.5" x14ac:dyDescent="0.35">
      <c r="A9" s="160" t="s">
        <v>1</v>
      </c>
      <c r="B9" s="160"/>
      <c r="C9" s="160"/>
      <c r="D9" s="160"/>
      <c r="E9" s="160"/>
      <c r="F9" s="10"/>
      <c r="G9" s="10"/>
      <c r="H9" s="10"/>
      <c r="I9" s="10"/>
      <c r="J9" s="10"/>
    </row>
    <row r="10" spans="1:10" ht="15.5" x14ac:dyDescent="0.35">
      <c r="A10" s="160" t="s">
        <v>0</v>
      </c>
      <c r="B10" s="160"/>
      <c r="C10" s="160"/>
      <c r="D10" s="160"/>
      <c r="E10" s="160"/>
      <c r="F10" s="10"/>
      <c r="G10" s="10"/>
      <c r="H10" s="10"/>
      <c r="I10" s="5"/>
      <c r="J10" s="5"/>
    </row>
    <row r="11" spans="1:10" ht="15.5" x14ac:dyDescent="0.35">
      <c r="A11" s="5"/>
      <c r="B11" s="160" t="s">
        <v>165</v>
      </c>
      <c r="C11" s="160"/>
      <c r="D11" s="160"/>
      <c r="E11" s="160"/>
      <c r="F11" s="10"/>
      <c r="G11" s="10"/>
      <c r="H11" s="10"/>
      <c r="I11" s="5"/>
      <c r="J11" s="5"/>
    </row>
    <row r="12" spans="1:10" ht="15.5" x14ac:dyDescent="0.35">
      <c r="A12" s="5"/>
      <c r="B12" s="160" t="s">
        <v>166</v>
      </c>
      <c r="C12" s="160"/>
      <c r="D12" s="160"/>
      <c r="E12" s="160"/>
      <c r="F12" s="10"/>
      <c r="G12" s="10"/>
      <c r="H12" s="10"/>
      <c r="I12" s="10"/>
      <c r="J12" s="10"/>
    </row>
    <row r="13" spans="1:10" ht="15.5" x14ac:dyDescent="0.35">
      <c r="A13" s="5"/>
      <c r="B13" s="160" t="s">
        <v>171</v>
      </c>
      <c r="C13" s="160"/>
      <c r="D13" s="160"/>
      <c r="E13" s="160"/>
      <c r="F13" s="10"/>
      <c r="G13" s="10"/>
      <c r="H13" s="10"/>
      <c r="I13" s="10"/>
      <c r="J13" s="10"/>
    </row>
    <row r="14" spans="1:10" ht="15.5" x14ac:dyDescent="0.35">
      <c r="A14" s="5" t="s">
        <v>2</v>
      </c>
      <c r="B14" s="5" t="s">
        <v>124</v>
      </c>
      <c r="C14" s="5"/>
      <c r="D14" s="5"/>
      <c r="E14" s="5"/>
      <c r="F14" s="10"/>
      <c r="G14" s="10"/>
      <c r="H14" s="10"/>
      <c r="I14" s="10"/>
      <c r="J14" s="10"/>
    </row>
    <row r="15" spans="1:10" ht="15.5" hidden="1" x14ac:dyDescent="0.35">
      <c r="A15" s="5"/>
      <c r="B15" s="5"/>
      <c r="C15" s="5"/>
      <c r="D15" s="5"/>
      <c r="E15" s="5"/>
      <c r="F15" s="10"/>
      <c r="G15" s="10"/>
      <c r="H15" s="10"/>
      <c r="I15" s="10"/>
      <c r="J15" s="10"/>
    </row>
    <row r="16" spans="1:10" ht="60" customHeight="1" x14ac:dyDescent="0.25">
      <c r="A16" s="17" t="s">
        <v>3</v>
      </c>
      <c r="B16" s="17" t="s">
        <v>4</v>
      </c>
      <c r="C16" s="17"/>
      <c r="D16" s="17"/>
      <c r="E16" s="17"/>
      <c r="F16" s="17"/>
      <c r="G16" s="17"/>
      <c r="H16" s="17"/>
      <c r="I16" s="17" t="s">
        <v>53</v>
      </c>
      <c r="J16" s="17" t="s">
        <v>53</v>
      </c>
    </row>
    <row r="17" spans="1:12" ht="15" x14ac:dyDescent="0.25">
      <c r="A17" s="18">
        <v>1</v>
      </c>
      <c r="B17" s="19">
        <v>2</v>
      </c>
      <c r="C17" s="19"/>
      <c r="D17" s="19"/>
      <c r="E17" s="18">
        <v>3</v>
      </c>
      <c r="F17" s="19"/>
      <c r="G17" s="19"/>
      <c r="H17" s="19"/>
      <c r="I17" s="19">
        <v>3</v>
      </c>
      <c r="J17" s="19">
        <v>3</v>
      </c>
    </row>
    <row r="18" spans="1:12" ht="15.5" x14ac:dyDescent="0.35">
      <c r="A18" s="58"/>
      <c r="B18" s="21" t="s">
        <v>5</v>
      </c>
      <c r="C18" s="21"/>
      <c r="D18" s="21"/>
      <c r="E18" s="53"/>
      <c r="F18" s="22"/>
      <c r="G18" s="22"/>
      <c r="H18" s="22"/>
      <c r="I18" s="22"/>
      <c r="J18" s="22"/>
    </row>
    <row r="19" spans="1:12" ht="15.5" x14ac:dyDescent="0.35">
      <c r="A19" s="42">
        <v>1100</v>
      </c>
      <c r="B19" s="24" t="s">
        <v>56</v>
      </c>
      <c r="C19" s="25">
        <v>2234.4</v>
      </c>
      <c r="D19" s="24">
        <f>ROUND(C19/0.702804,2)</f>
        <v>3179.26</v>
      </c>
      <c r="E19" s="41">
        <f>ROUND(D19/1800*250,2)</f>
        <v>441.56</v>
      </c>
      <c r="F19" s="41">
        <v>472.65</v>
      </c>
      <c r="G19" s="41">
        <v>600.27</v>
      </c>
      <c r="H19" s="41">
        <f>'[1]8.1.1.,8.1.3_aerobika'!$D$55</f>
        <v>2.7486467065868267</v>
      </c>
      <c r="I19" s="41">
        <v>274.86</v>
      </c>
      <c r="J19" s="41">
        <v>137.43</v>
      </c>
    </row>
    <row r="20" spans="1:12" ht="15.75" customHeight="1" x14ac:dyDescent="0.35">
      <c r="A20" s="42">
        <v>1200</v>
      </c>
      <c r="B20" s="26" t="s">
        <v>93</v>
      </c>
      <c r="C20" s="35">
        <v>527.09</v>
      </c>
      <c r="D20" s="24">
        <f>ROUND(C20/0.702804,2)</f>
        <v>749.98</v>
      </c>
      <c r="E20" s="41">
        <f>ROUND(D20/1800*250,2)</f>
        <v>104.16</v>
      </c>
      <c r="F20" s="41">
        <v>111.5</v>
      </c>
      <c r="G20" s="41">
        <v>144.61000000000001</v>
      </c>
      <c r="H20" s="41">
        <f>H19*0.2359</f>
        <v>0.64840575808383238</v>
      </c>
      <c r="I20" s="41">
        <v>64.84</v>
      </c>
      <c r="J20" s="41">
        <v>32.42</v>
      </c>
      <c r="L20" s="154"/>
    </row>
    <row r="21" spans="1:12" ht="15.75" customHeight="1" x14ac:dyDescent="0.35">
      <c r="A21" s="23">
        <v>2222</v>
      </c>
      <c r="B21" s="26" t="s">
        <v>101</v>
      </c>
      <c r="C21" s="35"/>
      <c r="D21" s="24"/>
      <c r="E21" s="41"/>
      <c r="F21" s="41"/>
      <c r="G21" s="41"/>
      <c r="H21" s="41">
        <f>'[1]8.1.1.,8.1.3_aerobika'!$D$57</f>
        <v>0.22750000000000001</v>
      </c>
      <c r="I21" s="41">
        <v>22.75</v>
      </c>
      <c r="J21" s="41">
        <v>11.38</v>
      </c>
    </row>
    <row r="22" spans="1:12" ht="15.75" customHeight="1" x14ac:dyDescent="0.35">
      <c r="A22" s="22">
        <v>2223</v>
      </c>
      <c r="B22" s="26" t="s">
        <v>94</v>
      </c>
      <c r="C22" s="35"/>
      <c r="D22" s="24"/>
      <c r="E22" s="41"/>
      <c r="F22" s="41"/>
      <c r="G22" s="41"/>
      <c r="H22" s="41">
        <f>'[1]8.1.1.,8.1.3_aerobika'!$D$58</f>
        <v>0.37662499999999999</v>
      </c>
      <c r="I22" s="41">
        <v>37.659999999999997</v>
      </c>
      <c r="J22" s="41">
        <v>18.829999999999998</v>
      </c>
    </row>
    <row r="23" spans="1:12" ht="15.75" hidden="1" customHeight="1" x14ac:dyDescent="0.35">
      <c r="A23" s="23">
        <v>2243</v>
      </c>
      <c r="B23" s="26" t="s">
        <v>76</v>
      </c>
      <c r="C23" s="35"/>
      <c r="D23" s="24"/>
      <c r="E23" s="41"/>
      <c r="F23" s="41"/>
      <c r="G23" s="41"/>
      <c r="H23" s="41">
        <f>'[1]8.1.4.,8.1.5.'!$D$56</f>
        <v>0</v>
      </c>
      <c r="I23" s="41">
        <f>H23*100</f>
        <v>0</v>
      </c>
      <c r="J23" s="41">
        <f>I23/100*50</f>
        <v>0</v>
      </c>
    </row>
    <row r="24" spans="1:12" ht="15.75" customHeight="1" x14ac:dyDescent="0.35">
      <c r="A24" s="42">
        <v>2244</v>
      </c>
      <c r="B24" s="21" t="s">
        <v>108</v>
      </c>
      <c r="C24" s="35"/>
      <c r="D24" s="24"/>
      <c r="E24" s="41"/>
      <c r="F24" s="41"/>
      <c r="G24" s="41"/>
      <c r="H24" s="41">
        <f>'[1]8.1.1.,8.1.3_aerobika'!$D$60</f>
        <v>0.33152129652101553</v>
      </c>
      <c r="I24" s="41">
        <v>33.15</v>
      </c>
      <c r="J24" s="41">
        <v>16.579999999999998</v>
      </c>
    </row>
    <row r="25" spans="1:12" ht="15.75" customHeight="1" x14ac:dyDescent="0.35">
      <c r="A25" s="42">
        <v>2312</v>
      </c>
      <c r="B25" s="26" t="s">
        <v>95</v>
      </c>
      <c r="C25" s="35"/>
      <c r="D25" s="24"/>
      <c r="E25" s="41"/>
      <c r="F25" s="41"/>
      <c r="G25" s="41"/>
      <c r="H25" s="41">
        <f>'[1]8.1.1.,8.1.3_aerobika'!$D$61</f>
        <v>0.1734806561876247</v>
      </c>
      <c r="I25" s="41">
        <v>17.350000000000001</v>
      </c>
      <c r="J25" s="41">
        <v>8.68</v>
      </c>
    </row>
    <row r="26" spans="1:12" ht="15.75" customHeight="1" x14ac:dyDescent="0.35">
      <c r="A26" s="42">
        <v>2321</v>
      </c>
      <c r="B26" s="26" t="s">
        <v>96</v>
      </c>
      <c r="C26" s="35"/>
      <c r="D26" s="24"/>
      <c r="E26" s="41"/>
      <c r="F26" s="41"/>
      <c r="G26" s="41"/>
      <c r="H26" s="41">
        <f>'[1]8.1.1.,8.1.3_aerobika'!$D$62</f>
        <v>0.38</v>
      </c>
      <c r="I26" s="41">
        <v>38</v>
      </c>
      <c r="J26" s="41">
        <v>19</v>
      </c>
    </row>
    <row r="27" spans="1:12" ht="15.5" x14ac:dyDescent="0.35">
      <c r="A27" s="45">
        <v>2341</v>
      </c>
      <c r="B27" s="26" t="s">
        <v>97</v>
      </c>
      <c r="C27" s="25"/>
      <c r="D27" s="24">
        <f>ROUND(C27/0.702804,2)</f>
        <v>0</v>
      </c>
      <c r="E27" s="41"/>
      <c r="F27" s="41">
        <f>E27/1800*250</f>
        <v>0</v>
      </c>
      <c r="G27" s="41">
        <f>F27</f>
        <v>0</v>
      </c>
      <c r="H27" s="41">
        <f>'[1]8.1.1.,8.1.3_aerobika'!$D$63</f>
        <v>0.16000000000000003</v>
      </c>
      <c r="I27" s="41">
        <v>16</v>
      </c>
      <c r="J27" s="41">
        <v>8</v>
      </c>
    </row>
    <row r="28" spans="1:12" ht="15.5" x14ac:dyDescent="0.35">
      <c r="A28" s="42">
        <v>2350</v>
      </c>
      <c r="B28" s="26" t="s">
        <v>98</v>
      </c>
      <c r="C28" s="25"/>
      <c r="D28" s="24">
        <f>ROUND(C28/0.702804,2)</f>
        <v>0</v>
      </c>
      <c r="E28" s="41"/>
      <c r="F28" s="41">
        <f>E28/1800*250</f>
        <v>0</v>
      </c>
      <c r="G28" s="41">
        <f>F28</f>
        <v>0</v>
      </c>
      <c r="H28" s="41">
        <f>'[1]8.1.4.,8.1.5.'!$D$27</f>
        <v>0.02</v>
      </c>
      <c r="I28" s="41">
        <v>2</v>
      </c>
      <c r="J28" s="41">
        <v>1</v>
      </c>
    </row>
    <row r="29" spans="1:12" ht="15.5" x14ac:dyDescent="0.35">
      <c r="A29" s="42">
        <v>5239</v>
      </c>
      <c r="B29" s="10" t="s">
        <v>122</v>
      </c>
      <c r="C29" s="25"/>
      <c r="D29" s="24">
        <f>ROUND(C29/0.702804,2)</f>
        <v>0</v>
      </c>
      <c r="E29" s="41"/>
      <c r="F29" s="41">
        <f>E29/1800*250</f>
        <v>0</v>
      </c>
      <c r="G29" s="41">
        <f>F29</f>
        <v>0</v>
      </c>
      <c r="H29" s="41">
        <f>'[1]8.1.4.,8.1.5.'!$D$28</f>
        <v>0.19096806387225551</v>
      </c>
      <c r="I29" s="41">
        <v>19.100000000000001</v>
      </c>
      <c r="J29" s="41">
        <v>9.5500000000000007</v>
      </c>
    </row>
    <row r="30" spans="1:12" ht="15.5" x14ac:dyDescent="0.3">
      <c r="A30" s="42"/>
      <c r="B30" s="28" t="s">
        <v>69</v>
      </c>
      <c r="C30" s="29">
        <f t="shared" ref="C30:I30" si="0">SUM(C19:C29)</f>
        <v>2761.4900000000002</v>
      </c>
      <c r="D30" s="29">
        <f t="shared" si="0"/>
        <v>3929.2400000000002</v>
      </c>
      <c r="E30" s="43">
        <f t="shared" si="0"/>
        <v>545.72</v>
      </c>
      <c r="F30" s="43">
        <f t="shared" si="0"/>
        <v>584.15</v>
      </c>
      <c r="G30" s="43">
        <f t="shared" si="0"/>
        <v>744.88</v>
      </c>
      <c r="H30" s="43">
        <f t="shared" si="0"/>
        <v>5.2571474812515548</v>
      </c>
      <c r="I30" s="43">
        <f t="shared" si="0"/>
        <v>525.71</v>
      </c>
      <c r="J30" s="43">
        <f>SUM(J19:J29)</f>
        <v>262.87</v>
      </c>
    </row>
    <row r="31" spans="1:12" ht="15.5" x14ac:dyDescent="0.35">
      <c r="A31" s="44"/>
      <c r="B31" s="24" t="s">
        <v>70</v>
      </c>
      <c r="C31" s="25"/>
      <c r="D31" s="26"/>
      <c r="E31" s="41"/>
      <c r="F31" s="41"/>
      <c r="G31" s="41"/>
      <c r="H31" s="41"/>
      <c r="I31" s="41"/>
      <c r="J31" s="41"/>
    </row>
    <row r="32" spans="1:12" ht="15.5" x14ac:dyDescent="0.35">
      <c r="A32" s="42">
        <v>1100</v>
      </c>
      <c r="B32" s="42" t="s">
        <v>83</v>
      </c>
      <c r="C32" s="25">
        <v>514.6</v>
      </c>
      <c r="D32" s="24">
        <f>ROUND(C32/0.702804,2)</f>
        <v>732.21</v>
      </c>
      <c r="E32" s="41">
        <f t="shared" ref="E32:E72" si="1">ROUND(D32/1800*250,2)</f>
        <v>101.7</v>
      </c>
      <c r="F32" s="41">
        <v>104.75</v>
      </c>
      <c r="G32" s="41">
        <v>104.33</v>
      </c>
      <c r="H32" s="152">
        <v>0.51439999999999997</v>
      </c>
      <c r="I32" s="41">
        <v>106.42</v>
      </c>
      <c r="J32" s="41">
        <v>53.21</v>
      </c>
    </row>
    <row r="33" spans="1:10" ht="15.75" customHeight="1" x14ac:dyDescent="0.35">
      <c r="A33" s="42">
        <v>1200</v>
      </c>
      <c r="B33" s="54" t="s">
        <v>93</v>
      </c>
      <c r="C33" s="35">
        <v>121.4</v>
      </c>
      <c r="D33" s="24">
        <f>ROUND(C33/0.702804,2)</f>
        <v>172.74</v>
      </c>
      <c r="E33" s="41">
        <f t="shared" si="1"/>
        <v>23.99</v>
      </c>
      <c r="F33" s="41">
        <v>24.71</v>
      </c>
      <c r="G33" s="41">
        <v>25.13</v>
      </c>
      <c r="H33" s="152">
        <f>H32*0.2359</f>
        <v>0.12134695999999999</v>
      </c>
      <c r="I33" s="41">
        <v>25.1</v>
      </c>
      <c r="J33" s="41">
        <v>12.55</v>
      </c>
    </row>
    <row r="34" spans="1:10" ht="15.5" x14ac:dyDescent="0.35">
      <c r="A34" s="42">
        <v>2100</v>
      </c>
      <c r="B34" s="30" t="s">
        <v>42</v>
      </c>
      <c r="C34" s="25"/>
      <c r="D34" s="24"/>
      <c r="E34" s="41">
        <f t="shared" si="1"/>
        <v>0</v>
      </c>
      <c r="F34" s="41">
        <f t="shared" ref="F34:F72" si="2">E34</f>
        <v>0</v>
      </c>
      <c r="G34" s="41">
        <f>F34</f>
        <v>0</v>
      </c>
      <c r="H34" s="152">
        <v>8.0999999999999996E-4</v>
      </c>
      <c r="I34" s="41">
        <v>0.15</v>
      </c>
      <c r="J34" s="41">
        <v>0.08</v>
      </c>
    </row>
    <row r="35" spans="1:10" ht="15.5" x14ac:dyDescent="0.35">
      <c r="A35" s="45">
        <v>2210</v>
      </c>
      <c r="B35" s="54" t="s">
        <v>100</v>
      </c>
      <c r="C35" s="25">
        <v>16</v>
      </c>
      <c r="D35" s="24">
        <f t="shared" ref="D35:D72" si="3">ROUND(C35/0.702804,2)</f>
        <v>22.77</v>
      </c>
      <c r="E35" s="41">
        <f t="shared" si="1"/>
        <v>3.16</v>
      </c>
      <c r="F35" s="41">
        <f t="shared" si="2"/>
        <v>3.16</v>
      </c>
      <c r="G35" s="41">
        <f>F35</f>
        <v>3.16</v>
      </c>
      <c r="H35" s="152">
        <v>8.0000000000000002E-3</v>
      </c>
      <c r="I35" s="41">
        <v>1.44</v>
      </c>
      <c r="J35" s="41">
        <v>0.72</v>
      </c>
    </row>
    <row r="36" spans="1:10" ht="15.5" x14ac:dyDescent="0.35">
      <c r="A36" s="42">
        <v>2222</v>
      </c>
      <c r="B36" s="26" t="s">
        <v>101</v>
      </c>
      <c r="C36" s="25">
        <v>36</v>
      </c>
      <c r="D36" s="24">
        <f t="shared" si="3"/>
        <v>51.22</v>
      </c>
      <c r="E36" s="41">
        <f t="shared" si="1"/>
        <v>7.11</v>
      </c>
      <c r="F36" s="41">
        <f t="shared" si="2"/>
        <v>7.11</v>
      </c>
      <c r="G36" s="41">
        <f>F36</f>
        <v>7.11</v>
      </c>
      <c r="H36" s="152">
        <v>4.4400000000000004E-3</v>
      </c>
      <c r="I36" s="41">
        <v>0.8</v>
      </c>
      <c r="J36" s="41">
        <v>0.4</v>
      </c>
    </row>
    <row r="37" spans="1:10" ht="15.5" x14ac:dyDescent="0.35">
      <c r="A37" s="42">
        <v>2223</v>
      </c>
      <c r="B37" s="26" t="s">
        <v>94</v>
      </c>
      <c r="C37" s="25">
        <v>484</v>
      </c>
      <c r="D37" s="24">
        <f t="shared" si="3"/>
        <v>688.67</v>
      </c>
      <c r="E37" s="41">
        <f t="shared" si="1"/>
        <v>95.65</v>
      </c>
      <c r="F37" s="41">
        <f t="shared" si="2"/>
        <v>95.65</v>
      </c>
      <c r="G37" s="41">
        <f>F37</f>
        <v>95.65</v>
      </c>
      <c r="H37" s="152">
        <v>5.4940000000000003E-2</v>
      </c>
      <c r="I37" s="41">
        <v>13.92</v>
      </c>
      <c r="J37" s="41">
        <v>6.96</v>
      </c>
    </row>
    <row r="38" spans="1:10" ht="31" x14ac:dyDescent="0.35">
      <c r="A38" s="42">
        <v>2224</v>
      </c>
      <c r="B38" s="26" t="s">
        <v>102</v>
      </c>
      <c r="C38" s="25"/>
      <c r="D38" s="24"/>
      <c r="E38" s="41"/>
      <c r="F38" s="41"/>
      <c r="G38" s="41"/>
      <c r="H38" s="152">
        <v>3.0899999999999999E-3</v>
      </c>
      <c r="I38" s="41">
        <v>0.56000000000000005</v>
      </c>
      <c r="J38" s="41">
        <v>0.28000000000000003</v>
      </c>
    </row>
    <row r="39" spans="1:10" ht="15.5" x14ac:dyDescent="0.35">
      <c r="A39" s="42">
        <v>2231</v>
      </c>
      <c r="B39" s="21" t="s">
        <v>103</v>
      </c>
      <c r="C39" s="25">
        <v>10</v>
      </c>
      <c r="D39" s="24">
        <f t="shared" si="3"/>
        <v>14.23</v>
      </c>
      <c r="E39" s="41">
        <f t="shared" si="1"/>
        <v>1.98</v>
      </c>
      <c r="F39" s="41">
        <f t="shared" si="2"/>
        <v>1.98</v>
      </c>
      <c r="G39" s="41">
        <f t="shared" ref="G39:G71" si="4">F39</f>
        <v>1.98</v>
      </c>
      <c r="H39" s="152">
        <v>1.5E-3</v>
      </c>
      <c r="I39" s="41">
        <v>0.27</v>
      </c>
      <c r="J39" s="41">
        <v>0.14000000000000001</v>
      </c>
    </row>
    <row r="40" spans="1:10" ht="15.5" x14ac:dyDescent="0.35">
      <c r="A40" s="42">
        <v>2235</v>
      </c>
      <c r="B40" s="85" t="s">
        <v>104</v>
      </c>
      <c r="C40" s="25"/>
      <c r="D40" s="24">
        <f t="shared" si="3"/>
        <v>0</v>
      </c>
      <c r="E40" s="41">
        <f t="shared" si="1"/>
        <v>0</v>
      </c>
      <c r="F40" s="41">
        <f t="shared" si="2"/>
        <v>0</v>
      </c>
      <c r="G40" s="41">
        <f t="shared" si="4"/>
        <v>0</v>
      </c>
      <c r="H40" s="152">
        <v>2.5100000000000001E-3</v>
      </c>
      <c r="I40" s="41">
        <v>0.45</v>
      </c>
      <c r="J40" s="41">
        <v>0.23</v>
      </c>
    </row>
    <row r="41" spans="1:10" ht="15.5" x14ac:dyDescent="0.35">
      <c r="A41" s="42">
        <v>2239</v>
      </c>
      <c r="B41" s="21" t="s">
        <v>105</v>
      </c>
      <c r="C41" s="25">
        <v>4</v>
      </c>
      <c r="D41" s="24">
        <f t="shared" si="3"/>
        <v>5.69</v>
      </c>
      <c r="E41" s="41">
        <f t="shared" si="1"/>
        <v>0.79</v>
      </c>
      <c r="F41" s="41">
        <f t="shared" si="2"/>
        <v>0.79</v>
      </c>
      <c r="G41" s="41">
        <f t="shared" si="4"/>
        <v>0.79</v>
      </c>
      <c r="H41" s="152">
        <v>1.7899999999999999E-3</v>
      </c>
      <c r="I41" s="41">
        <v>0.32</v>
      </c>
      <c r="J41" s="41">
        <v>0.16</v>
      </c>
    </row>
    <row r="42" spans="1:10" ht="15.5" x14ac:dyDescent="0.35">
      <c r="A42" s="42">
        <v>2241</v>
      </c>
      <c r="B42" s="21" t="s">
        <v>106</v>
      </c>
      <c r="C42" s="25">
        <v>12</v>
      </c>
      <c r="D42" s="24">
        <f t="shared" si="3"/>
        <v>17.07</v>
      </c>
      <c r="E42" s="41">
        <f t="shared" si="1"/>
        <v>2.37</v>
      </c>
      <c r="F42" s="41">
        <f t="shared" si="2"/>
        <v>2.37</v>
      </c>
      <c r="G42" s="41">
        <f t="shared" si="4"/>
        <v>2.37</v>
      </c>
      <c r="H42" s="152">
        <v>1.6500000000000001E-2</v>
      </c>
      <c r="I42" s="41">
        <v>2.98</v>
      </c>
      <c r="J42" s="41">
        <v>1.49</v>
      </c>
    </row>
    <row r="43" spans="1:10" ht="15.5" x14ac:dyDescent="0.35">
      <c r="A43" s="42">
        <v>2242</v>
      </c>
      <c r="B43" s="26" t="s">
        <v>107</v>
      </c>
      <c r="C43" s="25">
        <v>180.4</v>
      </c>
      <c r="D43" s="24">
        <f t="shared" si="3"/>
        <v>256.69</v>
      </c>
      <c r="E43" s="41">
        <f t="shared" si="1"/>
        <v>35.65</v>
      </c>
      <c r="F43" s="41">
        <f t="shared" si="2"/>
        <v>35.65</v>
      </c>
      <c r="G43" s="41">
        <f t="shared" si="4"/>
        <v>35.65</v>
      </c>
      <c r="H43" s="152">
        <v>8.4999999999999995E-4</v>
      </c>
      <c r="I43" s="41">
        <v>0.15</v>
      </c>
      <c r="J43" s="41">
        <v>0.08</v>
      </c>
    </row>
    <row r="44" spans="1:10" ht="15.5" x14ac:dyDescent="0.35">
      <c r="A44" s="42">
        <v>2243</v>
      </c>
      <c r="B44" s="21" t="s">
        <v>76</v>
      </c>
      <c r="C44" s="25">
        <v>1</v>
      </c>
      <c r="D44" s="24">
        <f t="shared" si="3"/>
        <v>1.42</v>
      </c>
      <c r="E44" s="41">
        <f t="shared" si="1"/>
        <v>0.2</v>
      </c>
      <c r="F44" s="41">
        <f t="shared" si="2"/>
        <v>0.2</v>
      </c>
      <c r="G44" s="41">
        <f t="shared" si="4"/>
        <v>0.2</v>
      </c>
      <c r="H44" s="152">
        <v>4.0000000000000002E-4</v>
      </c>
      <c r="I44" s="41">
        <v>7.0000000000000007E-2</v>
      </c>
      <c r="J44" s="41">
        <v>0.04</v>
      </c>
    </row>
    <row r="45" spans="1:10" ht="15.5" x14ac:dyDescent="0.35">
      <c r="A45" s="42">
        <v>2244</v>
      </c>
      <c r="B45" s="21" t="s">
        <v>108</v>
      </c>
      <c r="C45" s="25">
        <v>5</v>
      </c>
      <c r="D45" s="24">
        <f t="shared" si="3"/>
        <v>7.11</v>
      </c>
      <c r="E45" s="41">
        <f t="shared" si="1"/>
        <v>0.99</v>
      </c>
      <c r="F45" s="41">
        <f t="shared" si="2"/>
        <v>0.99</v>
      </c>
      <c r="G45" s="41">
        <f t="shared" si="4"/>
        <v>0.99</v>
      </c>
      <c r="H45" s="152">
        <v>6.8070000000000006E-2</v>
      </c>
      <c r="I45" s="41">
        <v>12.29</v>
      </c>
      <c r="J45" s="41">
        <v>6.15</v>
      </c>
    </row>
    <row r="46" spans="1:10" ht="15.5" x14ac:dyDescent="0.35">
      <c r="A46" s="22">
        <v>2247</v>
      </c>
      <c r="B46" s="21" t="s">
        <v>71</v>
      </c>
      <c r="C46" s="25">
        <v>2</v>
      </c>
      <c r="D46" s="24">
        <f t="shared" si="3"/>
        <v>2.85</v>
      </c>
      <c r="E46" s="41">
        <f t="shared" si="1"/>
        <v>0.4</v>
      </c>
      <c r="F46" s="41">
        <f t="shared" si="2"/>
        <v>0.4</v>
      </c>
      <c r="G46" s="41">
        <f t="shared" si="4"/>
        <v>0.4</v>
      </c>
      <c r="H46" s="152">
        <v>2.2000000000000001E-4</v>
      </c>
      <c r="I46" s="41">
        <v>0.04</v>
      </c>
      <c r="J46" s="41">
        <v>0.02</v>
      </c>
    </row>
    <row r="47" spans="1:10" ht="15.5" x14ac:dyDescent="0.35">
      <c r="A47" s="22">
        <v>2249</v>
      </c>
      <c r="B47" s="26" t="s">
        <v>127</v>
      </c>
      <c r="C47" s="25"/>
      <c r="D47" s="24">
        <f t="shared" si="3"/>
        <v>0</v>
      </c>
      <c r="E47" s="41">
        <f t="shared" si="1"/>
        <v>0</v>
      </c>
      <c r="F47" s="41">
        <f t="shared" si="2"/>
        <v>0</v>
      </c>
      <c r="G47" s="41">
        <f t="shared" si="4"/>
        <v>0</v>
      </c>
      <c r="H47" s="152">
        <v>2.5000000000000001E-4</v>
      </c>
      <c r="I47" s="41">
        <v>0.05</v>
      </c>
      <c r="J47" s="41">
        <v>0.03</v>
      </c>
    </row>
    <row r="48" spans="1:10" ht="15.5" x14ac:dyDescent="0.35">
      <c r="A48" s="42">
        <v>2250</v>
      </c>
      <c r="B48" s="21" t="s">
        <v>110</v>
      </c>
      <c r="C48" s="25"/>
      <c r="D48" s="24">
        <f t="shared" si="3"/>
        <v>0</v>
      </c>
      <c r="E48" s="41">
        <f t="shared" si="1"/>
        <v>0</v>
      </c>
      <c r="F48" s="41">
        <f t="shared" si="2"/>
        <v>0</v>
      </c>
      <c r="G48" s="41">
        <f t="shared" si="4"/>
        <v>0</v>
      </c>
      <c r="H48" s="152">
        <v>2.8400000000000002E-2</v>
      </c>
      <c r="I48" s="41">
        <v>5.13</v>
      </c>
      <c r="J48" s="41">
        <v>2.57</v>
      </c>
    </row>
    <row r="49" spans="1:10" ht="15.5" hidden="1" x14ac:dyDescent="0.35">
      <c r="A49" s="42">
        <v>2261</v>
      </c>
      <c r="B49" s="26" t="s">
        <v>128</v>
      </c>
      <c r="C49" s="25">
        <v>2</v>
      </c>
      <c r="D49" s="24">
        <f t="shared" si="3"/>
        <v>2.85</v>
      </c>
      <c r="E49" s="41">
        <f t="shared" si="1"/>
        <v>0.4</v>
      </c>
      <c r="F49" s="41">
        <f t="shared" si="2"/>
        <v>0.4</v>
      </c>
      <c r="G49" s="41">
        <f t="shared" si="4"/>
        <v>0.4</v>
      </c>
      <c r="H49" s="152">
        <v>0</v>
      </c>
      <c r="I49" s="41">
        <v>0</v>
      </c>
      <c r="J49" s="41">
        <f>I49/100*50</f>
        <v>0</v>
      </c>
    </row>
    <row r="50" spans="1:10" ht="15.5" x14ac:dyDescent="0.35">
      <c r="A50" s="42">
        <v>2262</v>
      </c>
      <c r="B50" s="26" t="s">
        <v>111</v>
      </c>
      <c r="C50" s="25">
        <v>11</v>
      </c>
      <c r="D50" s="24">
        <f t="shared" si="3"/>
        <v>15.65</v>
      </c>
      <c r="E50" s="41">
        <f t="shared" si="1"/>
        <v>2.17</v>
      </c>
      <c r="F50" s="41">
        <f t="shared" si="2"/>
        <v>2.17</v>
      </c>
      <c r="G50" s="41">
        <f t="shared" si="4"/>
        <v>2.17</v>
      </c>
      <c r="H50" s="152">
        <v>1.137E-2</v>
      </c>
      <c r="I50" s="41">
        <v>2.0499999999999998</v>
      </c>
      <c r="J50" s="41">
        <v>1.03</v>
      </c>
    </row>
    <row r="51" spans="1:10" ht="15.5" x14ac:dyDescent="0.35">
      <c r="A51" s="42">
        <v>2263</v>
      </c>
      <c r="B51" s="26" t="s">
        <v>112</v>
      </c>
      <c r="C51" s="25">
        <v>40</v>
      </c>
      <c r="D51" s="24">
        <f t="shared" si="3"/>
        <v>56.91</v>
      </c>
      <c r="E51" s="41">
        <f t="shared" si="1"/>
        <v>7.9</v>
      </c>
      <c r="F51" s="41">
        <f t="shared" si="2"/>
        <v>7.9</v>
      </c>
      <c r="G51" s="41">
        <f t="shared" si="4"/>
        <v>7.9</v>
      </c>
      <c r="H51" s="152">
        <v>4.58E-2</v>
      </c>
      <c r="I51" s="41">
        <v>8.27</v>
      </c>
      <c r="J51" s="41">
        <v>4.1399999999999997</v>
      </c>
    </row>
    <row r="52" spans="1:10" ht="15.5" x14ac:dyDescent="0.35">
      <c r="A52" s="42">
        <v>2264</v>
      </c>
      <c r="B52" s="21" t="s">
        <v>113</v>
      </c>
      <c r="C52" s="25">
        <v>0</v>
      </c>
      <c r="D52" s="24">
        <f t="shared" si="3"/>
        <v>0</v>
      </c>
      <c r="E52" s="41">
        <f t="shared" si="1"/>
        <v>0</v>
      </c>
      <c r="F52" s="41">
        <f t="shared" si="2"/>
        <v>0</v>
      </c>
      <c r="G52" s="41">
        <f t="shared" si="4"/>
        <v>0</v>
      </c>
      <c r="H52" s="152">
        <v>2.4000000000000001E-4</v>
      </c>
      <c r="I52" s="41">
        <v>0.04</v>
      </c>
      <c r="J52" s="41">
        <v>0.02</v>
      </c>
    </row>
    <row r="53" spans="1:10" ht="15.5" x14ac:dyDescent="0.35">
      <c r="A53" s="42">
        <v>2311</v>
      </c>
      <c r="B53" s="26" t="s">
        <v>114</v>
      </c>
      <c r="C53" s="25">
        <v>44.62</v>
      </c>
      <c r="D53" s="24">
        <f t="shared" si="3"/>
        <v>63.49</v>
      </c>
      <c r="E53" s="41">
        <f t="shared" si="1"/>
        <v>8.82</v>
      </c>
      <c r="F53" s="41">
        <f t="shared" si="2"/>
        <v>8.82</v>
      </c>
      <c r="G53" s="41">
        <f t="shared" si="4"/>
        <v>8.82</v>
      </c>
      <c r="H53" s="153">
        <v>7.1000000000000002E-4</v>
      </c>
      <c r="I53" s="41">
        <v>0.13</v>
      </c>
      <c r="J53" s="41">
        <v>7.0000000000000007E-2</v>
      </c>
    </row>
    <row r="54" spans="1:10" ht="15.5" hidden="1" x14ac:dyDescent="0.35">
      <c r="A54" s="42">
        <v>2312</v>
      </c>
      <c r="B54" s="26" t="s">
        <v>95</v>
      </c>
      <c r="C54" s="25">
        <v>4</v>
      </c>
      <c r="D54" s="24">
        <f t="shared" si="3"/>
        <v>5.69</v>
      </c>
      <c r="E54" s="41">
        <f t="shared" si="1"/>
        <v>0.79</v>
      </c>
      <c r="F54" s="41">
        <f t="shared" si="2"/>
        <v>0.79</v>
      </c>
      <c r="G54" s="41">
        <f t="shared" si="4"/>
        <v>0.79</v>
      </c>
      <c r="H54" s="152">
        <v>0</v>
      </c>
      <c r="I54" s="41">
        <v>0</v>
      </c>
      <c r="J54" s="41">
        <f>I54/100*50</f>
        <v>0</v>
      </c>
    </row>
    <row r="55" spans="1:10" ht="15.5" x14ac:dyDescent="0.35">
      <c r="A55" s="42">
        <v>2314</v>
      </c>
      <c r="B55" s="85" t="s">
        <v>116</v>
      </c>
      <c r="C55" s="25">
        <v>7</v>
      </c>
      <c r="D55" s="24">
        <f t="shared" si="3"/>
        <v>9.9600000000000009</v>
      </c>
      <c r="E55" s="41">
        <f t="shared" si="1"/>
        <v>1.38</v>
      </c>
      <c r="F55" s="41">
        <f t="shared" si="2"/>
        <v>1.38</v>
      </c>
      <c r="G55" s="41">
        <f t="shared" si="4"/>
        <v>1.38</v>
      </c>
      <c r="H55" s="152">
        <v>4.6000000000000001E-4</v>
      </c>
      <c r="I55" s="41">
        <v>0.08</v>
      </c>
      <c r="J55" s="41">
        <v>0.04</v>
      </c>
    </row>
    <row r="56" spans="1:10" ht="15.5" x14ac:dyDescent="0.35">
      <c r="A56" s="42">
        <v>2321</v>
      </c>
      <c r="B56" s="26" t="s">
        <v>96</v>
      </c>
      <c r="C56" s="25">
        <v>793</v>
      </c>
      <c r="D56" s="24">
        <f t="shared" si="3"/>
        <v>1128.3399999999999</v>
      </c>
      <c r="E56" s="41">
        <f t="shared" si="1"/>
        <v>156.71</v>
      </c>
      <c r="F56" s="41">
        <f t="shared" si="2"/>
        <v>156.71</v>
      </c>
      <c r="G56" s="41">
        <f t="shared" si="4"/>
        <v>156.71</v>
      </c>
      <c r="H56" s="152">
        <v>6.0220000000000003E-2</v>
      </c>
      <c r="I56" s="41">
        <v>10.87</v>
      </c>
      <c r="J56" s="41">
        <v>5.44</v>
      </c>
    </row>
    <row r="57" spans="1:10" ht="15.5" x14ac:dyDescent="0.35">
      <c r="A57" s="42">
        <v>2322</v>
      </c>
      <c r="B57" s="26" t="s">
        <v>117</v>
      </c>
      <c r="C57" s="25">
        <v>29</v>
      </c>
      <c r="D57" s="24">
        <f t="shared" si="3"/>
        <v>41.26</v>
      </c>
      <c r="E57" s="41">
        <f t="shared" si="1"/>
        <v>5.73</v>
      </c>
      <c r="F57" s="41">
        <v>4.84</v>
      </c>
      <c r="G57" s="41">
        <f t="shared" si="4"/>
        <v>4.84</v>
      </c>
      <c r="H57" s="152">
        <v>2.0999999999999999E-3</v>
      </c>
      <c r="I57" s="41">
        <v>0.38</v>
      </c>
      <c r="J57" s="41">
        <v>0.19</v>
      </c>
    </row>
    <row r="58" spans="1:10" ht="15.5" hidden="1" x14ac:dyDescent="0.35">
      <c r="A58" s="42">
        <v>2341</v>
      </c>
      <c r="B58" s="26" t="s">
        <v>97</v>
      </c>
      <c r="C58" s="25">
        <v>0</v>
      </c>
      <c r="D58" s="24">
        <f t="shared" si="3"/>
        <v>0</v>
      </c>
      <c r="E58" s="41">
        <f t="shared" si="1"/>
        <v>0</v>
      </c>
      <c r="F58" s="41">
        <f t="shared" si="2"/>
        <v>0</v>
      </c>
      <c r="G58" s="41">
        <f t="shared" si="4"/>
        <v>0</v>
      </c>
      <c r="H58" s="152"/>
      <c r="I58" s="41">
        <v>0</v>
      </c>
      <c r="J58" s="41">
        <f t="shared" ref="J58:J65" si="5">I58/100*50</f>
        <v>0</v>
      </c>
    </row>
    <row r="59" spans="1:10" ht="15.5" hidden="1" x14ac:dyDescent="0.35">
      <c r="A59" s="42">
        <v>2350</v>
      </c>
      <c r="B59" s="22" t="s">
        <v>98</v>
      </c>
      <c r="C59" s="25">
        <v>0</v>
      </c>
      <c r="D59" s="24">
        <f t="shared" si="3"/>
        <v>0</v>
      </c>
      <c r="E59" s="41">
        <f t="shared" si="1"/>
        <v>0</v>
      </c>
      <c r="F59" s="41">
        <f t="shared" si="2"/>
        <v>0</v>
      </c>
      <c r="G59" s="41">
        <f t="shared" si="4"/>
        <v>0</v>
      </c>
      <c r="H59" s="152">
        <v>0</v>
      </c>
      <c r="I59" s="41">
        <v>0</v>
      </c>
      <c r="J59" s="41">
        <f t="shared" si="5"/>
        <v>0</v>
      </c>
    </row>
    <row r="60" spans="1:10" ht="15.5" hidden="1" x14ac:dyDescent="0.35">
      <c r="A60" s="42">
        <v>2361</v>
      </c>
      <c r="B60" s="26" t="s">
        <v>65</v>
      </c>
      <c r="C60" s="25">
        <v>39</v>
      </c>
      <c r="D60" s="24">
        <f t="shared" si="3"/>
        <v>55.49</v>
      </c>
      <c r="E60" s="41">
        <f t="shared" si="1"/>
        <v>7.71</v>
      </c>
      <c r="F60" s="41">
        <f t="shared" si="2"/>
        <v>7.71</v>
      </c>
      <c r="G60" s="41">
        <f t="shared" si="4"/>
        <v>7.71</v>
      </c>
      <c r="H60" s="152">
        <v>0</v>
      </c>
      <c r="I60" s="41">
        <v>0</v>
      </c>
      <c r="J60" s="41">
        <f t="shared" si="5"/>
        <v>0</v>
      </c>
    </row>
    <row r="61" spans="1:10" ht="15.5" hidden="1" x14ac:dyDescent="0.35">
      <c r="A61" s="42">
        <v>2362</v>
      </c>
      <c r="B61" s="26" t="s">
        <v>129</v>
      </c>
      <c r="C61" s="25">
        <v>1</v>
      </c>
      <c r="D61" s="24">
        <f t="shared" si="3"/>
        <v>1.42</v>
      </c>
      <c r="E61" s="41">
        <f t="shared" si="1"/>
        <v>0.2</v>
      </c>
      <c r="F61" s="41">
        <f t="shared" si="2"/>
        <v>0.2</v>
      </c>
      <c r="G61" s="41">
        <f t="shared" si="4"/>
        <v>0.2</v>
      </c>
      <c r="H61" s="152">
        <v>0</v>
      </c>
      <c r="I61" s="41">
        <v>0</v>
      </c>
      <c r="J61" s="41">
        <f t="shared" si="5"/>
        <v>0</v>
      </c>
    </row>
    <row r="62" spans="1:10" ht="15.5" hidden="1" x14ac:dyDescent="0.35">
      <c r="A62" s="42">
        <v>2363</v>
      </c>
      <c r="B62" s="26" t="s">
        <v>130</v>
      </c>
      <c r="C62" s="25"/>
      <c r="D62" s="24">
        <f t="shared" si="3"/>
        <v>0</v>
      </c>
      <c r="E62" s="41">
        <f t="shared" si="1"/>
        <v>0</v>
      </c>
      <c r="F62" s="41">
        <f t="shared" si="2"/>
        <v>0</v>
      </c>
      <c r="G62" s="41">
        <f t="shared" si="4"/>
        <v>0</v>
      </c>
      <c r="H62" s="152">
        <v>0</v>
      </c>
      <c r="I62" s="41">
        <v>0</v>
      </c>
      <c r="J62" s="41">
        <f t="shared" si="5"/>
        <v>0</v>
      </c>
    </row>
    <row r="63" spans="1:10" ht="15.5" hidden="1" x14ac:dyDescent="0.35">
      <c r="A63" s="22">
        <v>2370</v>
      </c>
      <c r="B63" s="26" t="s">
        <v>131</v>
      </c>
      <c r="C63" s="25"/>
      <c r="D63" s="24">
        <f t="shared" si="3"/>
        <v>0</v>
      </c>
      <c r="E63" s="41">
        <f t="shared" si="1"/>
        <v>0</v>
      </c>
      <c r="F63" s="41">
        <f t="shared" si="2"/>
        <v>0</v>
      </c>
      <c r="G63" s="41">
        <f t="shared" si="4"/>
        <v>0</v>
      </c>
      <c r="H63" s="152">
        <v>0</v>
      </c>
      <c r="I63" s="41">
        <v>0</v>
      </c>
      <c r="J63" s="41">
        <f t="shared" si="5"/>
        <v>0</v>
      </c>
    </row>
    <row r="64" spans="1:10" ht="15.5" hidden="1" x14ac:dyDescent="0.35">
      <c r="A64" s="22">
        <v>2400</v>
      </c>
      <c r="B64" s="26" t="s">
        <v>132</v>
      </c>
      <c r="C64" s="25"/>
      <c r="D64" s="24">
        <f t="shared" si="3"/>
        <v>0</v>
      </c>
      <c r="E64" s="41">
        <f t="shared" si="1"/>
        <v>0</v>
      </c>
      <c r="F64" s="41">
        <f t="shared" si="2"/>
        <v>0</v>
      </c>
      <c r="G64" s="41">
        <f t="shared" si="4"/>
        <v>0</v>
      </c>
      <c r="H64" s="152">
        <v>0</v>
      </c>
      <c r="I64" s="41">
        <v>0</v>
      </c>
      <c r="J64" s="41">
        <f t="shared" si="5"/>
        <v>0</v>
      </c>
    </row>
    <row r="65" spans="1:10" ht="15.5" hidden="1" x14ac:dyDescent="0.35">
      <c r="A65" s="42">
        <v>2512</v>
      </c>
      <c r="B65" s="26" t="s">
        <v>133</v>
      </c>
      <c r="C65" s="25">
        <v>1</v>
      </c>
      <c r="D65" s="24">
        <f t="shared" si="3"/>
        <v>1.42</v>
      </c>
      <c r="E65" s="41">
        <f t="shared" si="1"/>
        <v>0.2</v>
      </c>
      <c r="F65" s="41">
        <f t="shared" si="2"/>
        <v>0.2</v>
      </c>
      <c r="G65" s="41">
        <f t="shared" si="4"/>
        <v>0.2</v>
      </c>
      <c r="H65" s="152">
        <v>0</v>
      </c>
      <c r="I65" s="41">
        <v>0</v>
      </c>
      <c r="J65" s="41">
        <f t="shared" si="5"/>
        <v>0</v>
      </c>
    </row>
    <row r="66" spans="1:10" ht="15.5" x14ac:dyDescent="0.35">
      <c r="A66" s="42">
        <v>2513</v>
      </c>
      <c r="B66" s="22" t="s">
        <v>118</v>
      </c>
      <c r="C66" s="25">
        <v>28</v>
      </c>
      <c r="D66" s="24">
        <f t="shared" si="3"/>
        <v>39.840000000000003</v>
      </c>
      <c r="E66" s="41">
        <f t="shared" si="1"/>
        <v>5.53</v>
      </c>
      <c r="F66" s="41">
        <f t="shared" si="2"/>
        <v>5.53</v>
      </c>
      <c r="G66" s="41">
        <f t="shared" si="4"/>
        <v>5.53</v>
      </c>
      <c r="H66" s="152">
        <v>6.3000000000000003E-4</v>
      </c>
      <c r="I66" s="41">
        <v>0.11</v>
      </c>
      <c r="J66" s="41">
        <v>0.06</v>
      </c>
    </row>
    <row r="67" spans="1:10" ht="15.5" x14ac:dyDescent="0.35">
      <c r="A67" s="42">
        <v>2515</v>
      </c>
      <c r="B67" s="26" t="s">
        <v>73</v>
      </c>
      <c r="C67" s="25">
        <v>1</v>
      </c>
      <c r="D67" s="24">
        <f t="shared" si="3"/>
        <v>1.42</v>
      </c>
      <c r="E67" s="41">
        <f t="shared" si="1"/>
        <v>0.2</v>
      </c>
      <c r="F67" s="41">
        <f t="shared" si="2"/>
        <v>0.2</v>
      </c>
      <c r="G67" s="41">
        <f t="shared" si="4"/>
        <v>0.2</v>
      </c>
      <c r="H67" s="152">
        <v>2.7499999999999998E-3</v>
      </c>
      <c r="I67" s="41">
        <v>0.5</v>
      </c>
      <c r="J67" s="41">
        <v>0.25</v>
      </c>
    </row>
    <row r="68" spans="1:10" ht="15.5" x14ac:dyDescent="0.35">
      <c r="A68" s="42">
        <v>2519</v>
      </c>
      <c r="B68" s="26" t="s">
        <v>119</v>
      </c>
      <c r="C68" s="25">
        <v>8</v>
      </c>
      <c r="D68" s="24">
        <f t="shared" si="3"/>
        <v>11.38</v>
      </c>
      <c r="E68" s="41">
        <f t="shared" si="1"/>
        <v>1.58</v>
      </c>
      <c r="F68" s="41">
        <f t="shared" si="2"/>
        <v>1.58</v>
      </c>
      <c r="G68" s="41">
        <f t="shared" si="4"/>
        <v>1.58</v>
      </c>
      <c r="H68" s="152">
        <v>1.5100000000000001E-3</v>
      </c>
      <c r="I68" s="41">
        <v>0.27</v>
      </c>
      <c r="J68" s="41">
        <v>0.14000000000000001</v>
      </c>
    </row>
    <row r="69" spans="1:10" ht="15.5" x14ac:dyDescent="0.35">
      <c r="A69" s="42">
        <v>5220</v>
      </c>
      <c r="B69" s="26" t="s">
        <v>120</v>
      </c>
      <c r="C69" s="25"/>
      <c r="D69" s="24">
        <f t="shared" si="3"/>
        <v>0</v>
      </c>
      <c r="E69" s="41">
        <f t="shared" si="1"/>
        <v>0</v>
      </c>
      <c r="F69" s="41">
        <f t="shared" si="2"/>
        <v>0</v>
      </c>
      <c r="G69" s="41">
        <f t="shared" si="4"/>
        <v>0</v>
      </c>
      <c r="H69" s="152">
        <v>1.06E-2</v>
      </c>
      <c r="I69" s="41">
        <v>1.91</v>
      </c>
      <c r="J69" s="41">
        <v>0.96</v>
      </c>
    </row>
    <row r="70" spans="1:10" ht="15.5" x14ac:dyDescent="0.35">
      <c r="A70" s="42">
        <v>5238</v>
      </c>
      <c r="B70" s="22" t="s">
        <v>121</v>
      </c>
      <c r="C70" s="25"/>
      <c r="D70" s="24">
        <f t="shared" si="3"/>
        <v>0</v>
      </c>
      <c r="E70" s="41">
        <f t="shared" si="1"/>
        <v>0</v>
      </c>
      <c r="F70" s="41">
        <f t="shared" si="2"/>
        <v>0</v>
      </c>
      <c r="G70" s="41">
        <f t="shared" si="4"/>
        <v>0</v>
      </c>
      <c r="H70" s="152">
        <v>1.65E-3</v>
      </c>
      <c r="I70" s="41">
        <v>0.3</v>
      </c>
      <c r="J70" s="41">
        <v>0.15</v>
      </c>
    </row>
    <row r="71" spans="1:10" ht="15.5" x14ac:dyDescent="0.35">
      <c r="A71" s="42">
        <v>5239</v>
      </c>
      <c r="B71" s="10" t="s">
        <v>122</v>
      </c>
      <c r="C71" s="25">
        <v>5</v>
      </c>
      <c r="D71" s="24">
        <f t="shared" si="3"/>
        <v>7.11</v>
      </c>
      <c r="E71" s="41">
        <f t="shared" si="1"/>
        <v>0.99</v>
      </c>
      <c r="F71" s="41">
        <f t="shared" si="2"/>
        <v>0.99</v>
      </c>
      <c r="G71" s="41">
        <f t="shared" si="4"/>
        <v>0.99</v>
      </c>
      <c r="H71" s="152">
        <v>1.9800000000000002E-2</v>
      </c>
      <c r="I71" s="41">
        <v>3.52</v>
      </c>
      <c r="J71" s="41">
        <v>1.67</v>
      </c>
    </row>
    <row r="72" spans="1:10" ht="15.5" x14ac:dyDescent="0.35">
      <c r="A72" s="42">
        <v>5250</v>
      </c>
      <c r="B72" s="26" t="s">
        <v>123</v>
      </c>
      <c r="C72" s="25">
        <v>0</v>
      </c>
      <c r="D72" s="24">
        <f t="shared" si="3"/>
        <v>0</v>
      </c>
      <c r="E72" s="41">
        <f t="shared" si="1"/>
        <v>0</v>
      </c>
      <c r="F72" s="41">
        <f t="shared" si="2"/>
        <v>0</v>
      </c>
      <c r="G72" s="41">
        <v>4.2699999999999996</v>
      </c>
      <c r="H72" s="152">
        <v>1.4999999999999999E-2</v>
      </c>
      <c r="I72" s="41">
        <v>2.72</v>
      </c>
      <c r="J72" s="41">
        <v>1.36</v>
      </c>
    </row>
    <row r="73" spans="1:10" ht="15.5" x14ac:dyDescent="0.3">
      <c r="A73" s="44"/>
      <c r="B73" s="31" t="s">
        <v>74</v>
      </c>
      <c r="C73" s="29">
        <f>SUM(C32:C72)</f>
        <v>2400.02</v>
      </c>
      <c r="D73" s="43">
        <f>SUM(D32:D72)</f>
        <v>3414.9</v>
      </c>
      <c r="E73" s="43">
        <f>SUM(E32:E72)</f>
        <v>474.2999999999999</v>
      </c>
      <c r="F73" s="43">
        <f>SUM(F32:F72)</f>
        <v>477.17999999999984</v>
      </c>
      <c r="G73" s="43">
        <f>SUM(G32:G72)</f>
        <v>481.44999999999982</v>
      </c>
      <c r="H73" s="43"/>
      <c r="I73" s="43">
        <f>SUM(I32:I72)</f>
        <v>201.29000000000005</v>
      </c>
      <c r="J73" s="43">
        <f>SUM(J32:J72)</f>
        <v>100.63</v>
      </c>
    </row>
    <row r="74" spans="1:10" ht="15.5" x14ac:dyDescent="0.35">
      <c r="A74" s="23"/>
      <c r="B74" s="31" t="s">
        <v>75</v>
      </c>
      <c r="C74" s="29">
        <f>C73+C30</f>
        <v>5161.51</v>
      </c>
      <c r="D74" s="43">
        <f>D73+D30</f>
        <v>7344.14</v>
      </c>
      <c r="E74" s="43">
        <f>E73+E30</f>
        <v>1020.02</v>
      </c>
      <c r="F74" s="43">
        <f>F73+F30</f>
        <v>1061.33</v>
      </c>
      <c r="G74" s="43">
        <f>G73+G30</f>
        <v>1226.33</v>
      </c>
      <c r="H74" s="43"/>
      <c r="I74" s="43">
        <f>I73+I30</f>
        <v>727.00000000000011</v>
      </c>
      <c r="J74" s="43">
        <f>J73+J30</f>
        <v>363.5</v>
      </c>
    </row>
    <row r="75" spans="1:10" ht="15.5" x14ac:dyDescent="0.35">
      <c r="A75" s="9"/>
      <c r="B75" s="32"/>
      <c r="C75" s="33"/>
      <c r="D75" s="33"/>
      <c r="E75" s="55"/>
      <c r="F75" s="55"/>
      <c r="G75" s="55"/>
      <c r="H75" s="55"/>
      <c r="I75" s="55"/>
      <c r="J75" s="55"/>
    </row>
    <row r="76" spans="1:10" ht="15.5" x14ac:dyDescent="0.35">
      <c r="A76" s="173" t="s">
        <v>45</v>
      </c>
      <c r="B76" s="174"/>
      <c r="C76" s="65">
        <v>1800</v>
      </c>
      <c r="D76" s="59">
        <v>1800</v>
      </c>
      <c r="E76" s="62">
        <v>250</v>
      </c>
      <c r="F76" s="62">
        <v>250</v>
      </c>
      <c r="G76" s="62">
        <v>250</v>
      </c>
      <c r="H76" s="62"/>
      <c r="I76" s="62">
        <v>100</v>
      </c>
      <c r="J76" s="62">
        <v>50</v>
      </c>
    </row>
    <row r="77" spans="1:10" ht="15.5" x14ac:dyDescent="0.35">
      <c r="A77" s="173" t="s">
        <v>54</v>
      </c>
      <c r="B77" s="174"/>
      <c r="C77" s="67">
        <f>C74/C76</f>
        <v>2.8675055555555558</v>
      </c>
      <c r="D77" s="61">
        <f>ROUND(D74/D76,2)</f>
        <v>4.08</v>
      </c>
      <c r="E77" s="60">
        <f>E74/E76</f>
        <v>4.0800799999999997</v>
      </c>
      <c r="F77" s="60">
        <f>F74/F76</f>
        <v>4.2453199999999995</v>
      </c>
      <c r="G77" s="60">
        <f>G74/G76</f>
        <v>4.9053199999999997</v>
      </c>
      <c r="H77" s="60"/>
      <c r="I77" s="60">
        <f>I74/I76</f>
        <v>7.2700000000000014</v>
      </c>
      <c r="J77" s="60">
        <f>J74/J76</f>
        <v>7.27</v>
      </c>
    </row>
    <row r="78" spans="1:10" ht="15.5" x14ac:dyDescent="0.35">
      <c r="A78" s="63"/>
      <c r="B78" s="66"/>
      <c r="C78" s="66"/>
      <c r="D78" s="64"/>
      <c r="E78" s="66"/>
      <c r="F78" s="66"/>
      <c r="G78" s="66"/>
      <c r="H78" s="66"/>
      <c r="I78" s="66"/>
      <c r="J78" s="66"/>
    </row>
    <row r="79" spans="1:10" ht="15.5" x14ac:dyDescent="0.35">
      <c r="A79" s="171" t="s">
        <v>62</v>
      </c>
      <c r="B79" s="172"/>
      <c r="C79" s="49"/>
      <c r="D79" s="34"/>
      <c r="E79" s="56"/>
      <c r="F79" s="56"/>
      <c r="G79" s="56"/>
      <c r="H79" s="56"/>
      <c r="I79" s="56"/>
      <c r="J79" s="56"/>
    </row>
    <row r="80" spans="1:10" ht="15.5" x14ac:dyDescent="0.35">
      <c r="A80" s="171" t="s">
        <v>63</v>
      </c>
      <c r="B80" s="172"/>
      <c r="C80" s="49"/>
      <c r="D80" s="29"/>
      <c r="E80" s="56"/>
      <c r="F80" s="56"/>
      <c r="G80" s="56"/>
      <c r="H80" s="56"/>
      <c r="I80" s="117"/>
      <c r="J80" s="117"/>
    </row>
    <row r="81" spans="1:10" ht="15.5" x14ac:dyDescent="0.35">
      <c r="A81" s="36"/>
      <c r="B81" s="11"/>
      <c r="C81" s="11"/>
      <c r="D81" s="11"/>
      <c r="E81" s="57"/>
      <c r="F81" s="10"/>
      <c r="G81" s="10"/>
      <c r="H81" s="10"/>
      <c r="I81" s="75"/>
      <c r="J81" s="75"/>
    </row>
    <row r="82" spans="1:10" ht="15.5" x14ac:dyDescent="0.35">
      <c r="A82" s="37" t="s">
        <v>46</v>
      </c>
      <c r="B82" s="37"/>
      <c r="C82" s="37"/>
      <c r="D82" s="37"/>
      <c r="E82" s="37"/>
      <c r="F82" s="37"/>
      <c r="G82" s="37"/>
      <c r="H82" s="37"/>
      <c r="I82" s="37"/>
      <c r="J82" s="37"/>
    </row>
    <row r="83" spans="1:10" ht="15.5" x14ac:dyDescent="0.35">
      <c r="A83" s="37"/>
      <c r="B83" s="37"/>
      <c r="C83" s="37"/>
      <c r="D83" s="37"/>
      <c r="E83" s="37"/>
      <c r="F83" s="37"/>
      <c r="G83" s="37"/>
      <c r="H83" s="37"/>
      <c r="I83" s="37"/>
      <c r="J83" s="37"/>
    </row>
    <row r="84" spans="1:10" ht="15.5" x14ac:dyDescent="0.35">
      <c r="A84" s="37" t="s">
        <v>134</v>
      </c>
      <c r="B84" s="38"/>
      <c r="C84" s="38"/>
      <c r="D84" s="38"/>
      <c r="E84" s="37"/>
      <c r="F84" s="37"/>
      <c r="G84" s="37"/>
      <c r="H84" s="37"/>
      <c r="I84" s="95"/>
      <c r="J84" s="95"/>
    </row>
    <row r="85" spans="1:10" ht="15.5" x14ac:dyDescent="0.35">
      <c r="A85" s="37"/>
      <c r="B85" s="39"/>
      <c r="C85" s="39"/>
      <c r="D85" s="39"/>
      <c r="E85" s="37"/>
      <c r="F85" s="37"/>
      <c r="G85" s="37"/>
      <c r="H85" s="37"/>
      <c r="I85" s="37"/>
      <c r="J85" s="37"/>
    </row>
    <row r="86" spans="1:10" x14ac:dyDescent="0.3">
      <c r="F86" s="1"/>
      <c r="G86" s="1"/>
      <c r="H86" s="1"/>
      <c r="I86" s="1"/>
      <c r="J86" s="1"/>
    </row>
  </sheetData>
  <mergeCells count="14">
    <mergeCell ref="B1:F1"/>
    <mergeCell ref="B5:F5"/>
    <mergeCell ref="B6:F6"/>
    <mergeCell ref="A7:I7"/>
    <mergeCell ref="B8:E8"/>
    <mergeCell ref="A9:E9"/>
    <mergeCell ref="A79:B79"/>
    <mergeCell ref="A80:B80"/>
    <mergeCell ref="A10:E10"/>
    <mergeCell ref="B11:E11"/>
    <mergeCell ref="B12:E12"/>
    <mergeCell ref="B13:E13"/>
    <mergeCell ref="A76:B76"/>
    <mergeCell ref="A77:B77"/>
  </mergeCells>
  <pageMargins left="0.7" right="0.7" top="0.75" bottom="0.75" header="0.3" footer="0.3"/>
  <pageSetup paperSize="9" scale="63" orientation="portrait" r:id="rId1"/>
  <headerFoot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86"/>
  <sheetViews>
    <sheetView view="pageLayout" zoomScale="80" zoomScaleNormal="100" zoomScalePageLayoutView="80" workbookViewId="0">
      <selection activeCell="B25" sqref="B25"/>
    </sheetView>
  </sheetViews>
  <sheetFormatPr defaultColWidth="9.1796875" defaultRowHeight="14" x14ac:dyDescent="0.3"/>
  <cols>
    <col min="1" max="1" width="12.26953125" style="2" customWidth="1"/>
    <col min="2" max="2" width="95.453125" style="2" customWidth="1"/>
    <col min="3" max="3" width="21.81640625" style="2" hidden="1" customWidth="1"/>
    <col min="4" max="4" width="22.1796875" style="2" hidden="1" customWidth="1"/>
    <col min="5" max="7" width="21.54296875" style="2" hidden="1" customWidth="1"/>
    <col min="8" max="8" width="10.54296875" style="2" hidden="1" customWidth="1"/>
    <col min="9" max="9" width="31.7265625" style="2" customWidth="1"/>
    <col min="10" max="16384" width="9.1796875" style="40"/>
  </cols>
  <sheetData>
    <row r="1" spans="1:9" ht="15.5" x14ac:dyDescent="0.35">
      <c r="B1" s="163"/>
      <c r="C1" s="163"/>
      <c r="D1" s="163"/>
      <c r="E1" s="163"/>
      <c r="F1" s="163"/>
      <c r="G1" s="7"/>
      <c r="H1" s="7"/>
      <c r="I1" s="6" t="s">
        <v>7</v>
      </c>
    </row>
    <row r="2" spans="1:9" ht="15.5" x14ac:dyDescent="0.35">
      <c r="B2" s="7"/>
      <c r="C2" s="7"/>
      <c r="D2" s="7"/>
      <c r="E2" s="7"/>
      <c r="F2" s="7"/>
      <c r="G2" s="7"/>
      <c r="H2" s="7"/>
      <c r="I2" s="9" t="s">
        <v>44</v>
      </c>
    </row>
    <row r="3" spans="1:9" ht="15.5" x14ac:dyDescent="0.35">
      <c r="C3" s="50"/>
      <c r="D3" s="50"/>
      <c r="E3" s="50"/>
      <c r="F3" s="8"/>
      <c r="G3" s="48"/>
      <c r="H3" s="48"/>
      <c r="I3" s="48" t="s">
        <v>91</v>
      </c>
    </row>
    <row r="4" spans="1:9" ht="15.5" x14ac:dyDescent="0.35">
      <c r="B4" s="6"/>
      <c r="C4" s="6"/>
      <c r="D4" s="6"/>
      <c r="E4" s="51"/>
      <c r="F4" s="10"/>
      <c r="G4" s="10"/>
      <c r="H4" s="10"/>
      <c r="I4" s="6"/>
    </row>
    <row r="5" spans="1:9" ht="15.5" x14ac:dyDescent="0.35">
      <c r="B5" s="165"/>
      <c r="C5" s="165"/>
      <c r="D5" s="165"/>
      <c r="E5" s="165"/>
      <c r="F5" s="165"/>
      <c r="G5" s="51"/>
      <c r="H5" s="51"/>
      <c r="I5" s="9" t="s">
        <v>260</v>
      </c>
    </row>
    <row r="6" spans="1:9" x14ac:dyDescent="0.3">
      <c r="B6" s="167"/>
      <c r="C6" s="167"/>
      <c r="D6" s="167"/>
      <c r="E6" s="167"/>
      <c r="F6" s="167"/>
      <c r="G6" s="52"/>
      <c r="H6" s="52"/>
      <c r="I6" s="3"/>
    </row>
    <row r="7" spans="1:9" ht="17.5" x14ac:dyDescent="0.35">
      <c r="A7" s="169" t="s">
        <v>6</v>
      </c>
      <c r="B7" s="169"/>
      <c r="C7" s="169"/>
      <c r="D7" s="169"/>
      <c r="E7" s="169"/>
      <c r="F7" s="169"/>
      <c r="G7" s="169"/>
      <c r="H7" s="169"/>
      <c r="I7" s="169"/>
    </row>
    <row r="8" spans="1:9" x14ac:dyDescent="0.3">
      <c r="B8" s="170"/>
      <c r="C8" s="170"/>
      <c r="D8" s="170"/>
      <c r="E8" s="170"/>
    </row>
    <row r="9" spans="1:9" ht="15.5" x14ac:dyDescent="0.35">
      <c r="A9" s="160" t="s">
        <v>1</v>
      </c>
      <c r="B9" s="160"/>
      <c r="C9" s="160"/>
      <c r="D9" s="160"/>
      <c r="E9" s="160"/>
      <c r="F9" s="10"/>
      <c r="G9" s="10"/>
      <c r="H9" s="10"/>
      <c r="I9" s="10"/>
    </row>
    <row r="10" spans="1:9" ht="15.5" x14ac:dyDescent="0.35">
      <c r="A10" s="160" t="s">
        <v>0</v>
      </c>
      <c r="B10" s="160"/>
      <c r="C10" s="160"/>
      <c r="D10" s="160"/>
      <c r="E10" s="160"/>
      <c r="F10" s="10"/>
      <c r="G10" s="10"/>
      <c r="H10" s="10"/>
      <c r="I10" s="5"/>
    </row>
    <row r="11" spans="1:9" ht="15.5" x14ac:dyDescent="0.35">
      <c r="A11" s="5"/>
      <c r="B11" s="160" t="s">
        <v>165</v>
      </c>
      <c r="C11" s="160"/>
      <c r="D11" s="160"/>
      <c r="E11" s="160"/>
      <c r="F11" s="10"/>
      <c r="G11" s="10"/>
      <c r="H11" s="10"/>
      <c r="I11" s="5"/>
    </row>
    <row r="12" spans="1:9" ht="15.5" x14ac:dyDescent="0.35">
      <c r="A12" s="5"/>
      <c r="B12" s="160" t="s">
        <v>166</v>
      </c>
      <c r="C12" s="160"/>
      <c r="D12" s="160"/>
      <c r="E12" s="160"/>
      <c r="F12" s="10"/>
      <c r="G12" s="10"/>
      <c r="H12" s="10"/>
      <c r="I12" s="10"/>
    </row>
    <row r="13" spans="1:9" ht="15.5" x14ac:dyDescent="0.35">
      <c r="A13" s="5"/>
      <c r="B13" s="160" t="s">
        <v>173</v>
      </c>
      <c r="C13" s="160"/>
      <c r="D13" s="160"/>
      <c r="E13" s="160"/>
      <c r="F13" s="10"/>
      <c r="G13" s="10"/>
      <c r="H13" s="10"/>
      <c r="I13" s="10"/>
    </row>
    <row r="14" spans="1:9" ht="15.5" x14ac:dyDescent="0.35">
      <c r="A14" s="5" t="s">
        <v>2</v>
      </c>
      <c r="B14" s="5" t="s">
        <v>124</v>
      </c>
      <c r="C14" s="5"/>
      <c r="D14" s="5"/>
      <c r="E14" s="5"/>
      <c r="F14" s="10"/>
      <c r="G14" s="10"/>
      <c r="H14" s="10"/>
      <c r="I14" s="10"/>
    </row>
    <row r="15" spans="1:9" ht="15.5" hidden="1" x14ac:dyDescent="0.35">
      <c r="A15" s="5"/>
      <c r="B15" s="5"/>
      <c r="C15" s="5"/>
      <c r="D15" s="5"/>
      <c r="E15" s="5"/>
      <c r="F15" s="10"/>
      <c r="G15" s="10"/>
      <c r="H15" s="10"/>
      <c r="I15" s="10"/>
    </row>
    <row r="16" spans="1:9" ht="60" customHeight="1" x14ac:dyDescent="0.25">
      <c r="A16" s="17" t="s">
        <v>3</v>
      </c>
      <c r="B16" s="17" t="s">
        <v>4</v>
      </c>
      <c r="C16" s="17"/>
      <c r="D16" s="17"/>
      <c r="E16" s="17"/>
      <c r="F16" s="17"/>
      <c r="G16" s="17"/>
      <c r="H16" s="17"/>
      <c r="I16" s="17" t="s">
        <v>53</v>
      </c>
    </row>
    <row r="17" spans="1:11" ht="15" x14ac:dyDescent="0.25">
      <c r="A17" s="18">
        <v>1</v>
      </c>
      <c r="B17" s="19">
        <v>2</v>
      </c>
      <c r="C17" s="19"/>
      <c r="D17" s="19"/>
      <c r="E17" s="18">
        <v>3</v>
      </c>
      <c r="F17" s="19"/>
      <c r="G17" s="19"/>
      <c r="H17" s="19"/>
      <c r="I17" s="19">
        <v>3</v>
      </c>
    </row>
    <row r="18" spans="1:11" ht="15.5" x14ac:dyDescent="0.35">
      <c r="A18" s="58"/>
      <c r="B18" s="21" t="s">
        <v>5</v>
      </c>
      <c r="C18" s="21"/>
      <c r="D18" s="21"/>
      <c r="E18" s="53"/>
      <c r="F18" s="22"/>
      <c r="G18" s="22"/>
      <c r="H18" s="22"/>
      <c r="I18" s="22"/>
    </row>
    <row r="19" spans="1:11" ht="15.5" x14ac:dyDescent="0.35">
      <c r="A19" s="42">
        <v>1100</v>
      </c>
      <c r="B19" s="24" t="s">
        <v>56</v>
      </c>
      <c r="C19" s="25">
        <v>2234.4</v>
      </c>
      <c r="D19" s="24">
        <f>ROUND(C19/0.702804,2)</f>
        <v>3179.26</v>
      </c>
      <c r="E19" s="41">
        <f>ROUND(D19/1800*250,2)</f>
        <v>441.56</v>
      </c>
      <c r="F19" s="41">
        <v>472.65</v>
      </c>
      <c r="G19" s="41">
        <v>600.27</v>
      </c>
      <c r="H19" s="41">
        <f>'[1]8.1.1.,8.1.3_aerobika'!$D$55</f>
        <v>2.7486467065868267</v>
      </c>
      <c r="I19" s="41">
        <v>274.86</v>
      </c>
    </row>
    <row r="20" spans="1:11" ht="15.75" customHeight="1" x14ac:dyDescent="0.35">
      <c r="A20" s="42">
        <v>1200</v>
      </c>
      <c r="B20" s="26" t="s">
        <v>93</v>
      </c>
      <c r="C20" s="35">
        <v>527.09</v>
      </c>
      <c r="D20" s="24">
        <f>ROUND(C20/0.702804,2)</f>
        <v>749.98</v>
      </c>
      <c r="E20" s="41">
        <f>ROUND(D20/1800*250,2)</f>
        <v>104.16</v>
      </c>
      <c r="F20" s="41">
        <v>111.5</v>
      </c>
      <c r="G20" s="41">
        <v>144.61000000000001</v>
      </c>
      <c r="H20" s="41">
        <f>H19*0.2359</f>
        <v>0.64840575808383238</v>
      </c>
      <c r="I20" s="41">
        <v>64.84</v>
      </c>
      <c r="K20" s="154"/>
    </row>
    <row r="21" spans="1:11" ht="15.75" customHeight="1" x14ac:dyDescent="0.35">
      <c r="A21" s="23">
        <v>2222</v>
      </c>
      <c r="B21" s="26" t="s">
        <v>101</v>
      </c>
      <c r="C21" s="35"/>
      <c r="D21" s="24"/>
      <c r="E21" s="41"/>
      <c r="F21" s="41"/>
      <c r="G21" s="41"/>
      <c r="H21" s="41">
        <f>'[1]8.1.1.,8.1.3_aerobika'!$D$57</f>
        <v>0.22750000000000001</v>
      </c>
      <c r="I21" s="41">
        <v>22.75</v>
      </c>
    </row>
    <row r="22" spans="1:11" ht="15.75" customHeight="1" x14ac:dyDescent="0.35">
      <c r="A22" s="22">
        <v>2223</v>
      </c>
      <c r="B22" s="26" t="s">
        <v>94</v>
      </c>
      <c r="C22" s="35"/>
      <c r="D22" s="24"/>
      <c r="E22" s="41"/>
      <c r="F22" s="41"/>
      <c r="G22" s="41"/>
      <c r="H22" s="41">
        <f>'[1]8.1.1.,8.1.3_aerobika'!$D$58</f>
        <v>0.37662499999999999</v>
      </c>
      <c r="I22" s="41">
        <v>37.659999999999997</v>
      </c>
    </row>
    <row r="23" spans="1:11" ht="15.75" hidden="1" customHeight="1" x14ac:dyDescent="0.35">
      <c r="A23" s="23">
        <v>2243</v>
      </c>
      <c r="B23" s="26" t="s">
        <v>76</v>
      </c>
      <c r="C23" s="35"/>
      <c r="D23" s="24"/>
      <c r="E23" s="41"/>
      <c r="F23" s="41"/>
      <c r="G23" s="41"/>
      <c r="H23" s="41">
        <f>'[1]8.1.4.,8.1.5.'!$D$56</f>
        <v>0</v>
      </c>
      <c r="I23" s="41">
        <f>H23*100</f>
        <v>0</v>
      </c>
    </row>
    <row r="24" spans="1:11" ht="15.75" customHeight="1" x14ac:dyDescent="0.35">
      <c r="A24" s="42">
        <v>2244</v>
      </c>
      <c r="B24" s="21" t="s">
        <v>108</v>
      </c>
      <c r="C24" s="35"/>
      <c r="D24" s="24"/>
      <c r="E24" s="41"/>
      <c r="F24" s="41"/>
      <c r="G24" s="41"/>
      <c r="H24" s="41">
        <f>'[1]8.1.1.,8.1.3_aerobika'!$D$60</f>
        <v>0.33152129652101553</v>
      </c>
      <c r="I24" s="41">
        <v>33.15</v>
      </c>
    </row>
    <row r="25" spans="1:11" ht="15.75" customHeight="1" x14ac:dyDescent="0.35">
      <c r="A25" s="42">
        <v>2312</v>
      </c>
      <c r="B25" s="26" t="s">
        <v>95</v>
      </c>
      <c r="C25" s="35"/>
      <c r="D25" s="24"/>
      <c r="E25" s="41"/>
      <c r="F25" s="41"/>
      <c r="G25" s="41"/>
      <c r="H25" s="41">
        <f>'[1]8.1.1.,8.1.3_aerobika'!$D$61</f>
        <v>0.1734806561876247</v>
      </c>
      <c r="I25" s="41">
        <f>17.35+4</f>
        <v>21.35</v>
      </c>
    </row>
    <row r="26" spans="1:11" ht="15.75" customHeight="1" x14ac:dyDescent="0.35">
      <c r="A26" s="42">
        <v>2321</v>
      </c>
      <c r="B26" s="26" t="s">
        <v>96</v>
      </c>
      <c r="C26" s="35"/>
      <c r="D26" s="24"/>
      <c r="E26" s="41"/>
      <c r="F26" s="41"/>
      <c r="G26" s="41"/>
      <c r="H26" s="41">
        <f>'[1]8.1.1.,8.1.3_aerobika'!$D$62</f>
        <v>0.38</v>
      </c>
      <c r="I26" s="41">
        <v>38</v>
      </c>
    </row>
    <row r="27" spans="1:11" ht="15.5" x14ac:dyDescent="0.35">
      <c r="A27" s="45">
        <v>2341</v>
      </c>
      <c r="B27" s="26" t="s">
        <v>97</v>
      </c>
      <c r="C27" s="25"/>
      <c r="D27" s="24">
        <f>ROUND(C27/0.702804,2)</f>
        <v>0</v>
      </c>
      <c r="E27" s="41"/>
      <c r="F27" s="41">
        <f>E27/1800*250</f>
        <v>0</v>
      </c>
      <c r="G27" s="41">
        <f>F27</f>
        <v>0</v>
      </c>
      <c r="H27" s="41">
        <f>'[1]8.1.1.,8.1.3_aerobika'!$D$63</f>
        <v>0.16000000000000003</v>
      </c>
      <c r="I27" s="41">
        <v>16</v>
      </c>
    </row>
    <row r="28" spans="1:11" ht="15.5" x14ac:dyDescent="0.35">
      <c r="A28" s="42">
        <v>2350</v>
      </c>
      <c r="B28" s="26" t="s">
        <v>98</v>
      </c>
      <c r="C28" s="25"/>
      <c r="D28" s="24">
        <f>ROUND(C28/0.702804,2)</f>
        <v>0</v>
      </c>
      <c r="E28" s="41"/>
      <c r="F28" s="41">
        <f>E28/1800*250</f>
        <v>0</v>
      </c>
      <c r="G28" s="41">
        <f>F28</f>
        <v>0</v>
      </c>
      <c r="H28" s="41">
        <f>'[1]8.1.4.,8.1.5.'!$D$27</f>
        <v>0.02</v>
      </c>
      <c r="I28" s="41">
        <v>2</v>
      </c>
    </row>
    <row r="29" spans="1:11" ht="15.5" x14ac:dyDescent="0.35">
      <c r="A29" s="42">
        <v>5239</v>
      </c>
      <c r="B29" s="10" t="s">
        <v>122</v>
      </c>
      <c r="C29" s="25"/>
      <c r="D29" s="24">
        <f>ROUND(C29/0.702804,2)</f>
        <v>0</v>
      </c>
      <c r="E29" s="41"/>
      <c r="F29" s="41">
        <f>E29/1800*250</f>
        <v>0</v>
      </c>
      <c r="G29" s="41">
        <f>F29</f>
        <v>0</v>
      </c>
      <c r="H29" s="41">
        <f>'[1]8.1.4.,8.1.5.'!$D$28</f>
        <v>0.19096806387225551</v>
      </c>
      <c r="I29" s="41">
        <v>19.100000000000001</v>
      </c>
    </row>
    <row r="30" spans="1:11" ht="15.5" x14ac:dyDescent="0.3">
      <c r="A30" s="42"/>
      <c r="B30" s="28" t="s">
        <v>69</v>
      </c>
      <c r="C30" s="29">
        <f t="shared" ref="C30:I30" si="0">SUM(C19:C29)</f>
        <v>2761.4900000000002</v>
      </c>
      <c r="D30" s="29">
        <f t="shared" si="0"/>
        <v>3929.2400000000002</v>
      </c>
      <c r="E30" s="43">
        <f t="shared" si="0"/>
        <v>545.72</v>
      </c>
      <c r="F30" s="43">
        <f t="shared" si="0"/>
        <v>584.15</v>
      </c>
      <c r="G30" s="43">
        <f t="shared" si="0"/>
        <v>744.88</v>
      </c>
      <c r="H30" s="43">
        <f t="shared" si="0"/>
        <v>5.2571474812515548</v>
      </c>
      <c r="I30" s="43">
        <f t="shared" si="0"/>
        <v>529.71</v>
      </c>
    </row>
    <row r="31" spans="1:11" ht="15.5" x14ac:dyDescent="0.35">
      <c r="A31" s="44"/>
      <c r="B31" s="24" t="s">
        <v>70</v>
      </c>
      <c r="C31" s="25"/>
      <c r="D31" s="26"/>
      <c r="E31" s="41"/>
      <c r="F31" s="41"/>
      <c r="G31" s="41"/>
      <c r="H31" s="41"/>
      <c r="I31" s="41"/>
    </row>
    <row r="32" spans="1:11" ht="15.5" x14ac:dyDescent="0.35">
      <c r="A32" s="42">
        <v>1100</v>
      </c>
      <c r="B32" s="42" t="s">
        <v>83</v>
      </c>
      <c r="C32" s="25">
        <v>514.6</v>
      </c>
      <c r="D32" s="24">
        <f>ROUND(C32/0.702804,2)</f>
        <v>732.21</v>
      </c>
      <c r="E32" s="41">
        <f t="shared" ref="E32:E72" si="1">ROUND(D32/1800*250,2)</f>
        <v>101.7</v>
      </c>
      <c r="F32" s="41">
        <v>104.75</v>
      </c>
      <c r="G32" s="41">
        <v>104.33</v>
      </c>
      <c r="H32" s="152">
        <v>0.51439999999999997</v>
      </c>
      <c r="I32" s="41">
        <v>106.42</v>
      </c>
    </row>
    <row r="33" spans="1:9" ht="15.75" customHeight="1" x14ac:dyDescent="0.35">
      <c r="A33" s="42">
        <v>1200</v>
      </c>
      <c r="B33" s="54" t="s">
        <v>93</v>
      </c>
      <c r="C33" s="35">
        <v>121.4</v>
      </c>
      <c r="D33" s="24">
        <f>ROUND(C33/0.702804,2)</f>
        <v>172.74</v>
      </c>
      <c r="E33" s="41">
        <f t="shared" si="1"/>
        <v>23.99</v>
      </c>
      <c r="F33" s="41">
        <v>24.71</v>
      </c>
      <c r="G33" s="41">
        <v>25.13</v>
      </c>
      <c r="H33" s="152">
        <f>H32*0.2359</f>
        <v>0.12134695999999999</v>
      </c>
      <c r="I33" s="41">
        <v>25.1</v>
      </c>
    </row>
    <row r="34" spans="1:9" ht="15.5" x14ac:dyDescent="0.35">
      <c r="A34" s="42">
        <v>2100</v>
      </c>
      <c r="B34" s="30" t="s">
        <v>42</v>
      </c>
      <c r="C34" s="25"/>
      <c r="D34" s="24"/>
      <c r="E34" s="41">
        <f t="shared" si="1"/>
        <v>0</v>
      </c>
      <c r="F34" s="41">
        <f t="shared" ref="F34:G72" si="2">E34</f>
        <v>0</v>
      </c>
      <c r="G34" s="41">
        <f>F34</f>
        <v>0</v>
      </c>
      <c r="H34" s="152">
        <v>8.0999999999999996E-4</v>
      </c>
      <c r="I34" s="41">
        <v>0.15</v>
      </c>
    </row>
    <row r="35" spans="1:9" ht="15.5" x14ac:dyDescent="0.35">
      <c r="A35" s="45">
        <v>2210</v>
      </c>
      <c r="B35" s="54" t="s">
        <v>100</v>
      </c>
      <c r="C35" s="25">
        <v>16</v>
      </c>
      <c r="D35" s="24">
        <f t="shared" ref="D35:D72" si="3">ROUND(C35/0.702804,2)</f>
        <v>22.77</v>
      </c>
      <c r="E35" s="41">
        <f t="shared" si="1"/>
        <v>3.16</v>
      </c>
      <c r="F35" s="41">
        <f t="shared" si="2"/>
        <v>3.16</v>
      </c>
      <c r="G35" s="41">
        <f>F35</f>
        <v>3.16</v>
      </c>
      <c r="H35" s="152">
        <v>8.0000000000000002E-3</v>
      </c>
      <c r="I35" s="41">
        <v>1.44</v>
      </c>
    </row>
    <row r="36" spans="1:9" ht="15.5" x14ac:dyDescent="0.35">
      <c r="A36" s="42">
        <v>2222</v>
      </c>
      <c r="B36" s="26" t="s">
        <v>101</v>
      </c>
      <c r="C36" s="25">
        <v>36</v>
      </c>
      <c r="D36" s="24">
        <f t="shared" si="3"/>
        <v>51.22</v>
      </c>
      <c r="E36" s="41">
        <f t="shared" si="1"/>
        <v>7.11</v>
      </c>
      <c r="F36" s="41">
        <f t="shared" si="2"/>
        <v>7.11</v>
      </c>
      <c r="G36" s="41">
        <f>F36</f>
        <v>7.11</v>
      </c>
      <c r="H36" s="152">
        <v>4.4400000000000004E-3</v>
      </c>
      <c r="I36" s="41">
        <v>0.8</v>
      </c>
    </row>
    <row r="37" spans="1:9" ht="15.5" x14ac:dyDescent="0.35">
      <c r="A37" s="42">
        <v>2223</v>
      </c>
      <c r="B37" s="26" t="s">
        <v>94</v>
      </c>
      <c r="C37" s="25">
        <v>484</v>
      </c>
      <c r="D37" s="24">
        <f t="shared" si="3"/>
        <v>688.67</v>
      </c>
      <c r="E37" s="41">
        <f t="shared" si="1"/>
        <v>95.65</v>
      </c>
      <c r="F37" s="41">
        <f t="shared" si="2"/>
        <v>95.65</v>
      </c>
      <c r="G37" s="41">
        <f>F37</f>
        <v>95.65</v>
      </c>
      <c r="H37" s="152">
        <v>5.4940000000000003E-2</v>
      </c>
      <c r="I37" s="41">
        <v>13.92</v>
      </c>
    </row>
    <row r="38" spans="1:9" ht="31" x14ac:dyDescent="0.35">
      <c r="A38" s="42">
        <v>2224</v>
      </c>
      <c r="B38" s="26" t="s">
        <v>102</v>
      </c>
      <c r="C38" s="25"/>
      <c r="D38" s="24"/>
      <c r="E38" s="41"/>
      <c r="F38" s="41"/>
      <c r="G38" s="41"/>
      <c r="H38" s="152">
        <v>3.0899999999999999E-3</v>
      </c>
      <c r="I38" s="41">
        <v>0.56000000000000005</v>
      </c>
    </row>
    <row r="39" spans="1:9" ht="15.5" x14ac:dyDescent="0.35">
      <c r="A39" s="42">
        <v>2231</v>
      </c>
      <c r="B39" s="21" t="s">
        <v>103</v>
      </c>
      <c r="C39" s="25">
        <v>10</v>
      </c>
      <c r="D39" s="24">
        <f t="shared" si="3"/>
        <v>14.23</v>
      </c>
      <c r="E39" s="41">
        <f t="shared" si="1"/>
        <v>1.98</v>
      </c>
      <c r="F39" s="41">
        <f t="shared" si="2"/>
        <v>1.98</v>
      </c>
      <c r="G39" s="41">
        <f t="shared" si="2"/>
        <v>1.98</v>
      </c>
      <c r="H39" s="152">
        <v>1.5E-3</v>
      </c>
      <c r="I39" s="41">
        <v>0.27</v>
      </c>
    </row>
    <row r="40" spans="1:9" ht="15.5" x14ac:dyDescent="0.35">
      <c r="A40" s="42">
        <v>2235</v>
      </c>
      <c r="B40" s="85" t="s">
        <v>104</v>
      </c>
      <c r="C40" s="25"/>
      <c r="D40" s="24">
        <f t="shared" si="3"/>
        <v>0</v>
      </c>
      <c r="E40" s="41">
        <f t="shared" si="1"/>
        <v>0</v>
      </c>
      <c r="F40" s="41">
        <f t="shared" si="2"/>
        <v>0</v>
      </c>
      <c r="G40" s="41">
        <f t="shared" si="2"/>
        <v>0</v>
      </c>
      <c r="H40" s="152">
        <v>2.5100000000000001E-3</v>
      </c>
      <c r="I40" s="41">
        <v>0.45</v>
      </c>
    </row>
    <row r="41" spans="1:9" ht="15.5" x14ac:dyDescent="0.35">
      <c r="A41" s="42">
        <v>2239</v>
      </c>
      <c r="B41" s="21" t="s">
        <v>105</v>
      </c>
      <c r="C41" s="25">
        <v>4</v>
      </c>
      <c r="D41" s="24">
        <f t="shared" si="3"/>
        <v>5.69</v>
      </c>
      <c r="E41" s="41">
        <f t="shared" si="1"/>
        <v>0.79</v>
      </c>
      <c r="F41" s="41">
        <f t="shared" si="2"/>
        <v>0.79</v>
      </c>
      <c r="G41" s="41">
        <f t="shared" si="2"/>
        <v>0.79</v>
      </c>
      <c r="H41" s="152">
        <v>1.7899999999999999E-3</v>
      </c>
      <c r="I41" s="41">
        <v>0.32</v>
      </c>
    </row>
    <row r="42" spans="1:9" ht="15.5" x14ac:dyDescent="0.35">
      <c r="A42" s="42">
        <v>2241</v>
      </c>
      <c r="B42" s="21" t="s">
        <v>106</v>
      </c>
      <c r="C42" s="25">
        <v>12</v>
      </c>
      <c r="D42" s="24">
        <f t="shared" si="3"/>
        <v>17.07</v>
      </c>
      <c r="E42" s="41">
        <f t="shared" si="1"/>
        <v>2.37</v>
      </c>
      <c r="F42" s="41">
        <f t="shared" si="2"/>
        <v>2.37</v>
      </c>
      <c r="G42" s="41">
        <f t="shared" si="2"/>
        <v>2.37</v>
      </c>
      <c r="H42" s="152">
        <v>1.6500000000000001E-2</v>
      </c>
      <c r="I42" s="41">
        <v>2.98</v>
      </c>
    </row>
    <row r="43" spans="1:9" ht="15.5" x14ac:dyDescent="0.35">
      <c r="A43" s="42">
        <v>2242</v>
      </c>
      <c r="B43" s="26" t="s">
        <v>107</v>
      </c>
      <c r="C43" s="25">
        <v>180.4</v>
      </c>
      <c r="D43" s="24">
        <f t="shared" si="3"/>
        <v>256.69</v>
      </c>
      <c r="E43" s="41">
        <f t="shared" si="1"/>
        <v>35.65</v>
      </c>
      <c r="F43" s="41">
        <f t="shared" si="2"/>
        <v>35.65</v>
      </c>
      <c r="G43" s="41">
        <f t="shared" si="2"/>
        <v>35.65</v>
      </c>
      <c r="H43" s="152">
        <v>8.4999999999999995E-4</v>
      </c>
      <c r="I43" s="41">
        <v>0.15</v>
      </c>
    </row>
    <row r="44" spans="1:9" ht="15.5" x14ac:dyDescent="0.35">
      <c r="A44" s="42">
        <v>2243</v>
      </c>
      <c r="B44" s="21" t="s">
        <v>76</v>
      </c>
      <c r="C44" s="25">
        <v>1</v>
      </c>
      <c r="D44" s="24">
        <f t="shared" si="3"/>
        <v>1.42</v>
      </c>
      <c r="E44" s="41">
        <f t="shared" si="1"/>
        <v>0.2</v>
      </c>
      <c r="F44" s="41">
        <f t="shared" si="2"/>
        <v>0.2</v>
      </c>
      <c r="G44" s="41">
        <f t="shared" si="2"/>
        <v>0.2</v>
      </c>
      <c r="H44" s="152">
        <v>4.0000000000000002E-4</v>
      </c>
      <c r="I44" s="41">
        <v>7.0000000000000007E-2</v>
      </c>
    </row>
    <row r="45" spans="1:9" ht="15.5" x14ac:dyDescent="0.35">
      <c r="A45" s="42">
        <v>2244</v>
      </c>
      <c r="B45" s="21" t="s">
        <v>108</v>
      </c>
      <c r="C45" s="25">
        <v>5</v>
      </c>
      <c r="D45" s="24">
        <f t="shared" si="3"/>
        <v>7.11</v>
      </c>
      <c r="E45" s="41">
        <f t="shared" si="1"/>
        <v>0.99</v>
      </c>
      <c r="F45" s="41">
        <f t="shared" si="2"/>
        <v>0.99</v>
      </c>
      <c r="G45" s="41">
        <f t="shared" si="2"/>
        <v>0.99</v>
      </c>
      <c r="H45" s="152">
        <v>6.8070000000000006E-2</v>
      </c>
      <c r="I45" s="41">
        <v>12.29</v>
      </c>
    </row>
    <row r="46" spans="1:9" ht="15.5" x14ac:dyDescent="0.35">
      <c r="A46" s="22">
        <v>2247</v>
      </c>
      <c r="B46" s="21" t="s">
        <v>71</v>
      </c>
      <c r="C46" s="25">
        <v>2</v>
      </c>
      <c r="D46" s="24">
        <f t="shared" si="3"/>
        <v>2.85</v>
      </c>
      <c r="E46" s="41">
        <f t="shared" si="1"/>
        <v>0.4</v>
      </c>
      <c r="F46" s="41">
        <f t="shared" si="2"/>
        <v>0.4</v>
      </c>
      <c r="G46" s="41">
        <f t="shared" si="2"/>
        <v>0.4</v>
      </c>
      <c r="H46" s="152">
        <v>2.2000000000000001E-4</v>
      </c>
      <c r="I46" s="41">
        <v>0.04</v>
      </c>
    </row>
    <row r="47" spans="1:9" ht="15.5" x14ac:dyDescent="0.35">
      <c r="A47" s="22">
        <v>2249</v>
      </c>
      <c r="B47" s="26" t="s">
        <v>127</v>
      </c>
      <c r="C47" s="25"/>
      <c r="D47" s="24">
        <f t="shared" si="3"/>
        <v>0</v>
      </c>
      <c r="E47" s="41">
        <f t="shared" si="1"/>
        <v>0</v>
      </c>
      <c r="F47" s="41">
        <f t="shared" si="2"/>
        <v>0</v>
      </c>
      <c r="G47" s="41">
        <f t="shared" si="2"/>
        <v>0</v>
      </c>
      <c r="H47" s="152">
        <v>2.5000000000000001E-4</v>
      </c>
      <c r="I47" s="41">
        <v>0.05</v>
      </c>
    </row>
    <row r="48" spans="1:9" ht="15.5" x14ac:dyDescent="0.35">
      <c r="A48" s="42">
        <v>2250</v>
      </c>
      <c r="B48" s="21" t="s">
        <v>110</v>
      </c>
      <c r="C48" s="25"/>
      <c r="D48" s="24">
        <f t="shared" si="3"/>
        <v>0</v>
      </c>
      <c r="E48" s="41">
        <f t="shared" si="1"/>
        <v>0</v>
      </c>
      <c r="F48" s="41">
        <f t="shared" si="2"/>
        <v>0</v>
      </c>
      <c r="G48" s="41">
        <f t="shared" si="2"/>
        <v>0</v>
      </c>
      <c r="H48" s="152">
        <v>2.8400000000000002E-2</v>
      </c>
      <c r="I48" s="41">
        <v>5.13</v>
      </c>
    </row>
    <row r="49" spans="1:9" ht="15.5" hidden="1" x14ac:dyDescent="0.35">
      <c r="A49" s="42">
        <v>2261</v>
      </c>
      <c r="B49" s="26" t="s">
        <v>128</v>
      </c>
      <c r="C49" s="25">
        <v>2</v>
      </c>
      <c r="D49" s="24">
        <f t="shared" si="3"/>
        <v>2.85</v>
      </c>
      <c r="E49" s="41">
        <f t="shared" si="1"/>
        <v>0.4</v>
      </c>
      <c r="F49" s="41">
        <f t="shared" si="2"/>
        <v>0.4</v>
      </c>
      <c r="G49" s="41">
        <f t="shared" si="2"/>
        <v>0.4</v>
      </c>
      <c r="H49" s="152">
        <v>0</v>
      </c>
      <c r="I49" s="41">
        <v>0</v>
      </c>
    </row>
    <row r="50" spans="1:9" ht="15.5" x14ac:dyDescent="0.35">
      <c r="A50" s="42">
        <v>2262</v>
      </c>
      <c r="B50" s="26" t="s">
        <v>111</v>
      </c>
      <c r="C50" s="25">
        <v>11</v>
      </c>
      <c r="D50" s="24">
        <f t="shared" si="3"/>
        <v>15.65</v>
      </c>
      <c r="E50" s="41">
        <f t="shared" si="1"/>
        <v>2.17</v>
      </c>
      <c r="F50" s="41">
        <f t="shared" si="2"/>
        <v>2.17</v>
      </c>
      <c r="G50" s="41">
        <f t="shared" si="2"/>
        <v>2.17</v>
      </c>
      <c r="H50" s="152">
        <v>1.137E-2</v>
      </c>
      <c r="I50" s="41">
        <v>2.0499999999999998</v>
      </c>
    </row>
    <row r="51" spans="1:9" ht="15.5" x14ac:dyDescent="0.35">
      <c r="A51" s="42">
        <v>2263</v>
      </c>
      <c r="B51" s="26" t="s">
        <v>112</v>
      </c>
      <c r="C51" s="25">
        <v>40</v>
      </c>
      <c r="D51" s="24">
        <f t="shared" si="3"/>
        <v>56.91</v>
      </c>
      <c r="E51" s="41">
        <f t="shared" si="1"/>
        <v>7.9</v>
      </c>
      <c r="F51" s="41">
        <f t="shared" si="2"/>
        <v>7.9</v>
      </c>
      <c r="G51" s="41">
        <f t="shared" si="2"/>
        <v>7.9</v>
      </c>
      <c r="H51" s="152">
        <v>4.58E-2</v>
      </c>
      <c r="I51" s="41">
        <v>8.27</v>
      </c>
    </row>
    <row r="52" spans="1:9" ht="15.5" x14ac:dyDescent="0.35">
      <c r="A52" s="42">
        <v>2264</v>
      </c>
      <c r="B52" s="21" t="s">
        <v>113</v>
      </c>
      <c r="C52" s="25">
        <v>0</v>
      </c>
      <c r="D52" s="24">
        <f t="shared" si="3"/>
        <v>0</v>
      </c>
      <c r="E52" s="41">
        <f t="shared" si="1"/>
        <v>0</v>
      </c>
      <c r="F52" s="41">
        <f t="shared" si="2"/>
        <v>0</v>
      </c>
      <c r="G52" s="41">
        <f t="shared" si="2"/>
        <v>0</v>
      </c>
      <c r="H52" s="152">
        <v>2.4000000000000001E-4</v>
      </c>
      <c r="I52" s="41">
        <v>0.04</v>
      </c>
    </row>
    <row r="53" spans="1:9" ht="15.5" x14ac:dyDescent="0.35">
      <c r="A53" s="42">
        <v>2311</v>
      </c>
      <c r="B53" s="26" t="s">
        <v>114</v>
      </c>
      <c r="C53" s="25">
        <v>44.62</v>
      </c>
      <c r="D53" s="24">
        <f t="shared" si="3"/>
        <v>63.49</v>
      </c>
      <c r="E53" s="41">
        <f t="shared" si="1"/>
        <v>8.82</v>
      </c>
      <c r="F53" s="41">
        <f t="shared" si="2"/>
        <v>8.82</v>
      </c>
      <c r="G53" s="41">
        <f t="shared" si="2"/>
        <v>8.82</v>
      </c>
      <c r="H53" s="153">
        <v>7.1000000000000002E-4</v>
      </c>
      <c r="I53" s="41">
        <v>0.13</v>
      </c>
    </row>
    <row r="54" spans="1:9" ht="15.5" hidden="1" x14ac:dyDescent="0.35">
      <c r="A54" s="42">
        <v>2312</v>
      </c>
      <c r="B54" s="26" t="s">
        <v>95</v>
      </c>
      <c r="C54" s="25">
        <v>4</v>
      </c>
      <c r="D54" s="24">
        <f t="shared" si="3"/>
        <v>5.69</v>
      </c>
      <c r="E54" s="41">
        <f t="shared" si="1"/>
        <v>0.79</v>
      </c>
      <c r="F54" s="41">
        <f t="shared" si="2"/>
        <v>0.79</v>
      </c>
      <c r="G54" s="41">
        <f t="shared" si="2"/>
        <v>0.79</v>
      </c>
      <c r="H54" s="152">
        <v>0</v>
      </c>
      <c r="I54" s="41">
        <v>0</v>
      </c>
    </row>
    <row r="55" spans="1:9" ht="15.5" x14ac:dyDescent="0.35">
      <c r="A55" s="42">
        <v>2314</v>
      </c>
      <c r="B55" s="85" t="s">
        <v>116</v>
      </c>
      <c r="C55" s="25">
        <v>7</v>
      </c>
      <c r="D55" s="24">
        <f t="shared" si="3"/>
        <v>9.9600000000000009</v>
      </c>
      <c r="E55" s="41">
        <f t="shared" si="1"/>
        <v>1.38</v>
      </c>
      <c r="F55" s="41">
        <f t="shared" si="2"/>
        <v>1.38</v>
      </c>
      <c r="G55" s="41">
        <f t="shared" si="2"/>
        <v>1.38</v>
      </c>
      <c r="H55" s="152">
        <v>4.6000000000000001E-4</v>
      </c>
      <c r="I55" s="41">
        <v>0.08</v>
      </c>
    </row>
    <row r="56" spans="1:9" ht="15.5" x14ac:dyDescent="0.35">
      <c r="A56" s="42">
        <v>2321</v>
      </c>
      <c r="B56" s="26" t="s">
        <v>96</v>
      </c>
      <c r="C56" s="25">
        <v>793</v>
      </c>
      <c r="D56" s="24">
        <f t="shared" si="3"/>
        <v>1128.3399999999999</v>
      </c>
      <c r="E56" s="41">
        <f t="shared" si="1"/>
        <v>156.71</v>
      </c>
      <c r="F56" s="41">
        <f t="shared" si="2"/>
        <v>156.71</v>
      </c>
      <c r="G56" s="41">
        <f t="shared" si="2"/>
        <v>156.71</v>
      </c>
      <c r="H56" s="152">
        <v>6.0220000000000003E-2</v>
      </c>
      <c r="I56" s="41">
        <v>10.87</v>
      </c>
    </row>
    <row r="57" spans="1:9" ht="15.5" x14ac:dyDescent="0.35">
      <c r="A57" s="42">
        <v>2322</v>
      </c>
      <c r="B57" s="26" t="s">
        <v>117</v>
      </c>
      <c r="C57" s="25">
        <v>29</v>
      </c>
      <c r="D57" s="24">
        <f t="shared" si="3"/>
        <v>41.26</v>
      </c>
      <c r="E57" s="41">
        <f t="shared" si="1"/>
        <v>5.73</v>
      </c>
      <c r="F57" s="41">
        <v>4.84</v>
      </c>
      <c r="G57" s="41">
        <f t="shared" si="2"/>
        <v>4.84</v>
      </c>
      <c r="H57" s="152">
        <v>2.0999999999999999E-3</v>
      </c>
      <c r="I57" s="41">
        <v>0.38</v>
      </c>
    </row>
    <row r="58" spans="1:9" ht="15.5" hidden="1" x14ac:dyDescent="0.35">
      <c r="A58" s="42">
        <v>2341</v>
      </c>
      <c r="B58" s="26" t="s">
        <v>97</v>
      </c>
      <c r="C58" s="25">
        <v>0</v>
      </c>
      <c r="D58" s="24">
        <f t="shared" si="3"/>
        <v>0</v>
      </c>
      <c r="E58" s="41">
        <f t="shared" si="1"/>
        <v>0</v>
      </c>
      <c r="F58" s="41">
        <f t="shared" si="2"/>
        <v>0</v>
      </c>
      <c r="G58" s="41">
        <f t="shared" si="2"/>
        <v>0</v>
      </c>
      <c r="H58" s="152"/>
      <c r="I58" s="41">
        <v>0</v>
      </c>
    </row>
    <row r="59" spans="1:9" ht="15.5" hidden="1" x14ac:dyDescent="0.35">
      <c r="A59" s="42">
        <v>2350</v>
      </c>
      <c r="B59" s="22" t="s">
        <v>98</v>
      </c>
      <c r="C59" s="25">
        <v>0</v>
      </c>
      <c r="D59" s="24">
        <f t="shared" si="3"/>
        <v>0</v>
      </c>
      <c r="E59" s="41">
        <f t="shared" si="1"/>
        <v>0</v>
      </c>
      <c r="F59" s="41">
        <f t="shared" si="2"/>
        <v>0</v>
      </c>
      <c r="G59" s="41">
        <f t="shared" si="2"/>
        <v>0</v>
      </c>
      <c r="H59" s="152">
        <v>0</v>
      </c>
      <c r="I59" s="41">
        <v>0</v>
      </c>
    </row>
    <row r="60" spans="1:9" ht="15.5" hidden="1" x14ac:dyDescent="0.35">
      <c r="A60" s="42">
        <v>2361</v>
      </c>
      <c r="B60" s="26" t="s">
        <v>65</v>
      </c>
      <c r="C60" s="25">
        <v>39</v>
      </c>
      <c r="D60" s="24">
        <f t="shared" si="3"/>
        <v>55.49</v>
      </c>
      <c r="E60" s="41">
        <f t="shared" si="1"/>
        <v>7.71</v>
      </c>
      <c r="F60" s="41">
        <f t="shared" si="2"/>
        <v>7.71</v>
      </c>
      <c r="G60" s="41">
        <f t="shared" si="2"/>
        <v>7.71</v>
      </c>
      <c r="H60" s="152">
        <v>0</v>
      </c>
      <c r="I60" s="41">
        <v>0</v>
      </c>
    </row>
    <row r="61" spans="1:9" ht="15.5" hidden="1" x14ac:dyDescent="0.35">
      <c r="A61" s="42">
        <v>2362</v>
      </c>
      <c r="B61" s="26" t="s">
        <v>129</v>
      </c>
      <c r="C61" s="25">
        <v>1</v>
      </c>
      <c r="D61" s="24">
        <f t="shared" si="3"/>
        <v>1.42</v>
      </c>
      <c r="E61" s="41">
        <f t="shared" si="1"/>
        <v>0.2</v>
      </c>
      <c r="F61" s="41">
        <f t="shared" si="2"/>
        <v>0.2</v>
      </c>
      <c r="G61" s="41">
        <f t="shared" si="2"/>
        <v>0.2</v>
      </c>
      <c r="H61" s="152">
        <v>0</v>
      </c>
      <c r="I61" s="41">
        <v>0</v>
      </c>
    </row>
    <row r="62" spans="1:9" ht="15.5" hidden="1" x14ac:dyDescent="0.35">
      <c r="A62" s="42">
        <v>2363</v>
      </c>
      <c r="B62" s="26" t="s">
        <v>130</v>
      </c>
      <c r="C62" s="25"/>
      <c r="D62" s="24">
        <f t="shared" si="3"/>
        <v>0</v>
      </c>
      <c r="E62" s="41">
        <f t="shared" si="1"/>
        <v>0</v>
      </c>
      <c r="F62" s="41">
        <f t="shared" si="2"/>
        <v>0</v>
      </c>
      <c r="G62" s="41">
        <f t="shared" si="2"/>
        <v>0</v>
      </c>
      <c r="H62" s="152">
        <v>0</v>
      </c>
      <c r="I62" s="41">
        <v>0</v>
      </c>
    </row>
    <row r="63" spans="1:9" ht="15.5" hidden="1" x14ac:dyDescent="0.35">
      <c r="A63" s="22">
        <v>2370</v>
      </c>
      <c r="B63" s="26" t="s">
        <v>131</v>
      </c>
      <c r="C63" s="25"/>
      <c r="D63" s="24">
        <f t="shared" si="3"/>
        <v>0</v>
      </c>
      <c r="E63" s="41">
        <f t="shared" si="1"/>
        <v>0</v>
      </c>
      <c r="F63" s="41">
        <f t="shared" si="2"/>
        <v>0</v>
      </c>
      <c r="G63" s="41">
        <f t="shared" si="2"/>
        <v>0</v>
      </c>
      <c r="H63" s="152">
        <v>0</v>
      </c>
      <c r="I63" s="41">
        <v>0</v>
      </c>
    </row>
    <row r="64" spans="1:9" ht="15.5" hidden="1" x14ac:dyDescent="0.35">
      <c r="A64" s="22">
        <v>2400</v>
      </c>
      <c r="B64" s="26" t="s">
        <v>132</v>
      </c>
      <c r="C64" s="25"/>
      <c r="D64" s="24">
        <f t="shared" si="3"/>
        <v>0</v>
      </c>
      <c r="E64" s="41">
        <f t="shared" si="1"/>
        <v>0</v>
      </c>
      <c r="F64" s="41">
        <f t="shared" si="2"/>
        <v>0</v>
      </c>
      <c r="G64" s="41">
        <f t="shared" si="2"/>
        <v>0</v>
      </c>
      <c r="H64" s="152">
        <v>0</v>
      </c>
      <c r="I64" s="41">
        <v>0</v>
      </c>
    </row>
    <row r="65" spans="1:9" ht="15.5" hidden="1" x14ac:dyDescent="0.35">
      <c r="A65" s="42">
        <v>2512</v>
      </c>
      <c r="B65" s="26" t="s">
        <v>133</v>
      </c>
      <c r="C65" s="25">
        <v>1</v>
      </c>
      <c r="D65" s="24">
        <f t="shared" si="3"/>
        <v>1.42</v>
      </c>
      <c r="E65" s="41">
        <f t="shared" si="1"/>
        <v>0.2</v>
      </c>
      <c r="F65" s="41">
        <f t="shared" si="2"/>
        <v>0.2</v>
      </c>
      <c r="G65" s="41">
        <f t="shared" si="2"/>
        <v>0.2</v>
      </c>
      <c r="H65" s="152">
        <v>0</v>
      </c>
      <c r="I65" s="41">
        <v>0</v>
      </c>
    </row>
    <row r="66" spans="1:9" ht="15.5" x14ac:dyDescent="0.35">
      <c r="A66" s="42">
        <v>2513</v>
      </c>
      <c r="B66" s="22" t="s">
        <v>118</v>
      </c>
      <c r="C66" s="25">
        <v>28</v>
      </c>
      <c r="D66" s="24">
        <f t="shared" si="3"/>
        <v>39.840000000000003</v>
      </c>
      <c r="E66" s="41">
        <f t="shared" si="1"/>
        <v>5.53</v>
      </c>
      <c r="F66" s="41">
        <f t="shared" si="2"/>
        <v>5.53</v>
      </c>
      <c r="G66" s="41">
        <f t="shared" si="2"/>
        <v>5.53</v>
      </c>
      <c r="H66" s="152">
        <v>6.3000000000000003E-4</v>
      </c>
      <c r="I66" s="41">
        <v>0.11</v>
      </c>
    </row>
    <row r="67" spans="1:9" ht="15.5" x14ac:dyDescent="0.35">
      <c r="A67" s="42">
        <v>2515</v>
      </c>
      <c r="B67" s="26" t="s">
        <v>73</v>
      </c>
      <c r="C67" s="25">
        <v>1</v>
      </c>
      <c r="D67" s="24">
        <f t="shared" si="3"/>
        <v>1.42</v>
      </c>
      <c r="E67" s="41">
        <f t="shared" si="1"/>
        <v>0.2</v>
      </c>
      <c r="F67" s="41">
        <f t="shared" si="2"/>
        <v>0.2</v>
      </c>
      <c r="G67" s="41">
        <f t="shared" si="2"/>
        <v>0.2</v>
      </c>
      <c r="H67" s="152">
        <v>2.7499999999999998E-3</v>
      </c>
      <c r="I67" s="41">
        <v>0.5</v>
      </c>
    </row>
    <row r="68" spans="1:9" ht="15.5" x14ac:dyDescent="0.35">
      <c r="A68" s="42">
        <v>2519</v>
      </c>
      <c r="B68" s="26" t="s">
        <v>119</v>
      </c>
      <c r="C68" s="25">
        <v>8</v>
      </c>
      <c r="D68" s="24">
        <f t="shared" si="3"/>
        <v>11.38</v>
      </c>
      <c r="E68" s="41">
        <f t="shared" si="1"/>
        <v>1.58</v>
      </c>
      <c r="F68" s="41">
        <f t="shared" si="2"/>
        <v>1.58</v>
      </c>
      <c r="G68" s="41">
        <f t="shared" si="2"/>
        <v>1.58</v>
      </c>
      <c r="H68" s="152">
        <v>1.5100000000000001E-3</v>
      </c>
      <c r="I68" s="41">
        <v>0.27</v>
      </c>
    </row>
    <row r="69" spans="1:9" ht="15.5" x14ac:dyDescent="0.35">
      <c r="A69" s="42">
        <v>5220</v>
      </c>
      <c r="B69" s="26" t="s">
        <v>120</v>
      </c>
      <c r="C69" s="25"/>
      <c r="D69" s="24">
        <f t="shared" si="3"/>
        <v>0</v>
      </c>
      <c r="E69" s="41">
        <f t="shared" si="1"/>
        <v>0</v>
      </c>
      <c r="F69" s="41">
        <f t="shared" si="2"/>
        <v>0</v>
      </c>
      <c r="G69" s="41">
        <f t="shared" si="2"/>
        <v>0</v>
      </c>
      <c r="H69" s="152">
        <v>1.06E-2</v>
      </c>
      <c r="I69" s="41">
        <v>1.91</v>
      </c>
    </row>
    <row r="70" spans="1:9" ht="15.5" x14ac:dyDescent="0.35">
      <c r="A70" s="42">
        <v>5238</v>
      </c>
      <c r="B70" s="22" t="s">
        <v>121</v>
      </c>
      <c r="C70" s="25"/>
      <c r="D70" s="24">
        <f t="shared" si="3"/>
        <v>0</v>
      </c>
      <c r="E70" s="41">
        <f t="shared" si="1"/>
        <v>0</v>
      </c>
      <c r="F70" s="41">
        <f t="shared" si="2"/>
        <v>0</v>
      </c>
      <c r="G70" s="41">
        <f t="shared" si="2"/>
        <v>0</v>
      </c>
      <c r="H70" s="152">
        <v>1.65E-3</v>
      </c>
      <c r="I70" s="41">
        <v>0.3</v>
      </c>
    </row>
    <row r="71" spans="1:9" ht="15.5" x14ac:dyDescent="0.35">
      <c r="A71" s="42">
        <v>5239</v>
      </c>
      <c r="B71" s="10" t="s">
        <v>122</v>
      </c>
      <c r="C71" s="25">
        <v>5</v>
      </c>
      <c r="D71" s="24">
        <f t="shared" si="3"/>
        <v>7.11</v>
      </c>
      <c r="E71" s="41">
        <f t="shared" si="1"/>
        <v>0.99</v>
      </c>
      <c r="F71" s="41">
        <f t="shared" si="2"/>
        <v>0.99</v>
      </c>
      <c r="G71" s="41">
        <f t="shared" si="2"/>
        <v>0.99</v>
      </c>
      <c r="H71" s="152">
        <v>1.9800000000000002E-2</v>
      </c>
      <c r="I71" s="41">
        <v>3.52</v>
      </c>
    </row>
    <row r="72" spans="1:9" ht="15.5" x14ac:dyDescent="0.35">
      <c r="A72" s="42">
        <v>5250</v>
      </c>
      <c r="B72" s="26" t="s">
        <v>123</v>
      </c>
      <c r="C72" s="25">
        <v>0</v>
      </c>
      <c r="D72" s="24">
        <f t="shared" si="3"/>
        <v>0</v>
      </c>
      <c r="E72" s="41">
        <f t="shared" si="1"/>
        <v>0</v>
      </c>
      <c r="F72" s="41">
        <f t="shared" si="2"/>
        <v>0</v>
      </c>
      <c r="G72" s="41">
        <v>4.2699999999999996</v>
      </c>
      <c r="H72" s="152">
        <v>1.4999999999999999E-2</v>
      </c>
      <c r="I72" s="41">
        <v>2.72</v>
      </c>
    </row>
    <row r="73" spans="1:9" ht="15.5" x14ac:dyDescent="0.3">
      <c r="A73" s="44"/>
      <c r="B73" s="31" t="s">
        <v>74</v>
      </c>
      <c r="C73" s="29">
        <f>SUM(C32:C72)</f>
        <v>2400.02</v>
      </c>
      <c r="D73" s="43">
        <f>SUM(D32:D72)</f>
        <v>3414.9</v>
      </c>
      <c r="E73" s="43">
        <f>SUM(E32:E72)</f>
        <v>474.2999999999999</v>
      </c>
      <c r="F73" s="43">
        <f>SUM(F32:F72)</f>
        <v>477.17999999999984</v>
      </c>
      <c r="G73" s="43">
        <f>SUM(G32:G72)</f>
        <v>481.44999999999982</v>
      </c>
      <c r="H73" s="43"/>
      <c r="I73" s="43">
        <f>SUM(I32:I72)</f>
        <v>201.29000000000005</v>
      </c>
    </row>
    <row r="74" spans="1:9" ht="15.5" x14ac:dyDescent="0.35">
      <c r="A74" s="23"/>
      <c r="B74" s="31" t="s">
        <v>75</v>
      </c>
      <c r="C74" s="29">
        <f>C73+C30</f>
        <v>5161.51</v>
      </c>
      <c r="D74" s="43">
        <f>D73+D30</f>
        <v>7344.14</v>
      </c>
      <c r="E74" s="43">
        <f>E73+E30</f>
        <v>1020.02</v>
      </c>
      <c r="F74" s="43">
        <f>F73+F30</f>
        <v>1061.33</v>
      </c>
      <c r="G74" s="43">
        <f>G73+G30</f>
        <v>1226.33</v>
      </c>
      <c r="H74" s="43"/>
      <c r="I74" s="43">
        <f>I73+I30</f>
        <v>731.00000000000011</v>
      </c>
    </row>
    <row r="75" spans="1:9" ht="15.5" x14ac:dyDescent="0.35">
      <c r="A75" s="9"/>
      <c r="B75" s="32"/>
      <c r="C75" s="33"/>
      <c r="D75" s="33"/>
      <c r="E75" s="55"/>
      <c r="F75" s="55"/>
      <c r="G75" s="55"/>
      <c r="H75" s="55"/>
      <c r="I75" s="55"/>
    </row>
    <row r="76" spans="1:9" ht="15.5" x14ac:dyDescent="0.35">
      <c r="A76" s="173" t="s">
        <v>45</v>
      </c>
      <c r="B76" s="174"/>
      <c r="C76" s="65">
        <v>1800</v>
      </c>
      <c r="D76" s="59">
        <v>1800</v>
      </c>
      <c r="E76" s="62">
        <v>250</v>
      </c>
      <c r="F76" s="62">
        <v>250</v>
      </c>
      <c r="G76" s="62">
        <v>250</v>
      </c>
      <c r="H76" s="62"/>
      <c r="I76" s="62">
        <v>100</v>
      </c>
    </row>
    <row r="77" spans="1:9" ht="15.5" x14ac:dyDescent="0.35">
      <c r="A77" s="173" t="s">
        <v>54</v>
      </c>
      <c r="B77" s="174"/>
      <c r="C77" s="67">
        <f>C74/C76</f>
        <v>2.8675055555555558</v>
      </c>
      <c r="D77" s="61">
        <f>ROUND(D74/D76,2)</f>
        <v>4.08</v>
      </c>
      <c r="E77" s="60">
        <f>E74/E76</f>
        <v>4.0800799999999997</v>
      </c>
      <c r="F77" s="60">
        <f>F74/F76</f>
        <v>4.2453199999999995</v>
      </c>
      <c r="G77" s="60">
        <f>G74/G76</f>
        <v>4.9053199999999997</v>
      </c>
      <c r="H77" s="60"/>
      <c r="I77" s="60">
        <f>I74/I76</f>
        <v>7.3100000000000014</v>
      </c>
    </row>
    <row r="78" spans="1:9" ht="15.5" x14ac:dyDescent="0.35">
      <c r="A78" s="63"/>
      <c r="B78" s="66"/>
      <c r="C78" s="66"/>
      <c r="D78" s="64"/>
      <c r="E78" s="66"/>
      <c r="F78" s="66"/>
      <c r="G78" s="66"/>
      <c r="H78" s="66"/>
      <c r="I78" s="66"/>
    </row>
    <row r="79" spans="1:9" ht="15.5" x14ac:dyDescent="0.35">
      <c r="A79" s="171" t="s">
        <v>62</v>
      </c>
      <c r="B79" s="172"/>
      <c r="C79" s="49"/>
      <c r="D79" s="34"/>
      <c r="E79" s="56"/>
      <c r="F79" s="56"/>
      <c r="G79" s="56"/>
      <c r="H79" s="56"/>
      <c r="I79" s="56"/>
    </row>
    <row r="80" spans="1:9" ht="15.5" x14ac:dyDescent="0.35">
      <c r="A80" s="171" t="s">
        <v>63</v>
      </c>
      <c r="B80" s="172"/>
      <c r="C80" s="49"/>
      <c r="D80" s="29"/>
      <c r="E80" s="56"/>
      <c r="F80" s="56"/>
      <c r="G80" s="56"/>
      <c r="H80" s="56"/>
      <c r="I80" s="117"/>
    </row>
    <row r="81" spans="1:9" ht="15.5" x14ac:dyDescent="0.35">
      <c r="A81" s="36"/>
      <c r="B81" s="11"/>
      <c r="C81" s="11"/>
      <c r="D81" s="11"/>
      <c r="E81" s="57"/>
      <c r="F81" s="10"/>
      <c r="G81" s="10"/>
      <c r="H81" s="10"/>
      <c r="I81" s="75"/>
    </row>
    <row r="82" spans="1:9" ht="15.5" x14ac:dyDescent="0.35">
      <c r="A82" s="37" t="s">
        <v>46</v>
      </c>
      <c r="B82" s="37"/>
      <c r="C82" s="37"/>
      <c r="D82" s="37"/>
      <c r="E82" s="37"/>
      <c r="F82" s="37"/>
      <c r="G82" s="37"/>
      <c r="H82" s="37"/>
      <c r="I82" s="37"/>
    </row>
    <row r="83" spans="1:9" ht="15.5" x14ac:dyDescent="0.35">
      <c r="A83" s="37"/>
      <c r="B83" s="37"/>
      <c r="C83" s="37"/>
      <c r="D83" s="37"/>
      <c r="E83" s="37"/>
      <c r="F83" s="37"/>
      <c r="G83" s="37"/>
      <c r="H83" s="37"/>
      <c r="I83" s="37"/>
    </row>
    <row r="84" spans="1:9" ht="15.5" x14ac:dyDescent="0.35">
      <c r="A84" s="37" t="s">
        <v>134</v>
      </c>
      <c r="B84" s="38"/>
      <c r="C84" s="38"/>
      <c r="D84" s="38"/>
      <c r="E84" s="37"/>
      <c r="F84" s="37"/>
      <c r="G84" s="37"/>
      <c r="H84" s="37"/>
      <c r="I84" s="95"/>
    </row>
    <row r="85" spans="1:9" ht="15.5" x14ac:dyDescent="0.35">
      <c r="A85" s="37"/>
      <c r="B85" s="39"/>
      <c r="C85" s="39"/>
      <c r="D85" s="39"/>
      <c r="E85" s="37"/>
      <c r="F85" s="37"/>
      <c r="G85" s="37"/>
      <c r="H85" s="37"/>
      <c r="I85" s="37"/>
    </row>
    <row r="86" spans="1:9" x14ac:dyDescent="0.3">
      <c r="F86" s="1"/>
      <c r="G86" s="1"/>
      <c r="H86" s="1"/>
      <c r="I86" s="1"/>
    </row>
  </sheetData>
  <mergeCells count="14">
    <mergeCell ref="B1:F1"/>
    <mergeCell ref="B5:F5"/>
    <mergeCell ref="B6:F6"/>
    <mergeCell ref="A7:I7"/>
    <mergeCell ref="B8:E8"/>
    <mergeCell ref="A9:E9"/>
    <mergeCell ref="A79:B79"/>
    <mergeCell ref="A80:B80"/>
    <mergeCell ref="A10:E10"/>
    <mergeCell ref="B11:E11"/>
    <mergeCell ref="B12:E12"/>
    <mergeCell ref="B13:E13"/>
    <mergeCell ref="A76:B76"/>
    <mergeCell ref="A77:B77"/>
  </mergeCells>
  <pageMargins left="0.7" right="0.7" top="0.75" bottom="0.75" header="0.3" footer="0.3"/>
  <pageSetup paperSize="9" scale="63" orientation="portrait" verticalDpi="0" r:id="rId1"/>
  <headerFoot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86"/>
  <sheetViews>
    <sheetView view="pageLayout" topLeftCell="A7" zoomScale="80" zoomScaleNormal="80" zoomScalePageLayoutView="80" workbookViewId="0">
      <selection activeCell="B27" sqref="B27"/>
    </sheetView>
  </sheetViews>
  <sheetFormatPr defaultColWidth="9.1796875" defaultRowHeight="14" x14ac:dyDescent="0.3"/>
  <cols>
    <col min="1" max="1" width="12.26953125" style="2" customWidth="1"/>
    <col min="2" max="2" width="95.453125" style="2" customWidth="1"/>
    <col min="3" max="3" width="21.81640625" style="2" hidden="1" customWidth="1"/>
    <col min="4" max="4" width="22.1796875" style="2" hidden="1" customWidth="1"/>
    <col min="5" max="7" width="21.54296875" style="2" hidden="1" customWidth="1"/>
    <col min="8" max="8" width="10.54296875" style="2" hidden="1" customWidth="1"/>
    <col min="9" max="9" width="31.7265625" style="2" customWidth="1"/>
    <col min="10" max="16384" width="9.1796875" style="40"/>
  </cols>
  <sheetData>
    <row r="1" spans="1:9" ht="15.5" x14ac:dyDescent="0.35">
      <c r="B1" s="163"/>
      <c r="C1" s="163"/>
      <c r="D1" s="163"/>
      <c r="E1" s="163"/>
      <c r="F1" s="163"/>
      <c r="G1" s="7"/>
      <c r="H1" s="7"/>
      <c r="I1" s="6" t="s">
        <v>7</v>
      </c>
    </row>
    <row r="2" spans="1:9" ht="15.5" x14ac:dyDescent="0.35">
      <c r="B2" s="7"/>
      <c r="C2" s="7"/>
      <c r="D2" s="7"/>
      <c r="E2" s="7"/>
      <c r="F2" s="7"/>
      <c r="G2" s="7"/>
      <c r="H2" s="7"/>
      <c r="I2" s="9" t="s">
        <v>44</v>
      </c>
    </row>
    <row r="3" spans="1:9" ht="15.5" x14ac:dyDescent="0.35">
      <c r="C3" s="50"/>
      <c r="D3" s="50"/>
      <c r="E3" s="50"/>
      <c r="F3" s="8"/>
      <c r="G3" s="48"/>
      <c r="H3" s="48"/>
      <c r="I3" s="48" t="s">
        <v>91</v>
      </c>
    </row>
    <row r="4" spans="1:9" ht="15.5" x14ac:dyDescent="0.35">
      <c r="B4" s="6"/>
      <c r="C4" s="6"/>
      <c r="D4" s="6"/>
      <c r="E4" s="51"/>
      <c r="F4" s="10"/>
      <c r="G4" s="10"/>
      <c r="H4" s="10"/>
      <c r="I4" s="6"/>
    </row>
    <row r="5" spans="1:9" ht="15.5" x14ac:dyDescent="0.35">
      <c r="B5" s="165"/>
      <c r="C5" s="165"/>
      <c r="D5" s="165"/>
      <c r="E5" s="165"/>
      <c r="F5" s="165"/>
      <c r="G5" s="51"/>
      <c r="H5" s="51"/>
      <c r="I5" s="9" t="s">
        <v>260</v>
      </c>
    </row>
    <row r="6" spans="1:9" x14ac:dyDescent="0.3">
      <c r="B6" s="167"/>
      <c r="C6" s="167"/>
      <c r="D6" s="167"/>
      <c r="E6" s="167"/>
      <c r="F6" s="167"/>
      <c r="G6" s="52"/>
      <c r="H6" s="52"/>
      <c r="I6" s="3"/>
    </row>
    <row r="7" spans="1:9" ht="17.5" x14ac:dyDescent="0.35">
      <c r="A7" s="169" t="s">
        <v>6</v>
      </c>
      <c r="B7" s="169"/>
      <c r="C7" s="169"/>
      <c r="D7" s="169"/>
      <c r="E7" s="169"/>
      <c r="F7" s="169"/>
      <c r="G7" s="169"/>
      <c r="H7" s="169"/>
      <c r="I7" s="169"/>
    </row>
    <row r="8" spans="1:9" x14ac:dyDescent="0.3">
      <c r="B8" s="170"/>
      <c r="C8" s="170"/>
      <c r="D8" s="170"/>
      <c r="E8" s="170"/>
    </row>
    <row r="9" spans="1:9" ht="15.5" x14ac:dyDescent="0.35">
      <c r="A9" s="160" t="s">
        <v>1</v>
      </c>
      <c r="B9" s="160"/>
      <c r="C9" s="160"/>
      <c r="D9" s="160"/>
      <c r="E9" s="160"/>
      <c r="F9" s="10"/>
      <c r="G9" s="10"/>
      <c r="H9" s="10"/>
      <c r="I9" s="10"/>
    </row>
    <row r="10" spans="1:9" ht="15.5" x14ac:dyDescent="0.35">
      <c r="A10" s="160" t="s">
        <v>0</v>
      </c>
      <c r="B10" s="160"/>
      <c r="C10" s="160"/>
      <c r="D10" s="160"/>
      <c r="E10" s="160"/>
      <c r="F10" s="10"/>
      <c r="G10" s="10"/>
      <c r="H10" s="10"/>
      <c r="I10" s="5"/>
    </row>
    <row r="11" spans="1:9" ht="15.5" x14ac:dyDescent="0.35">
      <c r="A11" s="5"/>
      <c r="B11" s="160" t="s">
        <v>165</v>
      </c>
      <c r="C11" s="160"/>
      <c r="D11" s="160"/>
      <c r="E11" s="160"/>
      <c r="F11" s="10"/>
      <c r="G11" s="10"/>
      <c r="H11" s="10"/>
      <c r="I11" s="5"/>
    </row>
    <row r="12" spans="1:9" ht="15.5" x14ac:dyDescent="0.35">
      <c r="A12" s="5"/>
      <c r="B12" s="160" t="s">
        <v>166</v>
      </c>
      <c r="C12" s="160"/>
      <c r="D12" s="160"/>
      <c r="E12" s="160"/>
      <c r="F12" s="10"/>
      <c r="G12" s="10"/>
      <c r="H12" s="10"/>
      <c r="I12" s="10"/>
    </row>
    <row r="13" spans="1:9" ht="15.5" x14ac:dyDescent="0.35">
      <c r="A13" s="5"/>
      <c r="B13" s="160" t="s">
        <v>180</v>
      </c>
      <c r="C13" s="160"/>
      <c r="D13" s="160"/>
      <c r="E13" s="160"/>
      <c r="F13" s="10"/>
      <c r="G13" s="10"/>
      <c r="H13" s="10"/>
      <c r="I13" s="10"/>
    </row>
    <row r="14" spans="1:9" ht="15.5" x14ac:dyDescent="0.35">
      <c r="A14" s="5" t="s">
        <v>2</v>
      </c>
      <c r="B14" s="5" t="s">
        <v>124</v>
      </c>
      <c r="C14" s="5"/>
      <c r="D14" s="5"/>
      <c r="E14" s="5"/>
      <c r="F14" s="10"/>
      <c r="G14" s="10"/>
      <c r="H14" s="10"/>
      <c r="I14" s="10"/>
    </row>
    <row r="15" spans="1:9" ht="15.5" hidden="1" x14ac:dyDescent="0.35">
      <c r="A15" s="5"/>
      <c r="B15" s="5"/>
      <c r="C15" s="5"/>
      <c r="D15" s="5"/>
      <c r="E15" s="5"/>
      <c r="F15" s="10"/>
      <c r="G15" s="10"/>
      <c r="H15" s="10"/>
      <c r="I15" s="10"/>
    </row>
    <row r="16" spans="1:9" ht="60" customHeight="1" x14ac:dyDescent="0.25">
      <c r="A16" s="17" t="s">
        <v>3</v>
      </c>
      <c r="B16" s="17" t="s">
        <v>4</v>
      </c>
      <c r="C16" s="17"/>
      <c r="D16" s="17"/>
      <c r="E16" s="17"/>
      <c r="F16" s="17"/>
      <c r="G16" s="17"/>
      <c r="H16" s="17"/>
      <c r="I16" s="17" t="s">
        <v>53</v>
      </c>
    </row>
    <row r="17" spans="1:11" ht="15" x14ac:dyDescent="0.25">
      <c r="A17" s="18">
        <v>1</v>
      </c>
      <c r="B17" s="19">
        <v>2</v>
      </c>
      <c r="C17" s="19"/>
      <c r="D17" s="19"/>
      <c r="E17" s="18">
        <v>3</v>
      </c>
      <c r="F17" s="19"/>
      <c r="G17" s="19"/>
      <c r="H17" s="19"/>
      <c r="I17" s="19">
        <v>3</v>
      </c>
    </row>
    <row r="18" spans="1:11" ht="15.5" x14ac:dyDescent="0.35">
      <c r="A18" s="58"/>
      <c r="B18" s="21" t="s">
        <v>5</v>
      </c>
      <c r="C18" s="21"/>
      <c r="D18" s="21"/>
      <c r="E18" s="53"/>
      <c r="F18" s="22"/>
      <c r="G18" s="22"/>
      <c r="H18" s="22"/>
      <c r="I18" s="22"/>
    </row>
    <row r="19" spans="1:11" ht="15.5" x14ac:dyDescent="0.35">
      <c r="A19" s="42">
        <v>1100</v>
      </c>
      <c r="B19" s="24" t="s">
        <v>56</v>
      </c>
      <c r="C19" s="25">
        <v>2234.4</v>
      </c>
      <c r="D19" s="24">
        <f>ROUND(C19/0.702804,2)</f>
        <v>3179.26</v>
      </c>
      <c r="E19" s="41">
        <f>ROUND(D19/1800*250,2)</f>
        <v>441.56</v>
      </c>
      <c r="F19" s="41">
        <v>472.65</v>
      </c>
      <c r="G19" s="41">
        <v>600.27</v>
      </c>
      <c r="H19" s="41">
        <f>'[1]8.1.1.,8.1.3_aerobika'!$D$55</f>
        <v>2.7486467065868267</v>
      </c>
      <c r="I19" s="41">
        <v>274.86</v>
      </c>
    </row>
    <row r="20" spans="1:11" ht="15.75" customHeight="1" x14ac:dyDescent="0.35">
      <c r="A20" s="42">
        <v>1200</v>
      </c>
      <c r="B20" s="26" t="s">
        <v>93</v>
      </c>
      <c r="C20" s="35">
        <v>527.09</v>
      </c>
      <c r="D20" s="24">
        <f>ROUND(C20/0.702804,2)</f>
        <v>749.98</v>
      </c>
      <c r="E20" s="41">
        <f>ROUND(D20/1800*250,2)</f>
        <v>104.16</v>
      </c>
      <c r="F20" s="41">
        <v>111.5</v>
      </c>
      <c r="G20" s="41">
        <v>144.61000000000001</v>
      </c>
      <c r="H20" s="41">
        <f>H19*0.2359</f>
        <v>0.64840575808383238</v>
      </c>
      <c r="I20" s="41">
        <v>64.84</v>
      </c>
      <c r="K20" s="154"/>
    </row>
    <row r="21" spans="1:11" ht="15.75" customHeight="1" x14ac:dyDescent="0.35">
      <c r="A21" s="23">
        <v>2222</v>
      </c>
      <c r="B21" s="26" t="s">
        <v>101</v>
      </c>
      <c r="C21" s="35"/>
      <c r="D21" s="24"/>
      <c r="E21" s="41"/>
      <c r="F21" s="41"/>
      <c r="G21" s="41"/>
      <c r="H21" s="41">
        <f>'[1]8.1.1.,8.1.3_aerobika'!$D$57</f>
        <v>0.22750000000000001</v>
      </c>
      <c r="I21" s="41">
        <v>22.75</v>
      </c>
    </row>
    <row r="22" spans="1:11" ht="15.75" customHeight="1" x14ac:dyDescent="0.35">
      <c r="A22" s="22">
        <v>2223</v>
      </c>
      <c r="B22" s="26" t="s">
        <v>94</v>
      </c>
      <c r="C22" s="35"/>
      <c r="D22" s="24"/>
      <c r="E22" s="41"/>
      <c r="F22" s="41"/>
      <c r="G22" s="41"/>
      <c r="H22" s="41">
        <f>'[1]8.1.1.,8.1.3_aerobika'!$D$58</f>
        <v>0.37662499999999999</v>
      </c>
      <c r="I22" s="41">
        <v>37.659999999999997</v>
      </c>
    </row>
    <row r="23" spans="1:11" ht="15.75" hidden="1" customHeight="1" x14ac:dyDescent="0.35">
      <c r="A23" s="23">
        <v>2243</v>
      </c>
      <c r="B23" s="26" t="s">
        <v>76</v>
      </c>
      <c r="C23" s="35"/>
      <c r="D23" s="24"/>
      <c r="E23" s="41"/>
      <c r="F23" s="41"/>
      <c r="G23" s="41"/>
      <c r="H23" s="41">
        <f>'[1]8.1.4.,8.1.5.'!$D$56</f>
        <v>0</v>
      </c>
      <c r="I23" s="41">
        <f>H23*100</f>
        <v>0</v>
      </c>
    </row>
    <row r="24" spans="1:11" ht="15.75" customHeight="1" x14ac:dyDescent="0.35">
      <c r="A24" s="42">
        <v>2244</v>
      </c>
      <c r="B24" s="21" t="s">
        <v>108</v>
      </c>
      <c r="C24" s="35"/>
      <c r="D24" s="24"/>
      <c r="E24" s="41"/>
      <c r="F24" s="41"/>
      <c r="G24" s="41"/>
      <c r="H24" s="41">
        <f>'[1]8.1.1.,8.1.3_aerobika'!$D$60</f>
        <v>0.33152129652101553</v>
      </c>
      <c r="I24" s="41">
        <v>33.15</v>
      </c>
    </row>
    <row r="25" spans="1:11" ht="15.75" customHeight="1" x14ac:dyDescent="0.35">
      <c r="A25" s="42">
        <v>2312</v>
      </c>
      <c r="B25" s="26" t="s">
        <v>95</v>
      </c>
      <c r="C25" s="35"/>
      <c r="D25" s="24"/>
      <c r="E25" s="41"/>
      <c r="F25" s="41"/>
      <c r="G25" s="41"/>
      <c r="H25" s="41">
        <f>'[1]8.1.1.,8.1.3_aerobika'!$D$61</f>
        <v>0.1734806561876247</v>
      </c>
      <c r="I25" s="41">
        <f>17.35+4</f>
        <v>21.35</v>
      </c>
    </row>
    <row r="26" spans="1:11" ht="15.75" customHeight="1" x14ac:dyDescent="0.35">
      <c r="A26" s="42">
        <v>2321</v>
      </c>
      <c r="B26" s="26" t="s">
        <v>96</v>
      </c>
      <c r="C26" s="35"/>
      <c r="D26" s="24"/>
      <c r="E26" s="41"/>
      <c r="F26" s="41"/>
      <c r="G26" s="41"/>
      <c r="H26" s="41">
        <f>'[1]8.1.1.,8.1.3_aerobika'!$D$62</f>
        <v>0.38</v>
      </c>
      <c r="I26" s="41">
        <v>38</v>
      </c>
    </row>
    <row r="27" spans="1:11" ht="15.5" x14ac:dyDescent="0.35">
      <c r="A27" s="45">
        <v>2341</v>
      </c>
      <c r="B27" s="26" t="s">
        <v>97</v>
      </c>
      <c r="C27" s="25"/>
      <c r="D27" s="24">
        <f>ROUND(C27/0.702804,2)</f>
        <v>0</v>
      </c>
      <c r="E27" s="41"/>
      <c r="F27" s="41">
        <f>E27/1800*250</f>
        <v>0</v>
      </c>
      <c r="G27" s="41">
        <f>F27</f>
        <v>0</v>
      </c>
      <c r="H27" s="41">
        <f>'[1]8.1.1.,8.1.3_aerobika'!$D$63</f>
        <v>0.16000000000000003</v>
      </c>
      <c r="I27" s="41">
        <v>16</v>
      </c>
    </row>
    <row r="28" spans="1:11" ht="15.5" x14ac:dyDescent="0.35">
      <c r="A28" s="42">
        <v>2350</v>
      </c>
      <c r="B28" s="26" t="s">
        <v>98</v>
      </c>
      <c r="C28" s="25"/>
      <c r="D28" s="24">
        <f>ROUND(C28/0.702804,2)</f>
        <v>0</v>
      </c>
      <c r="E28" s="41"/>
      <c r="F28" s="41">
        <f>E28/1800*250</f>
        <v>0</v>
      </c>
      <c r="G28" s="41">
        <f>F28</f>
        <v>0</v>
      </c>
      <c r="H28" s="41">
        <f>'[1]8.1.4.,8.1.5.'!$D$27</f>
        <v>0.02</v>
      </c>
      <c r="I28" s="41">
        <v>2</v>
      </c>
    </row>
    <row r="29" spans="1:11" ht="15.5" x14ac:dyDescent="0.35">
      <c r="A29" s="42">
        <v>5239</v>
      </c>
      <c r="B29" s="10" t="s">
        <v>122</v>
      </c>
      <c r="C29" s="25"/>
      <c r="D29" s="24">
        <f>ROUND(C29/0.702804,2)</f>
        <v>0</v>
      </c>
      <c r="E29" s="41"/>
      <c r="F29" s="41">
        <f>E29/1800*250</f>
        <v>0</v>
      </c>
      <c r="G29" s="41">
        <f>F29</f>
        <v>0</v>
      </c>
      <c r="H29" s="41">
        <f>'[1]8.1.4.,8.1.5.'!$D$28</f>
        <v>0.19096806387225551</v>
      </c>
      <c r="I29" s="41">
        <v>19.100000000000001</v>
      </c>
    </row>
    <row r="30" spans="1:11" ht="15.5" x14ac:dyDescent="0.3">
      <c r="A30" s="42"/>
      <c r="B30" s="28" t="s">
        <v>69</v>
      </c>
      <c r="C30" s="29">
        <f t="shared" ref="C30:I30" si="0">SUM(C19:C29)</f>
        <v>2761.4900000000002</v>
      </c>
      <c r="D30" s="29">
        <f t="shared" si="0"/>
        <v>3929.2400000000002</v>
      </c>
      <c r="E30" s="43">
        <f t="shared" si="0"/>
        <v>545.72</v>
      </c>
      <c r="F30" s="43">
        <f t="shared" si="0"/>
        <v>584.15</v>
      </c>
      <c r="G30" s="43">
        <f t="shared" si="0"/>
        <v>744.88</v>
      </c>
      <c r="H30" s="43">
        <f t="shared" si="0"/>
        <v>5.2571474812515548</v>
      </c>
      <c r="I30" s="43">
        <f t="shared" si="0"/>
        <v>529.71</v>
      </c>
    </row>
    <row r="31" spans="1:11" ht="15.5" x14ac:dyDescent="0.35">
      <c r="A31" s="44"/>
      <c r="B31" s="24" t="s">
        <v>70</v>
      </c>
      <c r="C31" s="25"/>
      <c r="D31" s="26"/>
      <c r="E31" s="41"/>
      <c r="F31" s="41"/>
      <c r="G31" s="41"/>
      <c r="H31" s="41"/>
      <c r="I31" s="41"/>
    </row>
    <row r="32" spans="1:11" ht="15.5" x14ac:dyDescent="0.35">
      <c r="A32" s="42">
        <v>1100</v>
      </c>
      <c r="B32" s="42" t="s">
        <v>83</v>
      </c>
      <c r="C32" s="25">
        <v>514.6</v>
      </c>
      <c r="D32" s="24">
        <f>ROUND(C32/0.702804,2)</f>
        <v>732.21</v>
      </c>
      <c r="E32" s="41">
        <f t="shared" ref="E32:E72" si="1">ROUND(D32/1800*250,2)</f>
        <v>101.7</v>
      </c>
      <c r="F32" s="41">
        <v>104.75</v>
      </c>
      <c r="G32" s="41">
        <v>104.33</v>
      </c>
      <c r="H32" s="152">
        <v>0.51439999999999997</v>
      </c>
      <c r="I32" s="41">
        <v>106.42</v>
      </c>
    </row>
    <row r="33" spans="1:9" ht="15.75" customHeight="1" x14ac:dyDescent="0.35">
      <c r="A33" s="42">
        <v>1200</v>
      </c>
      <c r="B33" s="54" t="s">
        <v>93</v>
      </c>
      <c r="C33" s="35">
        <v>121.4</v>
      </c>
      <c r="D33" s="24">
        <f>ROUND(C33/0.702804,2)</f>
        <v>172.74</v>
      </c>
      <c r="E33" s="41">
        <f t="shared" si="1"/>
        <v>23.99</v>
      </c>
      <c r="F33" s="41">
        <v>24.71</v>
      </c>
      <c r="G33" s="41">
        <v>25.13</v>
      </c>
      <c r="H33" s="152">
        <f>H32*0.2359</f>
        <v>0.12134695999999999</v>
      </c>
      <c r="I33" s="41">
        <v>25.1</v>
      </c>
    </row>
    <row r="34" spans="1:9" ht="15.5" x14ac:dyDescent="0.35">
      <c r="A34" s="42">
        <v>2100</v>
      </c>
      <c r="B34" s="30" t="s">
        <v>42</v>
      </c>
      <c r="C34" s="25"/>
      <c r="D34" s="24"/>
      <c r="E34" s="41">
        <f t="shared" si="1"/>
        <v>0</v>
      </c>
      <c r="F34" s="41">
        <f t="shared" ref="F34:G72" si="2">E34</f>
        <v>0</v>
      </c>
      <c r="G34" s="41">
        <f>F34</f>
        <v>0</v>
      </c>
      <c r="H34" s="152">
        <v>8.0999999999999996E-4</v>
      </c>
      <c r="I34" s="41">
        <v>0.15</v>
      </c>
    </row>
    <row r="35" spans="1:9" ht="15.5" x14ac:dyDescent="0.35">
      <c r="A35" s="45">
        <v>2210</v>
      </c>
      <c r="B35" s="54" t="s">
        <v>100</v>
      </c>
      <c r="C35" s="25">
        <v>16</v>
      </c>
      <c r="D35" s="24">
        <f t="shared" ref="D35:D72" si="3">ROUND(C35/0.702804,2)</f>
        <v>22.77</v>
      </c>
      <c r="E35" s="41">
        <f t="shared" si="1"/>
        <v>3.16</v>
      </c>
      <c r="F35" s="41">
        <f t="shared" si="2"/>
        <v>3.16</v>
      </c>
      <c r="G35" s="41">
        <f>F35</f>
        <v>3.16</v>
      </c>
      <c r="H35" s="152">
        <v>8.0000000000000002E-3</v>
      </c>
      <c r="I35" s="41">
        <v>1.44</v>
      </c>
    </row>
    <row r="36" spans="1:9" ht="15.5" x14ac:dyDescent="0.35">
      <c r="A36" s="42">
        <v>2222</v>
      </c>
      <c r="B36" s="26" t="s">
        <v>101</v>
      </c>
      <c r="C36" s="25">
        <v>36</v>
      </c>
      <c r="D36" s="24">
        <f t="shared" si="3"/>
        <v>51.22</v>
      </c>
      <c r="E36" s="41">
        <f t="shared" si="1"/>
        <v>7.11</v>
      </c>
      <c r="F36" s="41">
        <f t="shared" si="2"/>
        <v>7.11</v>
      </c>
      <c r="G36" s="41">
        <f>F36</f>
        <v>7.11</v>
      </c>
      <c r="H36" s="152">
        <v>4.4400000000000004E-3</v>
      </c>
      <c r="I36" s="41">
        <v>0.8</v>
      </c>
    </row>
    <row r="37" spans="1:9" ht="15.5" x14ac:dyDescent="0.35">
      <c r="A37" s="42">
        <v>2223</v>
      </c>
      <c r="B37" s="26" t="s">
        <v>94</v>
      </c>
      <c r="C37" s="25">
        <v>484</v>
      </c>
      <c r="D37" s="24">
        <f t="shared" si="3"/>
        <v>688.67</v>
      </c>
      <c r="E37" s="41">
        <f t="shared" si="1"/>
        <v>95.65</v>
      </c>
      <c r="F37" s="41">
        <f t="shared" si="2"/>
        <v>95.65</v>
      </c>
      <c r="G37" s="41">
        <f>F37</f>
        <v>95.65</v>
      </c>
      <c r="H37" s="152">
        <v>5.4940000000000003E-2</v>
      </c>
      <c r="I37" s="41">
        <v>13.92</v>
      </c>
    </row>
    <row r="38" spans="1:9" ht="31" x14ac:dyDescent="0.35">
      <c r="A38" s="42">
        <v>2224</v>
      </c>
      <c r="B38" s="26" t="s">
        <v>102</v>
      </c>
      <c r="C38" s="25"/>
      <c r="D38" s="24"/>
      <c r="E38" s="41"/>
      <c r="F38" s="41"/>
      <c r="G38" s="41"/>
      <c r="H38" s="152">
        <v>3.0899999999999999E-3</v>
      </c>
      <c r="I38" s="41">
        <v>0.56000000000000005</v>
      </c>
    </row>
    <row r="39" spans="1:9" ht="15.5" x14ac:dyDescent="0.35">
      <c r="A39" s="42">
        <v>2231</v>
      </c>
      <c r="B39" s="21" t="s">
        <v>103</v>
      </c>
      <c r="C39" s="25">
        <v>10</v>
      </c>
      <c r="D39" s="24">
        <f t="shared" si="3"/>
        <v>14.23</v>
      </c>
      <c r="E39" s="41">
        <f t="shared" si="1"/>
        <v>1.98</v>
      </c>
      <c r="F39" s="41">
        <f t="shared" si="2"/>
        <v>1.98</v>
      </c>
      <c r="G39" s="41">
        <f t="shared" si="2"/>
        <v>1.98</v>
      </c>
      <c r="H39" s="152">
        <v>1.5E-3</v>
      </c>
      <c r="I39" s="41">
        <v>0.27</v>
      </c>
    </row>
    <row r="40" spans="1:9" ht="15.5" x14ac:dyDescent="0.35">
      <c r="A40" s="42">
        <v>2235</v>
      </c>
      <c r="B40" s="85" t="s">
        <v>104</v>
      </c>
      <c r="C40" s="25"/>
      <c r="D40" s="24">
        <f t="shared" si="3"/>
        <v>0</v>
      </c>
      <c r="E40" s="41">
        <f t="shared" si="1"/>
        <v>0</v>
      </c>
      <c r="F40" s="41">
        <f t="shared" si="2"/>
        <v>0</v>
      </c>
      <c r="G40" s="41">
        <f t="shared" si="2"/>
        <v>0</v>
      </c>
      <c r="H40" s="152">
        <v>2.5100000000000001E-3</v>
      </c>
      <c r="I40" s="41">
        <v>0.45</v>
      </c>
    </row>
    <row r="41" spans="1:9" ht="15.5" x14ac:dyDescent="0.35">
      <c r="A41" s="42">
        <v>2239</v>
      </c>
      <c r="B41" s="21" t="s">
        <v>105</v>
      </c>
      <c r="C41" s="25">
        <v>4</v>
      </c>
      <c r="D41" s="24">
        <f t="shared" si="3"/>
        <v>5.69</v>
      </c>
      <c r="E41" s="41">
        <f t="shared" si="1"/>
        <v>0.79</v>
      </c>
      <c r="F41" s="41">
        <f t="shared" si="2"/>
        <v>0.79</v>
      </c>
      <c r="G41" s="41">
        <f t="shared" si="2"/>
        <v>0.79</v>
      </c>
      <c r="H41" s="152">
        <v>1.7899999999999999E-3</v>
      </c>
      <c r="I41" s="41">
        <v>0.32</v>
      </c>
    </row>
    <row r="42" spans="1:9" ht="15.5" x14ac:dyDescent="0.35">
      <c r="A42" s="42">
        <v>2241</v>
      </c>
      <c r="B42" s="21" t="s">
        <v>106</v>
      </c>
      <c r="C42" s="25">
        <v>12</v>
      </c>
      <c r="D42" s="24">
        <f t="shared" si="3"/>
        <v>17.07</v>
      </c>
      <c r="E42" s="41">
        <f t="shared" si="1"/>
        <v>2.37</v>
      </c>
      <c r="F42" s="41">
        <f t="shared" si="2"/>
        <v>2.37</v>
      </c>
      <c r="G42" s="41">
        <f t="shared" si="2"/>
        <v>2.37</v>
      </c>
      <c r="H42" s="152">
        <v>1.6500000000000001E-2</v>
      </c>
      <c r="I42" s="41">
        <v>2.98</v>
      </c>
    </row>
    <row r="43" spans="1:9" ht="15.5" x14ac:dyDescent="0.35">
      <c r="A43" s="42">
        <v>2242</v>
      </c>
      <c r="B43" s="26" t="s">
        <v>107</v>
      </c>
      <c r="C43" s="25">
        <v>180.4</v>
      </c>
      <c r="D43" s="24">
        <f t="shared" si="3"/>
        <v>256.69</v>
      </c>
      <c r="E43" s="41">
        <f t="shared" si="1"/>
        <v>35.65</v>
      </c>
      <c r="F43" s="41">
        <f t="shared" si="2"/>
        <v>35.65</v>
      </c>
      <c r="G43" s="41">
        <f t="shared" si="2"/>
        <v>35.65</v>
      </c>
      <c r="H43" s="152">
        <v>8.4999999999999995E-4</v>
      </c>
      <c r="I43" s="41">
        <v>0.15</v>
      </c>
    </row>
    <row r="44" spans="1:9" ht="15.5" x14ac:dyDescent="0.35">
      <c r="A44" s="42">
        <v>2243</v>
      </c>
      <c r="B44" s="21" t="s">
        <v>76</v>
      </c>
      <c r="C44" s="25">
        <v>1</v>
      </c>
      <c r="D44" s="24">
        <f t="shared" si="3"/>
        <v>1.42</v>
      </c>
      <c r="E44" s="41">
        <f t="shared" si="1"/>
        <v>0.2</v>
      </c>
      <c r="F44" s="41">
        <f t="shared" si="2"/>
        <v>0.2</v>
      </c>
      <c r="G44" s="41">
        <f t="shared" si="2"/>
        <v>0.2</v>
      </c>
      <c r="H44" s="152">
        <v>4.0000000000000002E-4</v>
      </c>
      <c r="I44" s="41">
        <v>7.0000000000000007E-2</v>
      </c>
    </row>
    <row r="45" spans="1:9" ht="15.5" x14ac:dyDescent="0.35">
      <c r="A45" s="42">
        <v>2244</v>
      </c>
      <c r="B45" s="21" t="s">
        <v>108</v>
      </c>
      <c r="C45" s="25">
        <v>5</v>
      </c>
      <c r="D45" s="24">
        <f t="shared" si="3"/>
        <v>7.11</v>
      </c>
      <c r="E45" s="41">
        <f t="shared" si="1"/>
        <v>0.99</v>
      </c>
      <c r="F45" s="41">
        <f t="shared" si="2"/>
        <v>0.99</v>
      </c>
      <c r="G45" s="41">
        <f t="shared" si="2"/>
        <v>0.99</v>
      </c>
      <c r="H45" s="152">
        <v>6.8070000000000006E-2</v>
      </c>
      <c r="I45" s="41">
        <v>12.29</v>
      </c>
    </row>
    <row r="46" spans="1:9" ht="15.5" x14ac:dyDescent="0.35">
      <c r="A46" s="22">
        <v>2247</v>
      </c>
      <c r="B46" s="21" t="s">
        <v>71</v>
      </c>
      <c r="C46" s="25">
        <v>2</v>
      </c>
      <c r="D46" s="24">
        <f t="shared" si="3"/>
        <v>2.85</v>
      </c>
      <c r="E46" s="41">
        <f t="shared" si="1"/>
        <v>0.4</v>
      </c>
      <c r="F46" s="41">
        <f t="shared" si="2"/>
        <v>0.4</v>
      </c>
      <c r="G46" s="41">
        <f t="shared" si="2"/>
        <v>0.4</v>
      </c>
      <c r="H46" s="152">
        <v>2.2000000000000001E-4</v>
      </c>
      <c r="I46" s="41">
        <v>0.04</v>
      </c>
    </row>
    <row r="47" spans="1:9" ht="15.5" x14ac:dyDescent="0.35">
      <c r="A47" s="22">
        <v>2249</v>
      </c>
      <c r="B47" s="26" t="s">
        <v>127</v>
      </c>
      <c r="C47" s="25"/>
      <c r="D47" s="24">
        <f t="shared" si="3"/>
        <v>0</v>
      </c>
      <c r="E47" s="41">
        <f t="shared" si="1"/>
        <v>0</v>
      </c>
      <c r="F47" s="41">
        <f t="shared" si="2"/>
        <v>0</v>
      </c>
      <c r="G47" s="41">
        <f t="shared" si="2"/>
        <v>0</v>
      </c>
      <c r="H47" s="152">
        <v>2.5000000000000001E-4</v>
      </c>
      <c r="I47" s="41">
        <v>0.05</v>
      </c>
    </row>
    <row r="48" spans="1:9" ht="15.5" x14ac:dyDescent="0.35">
      <c r="A48" s="42">
        <v>2250</v>
      </c>
      <c r="B48" s="21" t="s">
        <v>110</v>
      </c>
      <c r="C48" s="25"/>
      <c r="D48" s="24">
        <f t="shared" si="3"/>
        <v>0</v>
      </c>
      <c r="E48" s="41">
        <f t="shared" si="1"/>
        <v>0</v>
      </c>
      <c r="F48" s="41">
        <f t="shared" si="2"/>
        <v>0</v>
      </c>
      <c r="G48" s="41">
        <f t="shared" si="2"/>
        <v>0</v>
      </c>
      <c r="H48" s="152">
        <v>2.8400000000000002E-2</v>
      </c>
      <c r="I48" s="41">
        <v>5.13</v>
      </c>
    </row>
    <row r="49" spans="1:9" ht="15.5" hidden="1" x14ac:dyDescent="0.35">
      <c r="A49" s="42">
        <v>2261</v>
      </c>
      <c r="B49" s="26" t="s">
        <v>128</v>
      </c>
      <c r="C49" s="25">
        <v>2</v>
      </c>
      <c r="D49" s="24">
        <f t="shared" si="3"/>
        <v>2.85</v>
      </c>
      <c r="E49" s="41">
        <f t="shared" si="1"/>
        <v>0.4</v>
      </c>
      <c r="F49" s="41">
        <f t="shared" si="2"/>
        <v>0.4</v>
      </c>
      <c r="G49" s="41">
        <f t="shared" si="2"/>
        <v>0.4</v>
      </c>
      <c r="H49" s="152">
        <v>0</v>
      </c>
      <c r="I49" s="41">
        <v>0</v>
      </c>
    </row>
    <row r="50" spans="1:9" ht="15.5" x14ac:dyDescent="0.35">
      <c r="A50" s="42">
        <v>2262</v>
      </c>
      <c r="B50" s="26" t="s">
        <v>111</v>
      </c>
      <c r="C50" s="25">
        <v>11</v>
      </c>
      <c r="D50" s="24">
        <f t="shared" si="3"/>
        <v>15.65</v>
      </c>
      <c r="E50" s="41">
        <f t="shared" si="1"/>
        <v>2.17</v>
      </c>
      <c r="F50" s="41">
        <f t="shared" si="2"/>
        <v>2.17</v>
      </c>
      <c r="G50" s="41">
        <f t="shared" si="2"/>
        <v>2.17</v>
      </c>
      <c r="H50" s="152">
        <v>1.137E-2</v>
      </c>
      <c r="I50" s="41">
        <v>2.0499999999999998</v>
      </c>
    </row>
    <row r="51" spans="1:9" ht="15.5" x14ac:dyDescent="0.35">
      <c r="A51" s="42">
        <v>2263</v>
      </c>
      <c r="B51" s="26" t="s">
        <v>112</v>
      </c>
      <c r="C51" s="25">
        <v>40</v>
      </c>
      <c r="D51" s="24">
        <f t="shared" si="3"/>
        <v>56.91</v>
      </c>
      <c r="E51" s="41">
        <f t="shared" si="1"/>
        <v>7.9</v>
      </c>
      <c r="F51" s="41">
        <f t="shared" si="2"/>
        <v>7.9</v>
      </c>
      <c r="G51" s="41">
        <f t="shared" si="2"/>
        <v>7.9</v>
      </c>
      <c r="H51" s="152">
        <v>4.58E-2</v>
      </c>
      <c r="I51" s="41">
        <v>8.27</v>
      </c>
    </row>
    <row r="52" spans="1:9" ht="15.5" x14ac:dyDescent="0.35">
      <c r="A52" s="42">
        <v>2264</v>
      </c>
      <c r="B52" s="21" t="s">
        <v>113</v>
      </c>
      <c r="C52" s="25">
        <v>0</v>
      </c>
      <c r="D52" s="24">
        <f t="shared" si="3"/>
        <v>0</v>
      </c>
      <c r="E52" s="41">
        <f t="shared" si="1"/>
        <v>0</v>
      </c>
      <c r="F52" s="41">
        <f t="shared" si="2"/>
        <v>0</v>
      </c>
      <c r="G52" s="41">
        <f t="shared" si="2"/>
        <v>0</v>
      </c>
      <c r="H52" s="152">
        <v>2.4000000000000001E-4</v>
      </c>
      <c r="I52" s="41">
        <v>0.04</v>
      </c>
    </row>
    <row r="53" spans="1:9" ht="15.5" x14ac:dyDescent="0.35">
      <c r="A53" s="42">
        <v>2311</v>
      </c>
      <c r="B53" s="26" t="s">
        <v>114</v>
      </c>
      <c r="C53" s="25">
        <v>44.62</v>
      </c>
      <c r="D53" s="24">
        <f t="shared" si="3"/>
        <v>63.49</v>
      </c>
      <c r="E53" s="41">
        <f t="shared" si="1"/>
        <v>8.82</v>
      </c>
      <c r="F53" s="41">
        <f t="shared" si="2"/>
        <v>8.82</v>
      </c>
      <c r="G53" s="41">
        <f t="shared" si="2"/>
        <v>8.82</v>
      </c>
      <c r="H53" s="153">
        <v>7.1000000000000002E-4</v>
      </c>
      <c r="I53" s="41">
        <v>0.13</v>
      </c>
    </row>
    <row r="54" spans="1:9" ht="15.5" hidden="1" x14ac:dyDescent="0.35">
      <c r="A54" s="42">
        <v>2312</v>
      </c>
      <c r="B54" s="26" t="s">
        <v>95</v>
      </c>
      <c r="C54" s="25">
        <v>4</v>
      </c>
      <c r="D54" s="24">
        <f t="shared" si="3"/>
        <v>5.69</v>
      </c>
      <c r="E54" s="41">
        <f t="shared" si="1"/>
        <v>0.79</v>
      </c>
      <c r="F54" s="41">
        <f t="shared" si="2"/>
        <v>0.79</v>
      </c>
      <c r="G54" s="41">
        <f t="shared" si="2"/>
        <v>0.79</v>
      </c>
      <c r="H54" s="152">
        <v>0</v>
      </c>
      <c r="I54" s="41">
        <v>0</v>
      </c>
    </row>
    <row r="55" spans="1:9" ht="15.5" x14ac:dyDescent="0.35">
      <c r="A55" s="42">
        <v>2314</v>
      </c>
      <c r="B55" s="85" t="s">
        <v>116</v>
      </c>
      <c r="C55" s="25">
        <v>7</v>
      </c>
      <c r="D55" s="24">
        <f t="shared" si="3"/>
        <v>9.9600000000000009</v>
      </c>
      <c r="E55" s="41">
        <f t="shared" si="1"/>
        <v>1.38</v>
      </c>
      <c r="F55" s="41">
        <f t="shared" si="2"/>
        <v>1.38</v>
      </c>
      <c r="G55" s="41">
        <f t="shared" si="2"/>
        <v>1.38</v>
      </c>
      <c r="H55" s="152">
        <v>4.6000000000000001E-4</v>
      </c>
      <c r="I55" s="41">
        <v>0.08</v>
      </c>
    </row>
    <row r="56" spans="1:9" ht="15.5" x14ac:dyDescent="0.35">
      <c r="A56" s="42">
        <v>2321</v>
      </c>
      <c r="B56" s="26" t="s">
        <v>96</v>
      </c>
      <c r="C56" s="25">
        <v>793</v>
      </c>
      <c r="D56" s="24">
        <f t="shared" si="3"/>
        <v>1128.3399999999999</v>
      </c>
      <c r="E56" s="41">
        <f t="shared" si="1"/>
        <v>156.71</v>
      </c>
      <c r="F56" s="41">
        <f t="shared" si="2"/>
        <v>156.71</v>
      </c>
      <c r="G56" s="41">
        <f t="shared" si="2"/>
        <v>156.71</v>
      </c>
      <c r="H56" s="152">
        <v>6.0220000000000003E-2</v>
      </c>
      <c r="I56" s="41">
        <v>10.87</v>
      </c>
    </row>
    <row r="57" spans="1:9" ht="15.5" x14ac:dyDescent="0.35">
      <c r="A57" s="42">
        <v>2322</v>
      </c>
      <c r="B57" s="26" t="s">
        <v>117</v>
      </c>
      <c r="C57" s="25">
        <v>29</v>
      </c>
      <c r="D57" s="24">
        <f t="shared" si="3"/>
        <v>41.26</v>
      </c>
      <c r="E57" s="41">
        <f t="shared" si="1"/>
        <v>5.73</v>
      </c>
      <c r="F57" s="41">
        <v>4.84</v>
      </c>
      <c r="G57" s="41">
        <f t="shared" si="2"/>
        <v>4.84</v>
      </c>
      <c r="H57" s="152">
        <v>2.0999999999999999E-3</v>
      </c>
      <c r="I57" s="41">
        <v>0.38</v>
      </c>
    </row>
    <row r="58" spans="1:9" ht="15.5" hidden="1" x14ac:dyDescent="0.35">
      <c r="A58" s="42">
        <v>2341</v>
      </c>
      <c r="B58" s="26" t="s">
        <v>97</v>
      </c>
      <c r="C58" s="25">
        <v>0</v>
      </c>
      <c r="D58" s="24">
        <f t="shared" si="3"/>
        <v>0</v>
      </c>
      <c r="E58" s="41">
        <f t="shared" si="1"/>
        <v>0</v>
      </c>
      <c r="F58" s="41">
        <f t="shared" si="2"/>
        <v>0</v>
      </c>
      <c r="G58" s="41">
        <f t="shared" si="2"/>
        <v>0</v>
      </c>
      <c r="H58" s="152"/>
      <c r="I58" s="41">
        <v>0</v>
      </c>
    </row>
    <row r="59" spans="1:9" ht="15.5" hidden="1" x14ac:dyDescent="0.35">
      <c r="A59" s="42">
        <v>2350</v>
      </c>
      <c r="B59" s="22" t="s">
        <v>98</v>
      </c>
      <c r="C59" s="25">
        <v>0</v>
      </c>
      <c r="D59" s="24">
        <f t="shared" si="3"/>
        <v>0</v>
      </c>
      <c r="E59" s="41">
        <f t="shared" si="1"/>
        <v>0</v>
      </c>
      <c r="F59" s="41">
        <f t="shared" si="2"/>
        <v>0</v>
      </c>
      <c r="G59" s="41">
        <f t="shared" si="2"/>
        <v>0</v>
      </c>
      <c r="H59" s="152">
        <v>0</v>
      </c>
      <c r="I59" s="41">
        <v>0</v>
      </c>
    </row>
    <row r="60" spans="1:9" ht="15.5" hidden="1" x14ac:dyDescent="0.35">
      <c r="A60" s="42">
        <v>2361</v>
      </c>
      <c r="B60" s="26" t="s">
        <v>65</v>
      </c>
      <c r="C60" s="25">
        <v>39</v>
      </c>
      <c r="D60" s="24">
        <f t="shared" si="3"/>
        <v>55.49</v>
      </c>
      <c r="E60" s="41">
        <f t="shared" si="1"/>
        <v>7.71</v>
      </c>
      <c r="F60" s="41">
        <f t="shared" si="2"/>
        <v>7.71</v>
      </c>
      <c r="G60" s="41">
        <f t="shared" si="2"/>
        <v>7.71</v>
      </c>
      <c r="H60" s="152">
        <v>0</v>
      </c>
      <c r="I60" s="41">
        <v>0</v>
      </c>
    </row>
    <row r="61" spans="1:9" ht="15.5" hidden="1" x14ac:dyDescent="0.35">
      <c r="A61" s="42">
        <v>2362</v>
      </c>
      <c r="B61" s="26" t="s">
        <v>129</v>
      </c>
      <c r="C61" s="25">
        <v>1</v>
      </c>
      <c r="D61" s="24">
        <f t="shared" si="3"/>
        <v>1.42</v>
      </c>
      <c r="E61" s="41">
        <f t="shared" si="1"/>
        <v>0.2</v>
      </c>
      <c r="F61" s="41">
        <f t="shared" si="2"/>
        <v>0.2</v>
      </c>
      <c r="G61" s="41">
        <f t="shared" si="2"/>
        <v>0.2</v>
      </c>
      <c r="H61" s="152">
        <v>0</v>
      </c>
      <c r="I61" s="41">
        <v>0</v>
      </c>
    </row>
    <row r="62" spans="1:9" ht="15.5" hidden="1" x14ac:dyDescent="0.35">
      <c r="A62" s="42">
        <v>2363</v>
      </c>
      <c r="B62" s="26" t="s">
        <v>130</v>
      </c>
      <c r="C62" s="25"/>
      <c r="D62" s="24">
        <f t="shared" si="3"/>
        <v>0</v>
      </c>
      <c r="E62" s="41">
        <f t="shared" si="1"/>
        <v>0</v>
      </c>
      <c r="F62" s="41">
        <f t="shared" si="2"/>
        <v>0</v>
      </c>
      <c r="G62" s="41">
        <f t="shared" si="2"/>
        <v>0</v>
      </c>
      <c r="H62" s="152">
        <v>0</v>
      </c>
      <c r="I62" s="41">
        <v>0</v>
      </c>
    </row>
    <row r="63" spans="1:9" ht="15.5" hidden="1" x14ac:dyDescent="0.35">
      <c r="A63" s="22">
        <v>2370</v>
      </c>
      <c r="B63" s="26" t="s">
        <v>131</v>
      </c>
      <c r="C63" s="25"/>
      <c r="D63" s="24">
        <f t="shared" si="3"/>
        <v>0</v>
      </c>
      <c r="E63" s="41">
        <f t="shared" si="1"/>
        <v>0</v>
      </c>
      <c r="F63" s="41">
        <f t="shared" si="2"/>
        <v>0</v>
      </c>
      <c r="G63" s="41">
        <f t="shared" si="2"/>
        <v>0</v>
      </c>
      <c r="H63" s="152">
        <v>0</v>
      </c>
      <c r="I63" s="41">
        <v>0</v>
      </c>
    </row>
    <row r="64" spans="1:9" ht="15.5" hidden="1" x14ac:dyDescent="0.35">
      <c r="A64" s="22">
        <v>2400</v>
      </c>
      <c r="B64" s="26" t="s">
        <v>132</v>
      </c>
      <c r="C64" s="25"/>
      <c r="D64" s="24">
        <f t="shared" si="3"/>
        <v>0</v>
      </c>
      <c r="E64" s="41">
        <f t="shared" si="1"/>
        <v>0</v>
      </c>
      <c r="F64" s="41">
        <f t="shared" si="2"/>
        <v>0</v>
      </c>
      <c r="G64" s="41">
        <f t="shared" si="2"/>
        <v>0</v>
      </c>
      <c r="H64" s="152">
        <v>0</v>
      </c>
      <c r="I64" s="41">
        <v>0</v>
      </c>
    </row>
    <row r="65" spans="1:9" ht="15.5" hidden="1" x14ac:dyDescent="0.35">
      <c r="A65" s="42">
        <v>2512</v>
      </c>
      <c r="B65" s="26" t="s">
        <v>133</v>
      </c>
      <c r="C65" s="25">
        <v>1</v>
      </c>
      <c r="D65" s="24">
        <f t="shared" si="3"/>
        <v>1.42</v>
      </c>
      <c r="E65" s="41">
        <f t="shared" si="1"/>
        <v>0.2</v>
      </c>
      <c r="F65" s="41">
        <f t="shared" si="2"/>
        <v>0.2</v>
      </c>
      <c r="G65" s="41">
        <f t="shared" si="2"/>
        <v>0.2</v>
      </c>
      <c r="H65" s="152">
        <v>0</v>
      </c>
      <c r="I65" s="41">
        <v>0</v>
      </c>
    </row>
    <row r="66" spans="1:9" ht="15.5" x14ac:dyDescent="0.35">
      <c r="A66" s="42">
        <v>2513</v>
      </c>
      <c r="B66" s="22" t="s">
        <v>118</v>
      </c>
      <c r="C66" s="25">
        <v>28</v>
      </c>
      <c r="D66" s="24">
        <f t="shared" si="3"/>
        <v>39.840000000000003</v>
      </c>
      <c r="E66" s="41">
        <f t="shared" si="1"/>
        <v>5.53</v>
      </c>
      <c r="F66" s="41">
        <f t="shared" si="2"/>
        <v>5.53</v>
      </c>
      <c r="G66" s="41">
        <f t="shared" si="2"/>
        <v>5.53</v>
      </c>
      <c r="H66" s="152">
        <v>6.3000000000000003E-4</v>
      </c>
      <c r="I66" s="41">
        <v>0.11</v>
      </c>
    </row>
    <row r="67" spans="1:9" ht="15.5" x14ac:dyDescent="0.35">
      <c r="A67" s="42">
        <v>2515</v>
      </c>
      <c r="B67" s="26" t="s">
        <v>73</v>
      </c>
      <c r="C67" s="25">
        <v>1</v>
      </c>
      <c r="D67" s="24">
        <f t="shared" si="3"/>
        <v>1.42</v>
      </c>
      <c r="E67" s="41">
        <f t="shared" si="1"/>
        <v>0.2</v>
      </c>
      <c r="F67" s="41">
        <f t="shared" si="2"/>
        <v>0.2</v>
      </c>
      <c r="G67" s="41">
        <f t="shared" si="2"/>
        <v>0.2</v>
      </c>
      <c r="H67" s="152">
        <v>2.7499999999999998E-3</v>
      </c>
      <c r="I67" s="41">
        <v>0.5</v>
      </c>
    </row>
    <row r="68" spans="1:9" ht="15.5" x14ac:dyDescent="0.35">
      <c r="A68" s="42">
        <v>2519</v>
      </c>
      <c r="B68" s="26" t="s">
        <v>119</v>
      </c>
      <c r="C68" s="25">
        <v>8</v>
      </c>
      <c r="D68" s="24">
        <f t="shared" si="3"/>
        <v>11.38</v>
      </c>
      <c r="E68" s="41">
        <f t="shared" si="1"/>
        <v>1.58</v>
      </c>
      <c r="F68" s="41">
        <f t="shared" si="2"/>
        <v>1.58</v>
      </c>
      <c r="G68" s="41">
        <f t="shared" si="2"/>
        <v>1.58</v>
      </c>
      <c r="H68" s="152">
        <v>1.5100000000000001E-3</v>
      </c>
      <c r="I68" s="41">
        <v>0.27</v>
      </c>
    </row>
    <row r="69" spans="1:9" ht="15.5" x14ac:dyDescent="0.35">
      <c r="A69" s="42">
        <v>5220</v>
      </c>
      <c r="B69" s="26" t="s">
        <v>120</v>
      </c>
      <c r="C69" s="25"/>
      <c r="D69" s="24">
        <f t="shared" si="3"/>
        <v>0</v>
      </c>
      <c r="E69" s="41">
        <f t="shared" si="1"/>
        <v>0</v>
      </c>
      <c r="F69" s="41">
        <f t="shared" si="2"/>
        <v>0</v>
      </c>
      <c r="G69" s="41">
        <f t="shared" si="2"/>
        <v>0</v>
      </c>
      <c r="H69" s="152">
        <v>1.06E-2</v>
      </c>
      <c r="I69" s="41">
        <v>1.91</v>
      </c>
    </row>
    <row r="70" spans="1:9" ht="15.5" x14ac:dyDescent="0.35">
      <c r="A70" s="42">
        <v>5238</v>
      </c>
      <c r="B70" s="22" t="s">
        <v>121</v>
      </c>
      <c r="C70" s="25"/>
      <c r="D70" s="24">
        <f t="shared" si="3"/>
        <v>0</v>
      </c>
      <c r="E70" s="41">
        <f t="shared" si="1"/>
        <v>0</v>
      </c>
      <c r="F70" s="41">
        <f t="shared" si="2"/>
        <v>0</v>
      </c>
      <c r="G70" s="41">
        <f t="shared" si="2"/>
        <v>0</v>
      </c>
      <c r="H70" s="152">
        <v>1.65E-3</v>
      </c>
      <c r="I70" s="41">
        <v>0.3</v>
      </c>
    </row>
    <row r="71" spans="1:9" ht="15.5" x14ac:dyDescent="0.35">
      <c r="A71" s="42">
        <v>5239</v>
      </c>
      <c r="B71" s="10" t="s">
        <v>122</v>
      </c>
      <c r="C71" s="25">
        <v>5</v>
      </c>
      <c r="D71" s="24">
        <f t="shared" si="3"/>
        <v>7.11</v>
      </c>
      <c r="E71" s="41">
        <f t="shared" si="1"/>
        <v>0.99</v>
      </c>
      <c r="F71" s="41">
        <f t="shared" si="2"/>
        <v>0.99</v>
      </c>
      <c r="G71" s="41">
        <f t="shared" si="2"/>
        <v>0.99</v>
      </c>
      <c r="H71" s="152">
        <v>1.9800000000000002E-2</v>
      </c>
      <c r="I71" s="41">
        <v>3.52</v>
      </c>
    </row>
    <row r="72" spans="1:9" ht="15.5" x14ac:dyDescent="0.35">
      <c r="A72" s="42">
        <v>5250</v>
      </c>
      <c r="B72" s="26" t="s">
        <v>123</v>
      </c>
      <c r="C72" s="25">
        <v>0</v>
      </c>
      <c r="D72" s="24">
        <f t="shared" si="3"/>
        <v>0</v>
      </c>
      <c r="E72" s="41">
        <f t="shared" si="1"/>
        <v>0</v>
      </c>
      <c r="F72" s="41">
        <f t="shared" si="2"/>
        <v>0</v>
      </c>
      <c r="G72" s="41">
        <v>4.2699999999999996</v>
      </c>
      <c r="H72" s="152">
        <v>1.4999999999999999E-2</v>
      </c>
      <c r="I72" s="41">
        <v>2.72</v>
      </c>
    </row>
    <row r="73" spans="1:9" ht="15.5" x14ac:dyDescent="0.3">
      <c r="A73" s="44"/>
      <c r="B73" s="31" t="s">
        <v>74</v>
      </c>
      <c r="C73" s="29">
        <f>SUM(C32:C72)</f>
        <v>2400.02</v>
      </c>
      <c r="D73" s="43">
        <f>SUM(D32:D72)</f>
        <v>3414.9</v>
      </c>
      <c r="E73" s="43">
        <f>SUM(E32:E72)</f>
        <v>474.2999999999999</v>
      </c>
      <c r="F73" s="43">
        <f>SUM(F32:F72)</f>
        <v>477.17999999999984</v>
      </c>
      <c r="G73" s="43">
        <f>SUM(G32:G72)</f>
        <v>481.44999999999982</v>
      </c>
      <c r="H73" s="43"/>
      <c r="I73" s="43">
        <f>SUM(I32:I72)</f>
        <v>201.29000000000005</v>
      </c>
    </row>
    <row r="74" spans="1:9" ht="15.5" x14ac:dyDescent="0.35">
      <c r="A74" s="23"/>
      <c r="B74" s="31" t="s">
        <v>75</v>
      </c>
      <c r="C74" s="29">
        <f>C73+C30</f>
        <v>5161.51</v>
      </c>
      <c r="D74" s="43">
        <f>D73+D30</f>
        <v>7344.14</v>
      </c>
      <c r="E74" s="43">
        <f>E73+E30</f>
        <v>1020.02</v>
      </c>
      <c r="F74" s="43">
        <f>F73+F30</f>
        <v>1061.33</v>
      </c>
      <c r="G74" s="43">
        <f>G73+G30</f>
        <v>1226.33</v>
      </c>
      <c r="H74" s="43"/>
      <c r="I74" s="43">
        <f>I73+I30</f>
        <v>731.00000000000011</v>
      </c>
    </row>
    <row r="75" spans="1:9" ht="15.5" x14ac:dyDescent="0.35">
      <c r="A75" s="9"/>
      <c r="B75" s="32"/>
      <c r="C75" s="33"/>
      <c r="D75" s="33"/>
      <c r="E75" s="55"/>
      <c r="F75" s="55"/>
      <c r="G75" s="55"/>
      <c r="H75" s="55"/>
      <c r="I75" s="55"/>
    </row>
    <row r="76" spans="1:9" ht="15.5" x14ac:dyDescent="0.35">
      <c r="A76" s="173" t="s">
        <v>45</v>
      </c>
      <c r="B76" s="174"/>
      <c r="C76" s="65">
        <v>1800</v>
      </c>
      <c r="D76" s="59">
        <v>1800</v>
      </c>
      <c r="E76" s="62">
        <v>250</v>
      </c>
      <c r="F76" s="62">
        <v>250</v>
      </c>
      <c r="G76" s="62">
        <v>250</v>
      </c>
      <c r="H76" s="62"/>
      <c r="I76" s="62">
        <v>100</v>
      </c>
    </row>
    <row r="77" spans="1:9" ht="15.5" x14ac:dyDescent="0.35">
      <c r="A77" s="173" t="s">
        <v>54</v>
      </c>
      <c r="B77" s="174"/>
      <c r="C77" s="67">
        <f>C74/C76</f>
        <v>2.8675055555555558</v>
      </c>
      <c r="D77" s="61">
        <f>ROUND(D74/D76,2)</f>
        <v>4.08</v>
      </c>
      <c r="E77" s="60">
        <f>E74/E76</f>
        <v>4.0800799999999997</v>
      </c>
      <c r="F77" s="60">
        <f>F74/F76</f>
        <v>4.2453199999999995</v>
      </c>
      <c r="G77" s="60">
        <f>G74/G76</f>
        <v>4.9053199999999997</v>
      </c>
      <c r="H77" s="60"/>
      <c r="I77" s="60">
        <f>I74/I76</f>
        <v>7.3100000000000014</v>
      </c>
    </row>
    <row r="78" spans="1:9" ht="15.5" x14ac:dyDescent="0.35">
      <c r="A78" s="63"/>
      <c r="B78" s="66"/>
      <c r="C78" s="66"/>
      <c r="D78" s="64"/>
      <c r="E78" s="66"/>
      <c r="F78" s="66"/>
      <c r="G78" s="66"/>
      <c r="H78" s="66"/>
      <c r="I78" s="66"/>
    </row>
    <row r="79" spans="1:9" ht="15.5" x14ac:dyDescent="0.35">
      <c r="A79" s="171" t="s">
        <v>62</v>
      </c>
      <c r="B79" s="172"/>
      <c r="C79" s="49"/>
      <c r="D79" s="34"/>
      <c r="E79" s="56"/>
      <c r="F79" s="56"/>
      <c r="G79" s="56"/>
      <c r="H79" s="56"/>
      <c r="I79" s="56"/>
    </row>
    <row r="80" spans="1:9" ht="15.5" x14ac:dyDescent="0.35">
      <c r="A80" s="171" t="s">
        <v>63</v>
      </c>
      <c r="B80" s="172"/>
      <c r="C80" s="49"/>
      <c r="D80" s="29"/>
      <c r="E80" s="56"/>
      <c r="F80" s="56"/>
      <c r="G80" s="56"/>
      <c r="H80" s="56"/>
      <c r="I80" s="117"/>
    </row>
    <row r="81" spans="1:9" ht="15.5" x14ac:dyDescent="0.35">
      <c r="A81" s="36"/>
      <c r="B81" s="11"/>
      <c r="C81" s="11"/>
      <c r="D81" s="11"/>
      <c r="E81" s="57"/>
      <c r="F81" s="10"/>
      <c r="G81" s="10"/>
      <c r="H81" s="10"/>
      <c r="I81" s="75"/>
    </row>
    <row r="82" spans="1:9" ht="15.5" x14ac:dyDescent="0.35">
      <c r="A82" s="37" t="s">
        <v>46</v>
      </c>
      <c r="B82" s="37"/>
      <c r="C82" s="37"/>
      <c r="D82" s="37"/>
      <c r="E82" s="37"/>
      <c r="F82" s="37"/>
      <c r="G82" s="37"/>
      <c r="H82" s="37"/>
      <c r="I82" s="37"/>
    </row>
    <row r="83" spans="1:9" ht="15.5" x14ac:dyDescent="0.35">
      <c r="A83" s="37"/>
      <c r="B83" s="37"/>
      <c r="C83" s="37"/>
      <c r="D83" s="37"/>
      <c r="E83" s="37"/>
      <c r="F83" s="37"/>
      <c r="G83" s="37"/>
      <c r="H83" s="37"/>
      <c r="I83" s="37"/>
    </row>
    <row r="84" spans="1:9" ht="15.5" x14ac:dyDescent="0.35">
      <c r="A84" s="37" t="s">
        <v>134</v>
      </c>
      <c r="B84" s="38"/>
      <c r="C84" s="38"/>
      <c r="D84" s="38"/>
      <c r="E84" s="37"/>
      <c r="F84" s="37"/>
      <c r="G84" s="37"/>
      <c r="H84" s="37"/>
      <c r="I84" s="95"/>
    </row>
    <row r="85" spans="1:9" ht="15.5" x14ac:dyDescent="0.35">
      <c r="A85" s="37"/>
      <c r="B85" s="39"/>
      <c r="C85" s="39"/>
      <c r="D85" s="39"/>
      <c r="E85" s="37"/>
      <c r="F85" s="37"/>
      <c r="G85" s="37"/>
      <c r="H85" s="37"/>
      <c r="I85" s="37"/>
    </row>
    <row r="86" spans="1:9" x14ac:dyDescent="0.3">
      <c r="F86" s="1"/>
      <c r="G86" s="1"/>
      <c r="H86" s="1"/>
      <c r="I86" s="1"/>
    </row>
  </sheetData>
  <mergeCells count="14">
    <mergeCell ref="B1:F1"/>
    <mergeCell ref="B5:F5"/>
    <mergeCell ref="B6:F6"/>
    <mergeCell ref="A7:I7"/>
    <mergeCell ref="B8:E8"/>
    <mergeCell ref="A9:E9"/>
    <mergeCell ref="A79:B79"/>
    <mergeCell ref="A80:B80"/>
    <mergeCell ref="A10:E10"/>
    <mergeCell ref="B11:E11"/>
    <mergeCell ref="B12:E12"/>
    <mergeCell ref="B13:E13"/>
    <mergeCell ref="A76:B76"/>
    <mergeCell ref="A77:B77"/>
  </mergeCells>
  <pageMargins left="0.7" right="0.7" top="0.75" bottom="0.75" header="0.3" footer="0.3"/>
  <pageSetup paperSize="9" scale="63" orientation="portrait" verticalDpi="0" r:id="rId1"/>
  <headerFoot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87"/>
  <sheetViews>
    <sheetView view="pageLayout" zoomScale="80" zoomScaleNormal="70" zoomScalePageLayoutView="80" workbookViewId="0">
      <selection activeCell="I5" sqref="I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21.81640625" style="2" hidden="1" customWidth="1"/>
    <col min="4" max="4" width="22.1796875" style="2" hidden="1" customWidth="1"/>
    <col min="5" max="7" width="21.54296875" style="2" hidden="1" customWidth="1"/>
    <col min="8" max="8" width="25.81640625" style="2" hidden="1" customWidth="1"/>
    <col min="9" max="9" width="31.7265625" style="2" customWidth="1"/>
  </cols>
  <sheetData>
    <row r="1" spans="1:9" ht="15.5" x14ac:dyDescent="0.35">
      <c r="B1" s="163"/>
      <c r="C1" s="163"/>
      <c r="D1" s="163"/>
      <c r="E1" s="163"/>
      <c r="F1" s="164"/>
      <c r="G1" s="7"/>
      <c r="H1" s="9" t="s">
        <v>7</v>
      </c>
      <c r="I1" s="9" t="s">
        <v>7</v>
      </c>
    </row>
    <row r="2" spans="1:9" ht="15.5" x14ac:dyDescent="0.35">
      <c r="B2" s="7"/>
      <c r="C2" s="7"/>
      <c r="D2" s="7"/>
      <c r="E2" s="7"/>
      <c r="F2" s="7"/>
      <c r="G2" s="7"/>
      <c r="H2" s="9" t="s">
        <v>44</v>
      </c>
      <c r="I2" s="9" t="s">
        <v>44</v>
      </c>
    </row>
    <row r="3" spans="1:9" ht="15.5" x14ac:dyDescent="0.35">
      <c r="C3" s="50"/>
      <c r="D3" s="50"/>
      <c r="E3" s="50"/>
      <c r="F3" s="8"/>
      <c r="G3" s="48"/>
      <c r="H3" s="36" t="s">
        <v>89</v>
      </c>
      <c r="I3" s="48" t="s">
        <v>91</v>
      </c>
    </row>
    <row r="4" spans="1:9" ht="15.5" x14ac:dyDescent="0.35">
      <c r="B4" s="6"/>
      <c r="C4" s="6"/>
      <c r="D4" s="6"/>
      <c r="E4" s="51"/>
      <c r="F4" s="10"/>
      <c r="G4" s="10"/>
      <c r="H4" s="9"/>
      <c r="I4" s="9"/>
    </row>
    <row r="5" spans="1:9" ht="15.5" x14ac:dyDescent="0.35">
      <c r="B5" s="165"/>
      <c r="C5" s="165"/>
      <c r="D5" s="165"/>
      <c r="E5" s="166"/>
      <c r="F5" s="166"/>
      <c r="G5" s="51"/>
      <c r="H5" s="9" t="s">
        <v>90</v>
      </c>
      <c r="I5" s="9" t="s">
        <v>260</v>
      </c>
    </row>
    <row r="6" spans="1:9" x14ac:dyDescent="0.3">
      <c r="B6" s="167"/>
      <c r="C6" s="167"/>
      <c r="D6" s="167"/>
      <c r="E6" s="167"/>
      <c r="F6" s="168"/>
      <c r="G6" s="52"/>
      <c r="H6" s="3"/>
      <c r="I6" s="3"/>
    </row>
    <row r="7" spans="1:9" ht="17.5" x14ac:dyDescent="0.35">
      <c r="A7" s="169" t="s">
        <v>6</v>
      </c>
      <c r="B7" s="169"/>
      <c r="C7" s="169"/>
      <c r="D7" s="169"/>
      <c r="E7" s="169"/>
      <c r="F7" s="169"/>
      <c r="G7" s="169"/>
      <c r="H7" s="169"/>
      <c r="I7" s="99"/>
    </row>
    <row r="8" spans="1:9" x14ac:dyDescent="0.3">
      <c r="B8" s="170"/>
      <c r="C8" s="170"/>
      <c r="D8" s="170"/>
      <c r="E8" s="170"/>
    </row>
    <row r="9" spans="1:9" ht="15.5" x14ac:dyDescent="0.35">
      <c r="A9" s="160" t="s">
        <v>1</v>
      </c>
      <c r="B9" s="160"/>
      <c r="C9" s="160"/>
      <c r="D9" s="160"/>
      <c r="E9" s="160"/>
      <c r="F9" s="10"/>
      <c r="G9" s="10"/>
      <c r="H9" s="10"/>
      <c r="I9" s="10"/>
    </row>
    <row r="10" spans="1:9" ht="15.5" x14ac:dyDescent="0.35">
      <c r="A10" s="160" t="s">
        <v>0</v>
      </c>
      <c r="B10" s="160"/>
      <c r="C10" s="160"/>
      <c r="D10" s="160"/>
      <c r="E10" s="160"/>
      <c r="F10" s="10"/>
      <c r="G10" s="10"/>
      <c r="H10" s="5"/>
      <c r="I10" s="5"/>
    </row>
    <row r="11" spans="1:9" ht="15.5" x14ac:dyDescent="0.35">
      <c r="A11" s="5"/>
      <c r="B11" s="160" t="s">
        <v>165</v>
      </c>
      <c r="C11" s="160"/>
      <c r="D11" s="160"/>
      <c r="E11" s="160"/>
      <c r="F11" s="10"/>
      <c r="G11" s="10"/>
      <c r="H11" s="5"/>
      <c r="I11" s="5"/>
    </row>
    <row r="12" spans="1:9" ht="15.5" x14ac:dyDescent="0.35">
      <c r="A12" s="5"/>
      <c r="B12" s="160" t="s">
        <v>181</v>
      </c>
      <c r="C12" s="160"/>
      <c r="D12" s="160"/>
      <c r="E12" s="160"/>
      <c r="F12" s="10"/>
      <c r="G12" s="10"/>
      <c r="H12" s="10"/>
      <c r="I12" s="10"/>
    </row>
    <row r="13" spans="1:9" ht="15.5" x14ac:dyDescent="0.35">
      <c r="A13" s="5"/>
      <c r="B13" s="160" t="s">
        <v>182</v>
      </c>
      <c r="C13" s="160"/>
      <c r="D13" s="160"/>
      <c r="E13" s="160"/>
      <c r="F13" s="10"/>
      <c r="G13" s="10"/>
      <c r="H13" s="10"/>
      <c r="I13" s="10"/>
    </row>
    <row r="14" spans="1:9" ht="15.5" x14ac:dyDescent="0.35">
      <c r="A14" s="5" t="s">
        <v>2</v>
      </c>
      <c r="B14" s="5" t="s">
        <v>124</v>
      </c>
      <c r="C14" s="5"/>
      <c r="D14" s="5"/>
      <c r="E14" s="5"/>
      <c r="F14" s="10"/>
      <c r="G14" s="10"/>
      <c r="H14" s="10"/>
      <c r="I14" s="10"/>
    </row>
    <row r="15" spans="1:9" ht="15.5" hidden="1" x14ac:dyDescent="0.35">
      <c r="A15" s="5"/>
      <c r="B15" s="5"/>
      <c r="C15" s="5"/>
      <c r="D15" s="5"/>
      <c r="E15" s="5"/>
      <c r="F15" s="10"/>
      <c r="G15" s="10"/>
      <c r="H15" s="10"/>
      <c r="I15" s="10"/>
    </row>
    <row r="16" spans="1:9" ht="60.75" customHeight="1" x14ac:dyDescent="0.25">
      <c r="A16" s="17" t="s">
        <v>3</v>
      </c>
      <c r="B16" s="17" t="s">
        <v>4</v>
      </c>
      <c r="C16" s="17"/>
      <c r="D16" s="17"/>
      <c r="E16" s="17"/>
      <c r="F16" s="17"/>
      <c r="G16" s="17"/>
      <c r="H16" s="17" t="s">
        <v>53</v>
      </c>
      <c r="I16" s="17" t="s">
        <v>53</v>
      </c>
    </row>
    <row r="17" spans="1:9" ht="15" x14ac:dyDescent="0.25">
      <c r="A17" s="18">
        <v>1</v>
      </c>
      <c r="B17" s="19">
        <v>2</v>
      </c>
      <c r="C17" s="19"/>
      <c r="D17" s="19"/>
      <c r="E17" s="18">
        <v>3</v>
      </c>
      <c r="F17" s="19"/>
      <c r="G17" s="19"/>
      <c r="H17" s="19">
        <v>3</v>
      </c>
      <c r="I17" s="19">
        <v>3</v>
      </c>
    </row>
    <row r="18" spans="1:9" ht="15.5" x14ac:dyDescent="0.35">
      <c r="A18" s="58"/>
      <c r="B18" s="21" t="s">
        <v>5</v>
      </c>
      <c r="C18" s="21"/>
      <c r="D18" s="21"/>
      <c r="E18" s="53"/>
      <c r="F18" s="22"/>
      <c r="G18" s="22"/>
      <c r="H18" s="22"/>
      <c r="I18" s="22"/>
    </row>
    <row r="19" spans="1:9" ht="15.5" x14ac:dyDescent="0.35">
      <c r="A19" s="42">
        <v>1100</v>
      </c>
      <c r="B19" s="24" t="s">
        <v>83</v>
      </c>
      <c r="C19" s="25">
        <v>2234.4</v>
      </c>
      <c r="D19" s="24">
        <f t="shared" ref="D19:D27" si="0">ROUND(C19/0.702804,2)</f>
        <v>3179.26</v>
      </c>
      <c r="E19" s="41">
        <f>ROUND(D19/1800*250,2)</f>
        <v>441.56</v>
      </c>
      <c r="F19" s="41">
        <v>472.65</v>
      </c>
      <c r="G19" s="41">
        <v>600.27</v>
      </c>
      <c r="H19" s="41">
        <v>10.85</v>
      </c>
      <c r="I19" s="41">
        <v>17.5</v>
      </c>
    </row>
    <row r="20" spans="1:9" ht="15.75" customHeight="1" x14ac:dyDescent="0.35">
      <c r="A20" s="42">
        <v>1200</v>
      </c>
      <c r="B20" s="54" t="s">
        <v>93</v>
      </c>
      <c r="C20" s="35">
        <v>527.09</v>
      </c>
      <c r="D20" s="24">
        <f t="shared" si="0"/>
        <v>749.98</v>
      </c>
      <c r="E20" s="41">
        <f>ROUND(D20/1800*250,2)</f>
        <v>104.16</v>
      </c>
      <c r="F20" s="41">
        <v>111.5</v>
      </c>
      <c r="G20" s="41">
        <v>144.61000000000001</v>
      </c>
      <c r="H20" s="41">
        <v>2.61</v>
      </c>
      <c r="I20" s="41">
        <v>4.13</v>
      </c>
    </row>
    <row r="21" spans="1:9" ht="15.5" hidden="1" x14ac:dyDescent="0.35">
      <c r="A21" s="45">
        <v>2210</v>
      </c>
      <c r="B21" s="54" t="s">
        <v>100</v>
      </c>
      <c r="C21" s="25">
        <v>16</v>
      </c>
      <c r="D21" s="24">
        <f t="shared" si="0"/>
        <v>22.77</v>
      </c>
      <c r="E21" s="41">
        <f>ROUND(D21/1800*250,2)</f>
        <v>3.16</v>
      </c>
      <c r="F21" s="41">
        <f t="shared" ref="F21:G24" si="1">E21</f>
        <v>3.16</v>
      </c>
      <c r="G21" s="41">
        <f t="shared" si="1"/>
        <v>3.16</v>
      </c>
      <c r="H21" s="41">
        <v>1.53</v>
      </c>
      <c r="I21" s="41">
        <v>0</v>
      </c>
    </row>
    <row r="22" spans="1:9" ht="15.5" x14ac:dyDescent="0.35">
      <c r="A22" s="42">
        <v>2243</v>
      </c>
      <c r="B22" s="26" t="s">
        <v>76</v>
      </c>
      <c r="C22" s="25">
        <v>12</v>
      </c>
      <c r="D22" s="24">
        <f t="shared" si="0"/>
        <v>17.07</v>
      </c>
      <c r="E22" s="41">
        <f>ROUND(D22/1800*250,2)</f>
        <v>2.37</v>
      </c>
      <c r="F22" s="41">
        <f t="shared" si="1"/>
        <v>2.37</v>
      </c>
      <c r="G22" s="41">
        <f t="shared" si="1"/>
        <v>2.37</v>
      </c>
      <c r="H22" s="41">
        <v>4.16</v>
      </c>
      <c r="I22" s="41">
        <f>4.58+4.2</f>
        <v>8.7800000000000011</v>
      </c>
    </row>
    <row r="23" spans="1:9" ht="15.5" x14ac:dyDescent="0.35">
      <c r="A23" s="42">
        <v>2250</v>
      </c>
      <c r="B23" s="21" t="s">
        <v>110</v>
      </c>
      <c r="C23" s="25"/>
      <c r="D23" s="24"/>
      <c r="E23" s="41"/>
      <c r="F23" s="41"/>
      <c r="G23" s="41"/>
      <c r="H23" s="41"/>
      <c r="I23" s="41">
        <v>1.53</v>
      </c>
    </row>
    <row r="24" spans="1:9" ht="15.5" x14ac:dyDescent="0.35">
      <c r="A24" s="24">
        <v>2311</v>
      </c>
      <c r="B24" s="26" t="s">
        <v>114</v>
      </c>
      <c r="C24" s="25">
        <v>4</v>
      </c>
      <c r="D24" s="24">
        <f t="shared" si="0"/>
        <v>5.69</v>
      </c>
      <c r="E24" s="41">
        <f>ROUND(D24/1800*250,2)</f>
        <v>0.79</v>
      </c>
      <c r="F24" s="41">
        <f t="shared" si="1"/>
        <v>0.79</v>
      </c>
      <c r="G24" s="41">
        <f t="shared" si="1"/>
        <v>0.79</v>
      </c>
      <c r="H24" s="41">
        <v>4.01</v>
      </c>
      <c r="I24" s="41">
        <f>4.81+3.5</f>
        <v>8.3099999999999987</v>
      </c>
    </row>
    <row r="25" spans="1:9" ht="15.5" hidden="1" x14ac:dyDescent="0.35">
      <c r="A25" s="45">
        <v>2341</v>
      </c>
      <c r="B25" s="26" t="s">
        <v>23</v>
      </c>
      <c r="C25" s="25"/>
      <c r="D25" s="24">
        <f t="shared" si="0"/>
        <v>0</v>
      </c>
      <c r="E25" s="41"/>
      <c r="F25" s="41">
        <f>E25/1800*250</f>
        <v>0</v>
      </c>
      <c r="G25" s="41">
        <f>F25</f>
        <v>0</v>
      </c>
      <c r="H25" s="41">
        <f t="shared" ref="H25:I27" si="2">G25/250*200</f>
        <v>0</v>
      </c>
      <c r="I25" s="41">
        <f t="shared" si="2"/>
        <v>0</v>
      </c>
    </row>
    <row r="26" spans="1:9" ht="15.5" hidden="1" x14ac:dyDescent="0.35">
      <c r="A26" s="42">
        <v>2249</v>
      </c>
      <c r="B26" s="26" t="s">
        <v>13</v>
      </c>
      <c r="C26" s="25"/>
      <c r="D26" s="24">
        <f t="shared" si="0"/>
        <v>0</v>
      </c>
      <c r="E26" s="41"/>
      <c r="F26" s="41">
        <f>E26/1800*250</f>
        <v>0</v>
      </c>
      <c r="G26" s="41">
        <f>F26</f>
        <v>0</v>
      </c>
      <c r="H26" s="41">
        <f t="shared" si="2"/>
        <v>0</v>
      </c>
      <c r="I26" s="41">
        <f t="shared" si="2"/>
        <v>0</v>
      </c>
    </row>
    <row r="27" spans="1:9" ht="15.5" hidden="1" x14ac:dyDescent="0.35">
      <c r="A27" s="42"/>
      <c r="B27" s="24"/>
      <c r="C27" s="25"/>
      <c r="D27" s="24">
        <f t="shared" si="0"/>
        <v>0</v>
      </c>
      <c r="E27" s="41"/>
      <c r="F27" s="41">
        <f>E27/1800*250</f>
        <v>0</v>
      </c>
      <c r="G27" s="41">
        <f>F27</f>
        <v>0</v>
      </c>
      <c r="H27" s="41">
        <f t="shared" si="2"/>
        <v>0</v>
      </c>
      <c r="I27" s="41">
        <f t="shared" si="2"/>
        <v>0</v>
      </c>
    </row>
    <row r="28" spans="1:9" ht="15.5" x14ac:dyDescent="0.3">
      <c r="A28" s="42"/>
      <c r="B28" s="28" t="s">
        <v>69</v>
      </c>
      <c r="C28" s="29">
        <f t="shared" ref="C28:H28" si="3">SUM(C19:C27)</f>
        <v>2793.4900000000002</v>
      </c>
      <c r="D28" s="29">
        <f t="shared" si="3"/>
        <v>3974.7700000000004</v>
      </c>
      <c r="E28" s="43">
        <f t="shared" si="3"/>
        <v>552.04</v>
      </c>
      <c r="F28" s="43">
        <f t="shared" si="3"/>
        <v>590.46999999999991</v>
      </c>
      <c r="G28" s="43">
        <f t="shared" si="3"/>
        <v>751.19999999999993</v>
      </c>
      <c r="H28" s="43">
        <f t="shared" si="3"/>
        <v>23.159999999999997</v>
      </c>
      <c r="I28" s="43">
        <f>SUM(I19:I27)</f>
        <v>40.25</v>
      </c>
    </row>
    <row r="29" spans="1:9" ht="15.5" x14ac:dyDescent="0.35">
      <c r="A29" s="44"/>
      <c r="B29" s="24" t="s">
        <v>70</v>
      </c>
      <c r="C29" s="25"/>
      <c r="D29" s="26"/>
      <c r="E29" s="41"/>
      <c r="F29" s="41"/>
      <c r="G29" s="41"/>
      <c r="H29" s="41"/>
      <c r="I29" s="41"/>
    </row>
    <row r="30" spans="1:9" ht="15.5" x14ac:dyDescent="0.35">
      <c r="A30" s="42">
        <v>1100</v>
      </c>
      <c r="B30" s="24" t="s">
        <v>83</v>
      </c>
      <c r="C30" s="25">
        <v>514.6</v>
      </c>
      <c r="D30" s="24">
        <f>ROUND(C30/0.702804,2)</f>
        <v>732.21</v>
      </c>
      <c r="E30" s="41">
        <f t="shared" ref="E30:E72" si="4">ROUND(D30/1800*250,2)</f>
        <v>101.7</v>
      </c>
      <c r="F30" s="41">
        <v>104.75</v>
      </c>
      <c r="G30" s="41">
        <v>104.33</v>
      </c>
      <c r="H30" s="41">
        <v>1.67</v>
      </c>
      <c r="I30" s="41">
        <v>2.27</v>
      </c>
    </row>
    <row r="31" spans="1:9" ht="15.75" customHeight="1" x14ac:dyDescent="0.35">
      <c r="A31" s="42">
        <v>1200</v>
      </c>
      <c r="B31" s="54" t="s">
        <v>93</v>
      </c>
      <c r="C31" s="35">
        <v>121.4</v>
      </c>
      <c r="D31" s="24">
        <f>ROUND(C31/0.702804,2)</f>
        <v>172.74</v>
      </c>
      <c r="E31" s="41">
        <f t="shared" si="4"/>
        <v>23.99</v>
      </c>
      <c r="F31" s="41">
        <v>24.71</v>
      </c>
      <c r="G31" s="41">
        <v>25.13</v>
      </c>
      <c r="H31" s="41">
        <v>0.4</v>
      </c>
      <c r="I31" s="41">
        <v>0.54</v>
      </c>
    </row>
    <row r="32" spans="1:9" ht="15.5" hidden="1" x14ac:dyDescent="0.35">
      <c r="A32" s="42">
        <v>2100</v>
      </c>
      <c r="B32" s="30" t="s">
        <v>42</v>
      </c>
      <c r="C32" s="25"/>
      <c r="D32" s="24"/>
      <c r="E32" s="41">
        <f t="shared" si="4"/>
        <v>0</v>
      </c>
      <c r="F32" s="41">
        <f t="shared" ref="F32:G71" si="5">E32</f>
        <v>0</v>
      </c>
      <c r="G32" s="41">
        <f t="shared" si="5"/>
        <v>0</v>
      </c>
      <c r="H32" s="41">
        <f>G32/250*200</f>
        <v>0</v>
      </c>
      <c r="I32" s="41">
        <f t="shared" ref="I32:I51" si="6">H32</f>
        <v>0</v>
      </c>
    </row>
    <row r="33" spans="1:9" ht="15.5" hidden="1" x14ac:dyDescent="0.35">
      <c r="A33" s="45">
        <v>2210</v>
      </c>
      <c r="B33" s="26" t="s">
        <v>38</v>
      </c>
      <c r="C33" s="25">
        <v>16</v>
      </c>
      <c r="D33" s="24">
        <f t="shared" ref="D33:D73" si="7">ROUND(C33/0.702804,2)</f>
        <v>22.77</v>
      </c>
      <c r="E33" s="41">
        <f t="shared" si="4"/>
        <v>3.16</v>
      </c>
      <c r="F33" s="41">
        <f t="shared" si="5"/>
        <v>3.16</v>
      </c>
      <c r="G33" s="41">
        <f t="shared" si="5"/>
        <v>3.16</v>
      </c>
      <c r="H33" s="41">
        <v>0</v>
      </c>
      <c r="I33" s="41">
        <f t="shared" si="6"/>
        <v>0</v>
      </c>
    </row>
    <row r="34" spans="1:9" ht="15.5" hidden="1" x14ac:dyDescent="0.35">
      <c r="A34" s="42">
        <v>2222</v>
      </c>
      <c r="B34" s="26" t="s">
        <v>39</v>
      </c>
      <c r="C34" s="25">
        <v>36</v>
      </c>
      <c r="D34" s="24">
        <f t="shared" si="7"/>
        <v>51.22</v>
      </c>
      <c r="E34" s="41">
        <f t="shared" si="4"/>
        <v>7.11</v>
      </c>
      <c r="F34" s="41">
        <f t="shared" si="5"/>
        <v>7.11</v>
      </c>
      <c r="G34" s="41">
        <f t="shared" si="5"/>
        <v>7.11</v>
      </c>
      <c r="H34" s="41">
        <v>0</v>
      </c>
      <c r="I34" s="41">
        <f t="shared" si="6"/>
        <v>0</v>
      </c>
    </row>
    <row r="35" spans="1:9" ht="15.5" x14ac:dyDescent="0.35">
      <c r="A35" s="42">
        <v>2223</v>
      </c>
      <c r="B35" s="26" t="s">
        <v>94</v>
      </c>
      <c r="C35" s="25">
        <v>484</v>
      </c>
      <c r="D35" s="24">
        <f t="shared" si="7"/>
        <v>688.67</v>
      </c>
      <c r="E35" s="41">
        <f t="shared" si="4"/>
        <v>95.65</v>
      </c>
      <c r="F35" s="41">
        <f t="shared" si="5"/>
        <v>95.65</v>
      </c>
      <c r="G35" s="41">
        <f t="shared" si="5"/>
        <v>95.65</v>
      </c>
      <c r="H35" s="41">
        <v>2.0699999999999998</v>
      </c>
      <c r="I35" s="41">
        <v>6.6</v>
      </c>
    </row>
    <row r="36" spans="1:9" ht="15.5" hidden="1" x14ac:dyDescent="0.35">
      <c r="A36" s="42">
        <v>2230</v>
      </c>
      <c r="B36" s="26" t="s">
        <v>41</v>
      </c>
      <c r="C36" s="25">
        <v>10</v>
      </c>
      <c r="D36" s="24">
        <f t="shared" si="7"/>
        <v>14.23</v>
      </c>
      <c r="E36" s="41">
        <f t="shared" si="4"/>
        <v>1.98</v>
      </c>
      <c r="F36" s="41">
        <f t="shared" si="5"/>
        <v>1.98</v>
      </c>
      <c r="G36" s="41">
        <f t="shared" si="5"/>
        <v>1.98</v>
      </c>
      <c r="H36" s="41"/>
      <c r="I36" s="41">
        <f t="shared" si="6"/>
        <v>0</v>
      </c>
    </row>
    <row r="37" spans="1:9" ht="15.5" hidden="1" x14ac:dyDescent="0.35">
      <c r="A37" s="42">
        <v>2241</v>
      </c>
      <c r="B37" s="26" t="s">
        <v>10</v>
      </c>
      <c r="C37" s="25"/>
      <c r="D37" s="24">
        <f t="shared" si="7"/>
        <v>0</v>
      </c>
      <c r="E37" s="41">
        <f t="shared" si="4"/>
        <v>0</v>
      </c>
      <c r="F37" s="41">
        <f t="shared" si="5"/>
        <v>0</v>
      </c>
      <c r="G37" s="41">
        <f t="shared" si="5"/>
        <v>0</v>
      </c>
      <c r="H37" s="41"/>
      <c r="I37" s="41">
        <f t="shared" si="6"/>
        <v>0</v>
      </c>
    </row>
    <row r="38" spans="1:9" ht="15.5" hidden="1" x14ac:dyDescent="0.35">
      <c r="A38" s="42">
        <v>2242</v>
      </c>
      <c r="B38" s="26" t="s">
        <v>11</v>
      </c>
      <c r="C38" s="25">
        <v>4</v>
      </c>
      <c r="D38" s="24">
        <f t="shared" si="7"/>
        <v>5.69</v>
      </c>
      <c r="E38" s="41">
        <f t="shared" si="4"/>
        <v>0.79</v>
      </c>
      <c r="F38" s="41">
        <f t="shared" si="5"/>
        <v>0.79</v>
      </c>
      <c r="G38" s="41">
        <f t="shared" si="5"/>
        <v>0.79</v>
      </c>
      <c r="H38" s="41"/>
      <c r="I38" s="41">
        <f t="shared" si="6"/>
        <v>0</v>
      </c>
    </row>
    <row r="39" spans="1:9" ht="15.5" hidden="1" x14ac:dyDescent="0.35">
      <c r="A39" s="42">
        <v>2243</v>
      </c>
      <c r="B39" s="26" t="s">
        <v>12</v>
      </c>
      <c r="C39" s="25">
        <v>12</v>
      </c>
      <c r="D39" s="24">
        <f t="shared" si="7"/>
        <v>17.07</v>
      </c>
      <c r="E39" s="41">
        <f t="shared" si="4"/>
        <v>2.37</v>
      </c>
      <c r="F39" s="41">
        <f t="shared" si="5"/>
        <v>2.37</v>
      </c>
      <c r="G39" s="41">
        <f t="shared" si="5"/>
        <v>2.37</v>
      </c>
      <c r="H39" s="41"/>
      <c r="I39" s="41">
        <f t="shared" si="6"/>
        <v>0</v>
      </c>
    </row>
    <row r="40" spans="1:9" ht="15.5" x14ac:dyDescent="0.35">
      <c r="A40" s="23">
        <v>2244</v>
      </c>
      <c r="B40" s="26" t="s">
        <v>108</v>
      </c>
      <c r="C40" s="25">
        <v>180.4</v>
      </c>
      <c r="D40" s="24">
        <f t="shared" si="7"/>
        <v>256.69</v>
      </c>
      <c r="E40" s="41">
        <f t="shared" si="4"/>
        <v>35.65</v>
      </c>
      <c r="F40" s="41">
        <f t="shared" si="5"/>
        <v>35.65</v>
      </c>
      <c r="G40" s="41">
        <f t="shared" si="5"/>
        <v>35.65</v>
      </c>
      <c r="H40" s="41">
        <v>1.81</v>
      </c>
      <c r="I40" s="41">
        <v>2.85</v>
      </c>
    </row>
    <row r="41" spans="1:9" ht="15.5" hidden="1" x14ac:dyDescent="0.35">
      <c r="A41" s="42">
        <v>2247</v>
      </c>
      <c r="B41" s="21" t="s">
        <v>71</v>
      </c>
      <c r="C41" s="25">
        <v>1</v>
      </c>
      <c r="D41" s="24">
        <f t="shared" si="7"/>
        <v>1.42</v>
      </c>
      <c r="E41" s="41">
        <f t="shared" si="4"/>
        <v>0.2</v>
      </c>
      <c r="F41" s="41">
        <f t="shared" si="5"/>
        <v>0.2</v>
      </c>
      <c r="G41" s="41">
        <f t="shared" si="5"/>
        <v>0.2</v>
      </c>
      <c r="H41" s="41"/>
      <c r="I41" s="41">
        <f t="shared" si="6"/>
        <v>0</v>
      </c>
    </row>
    <row r="42" spans="1:9" ht="15.5" hidden="1" x14ac:dyDescent="0.35">
      <c r="A42" s="42">
        <v>2249</v>
      </c>
      <c r="B42" s="26" t="s">
        <v>13</v>
      </c>
      <c r="C42" s="25">
        <v>5</v>
      </c>
      <c r="D42" s="24">
        <f t="shared" si="7"/>
        <v>7.11</v>
      </c>
      <c r="E42" s="41">
        <f t="shared" si="4"/>
        <v>0.99</v>
      </c>
      <c r="F42" s="41">
        <f t="shared" si="5"/>
        <v>0.99</v>
      </c>
      <c r="G42" s="41">
        <f t="shared" si="5"/>
        <v>0.99</v>
      </c>
      <c r="H42" s="41"/>
      <c r="I42" s="41">
        <f t="shared" si="6"/>
        <v>0</v>
      </c>
    </row>
    <row r="43" spans="1:9" ht="15.5" hidden="1" x14ac:dyDescent="0.35">
      <c r="A43" s="24">
        <v>2251</v>
      </c>
      <c r="B43" s="26" t="s">
        <v>72</v>
      </c>
      <c r="C43" s="25">
        <v>2</v>
      </c>
      <c r="D43" s="24">
        <f t="shared" si="7"/>
        <v>2.85</v>
      </c>
      <c r="E43" s="41">
        <f t="shared" si="4"/>
        <v>0.4</v>
      </c>
      <c r="F43" s="41">
        <f t="shared" si="5"/>
        <v>0.4</v>
      </c>
      <c r="G43" s="41">
        <f t="shared" si="5"/>
        <v>0.4</v>
      </c>
      <c r="H43" s="41"/>
      <c r="I43" s="41">
        <f t="shared" si="6"/>
        <v>0</v>
      </c>
    </row>
    <row r="44" spans="1:9" ht="15.5" hidden="1" x14ac:dyDescent="0.35">
      <c r="A44" s="24">
        <v>2252</v>
      </c>
      <c r="B44" s="26" t="s">
        <v>8</v>
      </c>
      <c r="C44" s="25"/>
      <c r="D44" s="24">
        <f t="shared" si="7"/>
        <v>0</v>
      </c>
      <c r="E44" s="41">
        <f t="shared" si="4"/>
        <v>0</v>
      </c>
      <c r="F44" s="41">
        <f t="shared" si="5"/>
        <v>0</v>
      </c>
      <c r="G44" s="41">
        <f t="shared" si="5"/>
        <v>0</v>
      </c>
      <c r="H44" s="41"/>
      <c r="I44" s="41">
        <f t="shared" si="6"/>
        <v>0</v>
      </c>
    </row>
    <row r="45" spans="1:9" ht="15.5" hidden="1" x14ac:dyDescent="0.35">
      <c r="A45" s="24">
        <v>2259</v>
      </c>
      <c r="B45" s="26" t="s">
        <v>9</v>
      </c>
      <c r="C45" s="25"/>
      <c r="D45" s="24">
        <f t="shared" si="7"/>
        <v>0</v>
      </c>
      <c r="E45" s="41">
        <f t="shared" si="4"/>
        <v>0</v>
      </c>
      <c r="F45" s="41">
        <f t="shared" si="5"/>
        <v>0</v>
      </c>
      <c r="G45" s="41">
        <f t="shared" si="5"/>
        <v>0</v>
      </c>
      <c r="H45" s="41"/>
      <c r="I45" s="41">
        <f t="shared" si="6"/>
        <v>0</v>
      </c>
    </row>
    <row r="46" spans="1:9" ht="15.5" hidden="1" x14ac:dyDescent="0.35">
      <c r="A46" s="24">
        <v>2261</v>
      </c>
      <c r="B46" s="26" t="s">
        <v>14</v>
      </c>
      <c r="C46" s="25">
        <v>2</v>
      </c>
      <c r="D46" s="24">
        <f t="shared" si="7"/>
        <v>2.85</v>
      </c>
      <c r="E46" s="41">
        <f t="shared" si="4"/>
        <v>0.4</v>
      </c>
      <c r="F46" s="41">
        <f t="shared" si="5"/>
        <v>0.4</v>
      </c>
      <c r="G46" s="41">
        <f t="shared" si="5"/>
        <v>0.4</v>
      </c>
      <c r="H46" s="41"/>
      <c r="I46" s="41">
        <f t="shared" si="6"/>
        <v>0</v>
      </c>
    </row>
    <row r="47" spans="1:9" ht="15.5" hidden="1" x14ac:dyDescent="0.35">
      <c r="A47" s="24">
        <v>2262</v>
      </c>
      <c r="B47" s="26" t="s">
        <v>15</v>
      </c>
      <c r="C47" s="25">
        <v>11</v>
      </c>
      <c r="D47" s="24">
        <f t="shared" si="7"/>
        <v>15.65</v>
      </c>
      <c r="E47" s="41">
        <f t="shared" si="4"/>
        <v>2.17</v>
      </c>
      <c r="F47" s="41">
        <f t="shared" si="5"/>
        <v>2.17</v>
      </c>
      <c r="G47" s="41">
        <f t="shared" si="5"/>
        <v>2.17</v>
      </c>
      <c r="H47" s="41"/>
      <c r="I47" s="41">
        <f t="shared" si="6"/>
        <v>0</v>
      </c>
    </row>
    <row r="48" spans="1:9" ht="15.5" hidden="1" x14ac:dyDescent="0.35">
      <c r="A48" s="24">
        <v>2263</v>
      </c>
      <c r="B48" s="26" t="s">
        <v>16</v>
      </c>
      <c r="C48" s="25">
        <v>40</v>
      </c>
      <c r="D48" s="24">
        <f t="shared" si="7"/>
        <v>56.91</v>
      </c>
      <c r="E48" s="41">
        <f t="shared" si="4"/>
        <v>7.9</v>
      </c>
      <c r="F48" s="41">
        <f t="shared" si="5"/>
        <v>7.9</v>
      </c>
      <c r="G48" s="41">
        <f t="shared" si="5"/>
        <v>7.9</v>
      </c>
      <c r="H48" s="41"/>
      <c r="I48" s="41">
        <f t="shared" si="6"/>
        <v>0</v>
      </c>
    </row>
    <row r="49" spans="1:9" ht="15.5" hidden="1" x14ac:dyDescent="0.35">
      <c r="A49" s="24">
        <v>2264</v>
      </c>
      <c r="B49" s="26" t="s">
        <v>17</v>
      </c>
      <c r="C49" s="25">
        <v>0</v>
      </c>
      <c r="D49" s="24">
        <f t="shared" si="7"/>
        <v>0</v>
      </c>
      <c r="E49" s="41">
        <f t="shared" si="4"/>
        <v>0</v>
      </c>
      <c r="F49" s="41">
        <f t="shared" si="5"/>
        <v>0</v>
      </c>
      <c r="G49" s="41">
        <f t="shared" si="5"/>
        <v>0</v>
      </c>
      <c r="H49" s="41"/>
      <c r="I49" s="41">
        <f t="shared" si="6"/>
        <v>0</v>
      </c>
    </row>
    <row r="50" spans="1:9" ht="15.5" hidden="1" x14ac:dyDescent="0.35">
      <c r="A50" s="24">
        <v>2279</v>
      </c>
      <c r="B50" s="26" t="s">
        <v>18</v>
      </c>
      <c r="C50" s="25">
        <v>44.62</v>
      </c>
      <c r="D50" s="24">
        <f t="shared" si="7"/>
        <v>63.49</v>
      </c>
      <c r="E50" s="41">
        <f t="shared" si="4"/>
        <v>8.82</v>
      </c>
      <c r="F50" s="41">
        <f t="shared" si="5"/>
        <v>8.82</v>
      </c>
      <c r="G50" s="41">
        <f t="shared" si="5"/>
        <v>8.82</v>
      </c>
      <c r="H50" s="41"/>
      <c r="I50" s="41">
        <f t="shared" si="6"/>
        <v>0</v>
      </c>
    </row>
    <row r="51" spans="1:9" ht="15.5" hidden="1" x14ac:dyDescent="0.35">
      <c r="A51" s="24">
        <v>2311</v>
      </c>
      <c r="B51" s="26" t="s">
        <v>19</v>
      </c>
      <c r="C51" s="25">
        <v>4</v>
      </c>
      <c r="D51" s="24">
        <f t="shared" si="7"/>
        <v>5.69</v>
      </c>
      <c r="E51" s="41">
        <f t="shared" si="4"/>
        <v>0.79</v>
      </c>
      <c r="F51" s="41">
        <f t="shared" si="5"/>
        <v>0.79</v>
      </c>
      <c r="G51" s="41">
        <f t="shared" si="5"/>
        <v>0.79</v>
      </c>
      <c r="H51" s="41"/>
      <c r="I51" s="41">
        <f t="shared" si="6"/>
        <v>0</v>
      </c>
    </row>
    <row r="52" spans="1:9" ht="15.5" x14ac:dyDescent="0.35">
      <c r="A52" s="24">
        <v>2312</v>
      </c>
      <c r="B52" s="26" t="s">
        <v>95</v>
      </c>
      <c r="C52" s="25">
        <v>7</v>
      </c>
      <c r="D52" s="24">
        <f t="shared" si="7"/>
        <v>9.9600000000000009</v>
      </c>
      <c r="E52" s="41">
        <f t="shared" si="4"/>
        <v>1.38</v>
      </c>
      <c r="F52" s="41">
        <f t="shared" si="5"/>
        <v>1.38</v>
      </c>
      <c r="G52" s="41">
        <f t="shared" si="5"/>
        <v>1.38</v>
      </c>
      <c r="H52" s="41">
        <v>2.09</v>
      </c>
      <c r="I52" s="41">
        <v>2.09</v>
      </c>
    </row>
    <row r="53" spans="1:9" ht="15.5" hidden="1" x14ac:dyDescent="0.35">
      <c r="A53" s="24">
        <v>2321</v>
      </c>
      <c r="B53" s="26" t="s">
        <v>21</v>
      </c>
      <c r="C53" s="25">
        <v>793</v>
      </c>
      <c r="D53" s="24">
        <f t="shared" si="7"/>
        <v>1128.3399999999999</v>
      </c>
      <c r="E53" s="41">
        <f t="shared" si="4"/>
        <v>156.71</v>
      </c>
      <c r="F53" s="41">
        <f t="shared" si="5"/>
        <v>156.71</v>
      </c>
      <c r="G53" s="41">
        <f t="shared" si="5"/>
        <v>156.71</v>
      </c>
      <c r="H53" s="41"/>
      <c r="I53" s="41">
        <f t="shared" ref="I53:I63" si="8">H53/260*60</f>
        <v>0</v>
      </c>
    </row>
    <row r="54" spans="1:9" ht="15.5" hidden="1" x14ac:dyDescent="0.35">
      <c r="A54" s="24">
        <v>2322</v>
      </c>
      <c r="B54" s="26" t="s">
        <v>22</v>
      </c>
      <c r="C54" s="25">
        <v>29</v>
      </c>
      <c r="D54" s="24">
        <f t="shared" si="7"/>
        <v>41.26</v>
      </c>
      <c r="E54" s="41">
        <f t="shared" si="4"/>
        <v>5.73</v>
      </c>
      <c r="F54" s="41">
        <v>4.84</v>
      </c>
      <c r="G54" s="41">
        <f t="shared" si="5"/>
        <v>4.84</v>
      </c>
      <c r="H54" s="41"/>
      <c r="I54" s="41">
        <f t="shared" si="8"/>
        <v>0</v>
      </c>
    </row>
    <row r="55" spans="1:9" ht="15.5" hidden="1" x14ac:dyDescent="0.35">
      <c r="A55" s="24">
        <v>2341</v>
      </c>
      <c r="B55" s="26" t="s">
        <v>23</v>
      </c>
      <c r="C55" s="25">
        <v>0</v>
      </c>
      <c r="D55" s="24">
        <f t="shared" si="7"/>
        <v>0</v>
      </c>
      <c r="E55" s="41">
        <f t="shared" si="4"/>
        <v>0</v>
      </c>
      <c r="F55" s="41">
        <f t="shared" si="5"/>
        <v>0</v>
      </c>
      <c r="G55" s="41">
        <f t="shared" si="5"/>
        <v>0</v>
      </c>
      <c r="H55" s="41"/>
      <c r="I55" s="41">
        <f t="shared" si="8"/>
        <v>0</v>
      </c>
    </row>
    <row r="56" spans="1:9" ht="15.5" hidden="1" x14ac:dyDescent="0.35">
      <c r="A56" s="24">
        <v>2344</v>
      </c>
      <c r="B56" s="26" t="s">
        <v>24</v>
      </c>
      <c r="C56" s="25">
        <v>0</v>
      </c>
      <c r="D56" s="24">
        <f t="shared" si="7"/>
        <v>0</v>
      </c>
      <c r="E56" s="41">
        <f t="shared" si="4"/>
        <v>0</v>
      </c>
      <c r="F56" s="41">
        <f t="shared" si="5"/>
        <v>0</v>
      </c>
      <c r="G56" s="41">
        <f t="shared" si="5"/>
        <v>0</v>
      </c>
      <c r="H56" s="41"/>
      <c r="I56" s="41">
        <f t="shared" si="8"/>
        <v>0</v>
      </c>
    </row>
    <row r="57" spans="1:9" ht="15.5" hidden="1" x14ac:dyDescent="0.35">
      <c r="A57" s="24">
        <v>2350</v>
      </c>
      <c r="B57" s="26" t="s">
        <v>25</v>
      </c>
      <c r="C57" s="25">
        <v>39</v>
      </c>
      <c r="D57" s="24">
        <f t="shared" si="7"/>
        <v>55.49</v>
      </c>
      <c r="E57" s="41">
        <f t="shared" si="4"/>
        <v>7.71</v>
      </c>
      <c r="F57" s="41">
        <f t="shared" si="5"/>
        <v>7.71</v>
      </c>
      <c r="G57" s="41">
        <f t="shared" si="5"/>
        <v>7.71</v>
      </c>
      <c r="H57" s="41"/>
      <c r="I57" s="41">
        <f t="shared" si="8"/>
        <v>0</v>
      </c>
    </row>
    <row r="58" spans="1:9" ht="15.5" hidden="1" x14ac:dyDescent="0.35">
      <c r="A58" s="24">
        <v>2361</v>
      </c>
      <c r="B58" s="26" t="s">
        <v>26</v>
      </c>
      <c r="C58" s="25">
        <v>1</v>
      </c>
      <c r="D58" s="24">
        <f t="shared" si="7"/>
        <v>1.42</v>
      </c>
      <c r="E58" s="41">
        <f t="shared" si="4"/>
        <v>0.2</v>
      </c>
      <c r="F58" s="41">
        <f t="shared" si="5"/>
        <v>0.2</v>
      </c>
      <c r="G58" s="41">
        <f t="shared" si="5"/>
        <v>0.2</v>
      </c>
      <c r="H58" s="41"/>
      <c r="I58" s="41">
        <f t="shared" si="8"/>
        <v>0</v>
      </c>
    </row>
    <row r="59" spans="1:9" ht="15.5" hidden="1" x14ac:dyDescent="0.35">
      <c r="A59" s="24">
        <v>2362</v>
      </c>
      <c r="B59" s="26" t="s">
        <v>27</v>
      </c>
      <c r="C59" s="25"/>
      <c r="D59" s="24">
        <f t="shared" si="7"/>
        <v>0</v>
      </c>
      <c r="E59" s="41">
        <f t="shared" si="4"/>
        <v>0</v>
      </c>
      <c r="F59" s="41">
        <f t="shared" si="5"/>
        <v>0</v>
      </c>
      <c r="G59" s="41">
        <f t="shared" si="5"/>
        <v>0</v>
      </c>
      <c r="H59" s="41"/>
      <c r="I59" s="41">
        <f t="shared" si="8"/>
        <v>0</v>
      </c>
    </row>
    <row r="60" spans="1:9" ht="15.5" hidden="1" x14ac:dyDescent="0.35">
      <c r="A60" s="24">
        <v>2363</v>
      </c>
      <c r="B60" s="26" t="s">
        <v>28</v>
      </c>
      <c r="C60" s="25"/>
      <c r="D60" s="24">
        <f t="shared" si="7"/>
        <v>0</v>
      </c>
      <c r="E60" s="41">
        <f t="shared" si="4"/>
        <v>0</v>
      </c>
      <c r="F60" s="41">
        <f t="shared" si="5"/>
        <v>0</v>
      </c>
      <c r="G60" s="41">
        <f t="shared" si="5"/>
        <v>0</v>
      </c>
      <c r="H60" s="41"/>
      <c r="I60" s="41">
        <f t="shared" si="8"/>
        <v>0</v>
      </c>
    </row>
    <row r="61" spans="1:9" ht="15.5" hidden="1" x14ac:dyDescent="0.35">
      <c r="A61" s="24">
        <v>2370</v>
      </c>
      <c r="B61" s="26" t="s">
        <v>29</v>
      </c>
      <c r="C61" s="25"/>
      <c r="D61" s="24">
        <f t="shared" si="7"/>
        <v>0</v>
      </c>
      <c r="E61" s="41">
        <f t="shared" si="4"/>
        <v>0</v>
      </c>
      <c r="F61" s="41">
        <f t="shared" si="5"/>
        <v>0</v>
      </c>
      <c r="G61" s="41">
        <f t="shared" si="5"/>
        <v>0</v>
      </c>
      <c r="H61" s="41"/>
      <c r="I61" s="41">
        <f t="shared" si="8"/>
        <v>0</v>
      </c>
    </row>
    <row r="62" spans="1:9" ht="15.5" hidden="1" x14ac:dyDescent="0.35">
      <c r="A62" s="24">
        <v>2400</v>
      </c>
      <c r="B62" s="26" t="s">
        <v>43</v>
      </c>
      <c r="C62" s="25">
        <v>1</v>
      </c>
      <c r="D62" s="24">
        <f t="shared" si="7"/>
        <v>1.42</v>
      </c>
      <c r="E62" s="41">
        <f t="shared" si="4"/>
        <v>0.2</v>
      </c>
      <c r="F62" s="41">
        <f t="shared" si="5"/>
        <v>0.2</v>
      </c>
      <c r="G62" s="41">
        <f t="shared" si="5"/>
        <v>0.2</v>
      </c>
      <c r="H62" s="41"/>
      <c r="I62" s="41">
        <f t="shared" si="8"/>
        <v>0</v>
      </c>
    </row>
    <row r="63" spans="1:9" ht="15.5" hidden="1" x14ac:dyDescent="0.35">
      <c r="A63" s="24">
        <v>2512</v>
      </c>
      <c r="B63" s="26" t="s">
        <v>30</v>
      </c>
      <c r="C63" s="25">
        <v>1083.49</v>
      </c>
      <c r="D63" s="24">
        <v>1543.24</v>
      </c>
      <c r="E63" s="41">
        <f t="shared" si="4"/>
        <v>214.34</v>
      </c>
      <c r="F63" s="41">
        <v>223.02</v>
      </c>
      <c r="G63" s="41">
        <f t="shared" si="5"/>
        <v>223.02</v>
      </c>
      <c r="H63" s="41">
        <v>0</v>
      </c>
      <c r="I63" s="41">
        <f t="shared" si="8"/>
        <v>0</v>
      </c>
    </row>
    <row r="64" spans="1:9" ht="15.5" hidden="1" x14ac:dyDescent="0.35">
      <c r="A64" s="42">
        <v>2513</v>
      </c>
      <c r="B64" s="26" t="s">
        <v>31</v>
      </c>
      <c r="C64" s="25">
        <v>28</v>
      </c>
      <c r="D64" s="24">
        <f t="shared" si="7"/>
        <v>39.840000000000003</v>
      </c>
      <c r="E64" s="41">
        <f t="shared" si="4"/>
        <v>5.53</v>
      </c>
      <c r="F64" s="41">
        <f t="shared" si="5"/>
        <v>5.53</v>
      </c>
      <c r="G64" s="41">
        <f t="shared" si="5"/>
        <v>5.53</v>
      </c>
      <c r="H64" s="41"/>
      <c r="I64" s="41"/>
    </row>
    <row r="65" spans="1:11" ht="15.5" hidden="1" x14ac:dyDescent="0.35">
      <c r="A65" s="42">
        <v>2515</v>
      </c>
      <c r="B65" s="26" t="s">
        <v>73</v>
      </c>
      <c r="C65" s="25">
        <v>1</v>
      </c>
      <c r="D65" s="24">
        <f t="shared" si="7"/>
        <v>1.42</v>
      </c>
      <c r="E65" s="41">
        <f t="shared" si="4"/>
        <v>0.2</v>
      </c>
      <c r="F65" s="41">
        <f t="shared" si="5"/>
        <v>0.2</v>
      </c>
      <c r="G65" s="41">
        <f t="shared" si="5"/>
        <v>0.2</v>
      </c>
      <c r="H65" s="41"/>
      <c r="I65" s="41"/>
    </row>
    <row r="66" spans="1:11" ht="15.5" hidden="1" x14ac:dyDescent="0.35">
      <c r="A66" s="42">
        <v>2519</v>
      </c>
      <c r="B66" s="26" t="s">
        <v>34</v>
      </c>
      <c r="C66" s="25">
        <v>8</v>
      </c>
      <c r="D66" s="24">
        <f t="shared" si="7"/>
        <v>11.38</v>
      </c>
      <c r="E66" s="41">
        <f t="shared" si="4"/>
        <v>1.58</v>
      </c>
      <c r="F66" s="41">
        <f t="shared" si="5"/>
        <v>1.58</v>
      </c>
      <c r="G66" s="41">
        <f t="shared" si="5"/>
        <v>1.58</v>
      </c>
      <c r="H66" s="41"/>
      <c r="I66" s="41"/>
    </row>
    <row r="67" spans="1:11" ht="15.5" hidden="1" x14ac:dyDescent="0.35">
      <c r="A67" s="42">
        <v>6240</v>
      </c>
      <c r="B67" s="26"/>
      <c r="C67" s="25"/>
      <c r="D67" s="24">
        <f t="shared" si="7"/>
        <v>0</v>
      </c>
      <c r="E67" s="41">
        <f t="shared" si="4"/>
        <v>0</v>
      </c>
      <c r="F67" s="41">
        <f t="shared" si="5"/>
        <v>0</v>
      </c>
      <c r="G67" s="41">
        <f t="shared" si="5"/>
        <v>0</v>
      </c>
      <c r="H67" s="41"/>
      <c r="I67" s="41"/>
    </row>
    <row r="68" spans="1:11" ht="15.5" hidden="1" x14ac:dyDescent="0.35">
      <c r="A68" s="42">
        <v>6290</v>
      </c>
      <c r="B68" s="26"/>
      <c r="C68" s="25"/>
      <c r="D68" s="24">
        <f t="shared" si="7"/>
        <v>0</v>
      </c>
      <c r="E68" s="41">
        <f t="shared" si="4"/>
        <v>0</v>
      </c>
      <c r="F68" s="41">
        <f t="shared" si="5"/>
        <v>0</v>
      </c>
      <c r="G68" s="41">
        <f t="shared" si="5"/>
        <v>0</v>
      </c>
      <c r="H68" s="41"/>
      <c r="I68" s="41"/>
    </row>
    <row r="69" spans="1:11" ht="15.5" hidden="1" x14ac:dyDescent="0.35">
      <c r="A69" s="42">
        <v>5121</v>
      </c>
      <c r="B69" s="26" t="s">
        <v>32</v>
      </c>
      <c r="C69" s="25">
        <v>5</v>
      </c>
      <c r="D69" s="24">
        <f t="shared" si="7"/>
        <v>7.11</v>
      </c>
      <c r="E69" s="41">
        <f t="shared" si="4"/>
        <v>0.99</v>
      </c>
      <c r="F69" s="41">
        <f t="shared" si="5"/>
        <v>0.99</v>
      </c>
      <c r="G69" s="41">
        <f t="shared" si="5"/>
        <v>0.99</v>
      </c>
      <c r="H69" s="41"/>
      <c r="I69" s="41"/>
    </row>
    <row r="70" spans="1:11" ht="15.5" hidden="1" x14ac:dyDescent="0.35">
      <c r="A70" s="42">
        <v>5232</v>
      </c>
      <c r="B70" s="26" t="s">
        <v>33</v>
      </c>
      <c r="C70" s="25">
        <v>0</v>
      </c>
      <c r="D70" s="24">
        <f t="shared" si="7"/>
        <v>0</v>
      </c>
      <c r="E70" s="41">
        <f t="shared" si="4"/>
        <v>0</v>
      </c>
      <c r="F70" s="41">
        <f t="shared" si="5"/>
        <v>0</v>
      </c>
      <c r="G70" s="41">
        <v>4.2699999999999996</v>
      </c>
      <c r="H70" s="41"/>
      <c r="I70" s="41"/>
    </row>
    <row r="71" spans="1:11" ht="15.5" hidden="1" x14ac:dyDescent="0.35">
      <c r="A71" s="42">
        <v>5238</v>
      </c>
      <c r="B71" s="26" t="s">
        <v>35</v>
      </c>
      <c r="C71" s="25">
        <v>0</v>
      </c>
      <c r="D71" s="24">
        <f t="shared" si="7"/>
        <v>0</v>
      </c>
      <c r="E71" s="41">
        <f t="shared" si="4"/>
        <v>0</v>
      </c>
      <c r="F71" s="41">
        <f t="shared" si="5"/>
        <v>0</v>
      </c>
      <c r="G71" s="41">
        <f t="shared" si="5"/>
        <v>0</v>
      </c>
      <c r="H71" s="41"/>
      <c r="I71" s="41"/>
    </row>
    <row r="72" spans="1:11" ht="15.5" hidden="1" x14ac:dyDescent="0.35">
      <c r="A72" s="42">
        <v>5240</v>
      </c>
      <c r="B72" s="26" t="s">
        <v>36</v>
      </c>
      <c r="C72" s="25">
        <v>1</v>
      </c>
      <c r="D72" s="24">
        <v>4.62</v>
      </c>
      <c r="E72" s="41">
        <f t="shared" si="4"/>
        <v>0.64</v>
      </c>
      <c r="F72" s="41">
        <v>0.65</v>
      </c>
      <c r="G72" s="41">
        <f>F72</f>
        <v>0.65</v>
      </c>
      <c r="H72" s="41"/>
      <c r="I72" s="41"/>
    </row>
    <row r="73" spans="1:11" ht="15.5" hidden="1" x14ac:dyDescent="0.35">
      <c r="A73" s="42">
        <v>5250</v>
      </c>
      <c r="B73" s="26" t="s">
        <v>37</v>
      </c>
      <c r="C73" s="25">
        <v>0</v>
      </c>
      <c r="D73" s="24">
        <f t="shared" si="7"/>
        <v>0</v>
      </c>
      <c r="E73" s="41">
        <v>0</v>
      </c>
      <c r="F73" s="41">
        <f>E73/1800*250</f>
        <v>0</v>
      </c>
      <c r="G73" s="41">
        <f>F73</f>
        <v>0</v>
      </c>
      <c r="H73" s="41"/>
      <c r="I73" s="41"/>
    </row>
    <row r="74" spans="1:11" ht="15.5" x14ac:dyDescent="0.3">
      <c r="A74" s="44"/>
      <c r="B74" s="31" t="s">
        <v>74</v>
      </c>
      <c r="C74" s="29">
        <f t="shared" ref="C74:H74" si="9">SUM(C30:C73)</f>
        <v>3484.51</v>
      </c>
      <c r="D74" s="43">
        <f t="shared" si="9"/>
        <v>4962.7599999999993</v>
      </c>
      <c r="E74" s="43">
        <f t="shared" si="9"/>
        <v>689.28</v>
      </c>
      <c r="F74" s="43">
        <f t="shared" si="9"/>
        <v>700.84999999999991</v>
      </c>
      <c r="G74" s="43">
        <f t="shared" si="9"/>
        <v>705.11999999999989</v>
      </c>
      <c r="H74" s="43">
        <f t="shared" si="9"/>
        <v>8.0399999999999991</v>
      </c>
      <c r="I74" s="43">
        <f>SUM(I30:I73)</f>
        <v>14.35</v>
      </c>
      <c r="J74" s="104"/>
      <c r="K74" s="105"/>
    </row>
    <row r="75" spans="1:11" ht="15.5" x14ac:dyDescent="0.35">
      <c r="A75" s="23"/>
      <c r="B75" s="31" t="s">
        <v>75</v>
      </c>
      <c r="C75" s="29">
        <f t="shared" ref="C75:H75" si="10">C74+C28</f>
        <v>6278</v>
      </c>
      <c r="D75" s="43">
        <f t="shared" si="10"/>
        <v>8937.5299999999988</v>
      </c>
      <c r="E75" s="43">
        <f t="shared" si="10"/>
        <v>1241.32</v>
      </c>
      <c r="F75" s="43">
        <f t="shared" si="10"/>
        <v>1291.3199999999997</v>
      </c>
      <c r="G75" s="43">
        <f t="shared" si="10"/>
        <v>1456.3199999999997</v>
      </c>
      <c r="H75" s="43">
        <f t="shared" si="10"/>
        <v>31.199999999999996</v>
      </c>
      <c r="I75" s="43">
        <f>I74+I28</f>
        <v>54.6</v>
      </c>
    </row>
    <row r="76" spans="1:11" ht="15.5" x14ac:dyDescent="0.35">
      <c r="A76" s="9"/>
      <c r="B76" s="32"/>
      <c r="C76" s="33"/>
      <c r="D76" s="33"/>
      <c r="E76" s="55"/>
      <c r="F76" s="55"/>
      <c r="G76" s="55"/>
      <c r="H76" s="55"/>
      <c r="I76" s="55"/>
    </row>
    <row r="77" spans="1:11" ht="15.5" x14ac:dyDescent="0.35">
      <c r="A77" s="173" t="s">
        <v>45</v>
      </c>
      <c r="B77" s="174"/>
      <c r="C77" s="65">
        <v>1800</v>
      </c>
      <c r="D77" s="59">
        <v>1800</v>
      </c>
      <c r="E77" s="62">
        <v>250</v>
      </c>
      <c r="F77" s="62">
        <v>250</v>
      </c>
      <c r="G77" s="62">
        <v>250</v>
      </c>
      <c r="H77" s="62">
        <v>260</v>
      </c>
      <c r="I77" s="62">
        <v>260</v>
      </c>
    </row>
    <row r="78" spans="1:11" ht="15.5" x14ac:dyDescent="0.35">
      <c r="A78" s="173" t="s">
        <v>54</v>
      </c>
      <c r="B78" s="174"/>
      <c r="C78" s="67">
        <f>C75/C77</f>
        <v>3.4877777777777776</v>
      </c>
      <c r="D78" s="61">
        <f>ROUND(D75/D77,2)</f>
        <v>4.97</v>
      </c>
      <c r="E78" s="60">
        <f>E75/E77</f>
        <v>4.9652799999999999</v>
      </c>
      <c r="F78" s="60">
        <f>F75/F77</f>
        <v>5.1652799999999992</v>
      </c>
      <c r="G78" s="60">
        <f>G75/G77</f>
        <v>5.8252799999999985</v>
      </c>
      <c r="H78" s="60">
        <f>H75/H77</f>
        <v>0.11999999999999998</v>
      </c>
      <c r="I78" s="60">
        <f>I75/I77</f>
        <v>0.21</v>
      </c>
    </row>
    <row r="79" spans="1:11" ht="15.5" x14ac:dyDescent="0.35">
      <c r="A79" s="63"/>
      <c r="B79" s="66"/>
      <c r="C79" s="66"/>
      <c r="D79" s="64"/>
      <c r="E79" s="66"/>
      <c r="F79" s="66"/>
      <c r="G79" s="66"/>
      <c r="H79" s="66"/>
      <c r="I79" s="66"/>
    </row>
    <row r="80" spans="1:11" ht="15.5" x14ac:dyDescent="0.35">
      <c r="A80" s="171" t="s">
        <v>62</v>
      </c>
      <c r="B80" s="172"/>
      <c r="C80" s="49"/>
      <c r="D80" s="34"/>
      <c r="E80" s="56"/>
      <c r="F80" s="56"/>
      <c r="G80" s="56"/>
      <c r="H80" s="56"/>
      <c r="I80" s="56"/>
    </row>
    <row r="81" spans="1:9" ht="15.5" x14ac:dyDescent="0.35">
      <c r="A81" s="171" t="s">
        <v>63</v>
      </c>
      <c r="B81" s="172"/>
      <c r="C81" s="49"/>
      <c r="D81" s="29"/>
      <c r="E81" s="56"/>
      <c r="F81" s="56"/>
      <c r="G81" s="56"/>
      <c r="H81" s="56"/>
      <c r="I81" s="56"/>
    </row>
    <row r="82" spans="1:9" ht="15.5" x14ac:dyDescent="0.35">
      <c r="A82" s="36"/>
      <c r="B82" s="11"/>
      <c r="C82" s="11"/>
      <c r="D82" s="11"/>
      <c r="E82" s="57"/>
      <c r="F82" s="10"/>
      <c r="G82" s="10"/>
      <c r="H82" s="10"/>
      <c r="I82" s="10"/>
    </row>
    <row r="83" spans="1:9" ht="15.5" x14ac:dyDescent="0.35">
      <c r="A83" s="37" t="s">
        <v>46</v>
      </c>
      <c r="B83" s="37"/>
      <c r="C83" s="37"/>
      <c r="D83" s="37"/>
      <c r="E83" s="37"/>
      <c r="F83" s="37"/>
      <c r="G83" s="37"/>
      <c r="H83" s="37"/>
      <c r="I83" s="37"/>
    </row>
    <row r="84" spans="1:9" ht="15.5" x14ac:dyDescent="0.35">
      <c r="A84" s="37"/>
      <c r="B84" s="37"/>
      <c r="C84" s="37"/>
      <c r="D84" s="37"/>
      <c r="E84" s="37"/>
      <c r="F84" s="37"/>
      <c r="G84" s="37"/>
      <c r="H84" s="37"/>
      <c r="I84" s="106"/>
    </row>
    <row r="85" spans="1:9" ht="15.5" x14ac:dyDescent="0.35">
      <c r="A85" s="37" t="s">
        <v>134</v>
      </c>
      <c r="B85" s="38"/>
      <c r="C85" s="38"/>
      <c r="D85" s="38"/>
      <c r="E85" s="37"/>
      <c r="F85" s="37"/>
      <c r="G85" s="37"/>
      <c r="H85" s="37"/>
      <c r="I85" s="37"/>
    </row>
    <row r="86" spans="1:9" ht="15.5" x14ac:dyDescent="0.35">
      <c r="A86" s="37"/>
      <c r="B86" s="39"/>
      <c r="C86" s="39"/>
      <c r="D86" s="39"/>
      <c r="E86" s="37"/>
      <c r="F86" s="37"/>
      <c r="G86" s="37"/>
      <c r="H86" s="37"/>
      <c r="I86" s="37"/>
    </row>
    <row r="87" spans="1:9" x14ac:dyDescent="0.3">
      <c r="F87" s="1"/>
      <c r="G87" s="1"/>
      <c r="H87" s="1"/>
      <c r="I87" s="1"/>
    </row>
  </sheetData>
  <mergeCells count="14">
    <mergeCell ref="A80:B80"/>
    <mergeCell ref="A81:B81"/>
    <mergeCell ref="A10:E10"/>
    <mergeCell ref="B11:E11"/>
    <mergeCell ref="B12:E12"/>
    <mergeCell ref="B13:E13"/>
    <mergeCell ref="A77:B77"/>
    <mergeCell ref="A78:B78"/>
    <mergeCell ref="A9:E9"/>
    <mergeCell ref="B1:F1"/>
    <mergeCell ref="B5:F5"/>
    <mergeCell ref="B6:F6"/>
    <mergeCell ref="A7:H7"/>
    <mergeCell ref="B8:E8"/>
  </mergeCells>
  <pageMargins left="0.7" right="0.7" top="0.75" bottom="0.75" header="0.3" footer="0.3"/>
  <pageSetup paperSize="9" scale="62" fitToHeight="0" orientation="portrait" r:id="rId1"/>
  <headerFooter>
    <oddFooter>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64"/>
  <sheetViews>
    <sheetView view="pageLayout" zoomScale="80" zoomScaleNormal="90" zoomScalePageLayoutView="80" workbookViewId="0">
      <selection activeCell="D5" sqref="D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181</v>
      </c>
      <c r="C12" s="5"/>
      <c r="D12" s="10"/>
    </row>
    <row r="13" spans="1:4" ht="15.5" x14ac:dyDescent="0.25">
      <c r="A13" s="5"/>
      <c r="B13" s="160" t="s">
        <v>183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27" customHeight="1" x14ac:dyDescent="0.35">
      <c r="A19" s="42">
        <v>1100</v>
      </c>
      <c r="B19" s="24" t="s">
        <v>83</v>
      </c>
      <c r="C19" s="24"/>
      <c r="D19" s="41">
        <v>19.04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4.49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hidden="1" x14ac:dyDescent="0.35">
      <c r="A22" s="42">
        <v>2243</v>
      </c>
      <c r="B22" s="26" t="s">
        <v>76</v>
      </c>
      <c r="C22" s="26"/>
      <c r="D22" s="41">
        <v>0</v>
      </c>
    </row>
    <row r="23" spans="1:4" ht="15.5" hidden="1" x14ac:dyDescent="0.35">
      <c r="A23" s="42">
        <v>2250</v>
      </c>
      <c r="B23" s="21" t="s">
        <v>110</v>
      </c>
      <c r="C23" s="21"/>
      <c r="D23" s="41">
        <v>0</v>
      </c>
    </row>
    <row r="24" spans="1:4" ht="15.5" x14ac:dyDescent="0.35">
      <c r="A24" s="24">
        <v>2311</v>
      </c>
      <c r="B24" s="26" t="s">
        <v>114</v>
      </c>
      <c r="C24" s="26"/>
      <c r="D24" s="41">
        <v>0.5</v>
      </c>
    </row>
    <row r="25" spans="1:4" ht="15.5" x14ac:dyDescent="0.35">
      <c r="A25" s="24">
        <v>2370</v>
      </c>
      <c r="B25" s="10" t="s">
        <v>131</v>
      </c>
      <c r="C25" s="26"/>
      <c r="D25" s="41">
        <v>17.850000000000001</v>
      </c>
    </row>
    <row r="26" spans="1:4" ht="15.5" x14ac:dyDescent="0.3">
      <c r="A26" s="42"/>
      <c r="B26" s="28" t="s">
        <v>69</v>
      </c>
      <c r="C26" s="28"/>
      <c r="D26" s="43">
        <f>SUM(D19:D25)</f>
        <v>41.88</v>
      </c>
    </row>
    <row r="27" spans="1:4" ht="15.5" x14ac:dyDescent="0.35">
      <c r="A27" s="44"/>
      <c r="B27" s="24" t="s">
        <v>70</v>
      </c>
      <c r="C27" s="24"/>
      <c r="D27" s="41"/>
    </row>
    <row r="28" spans="1:4" ht="15.5" x14ac:dyDescent="0.35">
      <c r="A28" s="42">
        <v>1100</v>
      </c>
      <c r="B28" s="24" t="s">
        <v>83</v>
      </c>
      <c r="C28" s="102">
        <v>0.51439999999999997</v>
      </c>
      <c r="D28" s="41">
        <v>6.47</v>
      </c>
    </row>
    <row r="29" spans="1:4" ht="15.75" customHeight="1" x14ac:dyDescent="0.3">
      <c r="A29" s="42">
        <v>1200</v>
      </c>
      <c r="B29" s="54" t="s">
        <v>93</v>
      </c>
      <c r="C29" s="102">
        <f>C28*0.2359</f>
        <v>0.12134695999999999</v>
      </c>
      <c r="D29" s="41">
        <v>1.53</v>
      </c>
    </row>
    <row r="30" spans="1:4" ht="15.5" x14ac:dyDescent="0.3">
      <c r="A30" s="42">
        <v>2100</v>
      </c>
      <c r="B30" s="30" t="s">
        <v>42</v>
      </c>
      <c r="C30" s="102">
        <v>8.0999999999999996E-4</v>
      </c>
      <c r="D30" s="41">
        <v>0.01</v>
      </c>
    </row>
    <row r="31" spans="1:4" ht="15.5" x14ac:dyDescent="0.35">
      <c r="A31" s="45">
        <v>2210</v>
      </c>
      <c r="B31" s="26" t="s">
        <v>100</v>
      </c>
      <c r="C31" s="102">
        <v>8.0000000000000002E-3</v>
      </c>
      <c r="D31" s="41">
        <v>0.1</v>
      </c>
    </row>
    <row r="32" spans="1:4" ht="15.5" x14ac:dyDescent="0.35">
      <c r="A32" s="42">
        <v>2222</v>
      </c>
      <c r="B32" s="26" t="s">
        <v>101</v>
      </c>
      <c r="C32" s="102">
        <v>4.4400000000000004E-3</v>
      </c>
      <c r="D32" s="41">
        <v>0.06</v>
      </c>
    </row>
    <row r="33" spans="1:4" ht="15.5" x14ac:dyDescent="0.35">
      <c r="A33" s="42">
        <v>2223</v>
      </c>
      <c r="B33" s="26" t="s">
        <v>94</v>
      </c>
      <c r="C33" s="102">
        <v>5.4940000000000003E-2</v>
      </c>
      <c r="D33" s="41">
        <v>0.69</v>
      </c>
    </row>
    <row r="34" spans="1:4" ht="31" x14ac:dyDescent="0.35">
      <c r="A34" s="42">
        <v>2224</v>
      </c>
      <c r="B34" s="26" t="s">
        <v>102</v>
      </c>
      <c r="C34" s="102">
        <v>3.0899999999999999E-3</v>
      </c>
      <c r="D34" s="41">
        <v>0.04</v>
      </c>
    </row>
    <row r="35" spans="1:4" ht="15.5" x14ac:dyDescent="0.35">
      <c r="A35" s="42">
        <v>2241</v>
      </c>
      <c r="B35" s="26" t="s">
        <v>106</v>
      </c>
      <c r="C35" s="102">
        <v>1.6500000000000001E-2</v>
      </c>
      <c r="D35" s="41">
        <v>0.21</v>
      </c>
    </row>
    <row r="36" spans="1:4" ht="15.5" x14ac:dyDescent="0.35">
      <c r="A36" s="42">
        <v>2242</v>
      </c>
      <c r="B36" s="26" t="s">
        <v>107</v>
      </c>
      <c r="C36" s="102">
        <v>8.4999999999999995E-4</v>
      </c>
      <c r="D36" s="41">
        <v>0.01</v>
      </c>
    </row>
    <row r="37" spans="1:4" ht="15.5" x14ac:dyDescent="0.35">
      <c r="A37" s="42">
        <v>2243</v>
      </c>
      <c r="B37" s="26" t="s">
        <v>76</v>
      </c>
      <c r="C37" s="102">
        <f>0.0004+0.02029</f>
        <v>2.069E-2</v>
      </c>
      <c r="D37" s="41">
        <v>0.26</v>
      </c>
    </row>
    <row r="38" spans="1:4" ht="15.5" x14ac:dyDescent="0.35">
      <c r="A38" s="23">
        <v>2244</v>
      </c>
      <c r="B38" s="26" t="s">
        <v>108</v>
      </c>
      <c r="C38" s="102">
        <v>6.8070000000000006E-2</v>
      </c>
      <c r="D38" s="41">
        <v>0.86</v>
      </c>
    </row>
    <row r="39" spans="1:4" ht="15.5" x14ac:dyDescent="0.35">
      <c r="A39" s="24">
        <v>2250</v>
      </c>
      <c r="B39" s="26" t="s">
        <v>110</v>
      </c>
      <c r="C39" s="102">
        <v>2.8400000000000002E-2</v>
      </c>
      <c r="D39" s="41">
        <v>0.36</v>
      </c>
    </row>
    <row r="40" spans="1:4" ht="15.5" x14ac:dyDescent="0.35">
      <c r="A40" s="24">
        <v>2312</v>
      </c>
      <c r="B40" s="26" t="s">
        <v>95</v>
      </c>
      <c r="C40" s="26">
        <v>2.98E-2</v>
      </c>
      <c r="D40" s="41">
        <v>0.37</v>
      </c>
    </row>
    <row r="41" spans="1:4" ht="15.5" x14ac:dyDescent="0.35">
      <c r="A41" s="24">
        <v>2321</v>
      </c>
      <c r="B41" s="26" t="s">
        <v>96</v>
      </c>
      <c r="C41" s="102">
        <v>6.0220000000000003E-2</v>
      </c>
      <c r="D41" s="41">
        <v>0.76</v>
      </c>
    </row>
    <row r="42" spans="1:4" ht="15.5" x14ac:dyDescent="0.35">
      <c r="A42" s="24">
        <v>2322</v>
      </c>
      <c r="B42" s="26" t="s">
        <v>117</v>
      </c>
      <c r="C42" s="102">
        <v>2.0999999999999999E-3</v>
      </c>
      <c r="D42" s="41">
        <v>0.03</v>
      </c>
    </row>
    <row r="43" spans="1:4" ht="15.5" x14ac:dyDescent="0.35">
      <c r="A43" s="24">
        <v>2350</v>
      </c>
      <c r="B43" s="26" t="s">
        <v>98</v>
      </c>
      <c r="C43" s="26">
        <v>2.5000000000000001E-2</v>
      </c>
      <c r="D43" s="41">
        <v>0.31</v>
      </c>
    </row>
    <row r="44" spans="1:4" ht="15.5" hidden="1" x14ac:dyDescent="0.35">
      <c r="A44" s="24">
        <v>2512</v>
      </c>
      <c r="B44" s="26" t="s">
        <v>30</v>
      </c>
      <c r="C44" s="26"/>
      <c r="D44" s="41">
        <f>C44*12.57</f>
        <v>0</v>
      </c>
    </row>
    <row r="45" spans="1:4" ht="15.5" x14ac:dyDescent="0.35">
      <c r="A45" s="42">
        <v>2513</v>
      </c>
      <c r="B45" s="26" t="s">
        <v>118</v>
      </c>
      <c r="C45" s="102">
        <v>6.3000000000000003E-4</v>
      </c>
      <c r="D45" s="41">
        <v>0.01</v>
      </c>
    </row>
    <row r="46" spans="1:4" ht="15.5" x14ac:dyDescent="0.35">
      <c r="A46" s="42">
        <v>2515</v>
      </c>
      <c r="B46" s="26" t="s">
        <v>73</v>
      </c>
      <c r="C46" s="102">
        <v>2.7499999999999998E-3</v>
      </c>
      <c r="D46" s="41">
        <v>0.03</v>
      </c>
    </row>
    <row r="47" spans="1:4" ht="15.5" x14ac:dyDescent="0.35">
      <c r="A47" s="42">
        <v>2519</v>
      </c>
      <c r="B47" s="26" t="s">
        <v>119</v>
      </c>
      <c r="C47" s="102">
        <v>1.5100000000000001E-3</v>
      </c>
      <c r="D47" s="41">
        <v>0.02</v>
      </c>
    </row>
    <row r="48" spans="1:4" ht="15.5" x14ac:dyDescent="0.35">
      <c r="A48" s="42">
        <v>5238</v>
      </c>
      <c r="B48" s="26" t="s">
        <v>121</v>
      </c>
      <c r="C48" s="102">
        <v>1.65E-3</v>
      </c>
      <c r="D48" s="41">
        <v>0.1</v>
      </c>
    </row>
    <row r="49" spans="1:6" ht="15.5" x14ac:dyDescent="0.35">
      <c r="A49" s="42">
        <v>5239</v>
      </c>
      <c r="B49" s="10" t="s">
        <v>122</v>
      </c>
      <c r="C49" s="102">
        <v>1.9800000000000002E-2</v>
      </c>
      <c r="D49" s="41">
        <v>0.2</v>
      </c>
    </row>
    <row r="50" spans="1:6" ht="15.5" x14ac:dyDescent="0.35">
      <c r="A50" s="42">
        <v>5250</v>
      </c>
      <c r="B50" s="26" t="s">
        <v>123</v>
      </c>
      <c r="C50" s="102">
        <v>1.4999999999999999E-2</v>
      </c>
      <c r="D50" s="41">
        <v>0.19</v>
      </c>
    </row>
    <row r="51" spans="1:6" ht="15.5" x14ac:dyDescent="0.3">
      <c r="A51" s="44"/>
      <c r="B51" s="31" t="s">
        <v>74</v>
      </c>
      <c r="C51" s="31">
        <f>SUM(C28:C50)</f>
        <v>0.99999696000000016</v>
      </c>
      <c r="D51" s="43">
        <f>SUM(D28:D50)</f>
        <v>12.619999999999994</v>
      </c>
      <c r="E51" s="104"/>
      <c r="F51" s="105"/>
    </row>
    <row r="52" spans="1:6" ht="15.5" x14ac:dyDescent="0.35">
      <c r="A52" s="23"/>
      <c r="B52" s="31" t="s">
        <v>75</v>
      </c>
      <c r="C52" s="31">
        <f>C51-1</f>
        <v>-3.0399999998431682E-6</v>
      </c>
      <c r="D52" s="43">
        <f>D51+D26</f>
        <v>54.5</v>
      </c>
    </row>
    <row r="53" spans="1:6" ht="15.5" x14ac:dyDescent="0.35">
      <c r="A53" s="9"/>
      <c r="B53" s="32"/>
      <c r="C53" s="32"/>
      <c r="D53" s="55"/>
    </row>
    <row r="54" spans="1:6" ht="15.5" x14ac:dyDescent="0.35">
      <c r="A54" s="173" t="s">
        <v>45</v>
      </c>
      <c r="B54" s="174"/>
      <c r="C54" s="115"/>
      <c r="D54" s="62">
        <v>5</v>
      </c>
    </row>
    <row r="55" spans="1:6" ht="15.5" x14ac:dyDescent="0.35">
      <c r="A55" s="173" t="s">
        <v>54</v>
      </c>
      <c r="B55" s="174"/>
      <c r="C55" s="115"/>
      <c r="D55" s="60">
        <f>D52/D54</f>
        <v>10.9</v>
      </c>
    </row>
    <row r="56" spans="1:6" ht="15.5" x14ac:dyDescent="0.35">
      <c r="A56" s="63"/>
      <c r="B56" s="66"/>
      <c r="C56" s="66"/>
      <c r="D56" s="66"/>
    </row>
    <row r="57" spans="1:6" ht="15.5" x14ac:dyDescent="0.35">
      <c r="A57" s="171" t="s">
        <v>62</v>
      </c>
      <c r="B57" s="172"/>
      <c r="C57" s="49"/>
      <c r="D57" s="56"/>
    </row>
    <row r="58" spans="1:6" ht="15.5" x14ac:dyDescent="0.35">
      <c r="A58" s="171" t="s">
        <v>63</v>
      </c>
      <c r="B58" s="172"/>
      <c r="C58" s="49"/>
      <c r="D58" s="56"/>
    </row>
    <row r="59" spans="1:6" ht="15.5" x14ac:dyDescent="0.35">
      <c r="A59" s="36"/>
      <c r="B59" s="11"/>
      <c r="C59" s="11"/>
      <c r="D59" s="75"/>
    </row>
    <row r="60" spans="1:6" ht="15.5" x14ac:dyDescent="0.35">
      <c r="A60" s="37" t="s">
        <v>46</v>
      </c>
      <c r="B60" s="37"/>
      <c r="C60" s="37"/>
      <c r="D60" s="95"/>
    </row>
    <row r="61" spans="1:6" ht="15.5" x14ac:dyDescent="0.35">
      <c r="A61" s="37"/>
      <c r="B61" s="37"/>
      <c r="C61" s="37"/>
      <c r="D61" s="106"/>
    </row>
    <row r="62" spans="1:6" ht="15.5" x14ac:dyDescent="0.35">
      <c r="A62" s="37" t="s">
        <v>134</v>
      </c>
      <c r="B62" s="38"/>
      <c r="C62" s="38"/>
      <c r="D62" s="37"/>
    </row>
    <row r="63" spans="1:6" ht="15.5" x14ac:dyDescent="0.35">
      <c r="A63" s="37"/>
      <c r="B63" s="39"/>
      <c r="C63" s="39"/>
      <c r="D63" s="37"/>
    </row>
    <row r="64" spans="1:6" x14ac:dyDescent="0.3">
      <c r="D64" s="1"/>
    </row>
  </sheetData>
  <mergeCells count="8">
    <mergeCell ref="A7:B7"/>
    <mergeCell ref="A9:B9"/>
    <mergeCell ref="A57:B57"/>
    <mergeCell ref="A58:B58"/>
    <mergeCell ref="B13:D13"/>
    <mergeCell ref="A10:B10"/>
    <mergeCell ref="A54:B54"/>
    <mergeCell ref="A55:B55"/>
  </mergeCells>
  <pageMargins left="0.7" right="0.7" top="0.75" bottom="0.75" header="0.3" footer="0.3"/>
  <pageSetup paperSize="9" scale="62" orientation="portrait" verticalDpi="0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64"/>
  <sheetViews>
    <sheetView view="pageLayout" zoomScale="80" zoomScaleNormal="80" zoomScalePageLayoutView="80" workbookViewId="0">
      <selection activeCell="D5" sqref="D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181</v>
      </c>
      <c r="C12" s="5"/>
      <c r="D12" s="10"/>
    </row>
    <row r="13" spans="1:4" ht="15.5" x14ac:dyDescent="0.25">
      <c r="A13" s="5"/>
      <c r="B13" s="160" t="s">
        <v>185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112.18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26.46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hidden="1" x14ac:dyDescent="0.35">
      <c r="A22" s="42">
        <v>2243</v>
      </c>
      <c r="B22" s="26" t="s">
        <v>76</v>
      </c>
      <c r="C22" s="26"/>
      <c r="D22" s="41">
        <v>0</v>
      </c>
    </row>
    <row r="23" spans="1:4" ht="15.5" hidden="1" x14ac:dyDescent="0.35">
      <c r="A23" s="42">
        <v>2250</v>
      </c>
      <c r="B23" s="21" t="s">
        <v>110</v>
      </c>
      <c r="C23" s="21"/>
      <c r="D23" s="41">
        <v>0</v>
      </c>
    </row>
    <row r="24" spans="1:4" ht="15.5" x14ac:dyDescent="0.35">
      <c r="A24" s="24">
        <v>2311</v>
      </c>
      <c r="B24" s="26" t="s">
        <v>114</v>
      </c>
      <c r="C24" s="26"/>
      <c r="D24" s="41">
        <v>4.5</v>
      </c>
    </row>
    <row r="25" spans="1:4" ht="15.5" x14ac:dyDescent="0.35">
      <c r="A25" s="24">
        <v>2370</v>
      </c>
      <c r="B25" s="10" t="s">
        <v>131</v>
      </c>
      <c r="C25" s="26"/>
      <c r="D25" s="41">
        <v>9.6</v>
      </c>
    </row>
    <row r="26" spans="1:4" ht="15.5" x14ac:dyDescent="0.3">
      <c r="A26" s="42"/>
      <c r="B26" s="28" t="s">
        <v>69</v>
      </c>
      <c r="C26" s="28"/>
      <c r="D26" s="43">
        <f>SUM(D19:D25)</f>
        <v>152.74</v>
      </c>
    </row>
    <row r="27" spans="1:4" ht="15.5" x14ac:dyDescent="0.35">
      <c r="A27" s="44"/>
      <c r="B27" s="24" t="s">
        <v>70</v>
      </c>
      <c r="C27" s="24"/>
      <c r="D27" s="41"/>
    </row>
    <row r="28" spans="1:4" ht="15.5" x14ac:dyDescent="0.35">
      <c r="A28" s="42">
        <v>1100</v>
      </c>
      <c r="B28" s="24" t="s">
        <v>83</v>
      </c>
      <c r="C28" s="102">
        <v>0.51439999999999997</v>
      </c>
      <c r="D28" s="41">
        <v>23.46</v>
      </c>
    </row>
    <row r="29" spans="1:4" ht="15.75" customHeight="1" x14ac:dyDescent="0.3">
      <c r="A29" s="42">
        <v>1200</v>
      </c>
      <c r="B29" s="54" t="s">
        <v>93</v>
      </c>
      <c r="C29" s="102">
        <f>C28*0.2359</f>
        <v>0.12134695999999999</v>
      </c>
      <c r="D29" s="41">
        <v>5.53</v>
      </c>
    </row>
    <row r="30" spans="1:4" ht="15.5" x14ac:dyDescent="0.3">
      <c r="A30" s="42">
        <v>2100</v>
      </c>
      <c r="B30" s="30" t="s">
        <v>42</v>
      </c>
      <c r="C30" s="102">
        <v>8.0999999999999996E-4</v>
      </c>
      <c r="D30" s="41">
        <v>0.04</v>
      </c>
    </row>
    <row r="31" spans="1:4" ht="15.5" x14ac:dyDescent="0.35">
      <c r="A31" s="45">
        <v>2210</v>
      </c>
      <c r="B31" s="26" t="s">
        <v>100</v>
      </c>
      <c r="C31" s="102">
        <v>8.0000000000000002E-3</v>
      </c>
      <c r="D31" s="41">
        <v>0.36</v>
      </c>
    </row>
    <row r="32" spans="1:4" ht="15.5" x14ac:dyDescent="0.35">
      <c r="A32" s="42">
        <v>2222</v>
      </c>
      <c r="B32" s="26" t="s">
        <v>101</v>
      </c>
      <c r="C32" s="102">
        <v>4.4400000000000004E-3</v>
      </c>
      <c r="D32" s="41">
        <v>0.2</v>
      </c>
    </row>
    <row r="33" spans="1:4" ht="15.5" x14ac:dyDescent="0.35">
      <c r="A33" s="42">
        <v>2223</v>
      </c>
      <c r="B33" s="26" t="s">
        <v>94</v>
      </c>
      <c r="C33" s="102">
        <v>5.4940000000000003E-2</v>
      </c>
      <c r="D33" s="41">
        <v>2.75</v>
      </c>
    </row>
    <row r="34" spans="1:4" ht="31" x14ac:dyDescent="0.35">
      <c r="A34" s="42">
        <v>2224</v>
      </c>
      <c r="B34" s="26" t="s">
        <v>102</v>
      </c>
      <c r="C34" s="102">
        <v>3.0899999999999999E-3</v>
      </c>
      <c r="D34" s="41">
        <v>0.14000000000000001</v>
      </c>
    </row>
    <row r="35" spans="1:4" ht="15.5" x14ac:dyDescent="0.35">
      <c r="A35" s="42">
        <v>2241</v>
      </c>
      <c r="B35" s="26" t="s">
        <v>106</v>
      </c>
      <c r="C35" s="102">
        <v>1.6500000000000001E-2</v>
      </c>
      <c r="D35" s="41">
        <v>0.75</v>
      </c>
    </row>
    <row r="36" spans="1:4" ht="15.5" x14ac:dyDescent="0.35">
      <c r="A36" s="42">
        <v>2242</v>
      </c>
      <c r="B36" s="26" t="s">
        <v>107</v>
      </c>
      <c r="C36" s="102">
        <v>8.4999999999999995E-4</v>
      </c>
      <c r="D36" s="41">
        <v>0.04</v>
      </c>
    </row>
    <row r="37" spans="1:4" ht="15.5" x14ac:dyDescent="0.35">
      <c r="A37" s="42">
        <v>2243</v>
      </c>
      <c r="B37" s="26" t="s">
        <v>76</v>
      </c>
      <c r="C37" s="102">
        <f>0.0004+0.02029</f>
        <v>2.069E-2</v>
      </c>
      <c r="D37" s="41">
        <v>1.04</v>
      </c>
    </row>
    <row r="38" spans="1:4" ht="15.5" x14ac:dyDescent="0.35">
      <c r="A38" s="23">
        <v>2244</v>
      </c>
      <c r="B38" s="26" t="s">
        <v>108</v>
      </c>
      <c r="C38" s="102">
        <v>6.8070000000000006E-2</v>
      </c>
      <c r="D38" s="41">
        <v>3.1</v>
      </c>
    </row>
    <row r="39" spans="1:4" ht="15.5" x14ac:dyDescent="0.35">
      <c r="A39" s="24">
        <v>2250</v>
      </c>
      <c r="B39" s="26" t="s">
        <v>110</v>
      </c>
      <c r="C39" s="102">
        <v>2.8400000000000002E-2</v>
      </c>
      <c r="D39" s="41">
        <v>1.3</v>
      </c>
    </row>
    <row r="40" spans="1:4" ht="15.5" x14ac:dyDescent="0.35">
      <c r="A40" s="24">
        <v>2312</v>
      </c>
      <c r="B40" s="26" t="s">
        <v>95</v>
      </c>
      <c r="C40" s="26">
        <v>2.98E-2</v>
      </c>
      <c r="D40" s="41">
        <v>1.36</v>
      </c>
    </row>
    <row r="41" spans="1:4" ht="15.5" x14ac:dyDescent="0.35">
      <c r="A41" s="24">
        <v>2321</v>
      </c>
      <c r="B41" s="26" t="s">
        <v>96</v>
      </c>
      <c r="C41" s="102">
        <v>6.0220000000000003E-2</v>
      </c>
      <c r="D41" s="41">
        <v>2.56</v>
      </c>
    </row>
    <row r="42" spans="1:4" ht="15.5" x14ac:dyDescent="0.35">
      <c r="A42" s="24">
        <v>2322</v>
      </c>
      <c r="B42" s="26" t="s">
        <v>117</v>
      </c>
      <c r="C42" s="102">
        <v>2.0999999999999999E-3</v>
      </c>
      <c r="D42" s="41">
        <v>0.1</v>
      </c>
    </row>
    <row r="43" spans="1:4" ht="15.5" x14ac:dyDescent="0.35">
      <c r="A43" s="24">
        <v>2350</v>
      </c>
      <c r="B43" s="26" t="s">
        <v>98</v>
      </c>
      <c r="C43" s="26">
        <v>2.5000000000000001E-2</v>
      </c>
      <c r="D43" s="41">
        <v>1.1399999999999999</v>
      </c>
    </row>
    <row r="44" spans="1:4" ht="15.5" hidden="1" x14ac:dyDescent="0.35">
      <c r="A44" s="24">
        <v>2512</v>
      </c>
      <c r="B44" s="26" t="s">
        <v>30</v>
      </c>
      <c r="C44" s="26"/>
      <c r="D44" s="41">
        <f>C44*$D$27</f>
        <v>0</v>
      </c>
    </row>
    <row r="45" spans="1:4" ht="15.5" x14ac:dyDescent="0.35">
      <c r="A45" s="42">
        <v>2513</v>
      </c>
      <c r="B45" s="26" t="s">
        <v>118</v>
      </c>
      <c r="C45" s="102">
        <v>6.3000000000000003E-4</v>
      </c>
      <c r="D45" s="41">
        <v>0.03</v>
      </c>
    </row>
    <row r="46" spans="1:4" ht="15.5" x14ac:dyDescent="0.35">
      <c r="A46" s="42">
        <v>2515</v>
      </c>
      <c r="B46" s="26" t="s">
        <v>73</v>
      </c>
      <c r="C46" s="102">
        <v>2.7499999999999998E-3</v>
      </c>
      <c r="D46" s="41">
        <v>0.13</v>
      </c>
    </row>
    <row r="47" spans="1:4" ht="15.5" x14ac:dyDescent="0.35">
      <c r="A47" s="42">
        <v>2519</v>
      </c>
      <c r="B47" s="26" t="s">
        <v>119</v>
      </c>
      <c r="C47" s="102">
        <v>1.5100000000000001E-3</v>
      </c>
      <c r="D47" s="41">
        <v>7.0000000000000007E-2</v>
      </c>
    </row>
    <row r="48" spans="1:4" ht="15.5" x14ac:dyDescent="0.35">
      <c r="A48" s="42">
        <v>5238</v>
      </c>
      <c r="B48" s="26" t="s">
        <v>121</v>
      </c>
      <c r="C48" s="102">
        <v>1.65E-3</v>
      </c>
      <c r="D48" s="41">
        <v>0.08</v>
      </c>
    </row>
    <row r="49" spans="1:6" ht="15.5" x14ac:dyDescent="0.35">
      <c r="A49" s="42">
        <v>5239</v>
      </c>
      <c r="B49" s="10" t="s">
        <v>122</v>
      </c>
      <c r="C49" s="102">
        <v>1.9800000000000002E-2</v>
      </c>
      <c r="D49" s="41">
        <v>0.9</v>
      </c>
    </row>
    <row r="50" spans="1:6" ht="15.5" x14ac:dyDescent="0.35">
      <c r="A50" s="42">
        <v>5250</v>
      </c>
      <c r="B50" s="26" t="s">
        <v>123</v>
      </c>
      <c r="C50" s="102">
        <v>1.4999999999999999E-2</v>
      </c>
      <c r="D50" s="41">
        <v>0.68</v>
      </c>
    </row>
    <row r="51" spans="1:6" ht="15.5" x14ac:dyDescent="0.3">
      <c r="A51" s="44"/>
      <c r="B51" s="31" t="s">
        <v>74</v>
      </c>
      <c r="C51" s="31">
        <f>SUM(C28:C50)</f>
        <v>0.99999696000000016</v>
      </c>
      <c r="D51" s="43">
        <f>SUM(D28:D50)</f>
        <v>45.760000000000005</v>
      </c>
      <c r="E51" s="104"/>
      <c r="F51" s="105"/>
    </row>
    <row r="52" spans="1:6" ht="15.5" x14ac:dyDescent="0.35">
      <c r="A52" s="23"/>
      <c r="B52" s="31" t="s">
        <v>75</v>
      </c>
      <c r="C52" s="31">
        <f>C51-1</f>
        <v>-3.0399999998431682E-6</v>
      </c>
      <c r="D52" s="43">
        <f>D51+D26</f>
        <v>198.5</v>
      </c>
    </row>
    <row r="53" spans="1:6" ht="15.5" x14ac:dyDescent="0.35">
      <c r="A53" s="9"/>
      <c r="B53" s="32"/>
      <c r="C53" s="32"/>
      <c r="D53" s="55"/>
    </row>
    <row r="54" spans="1:6" ht="15.5" x14ac:dyDescent="0.35">
      <c r="A54" s="173" t="s">
        <v>45</v>
      </c>
      <c r="B54" s="174"/>
      <c r="C54" s="115"/>
      <c r="D54" s="62">
        <v>5</v>
      </c>
    </row>
    <row r="55" spans="1:6" ht="15.5" x14ac:dyDescent="0.35">
      <c r="A55" s="173" t="s">
        <v>54</v>
      </c>
      <c r="B55" s="174"/>
      <c r="C55" s="115"/>
      <c r="D55" s="60">
        <f>D52/D54</f>
        <v>39.700000000000003</v>
      </c>
    </row>
    <row r="56" spans="1:6" ht="15.5" x14ac:dyDescent="0.35">
      <c r="A56" s="63"/>
      <c r="B56" s="66"/>
      <c r="C56" s="66"/>
      <c r="D56" s="66"/>
    </row>
    <row r="57" spans="1:6" ht="15.5" x14ac:dyDescent="0.35">
      <c r="A57" s="171" t="s">
        <v>62</v>
      </c>
      <c r="B57" s="172"/>
      <c r="C57" s="49"/>
      <c r="D57" s="56"/>
    </row>
    <row r="58" spans="1:6" ht="15.5" x14ac:dyDescent="0.35">
      <c r="A58" s="171" t="s">
        <v>63</v>
      </c>
      <c r="B58" s="172"/>
      <c r="C58" s="49"/>
      <c r="D58" s="56"/>
    </row>
    <row r="59" spans="1:6" ht="15.5" x14ac:dyDescent="0.35">
      <c r="A59" s="36"/>
      <c r="B59" s="11"/>
      <c r="C59" s="11"/>
      <c r="D59" s="75"/>
    </row>
    <row r="60" spans="1:6" ht="15.5" x14ac:dyDescent="0.35">
      <c r="A60" s="37" t="s">
        <v>46</v>
      </c>
      <c r="B60" s="37"/>
      <c r="C60" s="37"/>
      <c r="D60" s="95"/>
    </row>
    <row r="61" spans="1:6" ht="15.5" x14ac:dyDescent="0.35">
      <c r="A61" s="37"/>
      <c r="B61" s="37"/>
      <c r="C61" s="37"/>
      <c r="D61" s="106"/>
    </row>
    <row r="62" spans="1:6" ht="15.5" x14ac:dyDescent="0.35">
      <c r="A62" s="37" t="s">
        <v>134</v>
      </c>
      <c r="B62" s="38"/>
      <c r="C62" s="38"/>
      <c r="D62" s="37"/>
    </row>
    <row r="63" spans="1:6" ht="15.5" x14ac:dyDescent="0.35">
      <c r="A63" s="37"/>
      <c r="B63" s="39"/>
      <c r="C63" s="39"/>
      <c r="D63" s="37"/>
    </row>
    <row r="64" spans="1:6" x14ac:dyDescent="0.3">
      <c r="D64" s="1"/>
    </row>
  </sheetData>
  <mergeCells count="8">
    <mergeCell ref="A57:B57"/>
    <mergeCell ref="A58:B58"/>
    <mergeCell ref="A7:B7"/>
    <mergeCell ref="A9:B9"/>
    <mergeCell ref="A10:B10"/>
    <mergeCell ref="B13:D13"/>
    <mergeCell ref="A54:B54"/>
    <mergeCell ref="A55:B55"/>
  </mergeCells>
  <pageMargins left="0.7" right="0.7" top="0.75" bottom="0.75" header="0.3" footer="0.3"/>
  <pageSetup paperSize="9" scale="62" orientation="portrait" r:id="rId1"/>
  <headerFooter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64"/>
  <sheetViews>
    <sheetView view="pageLayout" zoomScale="80" zoomScaleNormal="80" zoomScalePageLayoutView="80" workbookViewId="0">
      <selection activeCell="B38" sqref="B38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181</v>
      </c>
      <c r="C12" s="5"/>
      <c r="D12" s="10"/>
    </row>
    <row r="13" spans="1:4" ht="15.5" x14ac:dyDescent="0.25">
      <c r="A13" s="5"/>
      <c r="B13" s="160" t="s">
        <v>184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11.63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2.74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hidden="1" x14ac:dyDescent="0.35">
      <c r="A22" s="42">
        <v>2243</v>
      </c>
      <c r="B22" s="26" t="s">
        <v>76</v>
      </c>
      <c r="C22" s="26"/>
      <c r="D22" s="41">
        <v>0</v>
      </c>
    </row>
    <row r="23" spans="1:4" ht="15.5" hidden="1" x14ac:dyDescent="0.35">
      <c r="A23" s="42">
        <v>2250</v>
      </c>
      <c r="B23" s="21" t="s">
        <v>110</v>
      </c>
      <c r="C23" s="21"/>
      <c r="D23" s="41">
        <v>0</v>
      </c>
    </row>
    <row r="24" spans="1:4" ht="15.5" x14ac:dyDescent="0.35">
      <c r="A24" s="24">
        <v>2311</v>
      </c>
      <c r="B24" s="26" t="s">
        <v>114</v>
      </c>
      <c r="C24" s="26"/>
      <c r="D24" s="41">
        <v>1.5</v>
      </c>
    </row>
    <row r="25" spans="1:4" ht="15.5" x14ac:dyDescent="0.35">
      <c r="A25" s="24">
        <v>2370</v>
      </c>
      <c r="B25" s="10" t="s">
        <v>131</v>
      </c>
      <c r="C25" s="26"/>
      <c r="D25" s="41">
        <v>1.4</v>
      </c>
    </row>
    <row r="26" spans="1:4" ht="15.5" x14ac:dyDescent="0.3">
      <c r="A26" s="42"/>
      <c r="B26" s="28" t="s">
        <v>69</v>
      </c>
      <c r="C26" s="28"/>
      <c r="D26" s="43">
        <f>SUM(D19:D25)</f>
        <v>17.27</v>
      </c>
    </row>
    <row r="27" spans="1:4" ht="15.5" x14ac:dyDescent="0.35">
      <c r="A27" s="44"/>
      <c r="B27" s="24" t="s">
        <v>70</v>
      </c>
      <c r="C27" s="24"/>
      <c r="D27" s="41"/>
    </row>
    <row r="28" spans="1:4" ht="15.5" x14ac:dyDescent="0.35">
      <c r="A28" s="42">
        <v>1100</v>
      </c>
      <c r="B28" s="24" t="s">
        <v>83</v>
      </c>
      <c r="C28" s="102">
        <v>0.51439999999999997</v>
      </c>
      <c r="D28" s="41">
        <v>2.69</v>
      </c>
    </row>
    <row r="29" spans="1:4" ht="15.75" customHeight="1" x14ac:dyDescent="0.3">
      <c r="A29" s="42">
        <v>1200</v>
      </c>
      <c r="B29" s="54" t="s">
        <v>93</v>
      </c>
      <c r="C29" s="102">
        <f>C28*0.2359</f>
        <v>0.12134695999999999</v>
      </c>
      <c r="D29" s="41">
        <v>0.63</v>
      </c>
    </row>
    <row r="30" spans="1:4" ht="15.5" hidden="1" x14ac:dyDescent="0.3">
      <c r="A30" s="42">
        <v>2100</v>
      </c>
      <c r="B30" s="30" t="s">
        <v>42</v>
      </c>
      <c r="C30" s="102">
        <v>8.0999999999999996E-4</v>
      </c>
      <c r="D30" s="41">
        <v>0</v>
      </c>
    </row>
    <row r="31" spans="1:4" ht="15.5" x14ac:dyDescent="0.35">
      <c r="A31" s="45">
        <v>2210</v>
      </c>
      <c r="B31" s="26" t="s">
        <v>100</v>
      </c>
      <c r="C31" s="102">
        <v>8.0000000000000002E-3</v>
      </c>
      <c r="D31" s="41">
        <v>0.04</v>
      </c>
    </row>
    <row r="32" spans="1:4" ht="15.5" x14ac:dyDescent="0.35">
      <c r="A32" s="42">
        <v>2222</v>
      </c>
      <c r="B32" s="26" t="s">
        <v>101</v>
      </c>
      <c r="C32" s="102">
        <v>4.4400000000000004E-3</v>
      </c>
      <c r="D32" s="41">
        <v>0.02</v>
      </c>
    </row>
    <row r="33" spans="1:4" ht="15.5" x14ac:dyDescent="0.35">
      <c r="A33" s="42">
        <v>2223</v>
      </c>
      <c r="B33" s="26" t="s">
        <v>94</v>
      </c>
      <c r="C33" s="102">
        <v>5.4940000000000003E-2</v>
      </c>
      <c r="D33" s="41">
        <v>0.28999999999999998</v>
      </c>
    </row>
    <row r="34" spans="1:4" ht="31" x14ac:dyDescent="0.35">
      <c r="A34" s="42">
        <v>2224</v>
      </c>
      <c r="B34" s="26" t="s">
        <v>102</v>
      </c>
      <c r="C34" s="102">
        <v>3.0899999999999999E-3</v>
      </c>
      <c r="D34" s="41">
        <v>0.02</v>
      </c>
    </row>
    <row r="35" spans="1:4" ht="15.5" x14ac:dyDescent="0.35">
      <c r="A35" s="42">
        <v>2241</v>
      </c>
      <c r="B35" s="26" t="s">
        <v>106</v>
      </c>
      <c r="C35" s="102">
        <v>1.6500000000000001E-2</v>
      </c>
      <c r="D35" s="41">
        <v>0.09</v>
      </c>
    </row>
    <row r="36" spans="1:4" ht="15.5" hidden="1" x14ac:dyDescent="0.35">
      <c r="A36" s="42">
        <v>2242</v>
      </c>
      <c r="B36" s="26" t="s">
        <v>107</v>
      </c>
      <c r="C36" s="102">
        <v>8.4999999999999995E-4</v>
      </c>
      <c r="D36" s="41">
        <v>0</v>
      </c>
    </row>
    <row r="37" spans="1:4" ht="15.5" x14ac:dyDescent="0.35">
      <c r="A37" s="42">
        <v>2243</v>
      </c>
      <c r="B37" s="26" t="s">
        <v>76</v>
      </c>
      <c r="C37" s="102">
        <f>0.0004+0.02029</f>
        <v>2.069E-2</v>
      </c>
      <c r="D37" s="41">
        <v>0.11</v>
      </c>
    </row>
    <row r="38" spans="1:4" ht="15.5" x14ac:dyDescent="0.35">
      <c r="A38" s="23">
        <v>2244</v>
      </c>
      <c r="B38" s="26" t="s">
        <v>108</v>
      </c>
      <c r="C38" s="102">
        <v>6.8070000000000006E-2</v>
      </c>
      <c r="D38" s="41">
        <v>0.36</v>
      </c>
    </row>
    <row r="39" spans="1:4" ht="15.5" x14ac:dyDescent="0.35">
      <c r="A39" s="24">
        <v>2250</v>
      </c>
      <c r="B39" s="26" t="s">
        <v>110</v>
      </c>
      <c r="C39" s="102">
        <v>2.8400000000000002E-2</v>
      </c>
      <c r="D39" s="41">
        <v>0.15</v>
      </c>
    </row>
    <row r="40" spans="1:4" ht="15.5" x14ac:dyDescent="0.35">
      <c r="A40" s="24">
        <v>2312</v>
      </c>
      <c r="B40" s="26" t="s">
        <v>95</v>
      </c>
      <c r="C40" s="26">
        <v>2.98E-2</v>
      </c>
      <c r="D40" s="41">
        <v>0.16</v>
      </c>
    </row>
    <row r="41" spans="1:4" ht="15.5" x14ac:dyDescent="0.35">
      <c r="A41" s="24">
        <v>2321</v>
      </c>
      <c r="B41" s="26" t="s">
        <v>96</v>
      </c>
      <c r="C41" s="102">
        <v>6.0220000000000003E-2</v>
      </c>
      <c r="D41" s="41">
        <v>0.31</v>
      </c>
    </row>
    <row r="42" spans="1:4" ht="15.5" x14ac:dyDescent="0.35">
      <c r="A42" s="24">
        <v>2322</v>
      </c>
      <c r="B42" s="26" t="s">
        <v>117</v>
      </c>
      <c r="C42" s="102">
        <v>2.0999999999999999E-3</v>
      </c>
      <c r="D42" s="41">
        <v>0.01</v>
      </c>
    </row>
    <row r="43" spans="1:4" ht="15.5" x14ac:dyDescent="0.35">
      <c r="A43" s="24">
        <v>2350</v>
      </c>
      <c r="B43" s="26" t="s">
        <v>98</v>
      </c>
      <c r="C43" s="26">
        <v>2.5000000000000001E-2</v>
      </c>
      <c r="D43" s="41">
        <v>0.13</v>
      </c>
    </row>
    <row r="44" spans="1:4" ht="15.5" hidden="1" x14ac:dyDescent="0.35">
      <c r="A44" s="24">
        <v>2512</v>
      </c>
      <c r="B44" s="26" t="s">
        <v>30</v>
      </c>
      <c r="C44" s="26"/>
      <c r="D44" s="41">
        <f>C44*$D$27</f>
        <v>0</v>
      </c>
    </row>
    <row r="45" spans="1:4" ht="15.5" x14ac:dyDescent="0.35">
      <c r="A45" s="42">
        <v>2513</v>
      </c>
      <c r="B45" s="26" t="s">
        <v>118</v>
      </c>
      <c r="C45" s="102">
        <v>6.3000000000000003E-4</v>
      </c>
      <c r="D45" s="41">
        <v>0.01</v>
      </c>
    </row>
    <row r="46" spans="1:4" ht="15.5" x14ac:dyDescent="0.35">
      <c r="A46" s="42">
        <v>2515</v>
      </c>
      <c r="B46" s="26" t="s">
        <v>73</v>
      </c>
      <c r="C46" s="102">
        <v>2.7499999999999998E-3</v>
      </c>
      <c r="D46" s="41">
        <v>0.01</v>
      </c>
    </row>
    <row r="47" spans="1:4" ht="15.5" x14ac:dyDescent="0.35">
      <c r="A47" s="42">
        <v>2519</v>
      </c>
      <c r="B47" s="26" t="s">
        <v>119</v>
      </c>
      <c r="C47" s="102">
        <v>1.5100000000000001E-3</v>
      </c>
      <c r="D47" s="41">
        <v>0.01</v>
      </c>
    </row>
    <row r="48" spans="1:4" ht="15.5" x14ac:dyDescent="0.35">
      <c r="A48" s="42">
        <v>5238</v>
      </c>
      <c r="B48" s="26" t="s">
        <v>121</v>
      </c>
      <c r="C48" s="102">
        <v>1.65E-3</v>
      </c>
      <c r="D48" s="41">
        <v>0.01</v>
      </c>
    </row>
    <row r="49" spans="1:6" ht="15.5" x14ac:dyDescent="0.35">
      <c r="A49" s="42">
        <v>5239</v>
      </c>
      <c r="B49" s="10" t="s">
        <v>122</v>
      </c>
      <c r="C49" s="102">
        <v>1.9800000000000002E-2</v>
      </c>
      <c r="D49" s="41">
        <v>0.1</v>
      </c>
    </row>
    <row r="50" spans="1:6" ht="15.5" x14ac:dyDescent="0.35">
      <c r="A50" s="42">
        <v>5250</v>
      </c>
      <c r="B50" s="26" t="s">
        <v>123</v>
      </c>
      <c r="C50" s="102">
        <v>1.4999999999999999E-2</v>
      </c>
      <c r="D50" s="41">
        <v>0.08</v>
      </c>
    </row>
    <row r="51" spans="1:6" ht="15.5" x14ac:dyDescent="0.3">
      <c r="A51" s="44"/>
      <c r="B51" s="31" t="s">
        <v>74</v>
      </c>
      <c r="C51" s="31">
        <f>SUM(C28:C50)</f>
        <v>0.99999696000000016</v>
      </c>
      <c r="D51" s="43">
        <f>SUM(D28:D50)</f>
        <v>5.2299999999999986</v>
      </c>
      <c r="E51" s="104"/>
      <c r="F51" s="105"/>
    </row>
    <row r="52" spans="1:6" ht="15.5" x14ac:dyDescent="0.35">
      <c r="A52" s="23"/>
      <c r="B52" s="31" t="s">
        <v>75</v>
      </c>
      <c r="C52" s="31">
        <f>C51-1</f>
        <v>-3.0399999998431682E-6</v>
      </c>
      <c r="D52" s="43">
        <f>D51+D26</f>
        <v>22.5</v>
      </c>
    </row>
    <row r="53" spans="1:6" ht="15.5" x14ac:dyDescent="0.35">
      <c r="A53" s="9"/>
      <c r="B53" s="32"/>
      <c r="C53" s="32"/>
      <c r="D53" s="55"/>
    </row>
    <row r="54" spans="1:6" ht="15.5" x14ac:dyDescent="0.35">
      <c r="A54" s="173" t="s">
        <v>45</v>
      </c>
      <c r="B54" s="174"/>
      <c r="C54" s="115"/>
      <c r="D54" s="62">
        <v>5</v>
      </c>
    </row>
    <row r="55" spans="1:6" ht="15.5" x14ac:dyDescent="0.35">
      <c r="A55" s="173" t="s">
        <v>54</v>
      </c>
      <c r="B55" s="174"/>
      <c r="C55" s="115"/>
      <c r="D55" s="60">
        <f>D52/D54</f>
        <v>4.5</v>
      </c>
    </row>
    <row r="56" spans="1:6" ht="15.5" x14ac:dyDescent="0.35">
      <c r="A56" s="63"/>
      <c r="B56" s="66"/>
      <c r="C56" s="66"/>
      <c r="D56" s="66"/>
    </row>
    <row r="57" spans="1:6" ht="15.5" x14ac:dyDescent="0.35">
      <c r="A57" s="171" t="s">
        <v>62</v>
      </c>
      <c r="B57" s="172"/>
      <c r="C57" s="49"/>
      <c r="D57" s="56"/>
    </row>
    <row r="58" spans="1:6" ht="15.5" x14ac:dyDescent="0.35">
      <c r="A58" s="171" t="s">
        <v>63</v>
      </c>
      <c r="B58" s="172"/>
      <c r="C58" s="49"/>
      <c r="D58" s="56"/>
    </row>
    <row r="59" spans="1:6" ht="15.5" x14ac:dyDescent="0.35">
      <c r="A59" s="36"/>
      <c r="B59" s="11"/>
      <c r="C59" s="11"/>
      <c r="D59" s="75"/>
    </row>
    <row r="60" spans="1:6" ht="15.5" x14ac:dyDescent="0.35">
      <c r="A60" s="37" t="s">
        <v>46</v>
      </c>
      <c r="B60" s="37"/>
      <c r="C60" s="37"/>
      <c r="D60" s="95"/>
    </row>
    <row r="61" spans="1:6" ht="15.5" x14ac:dyDescent="0.35">
      <c r="A61" s="37"/>
      <c r="B61" s="37"/>
      <c r="C61" s="37"/>
      <c r="D61" s="106"/>
    </row>
    <row r="62" spans="1:6" ht="15.5" x14ac:dyDescent="0.35">
      <c r="A62" s="37" t="s">
        <v>134</v>
      </c>
      <c r="B62" s="38"/>
      <c r="C62" s="38"/>
      <c r="D62" s="37"/>
    </row>
    <row r="63" spans="1:6" ht="15.5" x14ac:dyDescent="0.35">
      <c r="A63" s="37"/>
      <c r="B63" s="39"/>
      <c r="C63" s="39"/>
      <c r="D63" s="37"/>
    </row>
    <row r="64" spans="1:6" x14ac:dyDescent="0.3">
      <c r="D64" s="1"/>
    </row>
  </sheetData>
  <mergeCells count="8">
    <mergeCell ref="A57:B57"/>
    <mergeCell ref="A58:B58"/>
    <mergeCell ref="A7:B7"/>
    <mergeCell ref="A9:B9"/>
    <mergeCell ref="A10:B10"/>
    <mergeCell ref="B13:D13"/>
    <mergeCell ref="A54:B54"/>
    <mergeCell ref="A55:B55"/>
  </mergeCells>
  <pageMargins left="0.7" right="0.7" top="0.75" bottom="0.75" header="0.3" footer="0.3"/>
  <pageSetup paperSize="9" scale="62" orientation="portrait" r:id="rId1"/>
  <headerFooter>
    <oddFooter>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88"/>
  <sheetViews>
    <sheetView view="pageLayout" zoomScale="80" zoomScaleNormal="80" zoomScalePageLayoutView="80" workbookViewId="0">
      <selection activeCell="B43" sqref="B43"/>
    </sheetView>
  </sheetViews>
  <sheetFormatPr defaultColWidth="9.1796875" defaultRowHeight="14" x14ac:dyDescent="0.3"/>
  <cols>
    <col min="1" max="1" width="11.81640625" style="2" customWidth="1"/>
    <col min="2" max="2" width="94.1796875" style="2" customWidth="1"/>
    <col min="3" max="3" width="32.1796875" style="2" customWidth="1"/>
    <col min="4" max="16384" width="9.1796875" style="2"/>
  </cols>
  <sheetData>
    <row r="1" spans="1:3" ht="15.5" x14ac:dyDescent="0.35">
      <c r="B1" s="6"/>
      <c r="C1" s="9" t="s">
        <v>7</v>
      </c>
    </row>
    <row r="2" spans="1:3" ht="15.5" x14ac:dyDescent="0.35">
      <c r="B2" s="7"/>
      <c r="C2" s="9" t="s">
        <v>44</v>
      </c>
    </row>
    <row r="3" spans="1:3" ht="15.5" x14ac:dyDescent="0.35">
      <c r="B3" s="48"/>
      <c r="C3" s="48" t="s">
        <v>91</v>
      </c>
    </row>
    <row r="4" spans="1:3" ht="15.5" x14ac:dyDescent="0.35">
      <c r="B4" s="6"/>
      <c r="C4" s="6"/>
    </row>
    <row r="5" spans="1:3" ht="15.5" x14ac:dyDescent="0.35">
      <c r="B5" s="14"/>
      <c r="C5" s="9" t="s">
        <v>260</v>
      </c>
    </row>
    <row r="6" spans="1:3" ht="15.75" customHeight="1" x14ac:dyDescent="0.3">
      <c r="B6" s="15"/>
      <c r="C6" s="3"/>
    </row>
    <row r="7" spans="1:3" s="3" customFormat="1" ht="17.5" x14ac:dyDescent="0.35">
      <c r="A7" s="169" t="s">
        <v>6</v>
      </c>
      <c r="B7" s="169"/>
      <c r="C7" s="169"/>
    </row>
    <row r="8" spans="1:3" s="3" customFormat="1" ht="15.75" customHeight="1" x14ac:dyDescent="0.3">
      <c r="A8" s="2"/>
      <c r="B8" s="1"/>
      <c r="C8" s="2"/>
    </row>
    <row r="9" spans="1:3" s="3" customFormat="1" ht="15.5" x14ac:dyDescent="0.35">
      <c r="A9" s="160" t="s">
        <v>1</v>
      </c>
      <c r="B9" s="160"/>
      <c r="C9" s="10"/>
    </row>
    <row r="10" spans="1:3" s="3" customFormat="1" ht="15.75" customHeight="1" x14ac:dyDescent="0.35">
      <c r="A10" s="160" t="s">
        <v>0</v>
      </c>
      <c r="B10" s="160"/>
      <c r="C10" s="10"/>
    </row>
    <row r="11" spans="1:3" s="3" customFormat="1" ht="15.5" x14ac:dyDescent="0.35">
      <c r="A11" s="5"/>
      <c r="B11" s="5" t="s">
        <v>165</v>
      </c>
      <c r="C11" s="10"/>
    </row>
    <row r="12" spans="1:3" s="3" customFormat="1" ht="15.5" x14ac:dyDescent="0.35">
      <c r="A12" s="5"/>
      <c r="B12" s="5" t="s">
        <v>181</v>
      </c>
      <c r="C12" s="10"/>
    </row>
    <row r="13" spans="1:3" s="3" customFormat="1" ht="15.5" x14ac:dyDescent="0.35">
      <c r="A13" s="5"/>
      <c r="B13" s="5" t="s">
        <v>189</v>
      </c>
      <c r="C13" s="10"/>
    </row>
    <row r="14" spans="1:3" s="3" customFormat="1" ht="15.5" x14ac:dyDescent="0.35">
      <c r="A14" s="5" t="s">
        <v>2</v>
      </c>
      <c r="B14" s="5" t="s">
        <v>124</v>
      </c>
      <c r="C14" s="10"/>
    </row>
    <row r="15" spans="1:3" s="3" customFormat="1" ht="15.5" hidden="1" x14ac:dyDescent="0.35">
      <c r="A15" s="10"/>
      <c r="B15" s="16"/>
      <c r="C15" s="10"/>
    </row>
    <row r="16" spans="1:3" s="3" customFormat="1" ht="75" customHeight="1" x14ac:dyDescent="0.3">
      <c r="A16" s="17" t="s">
        <v>3</v>
      </c>
      <c r="B16" s="17" t="s">
        <v>4</v>
      </c>
      <c r="C16" s="17" t="s">
        <v>53</v>
      </c>
    </row>
    <row r="17" spans="1:3" s="3" customFormat="1" ht="15" x14ac:dyDescent="0.3">
      <c r="A17" s="18">
        <v>1</v>
      </c>
      <c r="B17" s="19">
        <v>2</v>
      </c>
      <c r="C17" s="19">
        <v>3</v>
      </c>
    </row>
    <row r="18" spans="1:3" s="3" customFormat="1" ht="15.5" x14ac:dyDescent="0.35">
      <c r="A18" s="20"/>
      <c r="B18" s="21" t="s">
        <v>5</v>
      </c>
      <c r="C18" s="22"/>
    </row>
    <row r="19" spans="1:3" s="109" customFormat="1" ht="15.5" x14ac:dyDescent="0.35">
      <c r="A19" s="23">
        <v>1100</v>
      </c>
      <c r="B19" s="24" t="s">
        <v>83</v>
      </c>
      <c r="C19" s="25">
        <v>20.62</v>
      </c>
    </row>
    <row r="20" spans="1:3" ht="15.75" customHeight="1" x14ac:dyDescent="0.35">
      <c r="A20" s="23">
        <v>1200</v>
      </c>
      <c r="B20" s="54" t="s">
        <v>93</v>
      </c>
      <c r="C20" s="25">
        <v>4.8600000000000003</v>
      </c>
    </row>
    <row r="21" spans="1:3" s="110" customFormat="1" ht="15.5" hidden="1" x14ac:dyDescent="0.35">
      <c r="A21" s="23">
        <v>2222</v>
      </c>
      <c r="B21" s="26" t="s">
        <v>39</v>
      </c>
      <c r="C21" s="25"/>
    </row>
    <row r="22" spans="1:3" s="110" customFormat="1" ht="15.5" hidden="1" x14ac:dyDescent="0.35">
      <c r="A22" s="23">
        <v>2223</v>
      </c>
      <c r="B22" s="26" t="s">
        <v>40</v>
      </c>
      <c r="C22" s="25"/>
    </row>
    <row r="23" spans="1:3" ht="15.5" x14ac:dyDescent="0.35">
      <c r="A23" s="23">
        <v>2243</v>
      </c>
      <c r="B23" s="26" t="s">
        <v>76</v>
      </c>
      <c r="C23" s="25">
        <v>0.13</v>
      </c>
    </row>
    <row r="24" spans="1:3" ht="15.5" x14ac:dyDescent="0.35">
      <c r="A24" s="22">
        <v>2311</v>
      </c>
      <c r="B24" s="26" t="s">
        <v>114</v>
      </c>
      <c r="C24" s="25">
        <v>0.05</v>
      </c>
    </row>
    <row r="25" spans="1:3" ht="15.5" hidden="1" x14ac:dyDescent="0.35">
      <c r="A25" s="22">
        <v>2350</v>
      </c>
      <c r="B25" s="26" t="s">
        <v>25</v>
      </c>
      <c r="C25" s="25"/>
    </row>
    <row r="26" spans="1:3" s="3" customFormat="1" ht="15.5" hidden="1" x14ac:dyDescent="0.35">
      <c r="A26" s="27">
        <v>2341</v>
      </c>
      <c r="B26" s="26" t="s">
        <v>23</v>
      </c>
      <c r="C26" s="25"/>
    </row>
    <row r="27" spans="1:3" s="3" customFormat="1" ht="15.75" hidden="1" customHeight="1" x14ac:dyDescent="0.35">
      <c r="A27" s="22">
        <v>2249</v>
      </c>
      <c r="B27" s="26" t="s">
        <v>13</v>
      </c>
      <c r="C27" s="25"/>
    </row>
    <row r="28" spans="1:3" s="3" customFormat="1" ht="15.5" x14ac:dyDescent="0.35">
      <c r="A28" s="22"/>
      <c r="B28" s="28" t="s">
        <v>58</v>
      </c>
      <c r="C28" s="29">
        <f>SUM(C19:C27)</f>
        <v>25.66</v>
      </c>
    </row>
    <row r="29" spans="1:3" s="3" customFormat="1" ht="15.5" x14ac:dyDescent="0.35">
      <c r="A29" s="23"/>
      <c r="B29" s="24" t="s">
        <v>57</v>
      </c>
      <c r="C29" s="25"/>
    </row>
    <row r="30" spans="1:3" ht="15.5" x14ac:dyDescent="0.35">
      <c r="A30" s="22">
        <v>1100</v>
      </c>
      <c r="B30" s="24" t="s">
        <v>83</v>
      </c>
      <c r="C30" s="25">
        <v>4.2300000000000004</v>
      </c>
    </row>
    <row r="31" spans="1:3" ht="15.75" customHeight="1" x14ac:dyDescent="0.35">
      <c r="A31" s="22">
        <v>1200</v>
      </c>
      <c r="B31" s="54" t="s">
        <v>93</v>
      </c>
      <c r="C31" s="25">
        <v>1</v>
      </c>
    </row>
    <row r="32" spans="1:3" ht="15.5" hidden="1" x14ac:dyDescent="0.35">
      <c r="A32" s="22">
        <v>2100</v>
      </c>
      <c r="B32" s="30" t="s">
        <v>42</v>
      </c>
      <c r="C32" s="25">
        <v>0</v>
      </c>
    </row>
    <row r="33" spans="1:3" ht="15.5" hidden="1" x14ac:dyDescent="0.35">
      <c r="A33" s="27">
        <v>2210</v>
      </c>
      <c r="B33" s="26" t="s">
        <v>38</v>
      </c>
      <c r="C33" s="25">
        <v>0</v>
      </c>
    </row>
    <row r="34" spans="1:3" ht="15.5" x14ac:dyDescent="0.35">
      <c r="A34" s="22">
        <v>2222</v>
      </c>
      <c r="B34" s="26" t="s">
        <v>101</v>
      </c>
      <c r="C34" s="25">
        <v>0.24</v>
      </c>
    </row>
    <row r="35" spans="1:3" ht="15.5" x14ac:dyDescent="0.35">
      <c r="A35" s="22">
        <v>2223</v>
      </c>
      <c r="B35" s="26" t="s">
        <v>94</v>
      </c>
      <c r="C35" s="25">
        <v>2.13</v>
      </c>
    </row>
    <row r="36" spans="1:3" ht="35.25" hidden="1" customHeight="1" x14ac:dyDescent="0.35">
      <c r="A36" s="22">
        <v>2230</v>
      </c>
      <c r="B36" s="26" t="s">
        <v>41</v>
      </c>
      <c r="C36" s="25">
        <v>0</v>
      </c>
    </row>
    <row r="37" spans="1:3" ht="15.5" hidden="1" x14ac:dyDescent="0.35">
      <c r="A37" s="22">
        <v>2241</v>
      </c>
      <c r="B37" s="26" t="s">
        <v>10</v>
      </c>
      <c r="C37" s="25">
        <v>0</v>
      </c>
    </row>
    <row r="38" spans="1:3" ht="15.5" hidden="1" x14ac:dyDescent="0.35">
      <c r="A38" s="22">
        <v>2242</v>
      </c>
      <c r="B38" s="26" t="s">
        <v>11</v>
      </c>
      <c r="C38" s="25">
        <v>0</v>
      </c>
    </row>
    <row r="39" spans="1:3" ht="15.5" hidden="1" x14ac:dyDescent="0.35">
      <c r="A39" s="22">
        <v>2243</v>
      </c>
      <c r="B39" s="26" t="s">
        <v>12</v>
      </c>
      <c r="C39" s="25">
        <v>0</v>
      </c>
    </row>
    <row r="40" spans="1:3" ht="15.5" x14ac:dyDescent="0.35">
      <c r="A40" s="22">
        <v>2244</v>
      </c>
      <c r="B40" s="26" t="s">
        <v>108</v>
      </c>
      <c r="C40" s="25">
        <v>0.64</v>
      </c>
    </row>
    <row r="41" spans="1:3" ht="15.5" hidden="1" x14ac:dyDescent="0.35">
      <c r="A41" s="22">
        <v>2247</v>
      </c>
      <c r="B41" s="21" t="s">
        <v>59</v>
      </c>
      <c r="C41" s="25">
        <v>0</v>
      </c>
    </row>
    <row r="42" spans="1:3" ht="16.5" hidden="1" customHeight="1" x14ac:dyDescent="0.35">
      <c r="A42" s="22">
        <v>2249</v>
      </c>
      <c r="B42" s="26" t="s">
        <v>13</v>
      </c>
      <c r="C42" s="25">
        <v>0</v>
      </c>
    </row>
    <row r="43" spans="1:3" ht="15.5" x14ac:dyDescent="0.35">
      <c r="A43" s="22">
        <v>2250</v>
      </c>
      <c r="B43" s="26" t="s">
        <v>110</v>
      </c>
      <c r="C43" s="25">
        <v>0.18</v>
      </c>
    </row>
    <row r="44" spans="1:3" ht="15.5" hidden="1" x14ac:dyDescent="0.35">
      <c r="A44" s="22">
        <v>2252</v>
      </c>
      <c r="B44" s="26" t="s">
        <v>8</v>
      </c>
      <c r="C44" s="25">
        <v>0</v>
      </c>
    </row>
    <row r="45" spans="1:3" ht="15.5" hidden="1" x14ac:dyDescent="0.35">
      <c r="A45" s="22">
        <v>2259</v>
      </c>
      <c r="B45" s="26" t="s">
        <v>9</v>
      </c>
      <c r="C45" s="25">
        <v>0</v>
      </c>
    </row>
    <row r="46" spans="1:3" ht="15.5" hidden="1" x14ac:dyDescent="0.35">
      <c r="A46" s="22">
        <v>2261</v>
      </c>
      <c r="B46" s="26" t="s">
        <v>14</v>
      </c>
      <c r="C46" s="25">
        <v>0</v>
      </c>
    </row>
    <row r="47" spans="1:3" ht="15.5" hidden="1" x14ac:dyDescent="0.35">
      <c r="A47" s="22">
        <v>2262</v>
      </c>
      <c r="B47" s="26" t="s">
        <v>15</v>
      </c>
      <c r="C47" s="25">
        <v>0</v>
      </c>
    </row>
    <row r="48" spans="1:3" ht="15.5" hidden="1" x14ac:dyDescent="0.35">
      <c r="A48" s="22">
        <v>2263</v>
      </c>
      <c r="B48" s="26" t="s">
        <v>16</v>
      </c>
      <c r="C48" s="25">
        <v>0</v>
      </c>
    </row>
    <row r="49" spans="1:3" ht="15.5" hidden="1" x14ac:dyDescent="0.35">
      <c r="A49" s="22">
        <v>2264</v>
      </c>
      <c r="B49" s="26" t="s">
        <v>17</v>
      </c>
      <c r="C49" s="25">
        <v>0</v>
      </c>
    </row>
    <row r="50" spans="1:3" ht="15.5" hidden="1" x14ac:dyDescent="0.35">
      <c r="A50" s="22">
        <v>2279</v>
      </c>
      <c r="B50" s="26" t="s">
        <v>18</v>
      </c>
      <c r="C50" s="25">
        <v>0</v>
      </c>
    </row>
    <row r="51" spans="1:3" ht="15.5" hidden="1" x14ac:dyDescent="0.35">
      <c r="A51" s="22">
        <v>2311</v>
      </c>
      <c r="B51" s="26" t="s">
        <v>19</v>
      </c>
      <c r="C51" s="25">
        <v>0</v>
      </c>
    </row>
    <row r="52" spans="1:3" ht="15.5" x14ac:dyDescent="0.35">
      <c r="A52" s="22">
        <v>2312</v>
      </c>
      <c r="B52" s="26" t="s">
        <v>95</v>
      </c>
      <c r="C52" s="25">
        <v>0.09</v>
      </c>
    </row>
    <row r="53" spans="1:3" ht="15.5" x14ac:dyDescent="0.35">
      <c r="A53" s="22">
        <v>2321</v>
      </c>
      <c r="B53" s="26" t="s">
        <v>96</v>
      </c>
      <c r="C53" s="25">
        <v>1.08</v>
      </c>
    </row>
    <row r="54" spans="1:3" ht="15.5" hidden="1" x14ac:dyDescent="0.35">
      <c r="A54" s="22">
        <v>2322</v>
      </c>
      <c r="B54" s="26" t="s">
        <v>22</v>
      </c>
      <c r="C54" s="25">
        <v>0</v>
      </c>
    </row>
    <row r="55" spans="1:3" ht="15.5" hidden="1" x14ac:dyDescent="0.35">
      <c r="A55" s="22">
        <v>2341</v>
      </c>
      <c r="B55" s="26" t="s">
        <v>23</v>
      </c>
      <c r="C55" s="25">
        <v>0</v>
      </c>
    </row>
    <row r="56" spans="1:3" ht="15.5" hidden="1" x14ac:dyDescent="0.35">
      <c r="A56" s="22">
        <v>2344</v>
      </c>
      <c r="B56" s="26" t="s">
        <v>24</v>
      </c>
      <c r="C56" s="25">
        <v>0</v>
      </c>
    </row>
    <row r="57" spans="1:3" ht="15.5" hidden="1" x14ac:dyDescent="0.35">
      <c r="A57" s="22">
        <v>2350</v>
      </c>
      <c r="B57" s="26" t="s">
        <v>25</v>
      </c>
      <c r="C57" s="25">
        <v>0</v>
      </c>
    </row>
    <row r="58" spans="1:3" ht="15.5" hidden="1" x14ac:dyDescent="0.35">
      <c r="A58" s="22">
        <v>2361</v>
      </c>
      <c r="B58" s="26" t="s">
        <v>26</v>
      </c>
      <c r="C58" s="25">
        <v>0</v>
      </c>
    </row>
    <row r="59" spans="1:3" ht="15.5" hidden="1" x14ac:dyDescent="0.35">
      <c r="A59" s="22">
        <v>2362</v>
      </c>
      <c r="B59" s="26" t="s">
        <v>27</v>
      </c>
      <c r="C59" s="25">
        <v>0</v>
      </c>
    </row>
    <row r="60" spans="1:3" ht="15.5" hidden="1" x14ac:dyDescent="0.35">
      <c r="A60" s="22">
        <v>2363</v>
      </c>
      <c r="B60" s="26" t="s">
        <v>28</v>
      </c>
      <c r="C60" s="25">
        <v>0</v>
      </c>
    </row>
    <row r="61" spans="1:3" ht="15.5" hidden="1" x14ac:dyDescent="0.35">
      <c r="A61" s="22">
        <v>2370</v>
      </c>
      <c r="B61" s="26" t="s">
        <v>29</v>
      </c>
      <c r="C61" s="25">
        <v>0</v>
      </c>
    </row>
    <row r="62" spans="1:3" ht="15.5" hidden="1" x14ac:dyDescent="0.35">
      <c r="A62" s="22">
        <v>2400</v>
      </c>
      <c r="B62" s="26" t="s">
        <v>43</v>
      </c>
      <c r="C62" s="25">
        <v>0</v>
      </c>
    </row>
    <row r="63" spans="1:3" ht="15.5" hidden="1" x14ac:dyDescent="0.35">
      <c r="A63" s="22">
        <v>2512</v>
      </c>
      <c r="B63" s="26" t="s">
        <v>30</v>
      </c>
      <c r="C63" s="25">
        <v>0</v>
      </c>
    </row>
    <row r="64" spans="1:3" ht="30.75" hidden="1" customHeight="1" x14ac:dyDescent="0.35">
      <c r="A64" s="22">
        <v>2513</v>
      </c>
      <c r="B64" s="26" t="s">
        <v>31</v>
      </c>
      <c r="C64" s="25">
        <v>0</v>
      </c>
    </row>
    <row r="65" spans="1:3" ht="15.5" hidden="1" x14ac:dyDescent="0.35">
      <c r="A65" s="22">
        <v>2515</v>
      </c>
      <c r="B65" s="26" t="s">
        <v>55</v>
      </c>
      <c r="C65" s="25">
        <v>0</v>
      </c>
    </row>
    <row r="66" spans="1:3" ht="15.5" hidden="1" x14ac:dyDescent="0.35">
      <c r="A66" s="22">
        <v>2519</v>
      </c>
      <c r="B66" s="26" t="s">
        <v>34</v>
      </c>
      <c r="C66" s="25">
        <v>0</v>
      </c>
    </row>
    <row r="67" spans="1:3" ht="15.5" hidden="1" x14ac:dyDescent="0.35">
      <c r="A67" s="22">
        <v>6240</v>
      </c>
      <c r="B67" s="26"/>
      <c r="C67" s="25">
        <v>0</v>
      </c>
    </row>
    <row r="68" spans="1:3" ht="15.5" hidden="1" x14ac:dyDescent="0.35">
      <c r="A68" s="22">
        <v>6290</v>
      </c>
      <c r="B68" s="26"/>
      <c r="C68" s="25">
        <v>0</v>
      </c>
    </row>
    <row r="69" spans="1:3" ht="15.5" hidden="1" x14ac:dyDescent="0.35">
      <c r="A69" s="22">
        <v>5121</v>
      </c>
      <c r="B69" s="26" t="s">
        <v>32</v>
      </c>
      <c r="C69" s="25">
        <v>0</v>
      </c>
    </row>
    <row r="70" spans="1:3" ht="15.5" hidden="1" x14ac:dyDescent="0.35">
      <c r="A70" s="22">
        <v>5232</v>
      </c>
      <c r="B70" s="26" t="s">
        <v>33</v>
      </c>
      <c r="C70" s="25">
        <v>0</v>
      </c>
    </row>
    <row r="71" spans="1:3" ht="15.5" hidden="1" x14ac:dyDescent="0.35">
      <c r="A71" s="22">
        <v>5238</v>
      </c>
      <c r="B71" s="26" t="s">
        <v>35</v>
      </c>
      <c r="C71" s="25">
        <v>0</v>
      </c>
    </row>
    <row r="72" spans="1:3" ht="15.5" hidden="1" x14ac:dyDescent="0.35">
      <c r="A72" s="22">
        <v>5240</v>
      </c>
      <c r="B72" s="26" t="s">
        <v>36</v>
      </c>
      <c r="C72" s="25">
        <v>0</v>
      </c>
    </row>
    <row r="73" spans="1:3" ht="15.5" hidden="1" x14ac:dyDescent="0.35">
      <c r="A73" s="22">
        <v>5250</v>
      </c>
      <c r="B73" s="26" t="s">
        <v>37</v>
      </c>
      <c r="C73" s="25">
        <v>0</v>
      </c>
    </row>
    <row r="74" spans="1:3" ht="15.5" x14ac:dyDescent="0.35">
      <c r="A74" s="23"/>
      <c r="B74" s="31" t="s">
        <v>60</v>
      </c>
      <c r="C74" s="29">
        <f>SUM(C30:C73)</f>
        <v>9.59</v>
      </c>
    </row>
    <row r="75" spans="1:3" ht="15.5" x14ac:dyDescent="0.35">
      <c r="A75" s="23"/>
      <c r="B75" s="31" t="s">
        <v>61</v>
      </c>
      <c r="C75" s="29">
        <f>C74+C28</f>
        <v>35.25</v>
      </c>
    </row>
    <row r="76" spans="1:3" ht="15.5" x14ac:dyDescent="0.35">
      <c r="A76" s="9"/>
      <c r="B76" s="32"/>
      <c r="C76" s="33"/>
    </row>
    <row r="77" spans="1:3" ht="15.75" customHeight="1" x14ac:dyDescent="0.35">
      <c r="A77" s="173" t="s">
        <v>45</v>
      </c>
      <c r="B77" s="174"/>
      <c r="C77" s="59">
        <v>5</v>
      </c>
    </row>
    <row r="78" spans="1:3" ht="15.5" x14ac:dyDescent="0.35">
      <c r="A78" s="173" t="s">
        <v>54</v>
      </c>
      <c r="B78" s="174"/>
      <c r="C78" s="61">
        <f>ROUND(C75/C77,2)</f>
        <v>7.05</v>
      </c>
    </row>
    <row r="79" spans="1:3" ht="15.75" customHeight="1" x14ac:dyDescent="0.35">
      <c r="A79" s="63"/>
      <c r="B79" s="66"/>
      <c r="C79" s="66"/>
    </row>
    <row r="80" spans="1:3" s="111" customFormat="1" ht="15.5" x14ac:dyDescent="0.35">
      <c r="A80" s="175" t="s">
        <v>62</v>
      </c>
      <c r="B80" s="176"/>
      <c r="C80" s="155"/>
    </row>
    <row r="81" spans="1:3" s="111" customFormat="1" ht="15.5" x14ac:dyDescent="0.35">
      <c r="A81" s="175" t="s">
        <v>63</v>
      </c>
      <c r="B81" s="176"/>
      <c r="C81" s="155"/>
    </row>
    <row r="82" spans="1:3" ht="13.5" customHeight="1" x14ac:dyDescent="0.35">
      <c r="A82" s="36"/>
      <c r="B82" s="11"/>
      <c r="C82" s="10"/>
    </row>
    <row r="83" spans="1:3" s="111" customFormat="1" ht="17.25" customHeight="1" x14ac:dyDescent="0.35">
      <c r="A83" s="37" t="s">
        <v>46</v>
      </c>
      <c r="B83" s="37"/>
      <c r="C83" s="37"/>
    </row>
    <row r="84" spans="1:3" s="111" customFormat="1" ht="12.75" customHeight="1" x14ac:dyDescent="0.35">
      <c r="A84" s="37"/>
      <c r="B84" s="37"/>
      <c r="C84" s="37"/>
    </row>
    <row r="85" spans="1:3" s="111" customFormat="1" ht="15" customHeight="1" x14ac:dyDescent="0.35">
      <c r="A85" s="37" t="s">
        <v>49</v>
      </c>
      <c r="B85" s="38"/>
      <c r="C85" s="37"/>
    </row>
    <row r="86" spans="1:3" s="111" customFormat="1" ht="14.25" customHeight="1" x14ac:dyDescent="0.35">
      <c r="A86" s="37"/>
      <c r="B86" s="124"/>
      <c r="C86" s="37"/>
    </row>
    <row r="87" spans="1:3" ht="15.5" x14ac:dyDescent="0.35">
      <c r="A87" s="10"/>
      <c r="B87" s="10"/>
      <c r="C87" s="10"/>
    </row>
    <row r="88" spans="1:3" ht="15.5" x14ac:dyDescent="0.35">
      <c r="A88" s="10"/>
      <c r="B88" s="10"/>
      <c r="C88" s="10"/>
    </row>
  </sheetData>
  <mergeCells count="7">
    <mergeCell ref="A81:B81"/>
    <mergeCell ref="A7:C7"/>
    <mergeCell ref="A9:B9"/>
    <mergeCell ref="A10:B10"/>
    <mergeCell ref="A77:B77"/>
    <mergeCell ref="A78:B78"/>
    <mergeCell ref="A80:B80"/>
  </mergeCells>
  <pageMargins left="0.7" right="0.7" top="0.75" bottom="0.75" header="0.3" footer="0.3"/>
  <pageSetup paperSize="9" scale="64" orientation="portrait" verticalDpi="0" r:id="rId1"/>
  <headerFooter>
    <oddFooter>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87"/>
  <sheetViews>
    <sheetView view="pageLayout" zoomScale="80" zoomScaleNormal="80" zoomScalePageLayoutView="80" workbookViewId="0">
      <selection activeCell="C9" sqref="C9"/>
    </sheetView>
  </sheetViews>
  <sheetFormatPr defaultColWidth="9.1796875" defaultRowHeight="15.5" x14ac:dyDescent="0.35"/>
  <cols>
    <col min="1" max="1" width="12.26953125" style="10" customWidth="1"/>
    <col min="2" max="2" width="93.81640625" style="10" customWidth="1"/>
    <col min="3" max="3" width="32.54296875" style="10" customWidth="1"/>
    <col min="4" max="16384" width="9.1796875" style="2"/>
  </cols>
  <sheetData>
    <row r="1" spans="1:3" x14ac:dyDescent="0.35">
      <c r="B1" s="6"/>
      <c r="C1" s="9" t="s">
        <v>7</v>
      </c>
    </row>
    <row r="2" spans="1:3" x14ac:dyDescent="0.35">
      <c r="B2" s="7"/>
      <c r="C2" s="9" t="s">
        <v>44</v>
      </c>
    </row>
    <row r="3" spans="1:3" ht="15" customHeight="1" x14ac:dyDescent="0.35">
      <c r="B3" s="48"/>
      <c r="C3" s="48" t="s">
        <v>91</v>
      </c>
    </row>
    <row r="4" spans="1:3" x14ac:dyDescent="0.35">
      <c r="B4" s="6"/>
      <c r="C4" s="6"/>
    </row>
    <row r="5" spans="1:3" x14ac:dyDescent="0.35">
      <c r="B5" s="14"/>
      <c r="C5" s="9" t="s">
        <v>260</v>
      </c>
    </row>
    <row r="6" spans="1:3" ht="15.75" customHeight="1" x14ac:dyDescent="0.35">
      <c r="B6" s="6"/>
      <c r="C6" s="32"/>
    </row>
    <row r="7" spans="1:3" s="3" customFormat="1" ht="15" x14ac:dyDescent="0.3">
      <c r="A7" s="179" t="s">
        <v>6</v>
      </c>
      <c r="B7" s="179"/>
      <c r="C7" s="179"/>
    </row>
    <row r="8" spans="1:3" s="3" customFormat="1" ht="15.75" customHeight="1" x14ac:dyDescent="0.35">
      <c r="A8" s="10"/>
      <c r="B8" s="57"/>
      <c r="C8" s="10"/>
    </row>
    <row r="9" spans="1:3" s="3" customFormat="1" x14ac:dyDescent="0.35">
      <c r="A9" s="160" t="s">
        <v>1</v>
      </c>
      <c r="B9" s="160"/>
      <c r="C9" s="10"/>
    </row>
    <row r="10" spans="1:3" s="3" customFormat="1" ht="15.75" customHeight="1" x14ac:dyDescent="0.35">
      <c r="A10" s="160" t="s">
        <v>0</v>
      </c>
      <c r="B10" s="160"/>
      <c r="C10" s="10"/>
    </row>
    <row r="11" spans="1:3" s="3" customFormat="1" x14ac:dyDescent="0.35">
      <c r="A11" s="5"/>
      <c r="B11" s="5" t="s">
        <v>165</v>
      </c>
      <c r="C11" s="10"/>
    </row>
    <row r="12" spans="1:3" s="3" customFormat="1" x14ac:dyDescent="0.35">
      <c r="A12" s="5"/>
      <c r="B12" s="5" t="s">
        <v>181</v>
      </c>
      <c r="C12" s="10"/>
    </row>
    <row r="13" spans="1:3" s="3" customFormat="1" x14ac:dyDescent="0.35">
      <c r="A13" s="5"/>
      <c r="B13" s="5" t="s">
        <v>190</v>
      </c>
      <c r="C13" s="10"/>
    </row>
    <row r="14" spans="1:3" s="3" customFormat="1" x14ac:dyDescent="0.35">
      <c r="A14" s="5" t="s">
        <v>2</v>
      </c>
      <c r="B14" s="5" t="s">
        <v>124</v>
      </c>
      <c r="C14" s="10"/>
    </row>
    <row r="15" spans="1:3" s="3" customFormat="1" hidden="1" x14ac:dyDescent="0.35">
      <c r="A15" s="10"/>
      <c r="B15" s="16"/>
      <c r="C15" s="10"/>
    </row>
    <row r="16" spans="1:3" s="3" customFormat="1" ht="75" customHeight="1" x14ac:dyDescent="0.3">
      <c r="A16" s="17" t="s">
        <v>3</v>
      </c>
      <c r="B16" s="17" t="s">
        <v>4</v>
      </c>
      <c r="C16" s="17" t="s">
        <v>53</v>
      </c>
    </row>
    <row r="17" spans="1:3" s="3" customFormat="1" ht="15" x14ac:dyDescent="0.3">
      <c r="A17" s="18">
        <v>1</v>
      </c>
      <c r="B17" s="19">
        <v>2</v>
      </c>
      <c r="C17" s="19">
        <v>3</v>
      </c>
    </row>
    <row r="18" spans="1:3" s="3" customFormat="1" x14ac:dyDescent="0.35">
      <c r="A18" s="20"/>
      <c r="B18" s="21" t="s">
        <v>5</v>
      </c>
      <c r="C18" s="22"/>
    </row>
    <row r="19" spans="1:3" s="109" customFormat="1" x14ac:dyDescent="0.35">
      <c r="A19" s="23">
        <v>1100</v>
      </c>
      <c r="B19" s="24" t="s">
        <v>83</v>
      </c>
      <c r="C19" s="25">
        <v>4.74</v>
      </c>
    </row>
    <row r="20" spans="1:3" ht="15.75" customHeight="1" x14ac:dyDescent="0.35">
      <c r="A20" s="23">
        <v>1200</v>
      </c>
      <c r="B20" s="54" t="s">
        <v>93</v>
      </c>
      <c r="C20" s="25">
        <v>1.1200000000000001</v>
      </c>
    </row>
    <row r="21" spans="1:3" x14ac:dyDescent="0.35">
      <c r="A21" s="23">
        <v>2210</v>
      </c>
      <c r="B21" s="26" t="s">
        <v>100</v>
      </c>
      <c r="C21" s="25">
        <f>3.1*5</f>
        <v>15.5</v>
      </c>
    </row>
    <row r="22" spans="1:3" s="110" customFormat="1" hidden="1" x14ac:dyDescent="0.35">
      <c r="A22" s="23">
        <v>2222</v>
      </c>
      <c r="B22" s="26" t="s">
        <v>39</v>
      </c>
      <c r="C22" s="25"/>
    </row>
    <row r="23" spans="1:3" s="110" customFormat="1" hidden="1" x14ac:dyDescent="0.35">
      <c r="A23" s="23">
        <v>2223</v>
      </c>
      <c r="B23" s="26" t="s">
        <v>40</v>
      </c>
      <c r="C23" s="25"/>
    </row>
    <row r="24" spans="1:3" hidden="1" x14ac:dyDescent="0.35">
      <c r="A24" s="23">
        <v>2243</v>
      </c>
      <c r="B24" s="26" t="s">
        <v>12</v>
      </c>
      <c r="C24" s="25"/>
    </row>
    <row r="25" spans="1:3" x14ac:dyDescent="0.35">
      <c r="A25" s="22">
        <v>2311</v>
      </c>
      <c r="B25" s="26" t="s">
        <v>114</v>
      </c>
      <c r="C25" s="25">
        <v>0.15</v>
      </c>
    </row>
    <row r="26" spans="1:3" hidden="1" x14ac:dyDescent="0.35">
      <c r="A26" s="22">
        <v>2350</v>
      </c>
      <c r="B26" s="26" t="s">
        <v>25</v>
      </c>
      <c r="C26" s="25"/>
    </row>
    <row r="27" spans="1:3" s="3" customFormat="1" hidden="1" x14ac:dyDescent="0.35">
      <c r="A27" s="27">
        <v>2341</v>
      </c>
      <c r="B27" s="26" t="s">
        <v>23</v>
      </c>
      <c r="C27" s="25"/>
    </row>
    <row r="28" spans="1:3" s="3" customFormat="1" ht="15.75" hidden="1" customHeight="1" x14ac:dyDescent="0.35">
      <c r="A28" s="22">
        <v>2249</v>
      </c>
      <c r="B28" s="26" t="s">
        <v>13</v>
      </c>
      <c r="C28" s="25"/>
    </row>
    <row r="29" spans="1:3" s="3" customFormat="1" x14ac:dyDescent="0.35">
      <c r="A29" s="22"/>
      <c r="B29" s="28" t="s">
        <v>58</v>
      </c>
      <c r="C29" s="29">
        <f>SUM(C19:C28)</f>
        <v>21.509999999999998</v>
      </c>
    </row>
    <row r="30" spans="1:3" s="3" customFormat="1" x14ac:dyDescent="0.35">
      <c r="A30" s="23"/>
      <c r="B30" s="24" t="s">
        <v>57</v>
      </c>
      <c r="C30" s="25"/>
    </row>
    <row r="31" spans="1:3" x14ac:dyDescent="0.35">
      <c r="A31" s="22">
        <v>1100</v>
      </c>
      <c r="B31" s="24" t="s">
        <v>83</v>
      </c>
      <c r="C31" s="25">
        <v>0.92</v>
      </c>
    </row>
    <row r="32" spans="1:3" ht="15.75" customHeight="1" x14ac:dyDescent="0.35">
      <c r="A32" s="22">
        <v>1200</v>
      </c>
      <c r="B32" s="54" t="s">
        <v>93</v>
      </c>
      <c r="C32" s="25">
        <v>0.22</v>
      </c>
    </row>
    <row r="33" spans="1:3" hidden="1" x14ac:dyDescent="0.35">
      <c r="A33" s="22">
        <v>2100</v>
      </c>
      <c r="B33" s="30" t="s">
        <v>42</v>
      </c>
      <c r="C33" s="25">
        <v>0</v>
      </c>
    </row>
    <row r="34" spans="1:3" hidden="1" x14ac:dyDescent="0.35">
      <c r="A34" s="27">
        <v>2210</v>
      </c>
      <c r="B34" s="26" t="s">
        <v>38</v>
      </c>
      <c r="C34" s="25">
        <v>0</v>
      </c>
    </row>
    <row r="35" spans="1:3" hidden="1" x14ac:dyDescent="0.35">
      <c r="A35" s="22">
        <v>2222</v>
      </c>
      <c r="B35" s="26" t="s">
        <v>39</v>
      </c>
      <c r="C35" s="25">
        <v>0</v>
      </c>
    </row>
    <row r="36" spans="1:3" hidden="1" x14ac:dyDescent="0.35">
      <c r="A36" s="22">
        <v>2223</v>
      </c>
      <c r="B36" s="26" t="s">
        <v>40</v>
      </c>
      <c r="C36" s="25">
        <v>0</v>
      </c>
    </row>
    <row r="37" spans="1:3" ht="35.25" hidden="1" customHeight="1" x14ac:dyDescent="0.35">
      <c r="A37" s="22">
        <v>2230</v>
      </c>
      <c r="B37" s="26" t="s">
        <v>41</v>
      </c>
      <c r="C37" s="25">
        <v>0</v>
      </c>
    </row>
    <row r="38" spans="1:3" hidden="1" x14ac:dyDescent="0.35">
      <c r="A38" s="22">
        <v>2241</v>
      </c>
      <c r="B38" s="26" t="s">
        <v>10</v>
      </c>
      <c r="C38" s="25">
        <v>0</v>
      </c>
    </row>
    <row r="39" spans="1:3" hidden="1" x14ac:dyDescent="0.35">
      <c r="A39" s="22">
        <v>2242</v>
      </c>
      <c r="B39" s="26" t="s">
        <v>11</v>
      </c>
      <c r="C39" s="25">
        <v>0</v>
      </c>
    </row>
    <row r="40" spans="1:3" hidden="1" x14ac:dyDescent="0.35">
      <c r="A40" s="22">
        <v>2243</v>
      </c>
      <c r="B40" s="26" t="s">
        <v>12</v>
      </c>
      <c r="C40" s="25">
        <v>0</v>
      </c>
    </row>
    <row r="41" spans="1:3" hidden="1" x14ac:dyDescent="0.35">
      <c r="A41" s="22">
        <v>2244</v>
      </c>
      <c r="B41" s="26" t="s">
        <v>187</v>
      </c>
      <c r="C41" s="25">
        <v>0</v>
      </c>
    </row>
    <row r="42" spans="1:3" hidden="1" x14ac:dyDescent="0.35">
      <c r="A42" s="22">
        <v>2247</v>
      </c>
      <c r="B42" s="21" t="s">
        <v>59</v>
      </c>
      <c r="C42" s="25">
        <v>0</v>
      </c>
    </row>
    <row r="43" spans="1:3" ht="16.5" hidden="1" customHeight="1" x14ac:dyDescent="0.35">
      <c r="A43" s="22">
        <v>2249</v>
      </c>
      <c r="B43" s="26" t="s">
        <v>13</v>
      </c>
      <c r="C43" s="25">
        <v>0</v>
      </c>
    </row>
    <row r="44" spans="1:3" hidden="1" x14ac:dyDescent="0.35">
      <c r="A44" s="22">
        <v>2250</v>
      </c>
      <c r="B44" s="26" t="s">
        <v>72</v>
      </c>
      <c r="C44" s="25">
        <v>0</v>
      </c>
    </row>
    <row r="45" spans="1:3" hidden="1" x14ac:dyDescent="0.35">
      <c r="A45" s="22">
        <v>2252</v>
      </c>
      <c r="B45" s="26" t="s">
        <v>8</v>
      </c>
      <c r="C45" s="25">
        <v>0</v>
      </c>
    </row>
    <row r="46" spans="1:3" hidden="1" x14ac:dyDescent="0.35">
      <c r="A46" s="22">
        <v>2259</v>
      </c>
      <c r="B46" s="26" t="s">
        <v>9</v>
      </c>
      <c r="C46" s="25">
        <v>0</v>
      </c>
    </row>
    <row r="47" spans="1:3" hidden="1" x14ac:dyDescent="0.35">
      <c r="A47" s="22">
        <v>2261</v>
      </c>
      <c r="B47" s="26" t="s">
        <v>14</v>
      </c>
      <c r="C47" s="25">
        <v>0</v>
      </c>
    </row>
    <row r="48" spans="1:3" hidden="1" x14ac:dyDescent="0.35">
      <c r="A48" s="22">
        <v>2262</v>
      </c>
      <c r="B48" s="26" t="s">
        <v>15</v>
      </c>
      <c r="C48" s="25">
        <v>0</v>
      </c>
    </row>
    <row r="49" spans="1:3" hidden="1" x14ac:dyDescent="0.35">
      <c r="A49" s="22">
        <v>2263</v>
      </c>
      <c r="B49" s="26" t="s">
        <v>16</v>
      </c>
      <c r="C49" s="25">
        <v>0</v>
      </c>
    </row>
    <row r="50" spans="1:3" hidden="1" x14ac:dyDescent="0.35">
      <c r="A50" s="22">
        <v>2264</v>
      </c>
      <c r="B50" s="26" t="s">
        <v>17</v>
      </c>
      <c r="C50" s="25">
        <v>0</v>
      </c>
    </row>
    <row r="51" spans="1:3" hidden="1" x14ac:dyDescent="0.35">
      <c r="A51" s="22">
        <v>2279</v>
      </c>
      <c r="B51" s="26" t="s">
        <v>18</v>
      </c>
      <c r="C51" s="25">
        <v>0</v>
      </c>
    </row>
    <row r="52" spans="1:3" hidden="1" x14ac:dyDescent="0.35">
      <c r="A52" s="22">
        <v>2311</v>
      </c>
      <c r="B52" s="26" t="s">
        <v>19</v>
      </c>
      <c r="C52" s="25">
        <v>0</v>
      </c>
    </row>
    <row r="53" spans="1:3" hidden="1" x14ac:dyDescent="0.35">
      <c r="A53" s="22">
        <v>2312</v>
      </c>
      <c r="B53" s="26" t="s">
        <v>20</v>
      </c>
      <c r="C53" s="25">
        <v>0</v>
      </c>
    </row>
    <row r="54" spans="1:3" hidden="1" x14ac:dyDescent="0.35">
      <c r="A54" s="22">
        <v>2321</v>
      </c>
      <c r="B54" s="26" t="s">
        <v>21</v>
      </c>
      <c r="C54" s="25">
        <v>0</v>
      </c>
    </row>
    <row r="55" spans="1:3" hidden="1" x14ac:dyDescent="0.35">
      <c r="A55" s="22">
        <v>2322</v>
      </c>
      <c r="B55" s="26" t="s">
        <v>22</v>
      </c>
      <c r="C55" s="25">
        <v>0</v>
      </c>
    </row>
    <row r="56" spans="1:3" hidden="1" x14ac:dyDescent="0.35">
      <c r="A56" s="22">
        <v>2341</v>
      </c>
      <c r="B56" s="26" t="s">
        <v>23</v>
      </c>
      <c r="C56" s="25">
        <v>0</v>
      </c>
    </row>
    <row r="57" spans="1:3" hidden="1" x14ac:dyDescent="0.35">
      <c r="A57" s="22">
        <v>2344</v>
      </c>
      <c r="B57" s="26" t="s">
        <v>24</v>
      </c>
      <c r="C57" s="25">
        <v>0</v>
      </c>
    </row>
    <row r="58" spans="1:3" hidden="1" x14ac:dyDescent="0.35">
      <c r="A58" s="22">
        <v>2350</v>
      </c>
      <c r="B58" s="26" t="s">
        <v>25</v>
      </c>
      <c r="C58" s="25">
        <v>0</v>
      </c>
    </row>
    <row r="59" spans="1:3" hidden="1" x14ac:dyDescent="0.35">
      <c r="A59" s="22">
        <v>2361</v>
      </c>
      <c r="B59" s="26" t="s">
        <v>26</v>
      </c>
      <c r="C59" s="25">
        <v>0</v>
      </c>
    </row>
    <row r="60" spans="1:3" hidden="1" x14ac:dyDescent="0.35">
      <c r="A60" s="22">
        <v>2362</v>
      </c>
      <c r="B60" s="26" t="s">
        <v>27</v>
      </c>
      <c r="C60" s="25">
        <v>0</v>
      </c>
    </row>
    <row r="61" spans="1:3" hidden="1" x14ac:dyDescent="0.35">
      <c r="A61" s="22">
        <v>2363</v>
      </c>
      <c r="B61" s="26" t="s">
        <v>28</v>
      </c>
      <c r="C61" s="25">
        <v>0</v>
      </c>
    </row>
    <row r="62" spans="1:3" hidden="1" x14ac:dyDescent="0.35">
      <c r="A62" s="22">
        <v>2370</v>
      </c>
      <c r="B62" s="26" t="s">
        <v>29</v>
      </c>
      <c r="C62" s="25">
        <v>0</v>
      </c>
    </row>
    <row r="63" spans="1:3" hidden="1" x14ac:dyDescent="0.35">
      <c r="A63" s="22">
        <v>2400</v>
      </c>
      <c r="B63" s="26" t="s">
        <v>43</v>
      </c>
      <c r="C63" s="25">
        <v>0</v>
      </c>
    </row>
    <row r="64" spans="1:3" hidden="1" x14ac:dyDescent="0.35">
      <c r="A64" s="22"/>
      <c r="B64" s="26"/>
      <c r="C64" s="25"/>
    </row>
    <row r="65" spans="1:3" ht="30.75" hidden="1" customHeight="1" x14ac:dyDescent="0.35">
      <c r="A65" s="22">
        <v>2513</v>
      </c>
      <c r="B65" s="26" t="s">
        <v>31</v>
      </c>
      <c r="C65" s="25">
        <v>0</v>
      </c>
    </row>
    <row r="66" spans="1:3" hidden="1" x14ac:dyDescent="0.35">
      <c r="A66" s="22">
        <v>2515</v>
      </c>
      <c r="B66" s="26" t="s">
        <v>55</v>
      </c>
      <c r="C66" s="25">
        <v>0</v>
      </c>
    </row>
    <row r="67" spans="1:3" hidden="1" x14ac:dyDescent="0.35">
      <c r="A67" s="22">
        <v>2519</v>
      </c>
      <c r="B67" s="26" t="s">
        <v>34</v>
      </c>
      <c r="C67" s="25">
        <v>0</v>
      </c>
    </row>
    <row r="68" spans="1:3" hidden="1" x14ac:dyDescent="0.35">
      <c r="A68" s="22">
        <v>6240</v>
      </c>
      <c r="B68" s="26"/>
      <c r="C68" s="25">
        <v>0</v>
      </c>
    </row>
    <row r="69" spans="1:3" hidden="1" x14ac:dyDescent="0.35">
      <c r="A69" s="22">
        <v>6290</v>
      </c>
      <c r="B69" s="26"/>
      <c r="C69" s="25">
        <v>0</v>
      </c>
    </row>
    <row r="70" spans="1:3" hidden="1" x14ac:dyDescent="0.35">
      <c r="A70" s="22">
        <v>5121</v>
      </c>
      <c r="B70" s="26" t="s">
        <v>32</v>
      </c>
      <c r="C70" s="25">
        <v>0</v>
      </c>
    </row>
    <row r="71" spans="1:3" hidden="1" x14ac:dyDescent="0.35">
      <c r="A71" s="22">
        <v>5232</v>
      </c>
      <c r="B71" s="26" t="s">
        <v>33</v>
      </c>
      <c r="C71" s="25">
        <v>0</v>
      </c>
    </row>
    <row r="72" spans="1:3" hidden="1" x14ac:dyDescent="0.35">
      <c r="A72" s="22">
        <v>5238</v>
      </c>
      <c r="B72" s="26" t="s">
        <v>35</v>
      </c>
      <c r="C72" s="25">
        <v>0</v>
      </c>
    </row>
    <row r="73" spans="1:3" hidden="1" x14ac:dyDescent="0.35">
      <c r="A73" s="22">
        <v>5240</v>
      </c>
      <c r="B73" s="26" t="s">
        <v>36</v>
      </c>
      <c r="C73" s="25">
        <v>0</v>
      </c>
    </row>
    <row r="74" spans="1:3" hidden="1" x14ac:dyDescent="0.35">
      <c r="A74" s="22">
        <v>5250</v>
      </c>
      <c r="B74" s="26" t="s">
        <v>37</v>
      </c>
      <c r="C74" s="25">
        <v>0</v>
      </c>
    </row>
    <row r="75" spans="1:3" x14ac:dyDescent="0.35">
      <c r="A75" s="23"/>
      <c r="B75" s="31" t="s">
        <v>60</v>
      </c>
      <c r="C75" s="29">
        <f>SUM(C31:C74)</f>
        <v>1.1400000000000001</v>
      </c>
    </row>
    <row r="76" spans="1:3" x14ac:dyDescent="0.35">
      <c r="A76" s="23"/>
      <c r="B76" s="31" t="s">
        <v>61</v>
      </c>
      <c r="C76" s="29">
        <f>C75+C29</f>
        <v>22.65</v>
      </c>
    </row>
    <row r="77" spans="1:3" x14ac:dyDescent="0.35">
      <c r="A77" s="9"/>
      <c r="B77" s="32"/>
      <c r="C77" s="33"/>
    </row>
    <row r="78" spans="1:3" ht="15.75" customHeight="1" x14ac:dyDescent="0.35">
      <c r="A78" s="171" t="s">
        <v>45</v>
      </c>
      <c r="B78" s="172"/>
      <c r="C78" s="59">
        <v>5</v>
      </c>
    </row>
    <row r="79" spans="1:3" x14ac:dyDescent="0.35">
      <c r="A79" s="171" t="s">
        <v>54</v>
      </c>
      <c r="B79" s="172"/>
      <c r="C79" s="61">
        <f>ROUND(C76/C78,2)</f>
        <v>4.53</v>
      </c>
    </row>
    <row r="80" spans="1:3" ht="15.75" customHeight="1" x14ac:dyDescent="0.35">
      <c r="A80" s="32"/>
      <c r="B80" s="11"/>
      <c r="C80" s="11"/>
    </row>
    <row r="81" spans="1:3" s="111" customFormat="1" x14ac:dyDescent="0.35">
      <c r="A81" s="177" t="s">
        <v>62</v>
      </c>
      <c r="B81" s="178"/>
      <c r="C81" s="35"/>
    </row>
    <row r="82" spans="1:3" s="111" customFormat="1" x14ac:dyDescent="0.35">
      <c r="A82" s="177" t="s">
        <v>63</v>
      </c>
      <c r="B82" s="178"/>
      <c r="C82" s="35"/>
    </row>
    <row r="83" spans="1:3" ht="13.5" customHeight="1" x14ac:dyDescent="0.35">
      <c r="A83" s="36"/>
      <c r="B83" s="11"/>
    </row>
    <row r="84" spans="1:3" s="111" customFormat="1" ht="17.25" customHeight="1" x14ac:dyDescent="0.35">
      <c r="A84" s="37" t="s">
        <v>46</v>
      </c>
      <c r="B84" s="37"/>
      <c r="C84" s="37"/>
    </row>
    <row r="85" spans="1:3" s="111" customFormat="1" ht="12.75" customHeight="1" x14ac:dyDescent="0.35">
      <c r="A85" s="37"/>
      <c r="B85" s="37"/>
      <c r="C85" s="37"/>
    </row>
    <row r="86" spans="1:3" s="111" customFormat="1" ht="15" customHeight="1" x14ac:dyDescent="0.35">
      <c r="A86" s="37" t="s">
        <v>49</v>
      </c>
      <c r="B86" s="38"/>
      <c r="C86" s="37"/>
    </row>
    <row r="87" spans="1:3" s="111" customFormat="1" ht="14.25" customHeight="1" x14ac:dyDescent="0.35">
      <c r="A87" s="37"/>
      <c r="B87" s="124"/>
      <c r="C87" s="37"/>
    </row>
  </sheetData>
  <mergeCells count="7">
    <mergeCell ref="A82:B82"/>
    <mergeCell ref="A7:C7"/>
    <mergeCell ref="A9:B9"/>
    <mergeCell ref="A10:B10"/>
    <mergeCell ref="A78:B78"/>
    <mergeCell ref="A79:B79"/>
    <mergeCell ref="A81:B81"/>
  </mergeCells>
  <pageMargins left="0.7" right="0.7" top="0.75" bottom="0.75" header="0.3" footer="0.3"/>
  <pageSetup paperSize="9" scale="64" orientation="portrait" verticalDpi="0" r:id="rId1"/>
  <headerFooter>
    <oddFooter>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86"/>
  <sheetViews>
    <sheetView view="pageLayout" zoomScale="80" zoomScaleNormal="80" zoomScalePageLayoutView="80" workbookViewId="0">
      <selection activeCell="K88" sqref="K88"/>
    </sheetView>
  </sheetViews>
  <sheetFormatPr defaultRowHeight="14" x14ac:dyDescent="0.3"/>
  <cols>
    <col min="1" max="1" width="12.26953125" style="2" customWidth="1"/>
    <col min="2" max="2" width="94.81640625" style="2" customWidth="1"/>
    <col min="3" max="3" width="32.453125" style="2" customWidth="1"/>
  </cols>
  <sheetData>
    <row r="1" spans="1:3" ht="15.5" x14ac:dyDescent="0.35">
      <c r="B1" s="6"/>
      <c r="C1" s="9" t="s">
        <v>7</v>
      </c>
    </row>
    <row r="2" spans="1:3" ht="15.5" x14ac:dyDescent="0.35">
      <c r="B2" s="7"/>
      <c r="C2" s="9" t="s">
        <v>44</v>
      </c>
    </row>
    <row r="3" spans="1:3" ht="15.5" x14ac:dyDescent="0.35">
      <c r="B3" s="48"/>
      <c r="C3" s="48" t="s">
        <v>91</v>
      </c>
    </row>
    <row r="4" spans="1:3" ht="15.5" x14ac:dyDescent="0.35">
      <c r="B4" s="6"/>
      <c r="C4" s="6"/>
    </row>
    <row r="5" spans="1:3" ht="15.5" x14ac:dyDescent="0.35">
      <c r="B5" s="14"/>
      <c r="C5" s="9" t="s">
        <v>260</v>
      </c>
    </row>
    <row r="6" spans="1:3" x14ac:dyDescent="0.3">
      <c r="B6" s="15"/>
      <c r="C6" s="3"/>
    </row>
    <row r="7" spans="1:3" ht="17.5" x14ac:dyDescent="0.35">
      <c r="A7" s="169" t="s">
        <v>6</v>
      </c>
      <c r="B7" s="169"/>
      <c r="C7" s="169"/>
    </row>
    <row r="8" spans="1:3" x14ac:dyDescent="0.3">
      <c r="B8" s="1"/>
    </row>
    <row r="9" spans="1:3" ht="15.5" x14ac:dyDescent="0.35">
      <c r="A9" s="160" t="s">
        <v>1</v>
      </c>
      <c r="B9" s="160"/>
      <c r="C9" s="10"/>
    </row>
    <row r="10" spans="1:3" ht="15.5" x14ac:dyDescent="0.35">
      <c r="A10" s="160" t="s">
        <v>0</v>
      </c>
      <c r="B10" s="160"/>
      <c r="C10" s="10"/>
    </row>
    <row r="11" spans="1:3" ht="15.5" x14ac:dyDescent="0.35">
      <c r="A11" s="5"/>
      <c r="B11" s="5" t="s">
        <v>165</v>
      </c>
      <c r="C11" s="10"/>
    </row>
    <row r="12" spans="1:3" ht="15.5" x14ac:dyDescent="0.35">
      <c r="A12" s="5"/>
      <c r="B12" s="5" t="s">
        <v>181</v>
      </c>
      <c r="C12" s="10"/>
    </row>
    <row r="13" spans="1:3" ht="15.5" x14ac:dyDescent="0.35">
      <c r="A13" s="5"/>
      <c r="B13" s="5" t="s">
        <v>191</v>
      </c>
      <c r="C13" s="10"/>
    </row>
    <row r="14" spans="1:3" ht="15.5" x14ac:dyDescent="0.35">
      <c r="A14" s="5" t="s">
        <v>2</v>
      </c>
      <c r="B14" s="5" t="s">
        <v>124</v>
      </c>
      <c r="C14" s="10"/>
    </row>
    <row r="15" spans="1:3" ht="15.5" hidden="1" x14ac:dyDescent="0.35">
      <c r="A15" s="10"/>
      <c r="B15" s="16"/>
      <c r="C15" s="10"/>
    </row>
    <row r="16" spans="1:3" ht="65.25" customHeight="1" x14ac:dyDescent="0.25">
      <c r="A16" s="17" t="s">
        <v>3</v>
      </c>
      <c r="B16" s="17" t="s">
        <v>4</v>
      </c>
      <c r="C16" s="17" t="s">
        <v>53</v>
      </c>
    </row>
    <row r="17" spans="1:3" ht="15" x14ac:dyDescent="0.25">
      <c r="A17" s="18">
        <v>1</v>
      </c>
      <c r="B17" s="19">
        <v>2</v>
      </c>
      <c r="C17" s="19">
        <v>3</v>
      </c>
    </row>
    <row r="18" spans="1:3" ht="15.5" x14ac:dyDescent="0.35">
      <c r="A18" s="20"/>
      <c r="B18" s="21" t="s">
        <v>5</v>
      </c>
      <c r="C18" s="22"/>
    </row>
    <row r="19" spans="1:3" ht="15.5" x14ac:dyDescent="0.35">
      <c r="A19" s="23">
        <v>1100</v>
      </c>
      <c r="B19" s="24" t="s">
        <v>83</v>
      </c>
      <c r="C19" s="25">
        <v>23.11</v>
      </c>
    </row>
    <row r="20" spans="1:3" ht="15.75" customHeight="1" x14ac:dyDescent="0.35">
      <c r="A20" s="23">
        <v>1200</v>
      </c>
      <c r="B20" s="54" t="s">
        <v>93</v>
      </c>
      <c r="C20" s="25">
        <v>5.45</v>
      </c>
    </row>
    <row r="21" spans="1:3" ht="15.5" hidden="1" x14ac:dyDescent="0.35">
      <c r="A21" s="23">
        <v>2219</v>
      </c>
      <c r="B21" s="26" t="s">
        <v>188</v>
      </c>
      <c r="C21" s="25">
        <v>0</v>
      </c>
    </row>
    <row r="22" spans="1:3" ht="15.5" hidden="1" x14ac:dyDescent="0.35">
      <c r="A22" s="23">
        <v>2222</v>
      </c>
      <c r="B22" s="26" t="s">
        <v>39</v>
      </c>
      <c r="C22" s="25"/>
    </row>
    <row r="23" spans="1:3" ht="15.5" hidden="1" x14ac:dyDescent="0.35">
      <c r="A23" s="23">
        <v>2223</v>
      </c>
      <c r="B23" s="26" t="s">
        <v>40</v>
      </c>
      <c r="C23" s="25">
        <v>0</v>
      </c>
    </row>
    <row r="24" spans="1:3" ht="15.5" hidden="1" x14ac:dyDescent="0.35">
      <c r="A24" s="23">
        <v>2243</v>
      </c>
      <c r="B24" s="26" t="s">
        <v>12</v>
      </c>
      <c r="C24" s="25"/>
    </row>
    <row r="25" spans="1:3" ht="15.5" x14ac:dyDescent="0.35">
      <c r="A25" s="22">
        <v>2311</v>
      </c>
      <c r="B25" s="26" t="s">
        <v>114</v>
      </c>
      <c r="C25" s="25">
        <f>(3.5/500*20+0.5)*5</f>
        <v>3.2</v>
      </c>
    </row>
    <row r="26" spans="1:3" ht="15.5" hidden="1" x14ac:dyDescent="0.35">
      <c r="A26" s="22">
        <v>2350</v>
      </c>
      <c r="B26" s="26" t="s">
        <v>25</v>
      </c>
      <c r="C26" s="25"/>
    </row>
    <row r="27" spans="1:3" ht="15.5" hidden="1" x14ac:dyDescent="0.35">
      <c r="A27" s="27">
        <v>2341</v>
      </c>
      <c r="B27" s="26" t="s">
        <v>23</v>
      </c>
      <c r="C27" s="25"/>
    </row>
    <row r="28" spans="1:3" ht="15.5" hidden="1" x14ac:dyDescent="0.35">
      <c r="A28" s="22">
        <v>2249</v>
      </c>
      <c r="B28" s="26" t="s">
        <v>13</v>
      </c>
      <c r="C28" s="25"/>
    </row>
    <row r="29" spans="1:3" ht="15.5" x14ac:dyDescent="0.35">
      <c r="A29" s="22"/>
      <c r="B29" s="28" t="s">
        <v>58</v>
      </c>
      <c r="C29" s="29">
        <f>SUM(C19:C28)</f>
        <v>31.759999999999998</v>
      </c>
    </row>
    <row r="30" spans="1:3" ht="15.5" x14ac:dyDescent="0.35">
      <c r="A30" s="23"/>
      <c r="B30" s="24" t="s">
        <v>57</v>
      </c>
      <c r="C30" s="25"/>
    </row>
    <row r="31" spans="1:3" ht="15.5" x14ac:dyDescent="0.35">
      <c r="A31" s="22">
        <v>1100</v>
      </c>
      <c r="B31" s="24" t="s">
        <v>56</v>
      </c>
      <c r="C31" s="25">
        <v>4.4800000000000004</v>
      </c>
    </row>
    <row r="32" spans="1:3" ht="15.75" customHeight="1" x14ac:dyDescent="0.35">
      <c r="A32" s="22">
        <v>1200</v>
      </c>
      <c r="B32" s="26" t="s">
        <v>186</v>
      </c>
      <c r="C32" s="25">
        <v>1.06</v>
      </c>
    </row>
    <row r="33" spans="1:3" ht="15.5" hidden="1" x14ac:dyDescent="0.35">
      <c r="A33" s="22">
        <v>2100</v>
      </c>
      <c r="B33" s="30" t="s">
        <v>42</v>
      </c>
      <c r="C33" s="25">
        <v>0</v>
      </c>
    </row>
    <row r="34" spans="1:3" ht="15.5" hidden="1" x14ac:dyDescent="0.35">
      <c r="A34" s="27">
        <v>2210</v>
      </c>
      <c r="B34" s="54" t="s">
        <v>100</v>
      </c>
      <c r="C34" s="25">
        <v>0</v>
      </c>
    </row>
    <row r="35" spans="1:3" ht="15.5" hidden="1" x14ac:dyDescent="0.35">
      <c r="A35" s="22">
        <v>2222</v>
      </c>
      <c r="B35" s="26" t="s">
        <v>101</v>
      </c>
      <c r="C35" s="25">
        <v>0</v>
      </c>
    </row>
    <row r="36" spans="1:3" ht="15.5" x14ac:dyDescent="0.35">
      <c r="A36" s="22">
        <v>2223</v>
      </c>
      <c r="B36" s="26" t="s">
        <v>94</v>
      </c>
      <c r="C36" s="25">
        <v>2.75</v>
      </c>
    </row>
    <row r="37" spans="1:3" ht="15.5" hidden="1" x14ac:dyDescent="0.35">
      <c r="A37" s="22">
        <v>2241</v>
      </c>
      <c r="B37" s="26" t="s">
        <v>10</v>
      </c>
      <c r="C37" s="25">
        <v>0</v>
      </c>
    </row>
    <row r="38" spans="1:3" ht="15.5" hidden="1" x14ac:dyDescent="0.35">
      <c r="A38" s="22">
        <v>2242</v>
      </c>
      <c r="B38" s="26" t="s">
        <v>11</v>
      </c>
      <c r="C38" s="25">
        <v>0</v>
      </c>
    </row>
    <row r="39" spans="1:3" ht="15.5" x14ac:dyDescent="0.35">
      <c r="A39" s="22">
        <v>2243</v>
      </c>
      <c r="B39" s="26" t="s">
        <v>76</v>
      </c>
      <c r="C39" s="25">
        <v>0.35</v>
      </c>
    </row>
    <row r="40" spans="1:3" ht="15.5" x14ac:dyDescent="0.35">
      <c r="A40" s="22">
        <v>2244</v>
      </c>
      <c r="B40" s="26" t="s">
        <v>108</v>
      </c>
      <c r="C40" s="25">
        <v>1.5</v>
      </c>
    </row>
    <row r="41" spans="1:3" ht="15.5" hidden="1" x14ac:dyDescent="0.35">
      <c r="A41" s="22">
        <v>2247</v>
      </c>
      <c r="B41" s="21" t="s">
        <v>59</v>
      </c>
      <c r="C41" s="25">
        <v>0</v>
      </c>
    </row>
    <row r="42" spans="1:3" ht="15.5" hidden="1" x14ac:dyDescent="0.35">
      <c r="A42" s="22">
        <v>2249</v>
      </c>
      <c r="B42" s="26" t="s">
        <v>13</v>
      </c>
      <c r="C42" s="25">
        <v>0</v>
      </c>
    </row>
    <row r="43" spans="1:3" ht="15.5" x14ac:dyDescent="0.35">
      <c r="A43" s="22">
        <v>2250</v>
      </c>
      <c r="B43" s="26" t="s">
        <v>110</v>
      </c>
      <c r="C43" s="25">
        <v>0.85</v>
      </c>
    </row>
    <row r="44" spans="1:3" ht="15.5" hidden="1" x14ac:dyDescent="0.35">
      <c r="A44" s="22">
        <v>2252</v>
      </c>
      <c r="B44" s="26" t="s">
        <v>8</v>
      </c>
      <c r="C44" s="25">
        <v>0</v>
      </c>
    </row>
    <row r="45" spans="1:3" ht="15.5" hidden="1" x14ac:dyDescent="0.35">
      <c r="A45" s="22">
        <v>2259</v>
      </c>
      <c r="B45" s="26" t="s">
        <v>9</v>
      </c>
      <c r="C45" s="25">
        <v>0</v>
      </c>
    </row>
    <row r="46" spans="1:3" ht="15.5" hidden="1" x14ac:dyDescent="0.35">
      <c r="A46" s="22">
        <v>2261</v>
      </c>
      <c r="B46" s="26" t="s">
        <v>14</v>
      </c>
      <c r="C46" s="25">
        <v>0</v>
      </c>
    </row>
    <row r="47" spans="1:3" ht="15.5" hidden="1" x14ac:dyDescent="0.35">
      <c r="A47" s="22">
        <v>2262</v>
      </c>
      <c r="B47" s="26" t="s">
        <v>15</v>
      </c>
      <c r="C47" s="25">
        <v>0</v>
      </c>
    </row>
    <row r="48" spans="1:3" ht="15.5" hidden="1" x14ac:dyDescent="0.35">
      <c r="A48" s="22">
        <v>2263</v>
      </c>
      <c r="B48" s="26" t="s">
        <v>112</v>
      </c>
      <c r="C48" s="25">
        <v>0</v>
      </c>
    </row>
    <row r="49" spans="1:3" ht="15.5" hidden="1" x14ac:dyDescent="0.35">
      <c r="A49" s="22">
        <v>2264</v>
      </c>
      <c r="B49" s="26" t="s">
        <v>17</v>
      </c>
      <c r="C49" s="25">
        <v>0</v>
      </c>
    </row>
    <row r="50" spans="1:3" ht="15.5" hidden="1" x14ac:dyDescent="0.35">
      <c r="A50" s="22">
        <v>2279</v>
      </c>
      <c r="B50" s="26" t="s">
        <v>18</v>
      </c>
      <c r="C50" s="25">
        <v>0</v>
      </c>
    </row>
    <row r="51" spans="1:3" ht="15.5" x14ac:dyDescent="0.35">
      <c r="A51" s="22">
        <v>2312</v>
      </c>
      <c r="B51" s="26" t="s">
        <v>95</v>
      </c>
      <c r="C51" s="25">
        <v>0.2</v>
      </c>
    </row>
    <row r="52" spans="1:3" ht="15.5" x14ac:dyDescent="0.35">
      <c r="A52" s="22">
        <v>2321</v>
      </c>
      <c r="B52" s="26" t="s">
        <v>96</v>
      </c>
      <c r="C52" s="25">
        <v>1.5</v>
      </c>
    </row>
    <row r="53" spans="1:3" ht="15.5" hidden="1" x14ac:dyDescent="0.35">
      <c r="A53" s="22">
        <v>2322</v>
      </c>
      <c r="B53" s="26" t="s">
        <v>22</v>
      </c>
      <c r="C53" s="25">
        <v>0</v>
      </c>
    </row>
    <row r="54" spans="1:3" ht="15.5" hidden="1" x14ac:dyDescent="0.35">
      <c r="A54" s="22">
        <v>2341</v>
      </c>
      <c r="B54" s="26" t="s">
        <v>23</v>
      </c>
      <c r="C54" s="25">
        <v>0</v>
      </c>
    </row>
    <row r="55" spans="1:3" ht="15.5" hidden="1" x14ac:dyDescent="0.35">
      <c r="A55" s="22">
        <v>2344</v>
      </c>
      <c r="B55" s="26" t="s">
        <v>24</v>
      </c>
      <c r="C55" s="25">
        <v>0</v>
      </c>
    </row>
    <row r="56" spans="1:3" ht="15.5" hidden="1" x14ac:dyDescent="0.35">
      <c r="A56" s="22">
        <v>2350</v>
      </c>
      <c r="B56" s="26" t="s">
        <v>25</v>
      </c>
      <c r="C56" s="25">
        <v>0</v>
      </c>
    </row>
    <row r="57" spans="1:3" ht="15.5" hidden="1" x14ac:dyDescent="0.35">
      <c r="A57" s="22">
        <v>2361</v>
      </c>
      <c r="B57" s="26" t="s">
        <v>26</v>
      </c>
      <c r="C57" s="25">
        <v>0</v>
      </c>
    </row>
    <row r="58" spans="1:3" ht="15.5" hidden="1" x14ac:dyDescent="0.35">
      <c r="A58" s="22">
        <v>2362</v>
      </c>
      <c r="B58" s="26" t="s">
        <v>27</v>
      </c>
      <c r="C58" s="25">
        <v>0</v>
      </c>
    </row>
    <row r="59" spans="1:3" ht="15.5" hidden="1" x14ac:dyDescent="0.35">
      <c r="A59" s="22">
        <v>2363</v>
      </c>
      <c r="B59" s="26" t="s">
        <v>28</v>
      </c>
      <c r="C59" s="25">
        <v>0</v>
      </c>
    </row>
    <row r="60" spans="1:3" ht="15.5" hidden="1" x14ac:dyDescent="0.35">
      <c r="A60" s="22">
        <v>2370</v>
      </c>
      <c r="B60" s="26" t="s">
        <v>29</v>
      </c>
      <c r="C60" s="25">
        <v>0</v>
      </c>
    </row>
    <row r="61" spans="1:3" ht="15.5" hidden="1" x14ac:dyDescent="0.35">
      <c r="A61" s="22">
        <v>2400</v>
      </c>
      <c r="B61" s="26" t="s">
        <v>43</v>
      </c>
      <c r="C61" s="25">
        <v>0</v>
      </c>
    </row>
    <row r="62" spans="1:3" ht="15.5" hidden="1" x14ac:dyDescent="0.35">
      <c r="A62" s="22">
        <v>2512</v>
      </c>
      <c r="B62" s="26" t="s">
        <v>30</v>
      </c>
      <c r="C62" s="25">
        <v>0</v>
      </c>
    </row>
    <row r="63" spans="1:3" ht="15.5" hidden="1" x14ac:dyDescent="0.35">
      <c r="A63" s="22">
        <v>2513</v>
      </c>
      <c r="B63" s="26" t="s">
        <v>31</v>
      </c>
      <c r="C63" s="25"/>
    </row>
    <row r="64" spans="1:3" ht="15.5" hidden="1" x14ac:dyDescent="0.35">
      <c r="A64" s="22">
        <v>2515</v>
      </c>
      <c r="B64" s="26" t="s">
        <v>55</v>
      </c>
      <c r="C64" s="25">
        <v>0</v>
      </c>
    </row>
    <row r="65" spans="1:3" ht="15.5" hidden="1" x14ac:dyDescent="0.35">
      <c r="A65" s="22">
        <v>2519</v>
      </c>
      <c r="B65" s="26" t="s">
        <v>34</v>
      </c>
      <c r="C65" s="25">
        <v>0</v>
      </c>
    </row>
    <row r="66" spans="1:3" ht="15.5" hidden="1" x14ac:dyDescent="0.35">
      <c r="A66" s="22">
        <v>6240</v>
      </c>
      <c r="B66" s="26"/>
      <c r="C66" s="25">
        <v>0</v>
      </c>
    </row>
    <row r="67" spans="1:3" ht="15.5" hidden="1" x14ac:dyDescent="0.35">
      <c r="A67" s="22">
        <v>6290</v>
      </c>
      <c r="B67" s="26"/>
      <c r="C67" s="25">
        <v>0</v>
      </c>
    </row>
    <row r="68" spans="1:3" ht="15.5" hidden="1" x14ac:dyDescent="0.35">
      <c r="A68" s="22">
        <v>5121</v>
      </c>
      <c r="B68" s="26" t="s">
        <v>32</v>
      </c>
      <c r="C68" s="25">
        <v>0</v>
      </c>
    </row>
    <row r="69" spans="1:3" ht="15.5" x14ac:dyDescent="0.35">
      <c r="A69" s="22">
        <v>5238</v>
      </c>
      <c r="B69" s="22" t="s">
        <v>121</v>
      </c>
      <c r="C69" s="25">
        <v>1.2</v>
      </c>
    </row>
    <row r="70" spans="1:3" ht="15.5" hidden="1" x14ac:dyDescent="0.35">
      <c r="A70" s="22">
        <v>5240</v>
      </c>
      <c r="B70" s="26" t="s">
        <v>36</v>
      </c>
      <c r="C70" s="25">
        <v>0</v>
      </c>
    </row>
    <row r="71" spans="1:3" ht="15.5" x14ac:dyDescent="0.35">
      <c r="A71" s="22">
        <v>5250</v>
      </c>
      <c r="B71" s="26" t="s">
        <v>123</v>
      </c>
      <c r="C71" s="25">
        <v>1.85</v>
      </c>
    </row>
    <row r="72" spans="1:3" ht="15.5" x14ac:dyDescent="0.35">
      <c r="A72" s="23"/>
      <c r="B72" s="31" t="s">
        <v>60</v>
      </c>
      <c r="C72" s="29">
        <f>SUM(C31:C71)</f>
        <v>15.739999999999998</v>
      </c>
    </row>
    <row r="73" spans="1:3" ht="15.5" x14ac:dyDescent="0.35">
      <c r="A73" s="23"/>
      <c r="B73" s="31" t="s">
        <v>61</v>
      </c>
      <c r="C73" s="29">
        <f>C72+C29</f>
        <v>47.5</v>
      </c>
    </row>
    <row r="74" spans="1:3" ht="15.5" x14ac:dyDescent="0.35">
      <c r="A74" s="9"/>
      <c r="B74" s="32"/>
      <c r="C74" s="33"/>
    </row>
    <row r="75" spans="1:3" ht="15.5" x14ac:dyDescent="0.35">
      <c r="A75" s="171" t="s">
        <v>45</v>
      </c>
      <c r="B75" s="172"/>
      <c r="C75" s="59">
        <v>5</v>
      </c>
    </row>
    <row r="76" spans="1:3" ht="15.5" x14ac:dyDescent="0.35">
      <c r="A76" s="171" t="s">
        <v>54</v>
      </c>
      <c r="B76" s="172"/>
      <c r="C76" s="61">
        <f>ROUND(C73/C75,2)</f>
        <v>9.5</v>
      </c>
    </row>
    <row r="77" spans="1:3" ht="15.5" x14ac:dyDescent="0.35">
      <c r="A77" s="32"/>
      <c r="B77" s="11"/>
      <c r="C77" s="11"/>
    </row>
    <row r="78" spans="1:3" ht="15.5" x14ac:dyDescent="0.35">
      <c r="A78" s="177" t="s">
        <v>62</v>
      </c>
      <c r="B78" s="178"/>
      <c r="C78" s="35"/>
    </row>
    <row r="79" spans="1:3" ht="15.5" x14ac:dyDescent="0.35">
      <c r="A79" s="177" t="s">
        <v>63</v>
      </c>
      <c r="B79" s="178"/>
      <c r="C79" s="35"/>
    </row>
    <row r="80" spans="1:3" ht="15.5" x14ac:dyDescent="0.35">
      <c r="A80" s="36"/>
      <c r="B80" s="11"/>
      <c r="C80" s="10"/>
    </row>
    <row r="81" spans="1:3" ht="15.5" x14ac:dyDescent="0.35">
      <c r="A81" s="37" t="s">
        <v>46</v>
      </c>
      <c r="B81" s="37"/>
      <c r="C81" s="37"/>
    </row>
    <row r="82" spans="1:3" ht="15.5" x14ac:dyDescent="0.35">
      <c r="A82" s="37"/>
      <c r="B82" s="37"/>
      <c r="C82" s="37"/>
    </row>
    <row r="83" spans="1:3" ht="15.5" x14ac:dyDescent="0.35">
      <c r="A83" s="37" t="s">
        <v>49</v>
      </c>
      <c r="B83" s="38"/>
      <c r="C83" s="37"/>
    </row>
    <row r="84" spans="1:3" ht="15.5" x14ac:dyDescent="0.35">
      <c r="A84" s="37"/>
      <c r="B84" s="124"/>
      <c r="C84" s="37"/>
    </row>
    <row r="85" spans="1:3" ht="15.5" x14ac:dyDescent="0.35">
      <c r="A85" s="10"/>
      <c r="B85" s="10"/>
      <c r="C85" s="10"/>
    </row>
    <row r="86" spans="1:3" ht="15.5" x14ac:dyDescent="0.35">
      <c r="A86" s="10"/>
      <c r="B86" s="10"/>
      <c r="C86" s="10"/>
    </row>
  </sheetData>
  <mergeCells count="7">
    <mergeCell ref="A79:B79"/>
    <mergeCell ref="A7:C7"/>
    <mergeCell ref="A9:B9"/>
    <mergeCell ref="A10:B10"/>
    <mergeCell ref="A75:B75"/>
    <mergeCell ref="A76:B76"/>
    <mergeCell ref="A78:B78"/>
  </mergeCells>
  <pageMargins left="0.7" right="0.7" top="0.75" bottom="0.75" header="0.3" footer="0.3"/>
  <pageSetup paperSize="9" scale="64" orientation="portrait" verticalDpi="0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E86"/>
  <sheetViews>
    <sheetView view="pageLayout" topLeftCell="A4" zoomScale="80" zoomScaleNormal="100" zoomScalePageLayoutView="80" workbookViewId="0">
      <selection activeCell="B29" sqref="B29"/>
    </sheetView>
  </sheetViews>
  <sheetFormatPr defaultColWidth="9.1796875" defaultRowHeight="14" x14ac:dyDescent="0.3"/>
  <cols>
    <col min="1" max="1" width="14" style="2" customWidth="1"/>
    <col min="2" max="2" width="83.54296875" style="2" customWidth="1"/>
    <col min="3" max="4" width="24.1796875" style="2" hidden="1" customWidth="1"/>
    <col min="5" max="5" width="26.453125" style="2" customWidth="1"/>
    <col min="6" max="16384" width="9.1796875" style="2"/>
  </cols>
  <sheetData>
    <row r="1" spans="1:5" ht="12" customHeight="1" x14ac:dyDescent="0.3">
      <c r="B1" s="107"/>
    </row>
    <row r="2" spans="1:5" ht="15.5" x14ac:dyDescent="0.35">
      <c r="B2" s="6"/>
      <c r="C2" s="9" t="s">
        <v>7</v>
      </c>
      <c r="D2" s="9" t="s">
        <v>7</v>
      </c>
      <c r="E2" s="9" t="s">
        <v>7</v>
      </c>
    </row>
    <row r="3" spans="1:5" ht="15.5" x14ac:dyDescent="0.35">
      <c r="B3" s="7"/>
      <c r="C3" s="9" t="s">
        <v>44</v>
      </c>
      <c r="D3" s="9" t="s">
        <v>44</v>
      </c>
      <c r="E3" s="9" t="s">
        <v>44</v>
      </c>
    </row>
    <row r="4" spans="1:5" ht="15.5" x14ac:dyDescent="0.35">
      <c r="B4" s="180"/>
      <c r="C4" s="181"/>
      <c r="D4" s="108"/>
      <c r="E4" s="156" t="s">
        <v>91</v>
      </c>
    </row>
    <row r="5" spans="1:5" ht="15.5" x14ac:dyDescent="0.35">
      <c r="B5" s="6"/>
      <c r="C5" s="9"/>
      <c r="D5" s="9"/>
      <c r="E5" s="9"/>
    </row>
    <row r="6" spans="1:5" ht="15.5" x14ac:dyDescent="0.35">
      <c r="B6" s="14"/>
      <c r="C6" s="9" t="s">
        <v>136</v>
      </c>
      <c r="D6" s="9" t="s">
        <v>136</v>
      </c>
      <c r="E6" s="9" t="s">
        <v>260</v>
      </c>
    </row>
    <row r="7" spans="1:5" ht="15.75" customHeight="1" x14ac:dyDescent="0.3">
      <c r="B7" s="15"/>
      <c r="C7" s="3"/>
      <c r="D7" s="3"/>
      <c r="E7" s="3"/>
    </row>
    <row r="8" spans="1:5" s="3" customFormat="1" ht="17.5" x14ac:dyDescent="0.35">
      <c r="A8" s="169" t="s">
        <v>6</v>
      </c>
      <c r="B8" s="169"/>
      <c r="C8" s="169"/>
      <c r="D8" s="99"/>
      <c r="E8" s="99"/>
    </row>
    <row r="9" spans="1:5" s="3" customFormat="1" ht="15.75" customHeight="1" x14ac:dyDescent="0.3">
      <c r="A9" s="2"/>
      <c r="B9" s="1"/>
      <c r="C9" s="2"/>
      <c r="D9" s="2"/>
      <c r="E9" s="2"/>
    </row>
    <row r="10" spans="1:5" s="3" customFormat="1" ht="15.5" x14ac:dyDescent="0.35">
      <c r="A10" s="160" t="s">
        <v>1</v>
      </c>
      <c r="B10" s="160"/>
      <c r="C10" s="10"/>
      <c r="D10" s="10"/>
      <c r="E10" s="10"/>
    </row>
    <row r="11" spans="1:5" s="3" customFormat="1" ht="15.75" customHeight="1" x14ac:dyDescent="0.35">
      <c r="A11" s="160" t="s">
        <v>0</v>
      </c>
      <c r="B11" s="160"/>
      <c r="C11" s="10"/>
      <c r="D11" s="10"/>
      <c r="E11" s="10"/>
    </row>
    <row r="12" spans="1:5" s="3" customFormat="1" ht="15.5" x14ac:dyDescent="0.35">
      <c r="A12" s="5"/>
      <c r="B12" s="5" t="s">
        <v>165</v>
      </c>
      <c r="C12" s="10"/>
      <c r="D12" s="10"/>
      <c r="E12" s="10"/>
    </row>
    <row r="13" spans="1:5" s="3" customFormat="1" ht="15.5" x14ac:dyDescent="0.35">
      <c r="A13" s="5"/>
      <c r="B13" s="5" t="s">
        <v>192</v>
      </c>
      <c r="C13" s="10"/>
      <c r="D13" s="10"/>
      <c r="E13" s="10"/>
    </row>
    <row r="14" spans="1:5" s="3" customFormat="1" ht="15.5" x14ac:dyDescent="0.35">
      <c r="A14" s="5" t="s">
        <v>2</v>
      </c>
      <c r="B14" s="5" t="s">
        <v>137</v>
      </c>
      <c r="C14" s="10"/>
      <c r="D14" s="10"/>
      <c r="E14" s="10"/>
    </row>
    <row r="15" spans="1:5" s="3" customFormat="1" ht="15.5" hidden="1" x14ac:dyDescent="0.35">
      <c r="A15" s="10"/>
      <c r="B15" s="16"/>
      <c r="C15" s="10"/>
      <c r="D15" s="10"/>
      <c r="E15" s="10"/>
    </row>
    <row r="16" spans="1:5" s="3" customFormat="1" ht="84" customHeight="1" x14ac:dyDescent="0.3">
      <c r="A16" s="17" t="s">
        <v>3</v>
      </c>
      <c r="B16" s="17" t="s">
        <v>4</v>
      </c>
      <c r="C16" s="17" t="s">
        <v>53</v>
      </c>
      <c r="D16" s="17" t="s">
        <v>53</v>
      </c>
      <c r="E16" s="17" t="s">
        <v>53</v>
      </c>
    </row>
    <row r="17" spans="1:5" s="3" customFormat="1" ht="15" x14ac:dyDescent="0.3">
      <c r="A17" s="18">
        <v>1</v>
      </c>
      <c r="B17" s="19">
        <v>2</v>
      </c>
      <c r="C17" s="19">
        <v>2019</v>
      </c>
      <c r="D17" s="19">
        <v>2023</v>
      </c>
      <c r="E17" s="19">
        <v>3</v>
      </c>
    </row>
    <row r="18" spans="1:5" s="3" customFormat="1" ht="15.5" x14ac:dyDescent="0.35">
      <c r="A18" s="20"/>
      <c r="B18" s="21" t="s">
        <v>5</v>
      </c>
      <c r="C18" s="22"/>
      <c r="D18" s="22"/>
      <c r="E18" s="22"/>
    </row>
    <row r="19" spans="1:5" s="109" customFormat="1" ht="15.5" x14ac:dyDescent="0.35">
      <c r="A19" s="23">
        <v>1100</v>
      </c>
      <c r="B19" s="24" t="s">
        <v>83</v>
      </c>
      <c r="C19" s="25">
        <v>21.56</v>
      </c>
      <c r="D19" s="25">
        <f>C19*1.207</f>
        <v>26.022919999999999</v>
      </c>
      <c r="E19" s="25">
        <v>165.55</v>
      </c>
    </row>
    <row r="20" spans="1:5" ht="15.5" x14ac:dyDescent="0.35">
      <c r="A20" s="23">
        <v>1200</v>
      </c>
      <c r="B20" s="112" t="s">
        <v>93</v>
      </c>
      <c r="C20" s="25">
        <v>5.09</v>
      </c>
      <c r="D20" s="25">
        <f>D19*0.2359</f>
        <v>6.1388068279999999</v>
      </c>
      <c r="E20" s="25">
        <v>39.049999999999997</v>
      </c>
    </row>
    <row r="21" spans="1:5" s="110" customFormat="1" ht="15.5" x14ac:dyDescent="0.35">
      <c r="A21" s="23">
        <v>2222</v>
      </c>
      <c r="B21" s="26" t="s">
        <v>139</v>
      </c>
      <c r="C21" s="25">
        <v>18.75</v>
      </c>
      <c r="D21" s="25">
        <f>C21*1.15</f>
        <v>21.5625</v>
      </c>
      <c r="E21" s="25">
        <v>16.38</v>
      </c>
    </row>
    <row r="22" spans="1:5" s="110" customFormat="1" ht="15.5" x14ac:dyDescent="0.35">
      <c r="A22" s="23">
        <v>2223</v>
      </c>
      <c r="B22" s="26" t="s">
        <v>94</v>
      </c>
      <c r="C22" s="25">
        <v>36.71</v>
      </c>
      <c r="D22" s="25">
        <f>C22*2.3</f>
        <v>84.432999999999993</v>
      </c>
      <c r="E22" s="25">
        <v>86.4</v>
      </c>
    </row>
    <row r="23" spans="1:5" s="110" customFormat="1" ht="15.5" x14ac:dyDescent="0.35">
      <c r="A23" s="42">
        <v>2243</v>
      </c>
      <c r="B23" s="21" t="s">
        <v>76</v>
      </c>
      <c r="C23" s="25"/>
      <c r="D23" s="25"/>
      <c r="E23" s="25">
        <v>2.67</v>
      </c>
    </row>
    <row r="24" spans="1:5" ht="15.5" x14ac:dyDescent="0.35">
      <c r="A24" s="42">
        <v>2321</v>
      </c>
      <c r="B24" s="26" t="s">
        <v>96</v>
      </c>
      <c r="C24" s="25">
        <v>5.66</v>
      </c>
      <c r="D24" s="25">
        <v>5.66</v>
      </c>
      <c r="E24" s="25">
        <v>7.02</v>
      </c>
    </row>
    <row r="25" spans="1:5" ht="15.5" x14ac:dyDescent="0.35">
      <c r="A25" s="42">
        <v>2350</v>
      </c>
      <c r="B25" s="22" t="s">
        <v>98</v>
      </c>
      <c r="C25" s="25">
        <v>26.68</v>
      </c>
      <c r="D25" s="25">
        <v>26.68</v>
      </c>
      <c r="E25" s="25">
        <v>7.92</v>
      </c>
    </row>
    <row r="26" spans="1:5" s="3" customFormat="1" ht="15.5" x14ac:dyDescent="0.35">
      <c r="A26" s="22"/>
      <c r="B26" s="28" t="s">
        <v>58</v>
      </c>
      <c r="C26" s="29">
        <f>SUM(C19:C25)</f>
        <v>114.44999999999999</v>
      </c>
      <c r="D26" s="29">
        <f>SUM(D19:D25)</f>
        <v>170.49722682799998</v>
      </c>
      <c r="E26" s="29">
        <f>SUM(E19:E25)</f>
        <v>324.99</v>
      </c>
    </row>
    <row r="27" spans="1:5" s="3" customFormat="1" ht="15.5" x14ac:dyDescent="0.35">
      <c r="A27" s="23"/>
      <c r="B27" s="24" t="s">
        <v>57</v>
      </c>
      <c r="C27" s="25"/>
      <c r="D27" s="25"/>
      <c r="E27" s="25"/>
    </row>
    <row r="28" spans="1:5" ht="15.5" x14ac:dyDescent="0.35">
      <c r="A28" s="22">
        <v>1100</v>
      </c>
      <c r="B28" s="24" t="s">
        <v>83</v>
      </c>
      <c r="C28" s="25">
        <v>33.340000000000003</v>
      </c>
      <c r="D28" s="25">
        <f>33.34*1.207</f>
        <v>40.241380000000007</v>
      </c>
      <c r="E28" s="25">
        <v>68.7</v>
      </c>
    </row>
    <row r="29" spans="1:5" ht="15.5" x14ac:dyDescent="0.35">
      <c r="A29" s="22">
        <v>1200</v>
      </c>
      <c r="B29" s="112" t="s">
        <v>93</v>
      </c>
      <c r="C29" s="25">
        <v>7.86</v>
      </c>
      <c r="D29" s="25">
        <f>D28*0.2359</f>
        <v>9.4929415420000023</v>
      </c>
      <c r="E29" s="25">
        <f>E28*0.2359</f>
        <v>16.206330000000001</v>
      </c>
    </row>
    <row r="30" spans="1:5" ht="15.5" hidden="1" x14ac:dyDescent="0.35">
      <c r="A30" s="22">
        <v>2100</v>
      </c>
      <c r="B30" s="30" t="s">
        <v>42</v>
      </c>
      <c r="C30" s="25">
        <v>0</v>
      </c>
      <c r="D30" s="25">
        <v>0</v>
      </c>
      <c r="E30" s="25">
        <f>D30/90*60</f>
        <v>0</v>
      </c>
    </row>
    <row r="31" spans="1:5" ht="15.5" x14ac:dyDescent="0.35">
      <c r="A31" s="27">
        <v>2210</v>
      </c>
      <c r="B31" s="26" t="s">
        <v>100</v>
      </c>
      <c r="C31" s="25">
        <v>1.73</v>
      </c>
      <c r="D31" s="25">
        <v>1.73</v>
      </c>
      <c r="E31" s="25">
        <v>1.1499999999999999</v>
      </c>
    </row>
    <row r="32" spans="1:5" ht="15.5" x14ac:dyDescent="0.35">
      <c r="A32" s="22">
        <v>2222</v>
      </c>
      <c r="B32" s="26" t="s">
        <v>259</v>
      </c>
      <c r="C32" s="25">
        <v>0</v>
      </c>
      <c r="D32" s="25">
        <v>0</v>
      </c>
      <c r="E32" s="25">
        <v>2.7</v>
      </c>
    </row>
    <row r="33" spans="1:5" ht="15.5" x14ac:dyDescent="0.35">
      <c r="A33" s="22">
        <v>2223</v>
      </c>
      <c r="B33" s="26" t="s">
        <v>94</v>
      </c>
      <c r="C33" s="25">
        <v>0</v>
      </c>
      <c r="D33" s="25">
        <v>0</v>
      </c>
      <c r="E33" s="25">
        <v>5.65</v>
      </c>
    </row>
    <row r="34" spans="1:5" ht="15.5" hidden="1" x14ac:dyDescent="0.35">
      <c r="A34" s="22">
        <v>2231</v>
      </c>
      <c r="B34" s="26" t="s">
        <v>103</v>
      </c>
      <c r="C34" s="25">
        <v>1.01</v>
      </c>
      <c r="D34" s="25">
        <v>1.01</v>
      </c>
      <c r="E34" s="25">
        <v>0</v>
      </c>
    </row>
    <row r="35" spans="1:5" ht="15.5" x14ac:dyDescent="0.35">
      <c r="A35" s="22">
        <v>2241</v>
      </c>
      <c r="B35" s="26" t="s">
        <v>106</v>
      </c>
      <c r="C35" s="25">
        <v>0</v>
      </c>
      <c r="D35" s="25">
        <v>0</v>
      </c>
      <c r="E35" s="25">
        <v>3.49</v>
      </c>
    </row>
    <row r="36" spans="1:5" ht="15.5" x14ac:dyDescent="0.35">
      <c r="A36" s="22">
        <v>2242</v>
      </c>
      <c r="B36" s="26" t="s">
        <v>107</v>
      </c>
      <c r="C36" s="25">
        <v>0.43</v>
      </c>
      <c r="D36" s="25">
        <v>0.43</v>
      </c>
      <c r="E36" s="25">
        <v>0.38</v>
      </c>
    </row>
    <row r="37" spans="1:5" ht="15.5" hidden="1" x14ac:dyDescent="0.35">
      <c r="A37" s="22">
        <v>2243</v>
      </c>
      <c r="B37" s="26" t="s">
        <v>12</v>
      </c>
      <c r="C37" s="25">
        <v>0</v>
      </c>
      <c r="D37" s="25">
        <v>0</v>
      </c>
      <c r="E37" s="25">
        <f>D37/90*60</f>
        <v>0</v>
      </c>
    </row>
    <row r="38" spans="1:5" ht="15.5" x14ac:dyDescent="0.35">
      <c r="A38" s="22">
        <v>2244</v>
      </c>
      <c r="B38" s="26" t="s">
        <v>108</v>
      </c>
      <c r="C38" s="25">
        <v>19.45</v>
      </c>
      <c r="D38" s="25">
        <v>19.45</v>
      </c>
      <c r="E38" s="25">
        <v>12.97</v>
      </c>
    </row>
    <row r="39" spans="1:5" ht="15.5" hidden="1" x14ac:dyDescent="0.35">
      <c r="A39" s="22">
        <v>2247</v>
      </c>
      <c r="B39" s="21" t="s">
        <v>71</v>
      </c>
      <c r="C39" s="25">
        <v>0.14000000000000001</v>
      </c>
      <c r="D39" s="25">
        <v>0.14000000000000001</v>
      </c>
      <c r="E39" s="25">
        <v>0</v>
      </c>
    </row>
    <row r="40" spans="1:5" ht="16.5" customHeight="1" x14ac:dyDescent="0.35">
      <c r="A40" s="22">
        <v>2249</v>
      </c>
      <c r="B40" s="26" t="s">
        <v>127</v>
      </c>
      <c r="C40" s="25">
        <v>0.43</v>
      </c>
      <c r="D40" s="25">
        <v>0.43</v>
      </c>
      <c r="E40" s="25">
        <v>0.28999999999999998</v>
      </c>
    </row>
    <row r="41" spans="1:5" ht="15.5" x14ac:dyDescent="0.35">
      <c r="A41" s="22">
        <v>2250</v>
      </c>
      <c r="B41" s="26" t="s">
        <v>110</v>
      </c>
      <c r="C41" s="25">
        <v>0.28999999999999998</v>
      </c>
      <c r="D41" s="25">
        <v>0.28999999999999998</v>
      </c>
      <c r="E41" s="25">
        <v>0.19</v>
      </c>
    </row>
    <row r="42" spans="1:5" ht="15.5" hidden="1" x14ac:dyDescent="0.35">
      <c r="A42" s="22">
        <v>2252</v>
      </c>
      <c r="B42" s="26" t="s">
        <v>8</v>
      </c>
      <c r="C42" s="25">
        <v>0</v>
      </c>
      <c r="D42" s="25">
        <v>0</v>
      </c>
      <c r="E42" s="25">
        <f>D42/90*60</f>
        <v>0</v>
      </c>
    </row>
    <row r="43" spans="1:5" ht="15.5" hidden="1" x14ac:dyDescent="0.35">
      <c r="A43" s="22">
        <v>2259</v>
      </c>
      <c r="B43" s="26" t="s">
        <v>9</v>
      </c>
      <c r="C43" s="25">
        <v>0</v>
      </c>
      <c r="D43" s="25">
        <v>0</v>
      </c>
      <c r="E43" s="25">
        <f>D43/90*60</f>
        <v>0</v>
      </c>
    </row>
    <row r="44" spans="1:5" ht="15.5" hidden="1" x14ac:dyDescent="0.35">
      <c r="A44" s="22">
        <v>2261</v>
      </c>
      <c r="B44" s="26" t="s">
        <v>128</v>
      </c>
      <c r="C44" s="25">
        <v>0.28999999999999998</v>
      </c>
      <c r="D44" s="25">
        <v>0.28999999999999998</v>
      </c>
      <c r="E44" s="25">
        <v>0</v>
      </c>
    </row>
    <row r="45" spans="1:5" ht="15.5" x14ac:dyDescent="0.35">
      <c r="A45" s="22">
        <v>2262</v>
      </c>
      <c r="B45" s="26" t="s">
        <v>111</v>
      </c>
      <c r="C45" s="25">
        <v>1.1499999999999999</v>
      </c>
      <c r="D45" s="25">
        <v>1.1499999999999999</v>
      </c>
      <c r="E45" s="25">
        <v>0.77</v>
      </c>
    </row>
    <row r="46" spans="1:5" ht="15.5" x14ac:dyDescent="0.35">
      <c r="A46" s="22">
        <v>2263</v>
      </c>
      <c r="B46" s="26" t="s">
        <v>112</v>
      </c>
      <c r="C46" s="25">
        <v>4.18</v>
      </c>
      <c r="D46" s="25">
        <v>4.18</v>
      </c>
      <c r="E46" s="25">
        <v>2.79</v>
      </c>
    </row>
    <row r="47" spans="1:5" ht="15.5" hidden="1" x14ac:dyDescent="0.35">
      <c r="A47" s="22">
        <v>2264</v>
      </c>
      <c r="B47" s="26" t="s">
        <v>17</v>
      </c>
      <c r="C47" s="25">
        <v>0</v>
      </c>
      <c r="D47" s="25">
        <v>0</v>
      </c>
      <c r="E47" s="25">
        <f>D47/90*60</f>
        <v>0</v>
      </c>
    </row>
    <row r="48" spans="1:5" ht="15.5" hidden="1" x14ac:dyDescent="0.35">
      <c r="A48" s="22">
        <v>2279</v>
      </c>
      <c r="B48" s="26" t="s">
        <v>18</v>
      </c>
      <c r="C48" s="25">
        <v>0</v>
      </c>
      <c r="D48" s="25">
        <v>0</v>
      </c>
      <c r="E48" s="25">
        <f>D48/90*60</f>
        <v>0</v>
      </c>
    </row>
    <row r="49" spans="1:5" ht="15.5" x14ac:dyDescent="0.35">
      <c r="A49" s="22">
        <v>2311</v>
      </c>
      <c r="B49" s="26" t="s">
        <v>114</v>
      </c>
      <c r="C49" s="25">
        <v>0.43</v>
      </c>
      <c r="D49" s="25">
        <v>0.43</v>
      </c>
      <c r="E49" s="25">
        <v>0.28999999999999998</v>
      </c>
    </row>
    <row r="50" spans="1:5" ht="15.5" x14ac:dyDescent="0.35">
      <c r="A50" s="22">
        <v>2312</v>
      </c>
      <c r="B50" s="26" t="s">
        <v>95</v>
      </c>
      <c r="C50" s="25">
        <v>0.86</v>
      </c>
      <c r="D50" s="25">
        <v>0.86</v>
      </c>
      <c r="E50" s="25">
        <v>0.56999999999999995</v>
      </c>
    </row>
    <row r="51" spans="1:5" ht="15.5" x14ac:dyDescent="0.35">
      <c r="A51" s="22">
        <v>2321</v>
      </c>
      <c r="B51" s="26" t="s">
        <v>96</v>
      </c>
      <c r="C51" s="25">
        <v>73.180000000000007</v>
      </c>
      <c r="D51" s="25">
        <f>C51*1.2</f>
        <v>87.816000000000003</v>
      </c>
      <c r="E51" s="25">
        <v>5.58</v>
      </c>
    </row>
    <row r="52" spans="1:5" ht="15.5" x14ac:dyDescent="0.35">
      <c r="A52" s="22">
        <v>2322</v>
      </c>
      <c r="B52" s="26" t="s">
        <v>117</v>
      </c>
      <c r="C52" s="25">
        <v>3.03</v>
      </c>
      <c r="D52" s="25">
        <f>C52*1.2</f>
        <v>3.6359999999999997</v>
      </c>
      <c r="E52" s="25">
        <v>1.42</v>
      </c>
    </row>
    <row r="53" spans="1:5" ht="15.5" hidden="1" x14ac:dyDescent="0.35">
      <c r="A53" s="22">
        <v>2341</v>
      </c>
      <c r="B53" s="26" t="s">
        <v>23</v>
      </c>
      <c r="C53" s="25">
        <v>0</v>
      </c>
      <c r="D53" s="25">
        <v>0</v>
      </c>
      <c r="E53" s="25">
        <f>D53/90*60</f>
        <v>0</v>
      </c>
    </row>
    <row r="54" spans="1:5" ht="15.5" hidden="1" x14ac:dyDescent="0.35">
      <c r="A54" s="22">
        <v>2344</v>
      </c>
      <c r="B54" s="26" t="s">
        <v>24</v>
      </c>
      <c r="C54" s="25">
        <v>0</v>
      </c>
      <c r="D54" s="25">
        <v>0</v>
      </c>
      <c r="E54" s="25">
        <f>D54/90*60</f>
        <v>0</v>
      </c>
    </row>
    <row r="55" spans="1:5" ht="15.5" x14ac:dyDescent="0.35">
      <c r="A55" s="42">
        <v>2350</v>
      </c>
      <c r="B55" s="22" t="s">
        <v>98</v>
      </c>
      <c r="C55" s="25">
        <v>4.03</v>
      </c>
      <c r="D55" s="25">
        <f>4.03+1.8</f>
        <v>5.83</v>
      </c>
      <c r="E55" s="25">
        <v>2.89</v>
      </c>
    </row>
    <row r="56" spans="1:5" ht="15.5" hidden="1" x14ac:dyDescent="0.35">
      <c r="A56" s="22">
        <v>2361</v>
      </c>
      <c r="B56" s="26" t="s">
        <v>65</v>
      </c>
      <c r="C56" s="25">
        <v>0.14000000000000001</v>
      </c>
      <c r="D56" s="25">
        <v>0.14000000000000001</v>
      </c>
      <c r="E56" s="25">
        <v>0</v>
      </c>
    </row>
    <row r="57" spans="1:5" ht="15.5" hidden="1" x14ac:dyDescent="0.35">
      <c r="A57" s="22">
        <v>2362</v>
      </c>
      <c r="B57" s="26" t="s">
        <v>27</v>
      </c>
      <c r="C57" s="25">
        <v>0</v>
      </c>
      <c r="D57" s="25">
        <v>0</v>
      </c>
      <c r="E57" s="25">
        <f>D57/90*60</f>
        <v>0</v>
      </c>
    </row>
    <row r="58" spans="1:5" ht="15.5" hidden="1" x14ac:dyDescent="0.35">
      <c r="A58" s="22">
        <v>2363</v>
      </c>
      <c r="B58" s="26" t="s">
        <v>28</v>
      </c>
      <c r="C58" s="25">
        <v>0</v>
      </c>
      <c r="D58" s="25">
        <v>0</v>
      </c>
      <c r="E58" s="25">
        <f>D58/90*60</f>
        <v>0</v>
      </c>
    </row>
    <row r="59" spans="1:5" ht="15.5" hidden="1" x14ac:dyDescent="0.35">
      <c r="A59" s="22">
        <v>2370</v>
      </c>
      <c r="B59" s="26" t="s">
        <v>29</v>
      </c>
      <c r="C59" s="25">
        <v>0</v>
      </c>
      <c r="D59" s="25">
        <v>0</v>
      </c>
      <c r="E59" s="25">
        <f>D59/90*60</f>
        <v>0</v>
      </c>
    </row>
    <row r="60" spans="1:5" ht="15.5" hidden="1" x14ac:dyDescent="0.35">
      <c r="A60" s="22">
        <v>2400</v>
      </c>
      <c r="B60" s="26" t="s">
        <v>43</v>
      </c>
      <c r="C60" s="25">
        <v>0.14000000000000001</v>
      </c>
      <c r="D60" s="25">
        <v>0</v>
      </c>
      <c r="E60" s="25">
        <v>0</v>
      </c>
    </row>
    <row r="61" spans="1:5" ht="15.5" hidden="1" x14ac:dyDescent="0.35">
      <c r="A61" s="22">
        <v>2512</v>
      </c>
      <c r="B61" s="26" t="s">
        <v>30</v>
      </c>
      <c r="C61" s="25"/>
      <c r="D61" s="25"/>
      <c r="E61" s="25">
        <v>0</v>
      </c>
    </row>
    <row r="62" spans="1:5" ht="15.5" x14ac:dyDescent="0.35">
      <c r="A62" s="22">
        <v>2513</v>
      </c>
      <c r="B62" s="112" t="s">
        <v>118</v>
      </c>
      <c r="C62" s="25">
        <v>3.31</v>
      </c>
      <c r="D62" s="25">
        <v>3.31</v>
      </c>
      <c r="E62" s="25">
        <v>2.21</v>
      </c>
    </row>
    <row r="63" spans="1:5" ht="15.5" x14ac:dyDescent="0.35">
      <c r="A63" s="22">
        <v>2515</v>
      </c>
      <c r="B63" s="26" t="s">
        <v>73</v>
      </c>
      <c r="C63" s="25">
        <v>0.14000000000000001</v>
      </c>
      <c r="D63" s="25">
        <v>0.14000000000000001</v>
      </c>
      <c r="E63" s="25">
        <v>0.34</v>
      </c>
    </row>
    <row r="64" spans="1:5" ht="15.5" x14ac:dyDescent="0.35">
      <c r="A64" s="22">
        <v>2519</v>
      </c>
      <c r="B64" s="26" t="s">
        <v>119</v>
      </c>
      <c r="C64" s="25">
        <v>0.43</v>
      </c>
      <c r="D64" s="25">
        <v>0.43</v>
      </c>
      <c r="E64" s="25">
        <v>0.28999999999999998</v>
      </c>
    </row>
    <row r="65" spans="1:5" ht="15.5" hidden="1" x14ac:dyDescent="0.35">
      <c r="A65" s="22">
        <v>6240</v>
      </c>
      <c r="B65" s="26"/>
      <c r="C65" s="25">
        <v>0</v>
      </c>
      <c r="D65" s="25">
        <v>0</v>
      </c>
      <c r="E65" s="25">
        <f>D65/90*60</f>
        <v>0</v>
      </c>
    </row>
    <row r="66" spans="1:5" ht="15.5" hidden="1" x14ac:dyDescent="0.35">
      <c r="A66" s="22">
        <v>6290</v>
      </c>
      <c r="B66" s="26"/>
      <c r="C66" s="25">
        <v>0</v>
      </c>
      <c r="D66" s="25">
        <v>0</v>
      </c>
      <c r="E66" s="25">
        <f>D66/90*60</f>
        <v>0</v>
      </c>
    </row>
    <row r="67" spans="1:5" ht="15.5" hidden="1" x14ac:dyDescent="0.35">
      <c r="A67" s="22">
        <v>5121</v>
      </c>
      <c r="B67" s="26" t="s">
        <v>32</v>
      </c>
      <c r="C67" s="25">
        <v>0</v>
      </c>
      <c r="D67" s="25">
        <v>0</v>
      </c>
      <c r="E67" s="25">
        <f>D67/90*60</f>
        <v>0</v>
      </c>
    </row>
    <row r="68" spans="1:5" ht="15.5" x14ac:dyDescent="0.35">
      <c r="A68" s="22">
        <v>5239</v>
      </c>
      <c r="B68" s="26" t="s">
        <v>138</v>
      </c>
      <c r="C68" s="25">
        <v>12.2</v>
      </c>
      <c r="D68" s="25">
        <v>12.2</v>
      </c>
      <c r="E68" s="25">
        <v>2.13</v>
      </c>
    </row>
    <row r="69" spans="1:5" ht="15.5" hidden="1" x14ac:dyDescent="0.35">
      <c r="A69" s="22">
        <v>5238</v>
      </c>
      <c r="B69" s="26" t="s">
        <v>35</v>
      </c>
      <c r="C69" s="25">
        <v>0</v>
      </c>
      <c r="D69" s="25">
        <v>0</v>
      </c>
      <c r="E69" s="25">
        <v>0</v>
      </c>
    </row>
    <row r="70" spans="1:5" ht="15.5" hidden="1" x14ac:dyDescent="0.35">
      <c r="A70" s="22">
        <v>5240</v>
      </c>
      <c r="B70" s="26" t="s">
        <v>36</v>
      </c>
      <c r="C70" s="25">
        <v>0</v>
      </c>
      <c r="D70" s="25">
        <v>0</v>
      </c>
      <c r="E70" s="25">
        <v>0</v>
      </c>
    </row>
    <row r="71" spans="1:5" ht="15.5" hidden="1" x14ac:dyDescent="0.35">
      <c r="A71" s="22">
        <v>5250</v>
      </c>
      <c r="B71" s="26" t="s">
        <v>37</v>
      </c>
      <c r="C71" s="25">
        <v>0</v>
      </c>
      <c r="D71" s="25">
        <v>0</v>
      </c>
      <c r="E71" s="25">
        <v>0</v>
      </c>
    </row>
    <row r="72" spans="1:5" ht="15.5" x14ac:dyDescent="0.35">
      <c r="A72" s="23"/>
      <c r="B72" s="31" t="s">
        <v>60</v>
      </c>
      <c r="C72" s="29">
        <f>SUM(C28:C71)</f>
        <v>168.19</v>
      </c>
      <c r="D72" s="29">
        <f>SUM(D28:D71)</f>
        <v>193.62632154200003</v>
      </c>
      <c r="E72" s="29">
        <f>SUM(E28:E71)</f>
        <v>131.00632999999999</v>
      </c>
    </row>
    <row r="73" spans="1:5" ht="15.5" x14ac:dyDescent="0.35">
      <c r="A73" s="23"/>
      <c r="B73" s="31" t="s">
        <v>61</v>
      </c>
      <c r="C73" s="29">
        <f>C72+C26</f>
        <v>282.64</v>
      </c>
      <c r="D73" s="29">
        <f>D72+D26</f>
        <v>364.12354836999998</v>
      </c>
      <c r="E73" s="29">
        <f>E72+E26</f>
        <v>455.99633</v>
      </c>
    </row>
    <row r="74" spans="1:5" ht="15.5" x14ac:dyDescent="0.35">
      <c r="A74" s="9"/>
      <c r="B74" s="32"/>
      <c r="C74" s="33"/>
      <c r="D74" s="33"/>
      <c r="E74" s="33"/>
    </row>
    <row r="75" spans="1:5" ht="15.75" customHeight="1" x14ac:dyDescent="0.35">
      <c r="A75" s="171" t="s">
        <v>45</v>
      </c>
      <c r="B75" s="172"/>
      <c r="C75" s="34">
        <v>90</v>
      </c>
      <c r="D75" s="34">
        <v>90</v>
      </c>
      <c r="E75" s="34">
        <v>60</v>
      </c>
    </row>
    <row r="76" spans="1:5" ht="15.5" x14ac:dyDescent="0.35">
      <c r="A76" s="171" t="s">
        <v>54</v>
      </c>
      <c r="B76" s="172"/>
      <c r="C76" s="29">
        <f>ROUND(C73/C75,2)</f>
        <v>3.14</v>
      </c>
      <c r="D76" s="29">
        <f>ROUND(D73/D75,2)</f>
        <v>4.05</v>
      </c>
      <c r="E76" s="29">
        <f>ROUND(E73/E75,2)</f>
        <v>7.6</v>
      </c>
    </row>
    <row r="77" spans="1:5" ht="15.75" customHeight="1" x14ac:dyDescent="0.35">
      <c r="A77" s="32"/>
      <c r="B77" s="11"/>
      <c r="C77" s="11"/>
      <c r="D77" s="11"/>
      <c r="E77" s="11"/>
    </row>
    <row r="78" spans="1:5" s="111" customFormat="1" ht="15.5" x14ac:dyDescent="0.35">
      <c r="A78" s="177" t="s">
        <v>62</v>
      </c>
      <c r="B78" s="178"/>
      <c r="C78" s="35"/>
      <c r="D78" s="35"/>
      <c r="E78" s="25"/>
    </row>
    <row r="79" spans="1:5" s="111" customFormat="1" ht="15.5" x14ac:dyDescent="0.35">
      <c r="A79" s="177" t="s">
        <v>63</v>
      </c>
      <c r="B79" s="178"/>
      <c r="C79" s="35"/>
      <c r="D79" s="35"/>
      <c r="E79" s="25"/>
    </row>
    <row r="80" spans="1:5" ht="13.5" customHeight="1" x14ac:dyDescent="0.35">
      <c r="A80" s="36"/>
      <c r="B80" s="11"/>
      <c r="C80" s="10"/>
      <c r="D80" s="10"/>
      <c r="E80" s="10"/>
    </row>
    <row r="81" spans="1:5" s="111" customFormat="1" ht="17.25" customHeight="1" x14ac:dyDescent="0.35">
      <c r="A81" s="37" t="s">
        <v>46</v>
      </c>
      <c r="B81" s="37"/>
      <c r="C81" s="37"/>
      <c r="D81" s="37"/>
      <c r="E81" s="95"/>
    </row>
    <row r="82" spans="1:5" s="111" customFormat="1" ht="12.75" customHeight="1" x14ac:dyDescent="0.35">
      <c r="A82" s="37"/>
      <c r="B82" s="37"/>
      <c r="C82" s="37"/>
      <c r="D82" s="37"/>
      <c r="E82" s="37"/>
    </row>
    <row r="83" spans="1:5" s="111" customFormat="1" ht="15" customHeight="1" x14ac:dyDescent="0.35">
      <c r="A83" s="37" t="s">
        <v>49</v>
      </c>
      <c r="B83" s="38"/>
      <c r="C83" s="37"/>
      <c r="D83" s="37"/>
      <c r="E83" s="37"/>
    </row>
    <row r="84" spans="1:5" s="111" customFormat="1" ht="14.25" customHeight="1" x14ac:dyDescent="0.35">
      <c r="A84" s="37"/>
      <c r="B84" s="39"/>
      <c r="C84" s="37"/>
      <c r="D84" s="37"/>
      <c r="E84" s="37"/>
    </row>
    <row r="85" spans="1:5" ht="15.5" x14ac:dyDescent="0.35">
      <c r="A85" s="10"/>
      <c r="B85" s="10"/>
      <c r="C85" s="10"/>
      <c r="D85" s="10"/>
      <c r="E85" s="10"/>
    </row>
    <row r="86" spans="1:5" ht="15.5" x14ac:dyDescent="0.35">
      <c r="A86" s="10"/>
      <c r="B86" s="10"/>
      <c r="C86" s="10"/>
      <c r="D86" s="10"/>
      <c r="E86" s="10"/>
    </row>
  </sheetData>
  <mergeCells count="8">
    <mergeCell ref="A78:B78"/>
    <mergeCell ref="A79:B79"/>
    <mergeCell ref="B4:C4"/>
    <mergeCell ref="A8:C8"/>
    <mergeCell ref="A10:B10"/>
    <mergeCell ref="A11:B11"/>
    <mergeCell ref="A75:B75"/>
    <mergeCell ref="A76:B76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C69"/>
  <sheetViews>
    <sheetView view="pageLayout" zoomScale="80" zoomScaleNormal="100" zoomScalePageLayoutView="80" workbookViewId="0">
      <selection activeCell="C6" sqref="C6"/>
    </sheetView>
  </sheetViews>
  <sheetFormatPr defaultColWidth="9.1796875" defaultRowHeight="14" x14ac:dyDescent="0.3"/>
  <cols>
    <col min="1" max="1" width="14" style="2" customWidth="1"/>
    <col min="2" max="2" width="83.54296875" style="2" customWidth="1"/>
    <col min="3" max="3" width="27.54296875" style="2" customWidth="1"/>
    <col min="4" max="16384" width="9.1796875" style="2"/>
  </cols>
  <sheetData>
    <row r="1" spans="1:3" ht="12" customHeight="1" x14ac:dyDescent="0.3">
      <c r="B1" s="107"/>
    </row>
    <row r="2" spans="1:3" ht="15.5" x14ac:dyDescent="0.35">
      <c r="B2" s="6"/>
      <c r="C2" s="9" t="s">
        <v>7</v>
      </c>
    </row>
    <row r="3" spans="1:3" ht="15.5" x14ac:dyDescent="0.35">
      <c r="B3" s="7"/>
      <c r="C3" s="9" t="s">
        <v>44</v>
      </c>
    </row>
    <row r="4" spans="1:3" ht="15.5" x14ac:dyDescent="0.35">
      <c r="B4" s="48"/>
      <c r="C4" s="70" t="s">
        <v>91</v>
      </c>
    </row>
    <row r="5" spans="1:3" ht="15.5" x14ac:dyDescent="0.35">
      <c r="B5" s="6"/>
      <c r="C5" s="9"/>
    </row>
    <row r="6" spans="1:3" ht="15.5" x14ac:dyDescent="0.35">
      <c r="B6" s="14"/>
      <c r="C6" s="9" t="s">
        <v>260</v>
      </c>
    </row>
    <row r="7" spans="1:3" ht="15.75" customHeight="1" x14ac:dyDescent="0.3">
      <c r="B7" s="15"/>
      <c r="C7" s="3"/>
    </row>
    <row r="8" spans="1:3" s="3" customFormat="1" ht="17.5" x14ac:dyDescent="0.35">
      <c r="A8" s="169" t="s">
        <v>6</v>
      </c>
      <c r="B8" s="169"/>
      <c r="C8" s="99"/>
    </row>
    <row r="9" spans="1:3" s="3" customFormat="1" ht="15.75" customHeight="1" x14ac:dyDescent="0.3">
      <c r="A9" s="2"/>
      <c r="B9" s="1"/>
      <c r="C9" s="2"/>
    </row>
    <row r="10" spans="1:3" s="3" customFormat="1" ht="15.5" x14ac:dyDescent="0.35">
      <c r="A10" s="160" t="s">
        <v>1</v>
      </c>
      <c r="B10" s="160"/>
      <c r="C10" s="10"/>
    </row>
    <row r="11" spans="1:3" s="3" customFormat="1" ht="15.75" customHeight="1" x14ac:dyDescent="0.35">
      <c r="A11" s="160" t="s">
        <v>0</v>
      </c>
      <c r="B11" s="160"/>
      <c r="C11" s="10"/>
    </row>
    <row r="12" spans="1:3" s="3" customFormat="1" ht="15.5" x14ac:dyDescent="0.35">
      <c r="A12" s="5"/>
      <c r="B12" s="5" t="s">
        <v>165</v>
      </c>
      <c r="C12" s="10"/>
    </row>
    <row r="13" spans="1:3" s="3" customFormat="1" ht="15.5" x14ac:dyDescent="0.35">
      <c r="A13" s="5"/>
      <c r="B13" s="5" t="s">
        <v>193</v>
      </c>
      <c r="C13" s="10"/>
    </row>
    <row r="14" spans="1:3" s="3" customFormat="1" ht="15.5" x14ac:dyDescent="0.35">
      <c r="A14" s="5" t="s">
        <v>2</v>
      </c>
      <c r="B14" s="5" t="s">
        <v>137</v>
      </c>
      <c r="C14" s="10"/>
    </row>
    <row r="15" spans="1:3" s="3" customFormat="1" ht="15.5" hidden="1" x14ac:dyDescent="0.35">
      <c r="A15" s="10"/>
      <c r="B15" s="16"/>
      <c r="C15" s="10"/>
    </row>
    <row r="16" spans="1:3" s="3" customFormat="1" ht="84" customHeight="1" x14ac:dyDescent="0.3">
      <c r="A16" s="17" t="s">
        <v>3</v>
      </c>
      <c r="B16" s="17" t="s">
        <v>4</v>
      </c>
      <c r="C16" s="17" t="s">
        <v>53</v>
      </c>
    </row>
    <row r="17" spans="1:3" s="3" customFormat="1" ht="15" x14ac:dyDescent="0.3">
      <c r="A17" s="18">
        <v>1</v>
      </c>
      <c r="B17" s="19">
        <v>2</v>
      </c>
      <c r="C17" s="19">
        <v>3</v>
      </c>
    </row>
    <row r="18" spans="1:3" s="3" customFormat="1" ht="15.5" x14ac:dyDescent="0.35">
      <c r="A18" s="20"/>
      <c r="B18" s="21" t="s">
        <v>5</v>
      </c>
      <c r="C18" s="22"/>
    </row>
    <row r="19" spans="1:3" s="109" customFormat="1" ht="15.5" x14ac:dyDescent="0.35">
      <c r="A19" s="23">
        <v>1100</v>
      </c>
      <c r="B19" s="24" t="s">
        <v>83</v>
      </c>
      <c r="C19" s="25">
        <v>126.92</v>
      </c>
    </row>
    <row r="20" spans="1:3" ht="15.5" x14ac:dyDescent="0.35">
      <c r="A20" s="23">
        <v>1200</v>
      </c>
      <c r="B20" s="112" t="s">
        <v>93</v>
      </c>
      <c r="C20" s="25">
        <v>29.94</v>
      </c>
    </row>
    <row r="21" spans="1:3" s="110" customFormat="1" ht="15.5" hidden="1" x14ac:dyDescent="0.35">
      <c r="A21" s="23">
        <v>2222</v>
      </c>
      <c r="B21" s="26" t="s">
        <v>139</v>
      </c>
      <c r="C21" s="25">
        <v>0</v>
      </c>
    </row>
    <row r="22" spans="1:3" s="110" customFormat="1" ht="15.5" x14ac:dyDescent="0.35">
      <c r="A22" s="23">
        <v>2223</v>
      </c>
      <c r="B22" s="26" t="s">
        <v>94</v>
      </c>
      <c r="C22" s="25">
        <v>95.4</v>
      </c>
    </row>
    <row r="23" spans="1:3" ht="15.5" x14ac:dyDescent="0.35">
      <c r="A23" s="42">
        <v>2243</v>
      </c>
      <c r="B23" s="21" t="s">
        <v>76</v>
      </c>
      <c r="C23" s="25">
        <v>3.22</v>
      </c>
    </row>
    <row r="24" spans="1:3" ht="15.5" x14ac:dyDescent="0.35">
      <c r="A24" s="42">
        <v>2321</v>
      </c>
      <c r="B24" s="26" t="s">
        <v>96</v>
      </c>
      <c r="C24" s="25">
        <v>10.53</v>
      </c>
    </row>
    <row r="25" spans="1:3" s="3" customFormat="1" ht="15.5" x14ac:dyDescent="0.35">
      <c r="A25" s="22"/>
      <c r="B25" s="28" t="s">
        <v>58</v>
      </c>
      <c r="C25" s="29">
        <f>SUM(C19:C24)</f>
        <v>266.01</v>
      </c>
    </row>
    <row r="26" spans="1:3" s="3" customFormat="1" ht="15.5" x14ac:dyDescent="0.35">
      <c r="A26" s="23"/>
      <c r="B26" s="24" t="s">
        <v>57</v>
      </c>
      <c r="C26" s="25"/>
    </row>
    <row r="27" spans="1:3" ht="15.5" x14ac:dyDescent="0.35">
      <c r="A27" s="22">
        <v>1100</v>
      </c>
      <c r="B27" s="24" t="s">
        <v>83</v>
      </c>
      <c r="C27" s="25">
        <v>55.34</v>
      </c>
    </row>
    <row r="28" spans="1:3" ht="15.5" x14ac:dyDescent="0.35">
      <c r="A28" s="22">
        <v>1200</v>
      </c>
      <c r="B28" s="112" t="s">
        <v>93</v>
      </c>
      <c r="C28" s="25">
        <v>13.05</v>
      </c>
    </row>
    <row r="29" spans="1:3" ht="15.5" hidden="1" x14ac:dyDescent="0.35">
      <c r="A29" s="22">
        <v>2100</v>
      </c>
      <c r="B29" s="30" t="s">
        <v>42</v>
      </c>
      <c r="C29" s="25"/>
    </row>
    <row r="30" spans="1:3" ht="15.5" x14ac:dyDescent="0.35">
      <c r="A30" s="27">
        <v>2210</v>
      </c>
      <c r="B30" s="26" t="s">
        <v>100</v>
      </c>
      <c r="C30" s="25">
        <v>0.94</v>
      </c>
    </row>
    <row r="31" spans="1:3" ht="15.5" x14ac:dyDescent="0.35">
      <c r="A31" s="22">
        <v>2222</v>
      </c>
      <c r="B31" s="26" t="s">
        <v>101</v>
      </c>
      <c r="C31" s="25">
        <v>2.2000000000000002</v>
      </c>
    </row>
    <row r="32" spans="1:3" ht="15.5" x14ac:dyDescent="0.35">
      <c r="A32" s="22">
        <v>2223</v>
      </c>
      <c r="B32" s="26" t="s">
        <v>94</v>
      </c>
      <c r="C32" s="25">
        <v>4.58</v>
      </c>
    </row>
    <row r="33" spans="1:3" ht="15.5" x14ac:dyDescent="0.35">
      <c r="A33" s="22">
        <v>2241</v>
      </c>
      <c r="B33" s="26" t="s">
        <v>106</v>
      </c>
      <c r="C33" s="25">
        <v>2.85</v>
      </c>
    </row>
    <row r="34" spans="1:3" ht="15.5" x14ac:dyDescent="0.35">
      <c r="A34" s="22">
        <v>2242</v>
      </c>
      <c r="B34" s="26" t="s">
        <v>107</v>
      </c>
      <c r="C34" s="25">
        <v>0.31</v>
      </c>
    </row>
    <row r="35" spans="1:3" ht="15.5" hidden="1" x14ac:dyDescent="0.35">
      <c r="A35" s="22">
        <v>2243</v>
      </c>
      <c r="B35" s="26" t="s">
        <v>76</v>
      </c>
      <c r="C35" s="25"/>
    </row>
    <row r="36" spans="1:3" ht="15.5" x14ac:dyDescent="0.35">
      <c r="A36" s="22">
        <v>2244</v>
      </c>
      <c r="B36" s="26" t="s">
        <v>108</v>
      </c>
      <c r="C36" s="25">
        <v>10.58</v>
      </c>
    </row>
    <row r="37" spans="1:3" ht="16.5" customHeight="1" x14ac:dyDescent="0.35">
      <c r="A37" s="22">
        <v>2249</v>
      </c>
      <c r="B37" s="26" t="s">
        <v>127</v>
      </c>
      <c r="C37" s="25">
        <v>0.24</v>
      </c>
    </row>
    <row r="38" spans="1:3" ht="15.5" x14ac:dyDescent="0.35">
      <c r="A38" s="22">
        <v>2250</v>
      </c>
      <c r="B38" s="26" t="s">
        <v>110</v>
      </c>
      <c r="C38" s="25">
        <v>0.16</v>
      </c>
    </row>
    <row r="39" spans="1:3" ht="15.5" hidden="1" x14ac:dyDescent="0.35">
      <c r="A39" s="22">
        <v>2261</v>
      </c>
      <c r="B39" s="26" t="s">
        <v>128</v>
      </c>
      <c r="C39" s="25">
        <v>0</v>
      </c>
    </row>
    <row r="40" spans="1:3" ht="15.5" x14ac:dyDescent="0.35">
      <c r="A40" s="22">
        <v>2262</v>
      </c>
      <c r="B40" s="26" t="s">
        <v>111</v>
      </c>
      <c r="C40" s="25">
        <v>0.63</v>
      </c>
    </row>
    <row r="41" spans="1:3" ht="15.5" x14ac:dyDescent="0.35">
      <c r="A41" s="22">
        <v>2263</v>
      </c>
      <c r="B41" s="26" t="s">
        <v>112</v>
      </c>
      <c r="C41" s="25">
        <v>2.2799999999999998</v>
      </c>
    </row>
    <row r="42" spans="1:3" ht="15.5" hidden="1" x14ac:dyDescent="0.35">
      <c r="A42" s="22">
        <v>2264</v>
      </c>
      <c r="B42" s="26" t="s">
        <v>141</v>
      </c>
      <c r="C42" s="25"/>
    </row>
    <row r="43" spans="1:3" ht="15.5" x14ac:dyDescent="0.35">
      <c r="A43" s="22">
        <v>2311</v>
      </c>
      <c r="B43" s="26" t="s">
        <v>114</v>
      </c>
      <c r="C43" s="25">
        <v>0.24</v>
      </c>
    </row>
    <row r="44" spans="1:3" ht="15.5" x14ac:dyDescent="0.35">
      <c r="A44" s="22">
        <v>2312</v>
      </c>
      <c r="B44" s="26" t="s">
        <v>95</v>
      </c>
      <c r="C44" s="25">
        <v>0.47</v>
      </c>
    </row>
    <row r="45" spans="1:3" ht="15.5" x14ac:dyDescent="0.35">
      <c r="A45" s="22">
        <v>2321</v>
      </c>
      <c r="B45" s="26" t="s">
        <v>96</v>
      </c>
      <c r="C45" s="25">
        <v>4.55</v>
      </c>
    </row>
    <row r="46" spans="1:3" ht="15.5" x14ac:dyDescent="0.35">
      <c r="A46" s="22">
        <v>2322</v>
      </c>
      <c r="B46" s="26" t="s">
        <v>117</v>
      </c>
      <c r="C46" s="25">
        <v>1.1599999999999999</v>
      </c>
    </row>
    <row r="47" spans="1:3" ht="15.5" hidden="1" x14ac:dyDescent="0.35">
      <c r="A47" s="22">
        <v>2341</v>
      </c>
      <c r="B47" s="26" t="s">
        <v>97</v>
      </c>
      <c r="C47" s="25"/>
    </row>
    <row r="48" spans="1:3" ht="15.5" x14ac:dyDescent="0.35">
      <c r="A48" s="42">
        <v>2350</v>
      </c>
      <c r="B48" s="22" t="s">
        <v>98</v>
      </c>
      <c r="C48" s="25">
        <v>2.36</v>
      </c>
    </row>
    <row r="49" spans="1:3" ht="15.5" hidden="1" x14ac:dyDescent="0.35">
      <c r="A49" s="22">
        <v>2361</v>
      </c>
      <c r="B49" s="26" t="s">
        <v>65</v>
      </c>
      <c r="C49" s="25">
        <v>0</v>
      </c>
    </row>
    <row r="50" spans="1:3" ht="15.5" hidden="1" x14ac:dyDescent="0.35">
      <c r="A50" s="22">
        <v>2512</v>
      </c>
      <c r="B50" s="26" t="s">
        <v>133</v>
      </c>
      <c r="C50" s="25">
        <v>0</v>
      </c>
    </row>
    <row r="51" spans="1:3" ht="15.5" x14ac:dyDescent="0.35">
      <c r="A51" s="22">
        <v>2513</v>
      </c>
      <c r="B51" s="26" t="s">
        <v>140</v>
      </c>
      <c r="C51" s="25">
        <v>1.8</v>
      </c>
    </row>
    <row r="52" spans="1:3" ht="15.5" x14ac:dyDescent="0.35">
      <c r="A52" s="22">
        <v>2515</v>
      </c>
      <c r="B52" s="26" t="s">
        <v>73</v>
      </c>
      <c r="C52" s="25">
        <v>0.28000000000000003</v>
      </c>
    </row>
    <row r="53" spans="1:3" ht="15.5" x14ac:dyDescent="0.35">
      <c r="A53" s="22">
        <v>2519</v>
      </c>
      <c r="B53" s="26" t="s">
        <v>119</v>
      </c>
      <c r="C53" s="25">
        <v>0.24</v>
      </c>
    </row>
    <row r="54" spans="1:3" ht="15.5" x14ac:dyDescent="0.35">
      <c r="A54" s="22">
        <v>5239</v>
      </c>
      <c r="B54" s="26" t="s">
        <v>138</v>
      </c>
      <c r="C54" s="25">
        <v>1.73</v>
      </c>
    </row>
    <row r="55" spans="1:3" ht="15.5" x14ac:dyDescent="0.35">
      <c r="A55" s="23"/>
      <c r="B55" s="31" t="s">
        <v>60</v>
      </c>
      <c r="C55" s="29">
        <f>SUM(C27:C54)</f>
        <v>105.98999999999997</v>
      </c>
    </row>
    <row r="56" spans="1:3" ht="15.5" x14ac:dyDescent="0.35">
      <c r="A56" s="23"/>
      <c r="B56" s="31" t="s">
        <v>61</v>
      </c>
      <c r="C56" s="29">
        <f>C55+C25</f>
        <v>371.99999999999994</v>
      </c>
    </row>
    <row r="57" spans="1:3" ht="15.5" x14ac:dyDescent="0.35">
      <c r="A57" s="9"/>
      <c r="B57" s="32"/>
      <c r="C57" s="33"/>
    </row>
    <row r="58" spans="1:3" ht="15.75" customHeight="1" x14ac:dyDescent="0.35">
      <c r="A58" s="171" t="s">
        <v>45</v>
      </c>
      <c r="B58" s="172"/>
      <c r="C58" s="34">
        <v>60</v>
      </c>
    </row>
    <row r="59" spans="1:3" ht="15.5" x14ac:dyDescent="0.35">
      <c r="A59" s="171" t="s">
        <v>54</v>
      </c>
      <c r="B59" s="172"/>
      <c r="C59" s="29">
        <f>C56/C58</f>
        <v>6.1999999999999993</v>
      </c>
    </row>
    <row r="60" spans="1:3" ht="15.75" customHeight="1" x14ac:dyDescent="0.35">
      <c r="A60" s="32"/>
      <c r="B60" s="11"/>
      <c r="C60" s="11"/>
    </row>
    <row r="61" spans="1:3" s="111" customFormat="1" ht="15.5" x14ac:dyDescent="0.35">
      <c r="A61" s="177" t="s">
        <v>62</v>
      </c>
      <c r="B61" s="178"/>
      <c r="C61" s="35"/>
    </row>
    <row r="62" spans="1:3" s="111" customFormat="1" ht="15.5" x14ac:dyDescent="0.35">
      <c r="A62" s="177" t="s">
        <v>63</v>
      </c>
      <c r="B62" s="178"/>
      <c r="C62" s="129"/>
    </row>
    <row r="63" spans="1:3" ht="13.5" customHeight="1" x14ac:dyDescent="0.35">
      <c r="A63" s="36"/>
      <c r="B63" s="11"/>
      <c r="C63" s="10"/>
    </row>
    <row r="64" spans="1:3" s="111" customFormat="1" ht="17.25" customHeight="1" x14ac:dyDescent="0.35">
      <c r="A64" s="37" t="s">
        <v>46</v>
      </c>
      <c r="B64" s="37"/>
      <c r="C64" s="158"/>
    </row>
    <row r="65" spans="1:3" s="111" customFormat="1" ht="12.75" customHeight="1" x14ac:dyDescent="0.35">
      <c r="A65" s="37"/>
      <c r="B65" s="37"/>
      <c r="C65" s="37"/>
    </row>
    <row r="66" spans="1:3" s="111" customFormat="1" ht="15" customHeight="1" x14ac:dyDescent="0.35">
      <c r="A66" s="37" t="s">
        <v>49</v>
      </c>
      <c r="B66" s="38"/>
      <c r="C66" s="37"/>
    </row>
    <row r="67" spans="1:3" s="111" customFormat="1" ht="14.25" customHeight="1" x14ac:dyDescent="0.35">
      <c r="A67" s="37"/>
      <c r="B67" s="39"/>
      <c r="C67" s="37"/>
    </row>
    <row r="68" spans="1:3" ht="15.5" x14ac:dyDescent="0.35">
      <c r="A68" s="10"/>
      <c r="B68" s="10"/>
      <c r="C68" s="10"/>
    </row>
    <row r="69" spans="1:3" ht="15.5" x14ac:dyDescent="0.35">
      <c r="A69" s="10"/>
      <c r="B69" s="10"/>
      <c r="C69" s="10"/>
    </row>
  </sheetData>
  <mergeCells count="7">
    <mergeCell ref="A61:B61"/>
    <mergeCell ref="A62:B62"/>
    <mergeCell ref="A8:B8"/>
    <mergeCell ref="A10:B10"/>
    <mergeCell ref="A11:B11"/>
    <mergeCell ref="A58:B58"/>
    <mergeCell ref="A59:B59"/>
  </mergeCells>
  <pageMargins left="0.7" right="0.7" top="0.75" bottom="0.75" header="0.3" footer="0.3"/>
  <pageSetup paperSize="9" scale="71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C70"/>
  <sheetViews>
    <sheetView view="pageLayout" topLeftCell="A4" zoomScale="80" zoomScaleNormal="80" zoomScalePageLayoutView="80" workbookViewId="0">
      <selection activeCell="C6" sqref="C6"/>
    </sheetView>
  </sheetViews>
  <sheetFormatPr defaultColWidth="9.1796875" defaultRowHeight="14" x14ac:dyDescent="0.3"/>
  <cols>
    <col min="1" max="1" width="14" style="2" customWidth="1"/>
    <col min="2" max="2" width="83.7265625" style="2" customWidth="1"/>
    <col min="3" max="3" width="27.453125" style="2" customWidth="1"/>
    <col min="4" max="16384" width="9.1796875" style="2"/>
  </cols>
  <sheetData>
    <row r="1" spans="1:3" ht="12" customHeight="1" x14ac:dyDescent="0.3">
      <c r="B1" s="107"/>
    </row>
    <row r="2" spans="1:3" ht="15.5" x14ac:dyDescent="0.35">
      <c r="B2" s="6"/>
      <c r="C2" s="9" t="s">
        <v>7</v>
      </c>
    </row>
    <row r="3" spans="1:3" ht="15.5" x14ac:dyDescent="0.35">
      <c r="B3" s="7"/>
      <c r="C3" s="9" t="s">
        <v>44</v>
      </c>
    </row>
    <row r="4" spans="1:3" ht="15.5" x14ac:dyDescent="0.35">
      <c r="B4" s="48"/>
      <c r="C4" s="70" t="s">
        <v>91</v>
      </c>
    </row>
    <row r="5" spans="1:3" ht="15.5" x14ac:dyDescent="0.35">
      <c r="B5" s="6"/>
      <c r="C5" s="9"/>
    </row>
    <row r="6" spans="1:3" ht="15.5" x14ac:dyDescent="0.35">
      <c r="B6" s="14"/>
      <c r="C6" s="9" t="s">
        <v>260</v>
      </c>
    </row>
    <row r="7" spans="1:3" ht="15.75" customHeight="1" x14ac:dyDescent="0.3">
      <c r="B7" s="15"/>
      <c r="C7" s="3"/>
    </row>
    <row r="8" spans="1:3" s="3" customFormat="1" ht="17.5" x14ac:dyDescent="0.35">
      <c r="A8" s="169" t="s">
        <v>6</v>
      </c>
      <c r="B8" s="169"/>
      <c r="C8" s="169"/>
    </row>
    <row r="9" spans="1:3" s="3" customFormat="1" ht="15.75" customHeight="1" x14ac:dyDescent="0.3">
      <c r="A9" s="2"/>
      <c r="B9" s="1"/>
      <c r="C9" s="2"/>
    </row>
    <row r="10" spans="1:3" s="3" customFormat="1" ht="15.5" x14ac:dyDescent="0.35">
      <c r="A10" s="160" t="s">
        <v>1</v>
      </c>
      <c r="B10" s="160"/>
      <c r="C10" s="10"/>
    </row>
    <row r="11" spans="1:3" s="3" customFormat="1" ht="15.75" customHeight="1" x14ac:dyDescent="0.35">
      <c r="A11" s="160" t="s">
        <v>0</v>
      </c>
      <c r="B11" s="160"/>
      <c r="C11" s="10"/>
    </row>
    <row r="12" spans="1:3" s="3" customFormat="1" ht="15.5" x14ac:dyDescent="0.35">
      <c r="A12" s="5"/>
      <c r="B12" s="5" t="s">
        <v>165</v>
      </c>
      <c r="C12" s="10"/>
    </row>
    <row r="13" spans="1:3" s="3" customFormat="1" ht="15.5" x14ac:dyDescent="0.35">
      <c r="A13" s="5"/>
      <c r="B13" s="5" t="s">
        <v>194</v>
      </c>
      <c r="C13" s="10"/>
    </row>
    <row r="14" spans="1:3" s="3" customFormat="1" ht="15.5" x14ac:dyDescent="0.35">
      <c r="A14" s="5" t="s">
        <v>2</v>
      </c>
      <c r="B14" s="5" t="s">
        <v>137</v>
      </c>
      <c r="C14" s="10"/>
    </row>
    <row r="15" spans="1:3" s="3" customFormat="1" ht="84" customHeight="1" x14ac:dyDescent="0.3">
      <c r="A15" s="17" t="s">
        <v>3</v>
      </c>
      <c r="B15" s="17" t="s">
        <v>4</v>
      </c>
      <c r="C15" s="17" t="s">
        <v>53</v>
      </c>
    </row>
    <row r="16" spans="1:3" s="3" customFormat="1" ht="15" x14ac:dyDescent="0.3">
      <c r="A16" s="18">
        <v>1</v>
      </c>
      <c r="B16" s="19">
        <v>2</v>
      </c>
      <c r="C16" s="19">
        <v>3</v>
      </c>
    </row>
    <row r="17" spans="1:3" s="3" customFormat="1" ht="15.5" x14ac:dyDescent="0.35">
      <c r="A17" s="20"/>
      <c r="B17" s="21" t="s">
        <v>5</v>
      </c>
      <c r="C17" s="22"/>
    </row>
    <row r="18" spans="1:3" s="109" customFormat="1" ht="15.5" x14ac:dyDescent="0.35">
      <c r="A18" s="23">
        <v>1100</v>
      </c>
      <c r="B18" s="24" t="s">
        <v>83</v>
      </c>
      <c r="C18" s="25">
        <v>14.72</v>
      </c>
    </row>
    <row r="19" spans="1:3" ht="15.5" x14ac:dyDescent="0.35">
      <c r="A19" s="23">
        <v>1200</v>
      </c>
      <c r="B19" s="112" t="s">
        <v>93</v>
      </c>
      <c r="C19" s="25">
        <v>3.47</v>
      </c>
    </row>
    <row r="20" spans="1:3" s="110" customFormat="1" ht="15.5" x14ac:dyDescent="0.35">
      <c r="A20" s="23">
        <v>2222</v>
      </c>
      <c r="B20" s="26" t="s">
        <v>139</v>
      </c>
      <c r="C20" s="25">
        <v>0.47</v>
      </c>
    </row>
    <row r="21" spans="1:3" s="110" customFormat="1" ht="15.5" x14ac:dyDescent="0.35">
      <c r="A21" s="23">
        <v>2223</v>
      </c>
      <c r="B21" s="26" t="s">
        <v>94</v>
      </c>
      <c r="C21" s="25">
        <v>3.75</v>
      </c>
    </row>
    <row r="22" spans="1:3" ht="15.5" x14ac:dyDescent="0.35">
      <c r="A22" s="42">
        <v>2243</v>
      </c>
      <c r="B22" s="21" t="s">
        <v>76</v>
      </c>
      <c r="C22" s="25">
        <v>0.31</v>
      </c>
    </row>
    <row r="23" spans="1:3" ht="15.5" x14ac:dyDescent="0.35">
      <c r="A23" s="42">
        <v>2350</v>
      </c>
      <c r="B23" s="22" t="s">
        <v>98</v>
      </c>
      <c r="C23" s="25">
        <v>0.65</v>
      </c>
    </row>
    <row r="24" spans="1:3" s="3" customFormat="1" ht="15.5" hidden="1" x14ac:dyDescent="0.35">
      <c r="A24" s="27">
        <v>2341</v>
      </c>
      <c r="B24" s="26" t="s">
        <v>23</v>
      </c>
      <c r="C24" s="25"/>
    </row>
    <row r="25" spans="1:3" s="3" customFormat="1" ht="15.75" hidden="1" customHeight="1" x14ac:dyDescent="0.35">
      <c r="A25" s="22">
        <v>2249</v>
      </c>
      <c r="B25" s="26" t="s">
        <v>13</v>
      </c>
      <c r="C25" s="25"/>
    </row>
    <row r="26" spans="1:3" s="3" customFormat="1" ht="15.5" x14ac:dyDescent="0.35">
      <c r="A26" s="22"/>
      <c r="B26" s="28" t="s">
        <v>58</v>
      </c>
      <c r="C26" s="29">
        <f>SUM(C18:C25)</f>
        <v>23.369999999999997</v>
      </c>
    </row>
    <row r="27" spans="1:3" s="3" customFormat="1" ht="15.5" x14ac:dyDescent="0.35">
      <c r="A27" s="23"/>
      <c r="B27" s="24" t="s">
        <v>57</v>
      </c>
      <c r="C27" s="25"/>
    </row>
    <row r="28" spans="1:3" ht="15.5" x14ac:dyDescent="0.35">
      <c r="A28" s="22">
        <v>1100</v>
      </c>
      <c r="B28" s="24" t="s">
        <v>83</v>
      </c>
      <c r="C28" s="25">
        <v>3.68</v>
      </c>
    </row>
    <row r="29" spans="1:3" ht="15.5" x14ac:dyDescent="0.35">
      <c r="A29" s="22">
        <v>1200</v>
      </c>
      <c r="B29" s="112" t="s">
        <v>93</v>
      </c>
      <c r="C29" s="25">
        <v>0.87</v>
      </c>
    </row>
    <row r="30" spans="1:3" ht="15.5" hidden="1" x14ac:dyDescent="0.35">
      <c r="A30" s="22">
        <v>2100</v>
      </c>
      <c r="B30" s="30" t="s">
        <v>42</v>
      </c>
      <c r="C30" s="25"/>
    </row>
    <row r="31" spans="1:3" ht="15.5" x14ac:dyDescent="0.35">
      <c r="A31" s="27">
        <v>2210</v>
      </c>
      <c r="B31" s="26" t="s">
        <v>100</v>
      </c>
      <c r="C31" s="25">
        <v>0.05</v>
      </c>
    </row>
    <row r="32" spans="1:3" ht="15.5" hidden="1" x14ac:dyDescent="0.35">
      <c r="A32" s="22">
        <v>2222</v>
      </c>
      <c r="B32" s="26" t="s">
        <v>101</v>
      </c>
      <c r="C32" s="25"/>
    </row>
    <row r="33" spans="1:3" ht="15.5" hidden="1" x14ac:dyDescent="0.35">
      <c r="A33" s="22">
        <v>2223</v>
      </c>
      <c r="B33" s="26" t="s">
        <v>94</v>
      </c>
      <c r="C33" s="25"/>
    </row>
    <row r="34" spans="1:3" ht="15.5" x14ac:dyDescent="0.35">
      <c r="A34" s="22">
        <v>2241</v>
      </c>
      <c r="B34" s="26" t="s">
        <v>106</v>
      </c>
      <c r="C34" s="25">
        <v>0.04</v>
      </c>
    </row>
    <row r="35" spans="1:3" ht="15.5" x14ac:dyDescent="0.35">
      <c r="A35" s="22">
        <v>2242</v>
      </c>
      <c r="B35" s="26" t="s">
        <v>107</v>
      </c>
      <c r="C35" s="25">
        <v>0.01</v>
      </c>
    </row>
    <row r="36" spans="1:3" ht="15.5" hidden="1" x14ac:dyDescent="0.35">
      <c r="A36" s="22">
        <v>2243</v>
      </c>
      <c r="B36" s="26" t="s">
        <v>76</v>
      </c>
      <c r="C36" s="25"/>
    </row>
    <row r="37" spans="1:3" ht="15.5" x14ac:dyDescent="0.35">
      <c r="A37" s="22">
        <v>2244</v>
      </c>
      <c r="B37" s="26" t="s">
        <v>108</v>
      </c>
      <c r="C37" s="25">
        <v>0.9</v>
      </c>
    </row>
    <row r="38" spans="1:3" ht="16.5" customHeight="1" x14ac:dyDescent="0.35">
      <c r="A38" s="22">
        <v>2249</v>
      </c>
      <c r="B38" s="26" t="s">
        <v>127</v>
      </c>
      <c r="C38" s="25">
        <v>0.01</v>
      </c>
    </row>
    <row r="39" spans="1:3" ht="15.5" x14ac:dyDescent="0.35">
      <c r="A39" s="22">
        <v>2250</v>
      </c>
      <c r="B39" s="26" t="s">
        <v>110</v>
      </c>
      <c r="C39" s="25">
        <v>0.01</v>
      </c>
    </row>
    <row r="40" spans="1:3" ht="15.5" hidden="1" x14ac:dyDescent="0.35">
      <c r="A40" s="22">
        <v>2261</v>
      </c>
      <c r="B40" s="26" t="s">
        <v>128</v>
      </c>
      <c r="C40" s="25">
        <v>0</v>
      </c>
    </row>
    <row r="41" spans="1:3" ht="15.5" x14ac:dyDescent="0.35">
      <c r="A41" s="22">
        <v>2262</v>
      </c>
      <c r="B41" s="26" t="s">
        <v>111</v>
      </c>
      <c r="C41" s="25">
        <v>0.03</v>
      </c>
    </row>
    <row r="42" spans="1:3" ht="15.5" x14ac:dyDescent="0.35">
      <c r="A42" s="22">
        <v>2263</v>
      </c>
      <c r="B42" s="26" t="s">
        <v>112</v>
      </c>
      <c r="C42" s="25">
        <v>0.12</v>
      </c>
    </row>
    <row r="43" spans="1:3" ht="15.5" hidden="1" x14ac:dyDescent="0.35">
      <c r="A43" s="22">
        <v>2264</v>
      </c>
      <c r="B43" s="26" t="s">
        <v>141</v>
      </c>
      <c r="C43" s="25"/>
    </row>
    <row r="44" spans="1:3" ht="15.5" x14ac:dyDescent="0.35">
      <c r="A44" s="22">
        <v>2311</v>
      </c>
      <c r="B44" s="26" t="s">
        <v>114</v>
      </c>
      <c r="C44" s="25">
        <v>0.01</v>
      </c>
    </row>
    <row r="45" spans="1:3" ht="15.5" x14ac:dyDescent="0.35">
      <c r="A45" s="22">
        <v>2312</v>
      </c>
      <c r="B45" s="26" t="s">
        <v>95</v>
      </c>
      <c r="C45" s="25">
        <v>0.08</v>
      </c>
    </row>
    <row r="46" spans="1:3" ht="15.5" x14ac:dyDescent="0.35">
      <c r="A46" s="22">
        <v>2321</v>
      </c>
      <c r="B46" s="26" t="s">
        <v>96</v>
      </c>
      <c r="C46" s="25">
        <v>1.23</v>
      </c>
    </row>
    <row r="47" spans="1:3" ht="15.5" x14ac:dyDescent="0.35">
      <c r="A47" s="22">
        <v>2322</v>
      </c>
      <c r="B47" s="26" t="s">
        <v>117</v>
      </c>
      <c r="C47" s="25">
        <v>0.11</v>
      </c>
    </row>
    <row r="48" spans="1:3" ht="15.5" hidden="1" x14ac:dyDescent="0.35">
      <c r="A48" s="22">
        <v>2341</v>
      </c>
      <c r="B48" s="26" t="s">
        <v>97</v>
      </c>
      <c r="C48" s="25"/>
    </row>
    <row r="49" spans="1:3" ht="15.5" x14ac:dyDescent="0.35">
      <c r="A49" s="42">
        <v>2350</v>
      </c>
      <c r="B49" s="22" t="s">
        <v>98</v>
      </c>
      <c r="C49" s="25">
        <v>0.17</v>
      </c>
    </row>
    <row r="50" spans="1:3" ht="15.5" x14ac:dyDescent="0.35">
      <c r="A50" s="22">
        <v>2361</v>
      </c>
      <c r="B50" s="26" t="s">
        <v>65</v>
      </c>
      <c r="C50" s="25">
        <v>0.01</v>
      </c>
    </row>
    <row r="51" spans="1:3" ht="15.5" hidden="1" x14ac:dyDescent="0.35">
      <c r="A51" s="22">
        <v>2512</v>
      </c>
      <c r="B51" s="26" t="s">
        <v>133</v>
      </c>
      <c r="C51" s="25">
        <v>0</v>
      </c>
    </row>
    <row r="52" spans="1:3" ht="15.5" x14ac:dyDescent="0.35">
      <c r="A52" s="22">
        <v>2513</v>
      </c>
      <c r="B52" s="26" t="s">
        <v>140</v>
      </c>
      <c r="C52" s="25">
        <v>0.1</v>
      </c>
    </row>
    <row r="53" spans="1:3" ht="15.5" x14ac:dyDescent="0.35">
      <c r="A53" s="22">
        <v>2515</v>
      </c>
      <c r="B53" s="26" t="s">
        <v>73</v>
      </c>
      <c r="C53" s="25">
        <v>0.02</v>
      </c>
    </row>
    <row r="54" spans="1:3" ht="15.5" x14ac:dyDescent="0.35">
      <c r="A54" s="22">
        <v>2519</v>
      </c>
      <c r="B54" s="26" t="s">
        <v>119</v>
      </c>
      <c r="C54" s="25">
        <v>0.02</v>
      </c>
    </row>
    <row r="55" spans="1:3" ht="15.5" x14ac:dyDescent="0.35">
      <c r="A55" s="22">
        <v>5239</v>
      </c>
      <c r="B55" s="26" t="s">
        <v>138</v>
      </c>
      <c r="C55" s="25">
        <v>0.26</v>
      </c>
    </row>
    <row r="56" spans="1:3" ht="15.5" x14ac:dyDescent="0.35">
      <c r="A56" s="23"/>
      <c r="B56" s="31" t="s">
        <v>60</v>
      </c>
      <c r="C56" s="29">
        <f>SUM(C28:C55)</f>
        <v>7.7299999999999978</v>
      </c>
    </row>
    <row r="57" spans="1:3" ht="15.5" x14ac:dyDescent="0.35">
      <c r="A57" s="23"/>
      <c r="B57" s="31" t="s">
        <v>61</v>
      </c>
      <c r="C57" s="29">
        <f>C56+C26</f>
        <v>31.099999999999994</v>
      </c>
    </row>
    <row r="58" spans="1:3" ht="15.5" x14ac:dyDescent="0.35">
      <c r="A58" s="9"/>
      <c r="B58" s="32"/>
      <c r="C58" s="33"/>
    </row>
    <row r="59" spans="1:3" ht="15.75" customHeight="1" x14ac:dyDescent="0.35">
      <c r="A59" s="171" t="s">
        <v>45</v>
      </c>
      <c r="B59" s="172"/>
      <c r="C59" s="34">
        <v>5</v>
      </c>
    </row>
    <row r="60" spans="1:3" ht="15.5" x14ac:dyDescent="0.35">
      <c r="A60" s="171" t="s">
        <v>54</v>
      </c>
      <c r="B60" s="172"/>
      <c r="C60" s="29">
        <f>ROUND(C57/C59,2)</f>
        <v>6.22</v>
      </c>
    </row>
    <row r="61" spans="1:3" ht="15.75" customHeight="1" x14ac:dyDescent="0.35">
      <c r="A61" s="32"/>
      <c r="B61" s="11"/>
      <c r="C61" s="11"/>
    </row>
    <row r="62" spans="1:3" s="111" customFormat="1" ht="15.5" x14ac:dyDescent="0.35">
      <c r="A62" s="177" t="s">
        <v>62</v>
      </c>
      <c r="B62" s="178"/>
      <c r="C62" s="35"/>
    </row>
    <row r="63" spans="1:3" s="111" customFormat="1" ht="15.5" x14ac:dyDescent="0.35">
      <c r="A63" s="177" t="s">
        <v>63</v>
      </c>
      <c r="B63" s="178"/>
      <c r="C63" s="35"/>
    </row>
    <row r="64" spans="1:3" ht="15.5" x14ac:dyDescent="0.35">
      <c r="A64" s="36"/>
      <c r="B64" s="11"/>
      <c r="C64" s="10"/>
    </row>
    <row r="65" spans="1:3" s="111" customFormat="1" ht="17.25" customHeight="1" x14ac:dyDescent="0.35">
      <c r="A65" s="37" t="s">
        <v>46</v>
      </c>
      <c r="B65" s="37"/>
      <c r="C65" s="37"/>
    </row>
    <row r="66" spans="1:3" s="111" customFormat="1" ht="15.5" x14ac:dyDescent="0.35">
      <c r="A66" s="37"/>
      <c r="B66" s="37"/>
      <c r="C66" s="37"/>
    </row>
    <row r="67" spans="1:3" s="111" customFormat="1" ht="15" customHeight="1" x14ac:dyDescent="0.35">
      <c r="A67" s="37" t="s">
        <v>134</v>
      </c>
      <c r="B67" s="38"/>
      <c r="C67" s="37"/>
    </row>
    <row r="68" spans="1:3" s="111" customFormat="1" ht="14.25" customHeight="1" x14ac:dyDescent="0.35">
      <c r="A68" s="37"/>
      <c r="B68" s="39"/>
      <c r="C68" s="37"/>
    </row>
    <row r="69" spans="1:3" ht="15.5" x14ac:dyDescent="0.35">
      <c r="A69" s="10"/>
      <c r="B69" s="10"/>
      <c r="C69" s="10"/>
    </row>
    <row r="70" spans="1:3" ht="15.5" x14ac:dyDescent="0.35">
      <c r="A70" s="10"/>
      <c r="B70" s="10"/>
      <c r="C70" s="10"/>
    </row>
  </sheetData>
  <mergeCells count="7">
    <mergeCell ref="A63:B63"/>
    <mergeCell ref="A8:C8"/>
    <mergeCell ref="A10:B10"/>
    <mergeCell ref="A11:B11"/>
    <mergeCell ref="A59:B59"/>
    <mergeCell ref="A60:B60"/>
    <mergeCell ref="A62:B62"/>
  </mergeCells>
  <pageMargins left="0.7" right="0.7" top="0.75" bottom="0.75" header="0.3" footer="0.3"/>
  <pageSetup paperSize="9" scale="71" orientation="portrait" r:id="rId1"/>
  <headerFooter>
    <oddFooter>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C73"/>
  <sheetViews>
    <sheetView view="pageLayout" zoomScale="80" zoomScaleNormal="80" zoomScalePageLayoutView="80" workbookViewId="0">
      <selection activeCell="C6" sqref="C6"/>
    </sheetView>
  </sheetViews>
  <sheetFormatPr defaultColWidth="9.1796875" defaultRowHeight="14" x14ac:dyDescent="0.3"/>
  <cols>
    <col min="1" max="1" width="14" style="2" customWidth="1"/>
    <col min="2" max="2" width="88.7265625" style="2" customWidth="1"/>
    <col min="3" max="3" width="27.453125" style="2" customWidth="1"/>
    <col min="4" max="16384" width="9.1796875" style="2"/>
  </cols>
  <sheetData>
    <row r="1" spans="1:3" ht="12" customHeight="1" x14ac:dyDescent="0.3">
      <c r="B1" s="107"/>
    </row>
    <row r="2" spans="1:3" ht="15.5" x14ac:dyDescent="0.35">
      <c r="B2" s="6"/>
      <c r="C2" s="9" t="s">
        <v>7</v>
      </c>
    </row>
    <row r="3" spans="1:3" ht="15.5" x14ac:dyDescent="0.35">
      <c r="B3" s="7"/>
      <c r="C3" s="9" t="s">
        <v>44</v>
      </c>
    </row>
    <row r="4" spans="1:3" ht="15.5" x14ac:dyDescent="0.35">
      <c r="B4" s="48"/>
      <c r="C4" s="70" t="s">
        <v>91</v>
      </c>
    </row>
    <row r="5" spans="1:3" ht="15.5" x14ac:dyDescent="0.35">
      <c r="B5" s="6"/>
      <c r="C5" s="9"/>
    </row>
    <row r="6" spans="1:3" ht="15.5" x14ac:dyDescent="0.35">
      <c r="B6" s="14"/>
      <c r="C6" s="9" t="s">
        <v>260</v>
      </c>
    </row>
    <row r="7" spans="1:3" ht="15.75" customHeight="1" x14ac:dyDescent="0.3">
      <c r="B7" s="15"/>
      <c r="C7" s="3"/>
    </row>
    <row r="8" spans="1:3" s="3" customFormat="1" ht="17.5" x14ac:dyDescent="0.35">
      <c r="A8" s="169" t="s">
        <v>6</v>
      </c>
      <c r="B8" s="169"/>
      <c r="C8" s="169"/>
    </row>
    <row r="9" spans="1:3" s="3" customFormat="1" ht="15.75" customHeight="1" x14ac:dyDescent="0.3">
      <c r="A9" s="2"/>
      <c r="B9" s="1"/>
      <c r="C9" s="2"/>
    </row>
    <row r="10" spans="1:3" s="3" customFormat="1" ht="15.5" x14ac:dyDescent="0.35">
      <c r="A10" s="160" t="s">
        <v>1</v>
      </c>
      <c r="B10" s="160"/>
      <c r="C10" s="10"/>
    </row>
    <row r="11" spans="1:3" s="3" customFormat="1" ht="15.75" customHeight="1" x14ac:dyDescent="0.35">
      <c r="A11" s="160" t="s">
        <v>0</v>
      </c>
      <c r="B11" s="160"/>
      <c r="C11" s="10"/>
    </row>
    <row r="12" spans="1:3" s="3" customFormat="1" ht="15.5" x14ac:dyDescent="0.35">
      <c r="A12" s="5"/>
      <c r="B12" s="5" t="s">
        <v>165</v>
      </c>
      <c r="C12" s="10"/>
    </row>
    <row r="13" spans="1:3" s="3" customFormat="1" ht="15.5" x14ac:dyDescent="0.35">
      <c r="A13" s="5"/>
      <c r="B13" s="5" t="s">
        <v>195</v>
      </c>
      <c r="C13" s="10"/>
    </row>
    <row r="14" spans="1:3" s="3" customFormat="1" ht="15.5" x14ac:dyDescent="0.35">
      <c r="A14" s="5" t="s">
        <v>2</v>
      </c>
      <c r="B14" s="5" t="s">
        <v>137</v>
      </c>
      <c r="C14" s="10"/>
    </row>
    <row r="15" spans="1:3" s="3" customFormat="1" ht="84" customHeight="1" x14ac:dyDescent="0.3">
      <c r="A15" s="17" t="s">
        <v>3</v>
      </c>
      <c r="B15" s="17" t="s">
        <v>4</v>
      </c>
      <c r="C15" s="17" t="s">
        <v>53</v>
      </c>
    </row>
    <row r="16" spans="1:3" s="3" customFormat="1" ht="15" x14ac:dyDescent="0.3">
      <c r="A16" s="18">
        <v>1</v>
      </c>
      <c r="B16" s="19">
        <v>2</v>
      </c>
      <c r="C16" s="19">
        <v>3</v>
      </c>
    </row>
    <row r="17" spans="1:3" s="3" customFormat="1" ht="15.5" x14ac:dyDescent="0.35">
      <c r="A17" s="20"/>
      <c r="B17" s="21" t="s">
        <v>5</v>
      </c>
      <c r="C17" s="22"/>
    </row>
    <row r="18" spans="1:3" s="109" customFormat="1" ht="15.5" x14ac:dyDescent="0.35">
      <c r="A18" s="23">
        <v>1100</v>
      </c>
      <c r="B18" s="24" t="s">
        <v>83</v>
      </c>
      <c r="C18" s="25">
        <v>45.1</v>
      </c>
    </row>
    <row r="19" spans="1:3" ht="15.5" x14ac:dyDescent="0.35">
      <c r="A19" s="23">
        <v>1200</v>
      </c>
      <c r="B19" s="112" t="s">
        <v>93</v>
      </c>
      <c r="C19" s="25">
        <v>10.64</v>
      </c>
    </row>
    <row r="20" spans="1:3" s="110" customFormat="1" ht="15.5" x14ac:dyDescent="0.35">
      <c r="A20" s="23">
        <v>2222</v>
      </c>
      <c r="B20" s="26" t="s">
        <v>139</v>
      </c>
      <c r="C20" s="25">
        <v>0.47</v>
      </c>
    </row>
    <row r="21" spans="1:3" s="110" customFormat="1" ht="15.5" x14ac:dyDescent="0.35">
      <c r="A21" s="23">
        <v>2223</v>
      </c>
      <c r="B21" s="26" t="s">
        <v>94</v>
      </c>
      <c r="C21" s="25">
        <v>4.25</v>
      </c>
    </row>
    <row r="22" spans="1:3" ht="15.5" hidden="1" x14ac:dyDescent="0.35">
      <c r="A22" s="42">
        <v>2243</v>
      </c>
      <c r="B22" s="21" t="s">
        <v>76</v>
      </c>
      <c r="C22" s="25"/>
    </row>
    <row r="23" spans="1:3" ht="15.5" x14ac:dyDescent="0.35">
      <c r="A23" s="22">
        <v>2244</v>
      </c>
      <c r="B23" s="26" t="s">
        <v>108</v>
      </c>
      <c r="C23" s="25">
        <v>1.97</v>
      </c>
    </row>
    <row r="24" spans="1:3" ht="15.5" x14ac:dyDescent="0.35">
      <c r="A24" s="42">
        <v>2250</v>
      </c>
      <c r="B24" s="26" t="s">
        <v>110</v>
      </c>
      <c r="C24" s="25">
        <v>1.8</v>
      </c>
    </row>
    <row r="25" spans="1:3" ht="15.5" x14ac:dyDescent="0.35">
      <c r="A25" s="42">
        <v>2311</v>
      </c>
      <c r="B25" s="26" t="s">
        <v>114</v>
      </c>
      <c r="C25" s="25">
        <v>0.5</v>
      </c>
    </row>
    <row r="26" spans="1:3" ht="15.5" x14ac:dyDescent="0.35">
      <c r="A26" s="22">
        <v>2321</v>
      </c>
      <c r="B26" s="26" t="s">
        <v>96</v>
      </c>
      <c r="C26" s="25">
        <v>0.72</v>
      </c>
    </row>
    <row r="27" spans="1:3" ht="15.5" x14ac:dyDescent="0.35">
      <c r="A27" s="42">
        <v>2350</v>
      </c>
      <c r="B27" s="22" t="s">
        <v>98</v>
      </c>
      <c r="C27" s="25">
        <v>0.65</v>
      </c>
    </row>
    <row r="28" spans="1:3" s="3" customFormat="1" ht="15.5" hidden="1" x14ac:dyDescent="0.35">
      <c r="A28" s="27">
        <v>2341</v>
      </c>
      <c r="B28" s="26" t="s">
        <v>23</v>
      </c>
      <c r="C28" s="25"/>
    </row>
    <row r="29" spans="1:3" s="3" customFormat="1" ht="15.5" x14ac:dyDescent="0.35">
      <c r="A29" s="22"/>
      <c r="B29" s="28" t="s">
        <v>58</v>
      </c>
      <c r="C29" s="29">
        <f>SUM(C18:C28)</f>
        <v>66.100000000000009</v>
      </c>
    </row>
    <row r="30" spans="1:3" s="3" customFormat="1" ht="15.5" x14ac:dyDescent="0.35">
      <c r="A30" s="23"/>
      <c r="B30" s="24" t="s">
        <v>57</v>
      </c>
      <c r="C30" s="25"/>
    </row>
    <row r="31" spans="1:3" ht="15.5" x14ac:dyDescent="0.35">
      <c r="A31" s="22">
        <v>1100</v>
      </c>
      <c r="B31" s="24" t="s">
        <v>83</v>
      </c>
      <c r="C31" s="25">
        <v>12.54</v>
      </c>
    </row>
    <row r="32" spans="1:3" ht="15.5" x14ac:dyDescent="0.35">
      <c r="A32" s="22">
        <v>1200</v>
      </c>
      <c r="B32" s="112" t="s">
        <v>93</v>
      </c>
      <c r="C32" s="25">
        <v>2.96</v>
      </c>
    </row>
    <row r="33" spans="1:3" ht="15.5" hidden="1" x14ac:dyDescent="0.35">
      <c r="A33" s="22">
        <v>2100</v>
      </c>
      <c r="B33" s="30" t="s">
        <v>42</v>
      </c>
      <c r="C33" s="25"/>
    </row>
    <row r="34" spans="1:3" ht="15.5" x14ac:dyDescent="0.35">
      <c r="A34" s="27">
        <v>2210</v>
      </c>
      <c r="B34" s="26" t="s">
        <v>100</v>
      </c>
      <c r="C34" s="25">
        <v>0.18</v>
      </c>
    </row>
    <row r="35" spans="1:3" ht="15.5" hidden="1" x14ac:dyDescent="0.35">
      <c r="A35" s="22">
        <v>2222</v>
      </c>
      <c r="B35" s="26" t="s">
        <v>101</v>
      </c>
      <c r="C35" s="25"/>
    </row>
    <row r="36" spans="1:3" ht="15.5" x14ac:dyDescent="0.35">
      <c r="A36" s="22">
        <v>2223</v>
      </c>
      <c r="B36" s="26" t="s">
        <v>94</v>
      </c>
      <c r="C36" s="25">
        <v>1.23</v>
      </c>
    </row>
    <row r="37" spans="1:3" ht="15.5" x14ac:dyDescent="0.35">
      <c r="A37" s="22">
        <v>2241</v>
      </c>
      <c r="B37" s="26" t="s">
        <v>106</v>
      </c>
      <c r="C37" s="25">
        <v>0.59</v>
      </c>
    </row>
    <row r="38" spans="1:3" ht="15.5" x14ac:dyDescent="0.35">
      <c r="A38" s="22">
        <v>2242</v>
      </c>
      <c r="B38" s="26" t="s">
        <v>107</v>
      </c>
      <c r="C38" s="25">
        <v>0.37</v>
      </c>
    </row>
    <row r="39" spans="1:3" ht="15.5" x14ac:dyDescent="0.35">
      <c r="A39" s="22">
        <v>2243</v>
      </c>
      <c r="B39" s="26" t="s">
        <v>76</v>
      </c>
      <c r="C39" s="25">
        <v>0.68</v>
      </c>
    </row>
    <row r="40" spans="1:3" ht="15.5" x14ac:dyDescent="0.35">
      <c r="A40" s="22">
        <v>2244</v>
      </c>
      <c r="B40" s="26" t="s">
        <v>108</v>
      </c>
      <c r="C40" s="25">
        <v>1.5</v>
      </c>
    </row>
    <row r="41" spans="1:3" ht="16.5" customHeight="1" x14ac:dyDescent="0.35">
      <c r="A41" s="22">
        <v>2249</v>
      </c>
      <c r="B41" s="26" t="s">
        <v>127</v>
      </c>
      <c r="C41" s="25">
        <v>0.45</v>
      </c>
    </row>
    <row r="42" spans="1:3" ht="15.5" x14ac:dyDescent="0.35">
      <c r="A42" s="22">
        <v>2250</v>
      </c>
      <c r="B42" s="26" t="s">
        <v>110</v>
      </c>
      <c r="C42" s="25">
        <v>0.64</v>
      </c>
    </row>
    <row r="43" spans="1:3" ht="15.5" hidden="1" x14ac:dyDescent="0.35">
      <c r="A43" s="22">
        <v>2261</v>
      </c>
      <c r="B43" s="26" t="s">
        <v>128</v>
      </c>
      <c r="C43" s="25">
        <v>0</v>
      </c>
    </row>
    <row r="44" spans="1:3" ht="15.5" x14ac:dyDescent="0.35">
      <c r="A44" s="22">
        <v>2262</v>
      </c>
      <c r="B44" s="26" t="s">
        <v>111</v>
      </c>
      <c r="C44" s="25">
        <v>0.01</v>
      </c>
    </row>
    <row r="45" spans="1:3" ht="15.5" x14ac:dyDescent="0.35">
      <c r="A45" s="22">
        <v>2263</v>
      </c>
      <c r="B45" s="26" t="s">
        <v>112</v>
      </c>
      <c r="C45" s="25">
        <v>1.03</v>
      </c>
    </row>
    <row r="46" spans="1:3" ht="15.5" hidden="1" x14ac:dyDescent="0.35">
      <c r="A46" s="22">
        <v>2264</v>
      </c>
      <c r="B46" s="26" t="s">
        <v>141</v>
      </c>
      <c r="C46" s="25"/>
    </row>
    <row r="47" spans="1:3" ht="15.5" hidden="1" x14ac:dyDescent="0.35">
      <c r="A47" s="22">
        <v>2311</v>
      </c>
      <c r="B47" s="26" t="s">
        <v>114</v>
      </c>
      <c r="C47" s="25">
        <v>0</v>
      </c>
    </row>
    <row r="48" spans="1:3" ht="15.5" x14ac:dyDescent="0.35">
      <c r="A48" s="22">
        <v>2312</v>
      </c>
      <c r="B48" s="26" t="s">
        <v>95</v>
      </c>
      <c r="C48" s="25">
        <v>0.77</v>
      </c>
    </row>
    <row r="49" spans="1:3" ht="15.5" x14ac:dyDescent="0.35">
      <c r="A49" s="22">
        <v>2321</v>
      </c>
      <c r="B49" s="26" t="s">
        <v>96</v>
      </c>
      <c r="C49" s="25">
        <v>1.1200000000000001</v>
      </c>
    </row>
    <row r="50" spans="1:3" ht="15.5" x14ac:dyDescent="0.35">
      <c r="A50" s="22">
        <v>2322</v>
      </c>
      <c r="B50" s="26" t="s">
        <v>117</v>
      </c>
      <c r="C50" s="25">
        <v>0.05</v>
      </c>
    </row>
    <row r="51" spans="1:3" ht="15.5" hidden="1" x14ac:dyDescent="0.35">
      <c r="A51" s="22">
        <v>2341</v>
      </c>
      <c r="B51" s="26" t="s">
        <v>97</v>
      </c>
      <c r="C51" s="25"/>
    </row>
    <row r="52" spans="1:3" ht="15.5" hidden="1" x14ac:dyDescent="0.35">
      <c r="A52" s="42">
        <v>2350</v>
      </c>
      <c r="B52" s="22" t="s">
        <v>98</v>
      </c>
      <c r="C52" s="25">
        <v>0</v>
      </c>
    </row>
    <row r="53" spans="1:3" ht="15.5" hidden="1" x14ac:dyDescent="0.35">
      <c r="A53" s="22">
        <v>2361</v>
      </c>
      <c r="B53" s="26" t="s">
        <v>65</v>
      </c>
      <c r="C53" s="25">
        <v>0</v>
      </c>
    </row>
    <row r="54" spans="1:3" ht="15.5" hidden="1" x14ac:dyDescent="0.35">
      <c r="A54" s="22">
        <v>2512</v>
      </c>
      <c r="B54" s="26" t="s">
        <v>133</v>
      </c>
      <c r="C54" s="25">
        <v>0</v>
      </c>
    </row>
    <row r="55" spans="1:3" ht="15.5" x14ac:dyDescent="0.35">
      <c r="A55" s="22">
        <v>2513</v>
      </c>
      <c r="B55" s="26" t="s">
        <v>140</v>
      </c>
      <c r="C55" s="25">
        <v>0.01</v>
      </c>
    </row>
    <row r="56" spans="1:3" ht="15.5" x14ac:dyDescent="0.35">
      <c r="A56" s="22">
        <v>2515</v>
      </c>
      <c r="B56" s="26" t="s">
        <v>73</v>
      </c>
      <c r="C56" s="25">
        <v>0.06</v>
      </c>
    </row>
    <row r="57" spans="1:3" ht="15.5" x14ac:dyDescent="0.35">
      <c r="A57" s="22">
        <v>2519</v>
      </c>
      <c r="B57" s="26" t="s">
        <v>119</v>
      </c>
      <c r="C57" s="25">
        <v>0.04</v>
      </c>
    </row>
    <row r="58" spans="1:3" ht="15.5" x14ac:dyDescent="0.35">
      <c r="A58" s="22">
        <v>5239</v>
      </c>
      <c r="B58" s="26" t="s">
        <v>138</v>
      </c>
      <c r="C58" s="25">
        <v>0.56999999999999995</v>
      </c>
    </row>
    <row r="59" spans="1:3" ht="15.5" x14ac:dyDescent="0.35">
      <c r="A59" s="23"/>
      <c r="B59" s="31" t="s">
        <v>60</v>
      </c>
      <c r="C59" s="29">
        <f>SUM(C31:C58)</f>
        <v>24.800000000000004</v>
      </c>
    </row>
    <row r="60" spans="1:3" ht="15.5" x14ac:dyDescent="0.35">
      <c r="A60" s="23"/>
      <c r="B60" s="31" t="s">
        <v>61</v>
      </c>
      <c r="C60" s="29">
        <f>C59+C29</f>
        <v>90.9</v>
      </c>
    </row>
    <row r="61" spans="1:3" ht="15.5" x14ac:dyDescent="0.35">
      <c r="A61" s="9"/>
      <c r="B61" s="32"/>
      <c r="C61" s="33"/>
    </row>
    <row r="62" spans="1:3" ht="15.75" customHeight="1" x14ac:dyDescent="0.35">
      <c r="A62" s="171" t="s">
        <v>45</v>
      </c>
      <c r="B62" s="172"/>
      <c r="C62" s="34">
        <v>10</v>
      </c>
    </row>
    <row r="63" spans="1:3" ht="15.5" x14ac:dyDescent="0.35">
      <c r="A63" s="171" t="s">
        <v>54</v>
      </c>
      <c r="B63" s="172"/>
      <c r="C63" s="29">
        <f>ROUND(C60/C62,2)</f>
        <v>9.09</v>
      </c>
    </row>
    <row r="64" spans="1:3" ht="15.75" customHeight="1" x14ac:dyDescent="0.35">
      <c r="A64" s="32"/>
      <c r="B64" s="11"/>
      <c r="C64" s="11"/>
    </row>
    <row r="65" spans="1:3" s="111" customFormat="1" ht="15.5" x14ac:dyDescent="0.35">
      <c r="A65" s="177" t="s">
        <v>62</v>
      </c>
      <c r="B65" s="178"/>
      <c r="C65" s="35"/>
    </row>
    <row r="66" spans="1:3" s="111" customFormat="1" ht="15.5" x14ac:dyDescent="0.35">
      <c r="A66" s="177" t="s">
        <v>63</v>
      </c>
      <c r="B66" s="178"/>
      <c r="C66" s="35"/>
    </row>
    <row r="67" spans="1:3" ht="15.5" x14ac:dyDescent="0.35">
      <c r="A67" s="36"/>
      <c r="B67" s="11"/>
      <c r="C67" s="10"/>
    </row>
    <row r="68" spans="1:3" s="111" customFormat="1" ht="17.25" customHeight="1" x14ac:dyDescent="0.35">
      <c r="A68" s="37" t="s">
        <v>46</v>
      </c>
      <c r="B68" s="37"/>
      <c r="C68" s="37"/>
    </row>
    <row r="69" spans="1:3" s="111" customFormat="1" ht="15.5" x14ac:dyDescent="0.35">
      <c r="A69" s="37"/>
      <c r="B69" s="37"/>
      <c r="C69" s="37"/>
    </row>
    <row r="70" spans="1:3" s="111" customFormat="1" ht="15" customHeight="1" x14ac:dyDescent="0.35">
      <c r="A70" s="37" t="s">
        <v>134</v>
      </c>
      <c r="B70" s="38"/>
      <c r="C70" s="37"/>
    </row>
    <row r="71" spans="1:3" s="111" customFormat="1" ht="14.25" customHeight="1" x14ac:dyDescent="0.35">
      <c r="A71" s="37"/>
      <c r="B71" s="39"/>
      <c r="C71" s="37"/>
    </row>
    <row r="72" spans="1:3" ht="15.5" x14ac:dyDescent="0.35">
      <c r="A72" s="10"/>
      <c r="B72" s="10"/>
      <c r="C72" s="10"/>
    </row>
    <row r="73" spans="1:3" ht="15.5" x14ac:dyDescent="0.35">
      <c r="A73" s="10"/>
      <c r="B73" s="10"/>
      <c r="C73" s="10"/>
    </row>
  </sheetData>
  <mergeCells count="7">
    <mergeCell ref="A66:B66"/>
    <mergeCell ref="A8:C8"/>
    <mergeCell ref="A10:B10"/>
    <mergeCell ref="A11:B11"/>
    <mergeCell ref="A62:B62"/>
    <mergeCell ref="A63:B63"/>
    <mergeCell ref="A65:B65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C74"/>
  <sheetViews>
    <sheetView view="pageLayout" zoomScale="80" zoomScaleNormal="80" zoomScalePageLayoutView="80" workbookViewId="0">
      <selection activeCell="C6" sqref="C6"/>
    </sheetView>
  </sheetViews>
  <sheetFormatPr defaultColWidth="9.1796875" defaultRowHeight="14" x14ac:dyDescent="0.3"/>
  <cols>
    <col min="1" max="1" width="14" style="2" customWidth="1"/>
    <col min="2" max="2" width="88.7265625" style="2" customWidth="1"/>
    <col min="3" max="3" width="27.453125" style="2" customWidth="1"/>
    <col min="4" max="16384" width="9.1796875" style="2"/>
  </cols>
  <sheetData>
    <row r="1" spans="1:3" ht="12" customHeight="1" x14ac:dyDescent="0.3">
      <c r="B1" s="107"/>
    </row>
    <row r="2" spans="1:3" ht="15.5" x14ac:dyDescent="0.35">
      <c r="B2" s="6"/>
      <c r="C2" s="9" t="s">
        <v>7</v>
      </c>
    </row>
    <row r="3" spans="1:3" ht="15.5" x14ac:dyDescent="0.35">
      <c r="B3" s="7"/>
      <c r="C3" s="9" t="s">
        <v>44</v>
      </c>
    </row>
    <row r="4" spans="1:3" ht="15.5" x14ac:dyDescent="0.35">
      <c r="B4" s="48"/>
      <c r="C4" s="70" t="s">
        <v>91</v>
      </c>
    </row>
    <row r="5" spans="1:3" ht="15.5" x14ac:dyDescent="0.35">
      <c r="B5" s="6"/>
      <c r="C5" s="9"/>
    </row>
    <row r="6" spans="1:3" ht="15.5" x14ac:dyDescent="0.35">
      <c r="B6" s="14"/>
      <c r="C6" s="9" t="s">
        <v>260</v>
      </c>
    </row>
    <row r="7" spans="1:3" ht="15.75" customHeight="1" x14ac:dyDescent="0.3">
      <c r="B7" s="15"/>
      <c r="C7" s="3"/>
    </row>
    <row r="8" spans="1:3" s="3" customFormat="1" ht="17.5" x14ac:dyDescent="0.35">
      <c r="A8" s="169" t="s">
        <v>6</v>
      </c>
      <c r="B8" s="169"/>
      <c r="C8" s="169"/>
    </row>
    <row r="9" spans="1:3" s="3" customFormat="1" ht="15.75" customHeight="1" x14ac:dyDescent="0.3">
      <c r="A9" s="2"/>
      <c r="B9" s="1"/>
      <c r="C9" s="2"/>
    </row>
    <row r="10" spans="1:3" s="3" customFormat="1" ht="15.5" x14ac:dyDescent="0.35">
      <c r="A10" s="160" t="s">
        <v>1</v>
      </c>
      <c r="B10" s="160"/>
      <c r="C10" s="10"/>
    </row>
    <row r="11" spans="1:3" s="3" customFormat="1" ht="15.75" customHeight="1" x14ac:dyDescent="0.35">
      <c r="A11" s="160" t="s">
        <v>0</v>
      </c>
      <c r="B11" s="160"/>
      <c r="C11" s="10"/>
    </row>
    <row r="12" spans="1:3" s="3" customFormat="1" ht="15.5" x14ac:dyDescent="0.35">
      <c r="A12" s="5"/>
      <c r="B12" s="5" t="s">
        <v>165</v>
      </c>
      <c r="C12" s="10"/>
    </row>
    <row r="13" spans="1:3" s="3" customFormat="1" ht="15.5" x14ac:dyDescent="0.3">
      <c r="A13" s="5"/>
      <c r="B13" s="160" t="s">
        <v>240</v>
      </c>
      <c r="C13" s="160"/>
    </row>
    <row r="14" spans="1:3" s="3" customFormat="1" ht="15.5" x14ac:dyDescent="0.35">
      <c r="A14" s="5" t="s">
        <v>2</v>
      </c>
      <c r="B14" s="5" t="s">
        <v>137</v>
      </c>
      <c r="C14" s="10"/>
    </row>
    <row r="15" spans="1:3" s="3" customFormat="1" ht="84" customHeight="1" x14ac:dyDescent="0.3">
      <c r="A15" s="17" t="s">
        <v>3</v>
      </c>
      <c r="B15" s="17" t="s">
        <v>4</v>
      </c>
      <c r="C15" s="17" t="s">
        <v>53</v>
      </c>
    </row>
    <row r="16" spans="1:3" s="3" customFormat="1" ht="15" x14ac:dyDescent="0.3">
      <c r="A16" s="18">
        <v>1</v>
      </c>
      <c r="B16" s="19">
        <v>2</v>
      </c>
      <c r="C16" s="19">
        <v>3</v>
      </c>
    </row>
    <row r="17" spans="1:3" s="3" customFormat="1" ht="15.5" x14ac:dyDescent="0.35">
      <c r="A17" s="20"/>
      <c r="B17" s="21" t="s">
        <v>5</v>
      </c>
      <c r="C17" s="22"/>
    </row>
    <row r="18" spans="1:3" s="109" customFormat="1" ht="15.5" x14ac:dyDescent="0.35">
      <c r="A18" s="23">
        <v>1100</v>
      </c>
      <c r="B18" s="24" t="s">
        <v>83</v>
      </c>
      <c r="C18" s="25">
        <v>13.81</v>
      </c>
    </row>
    <row r="19" spans="1:3" ht="15.5" x14ac:dyDescent="0.35">
      <c r="A19" s="23">
        <v>1200</v>
      </c>
      <c r="B19" s="112" t="s">
        <v>93</v>
      </c>
      <c r="C19" s="25">
        <v>3.26</v>
      </c>
    </row>
    <row r="20" spans="1:3" s="110" customFormat="1" ht="15.5" hidden="1" x14ac:dyDescent="0.35">
      <c r="A20" s="23">
        <v>2222</v>
      </c>
      <c r="B20" s="26" t="s">
        <v>139</v>
      </c>
      <c r="C20" s="25"/>
    </row>
    <row r="21" spans="1:3" s="110" customFormat="1" ht="15.5" x14ac:dyDescent="0.35">
      <c r="A21" s="23">
        <v>2223</v>
      </c>
      <c r="B21" s="26" t="s">
        <v>94</v>
      </c>
      <c r="C21" s="25">
        <v>0.39</v>
      </c>
    </row>
    <row r="22" spans="1:3" ht="15.5" x14ac:dyDescent="0.35">
      <c r="A22" s="42">
        <v>2243</v>
      </c>
      <c r="B22" s="21" t="s">
        <v>76</v>
      </c>
      <c r="C22" s="114">
        <v>17.5</v>
      </c>
    </row>
    <row r="23" spans="1:3" ht="15.5" x14ac:dyDescent="0.35">
      <c r="A23" s="22">
        <v>2244</v>
      </c>
      <c r="B23" s="26" t="s">
        <v>108</v>
      </c>
      <c r="C23" s="25">
        <v>0.55000000000000004</v>
      </c>
    </row>
    <row r="24" spans="1:3" ht="15.5" hidden="1" x14ac:dyDescent="0.35">
      <c r="A24" s="42">
        <v>2250</v>
      </c>
      <c r="B24" s="26" t="s">
        <v>110</v>
      </c>
      <c r="C24" s="25"/>
    </row>
    <row r="25" spans="1:3" ht="15.5" hidden="1" x14ac:dyDescent="0.35">
      <c r="A25" s="42">
        <v>2311</v>
      </c>
      <c r="B25" s="26" t="s">
        <v>114</v>
      </c>
      <c r="C25" s="25"/>
    </row>
    <row r="26" spans="1:3" ht="15.5" x14ac:dyDescent="0.35">
      <c r="A26" s="42">
        <v>2312</v>
      </c>
      <c r="B26" s="26" t="s">
        <v>95</v>
      </c>
      <c r="C26" s="25">
        <v>2.08</v>
      </c>
    </row>
    <row r="27" spans="1:3" ht="15.5" x14ac:dyDescent="0.35">
      <c r="A27" s="22">
        <v>2321</v>
      </c>
      <c r="B27" s="26" t="s">
        <v>96</v>
      </c>
      <c r="C27" s="25">
        <v>0.36</v>
      </c>
    </row>
    <row r="28" spans="1:3" ht="15.5" hidden="1" x14ac:dyDescent="0.35">
      <c r="A28" s="42">
        <v>2350</v>
      </c>
      <c r="B28" s="22" t="s">
        <v>98</v>
      </c>
      <c r="C28" s="25">
        <v>0</v>
      </c>
    </row>
    <row r="29" spans="1:3" s="3" customFormat="1" ht="15.5" hidden="1" x14ac:dyDescent="0.35">
      <c r="A29" s="27">
        <v>2341</v>
      </c>
      <c r="B29" s="26" t="s">
        <v>23</v>
      </c>
      <c r="C29" s="25"/>
    </row>
    <row r="30" spans="1:3" s="3" customFormat="1" ht="15.5" x14ac:dyDescent="0.35">
      <c r="A30" s="22"/>
      <c r="B30" s="28" t="s">
        <v>69</v>
      </c>
      <c r="C30" s="29">
        <f>SUM(C18:C28)</f>
        <v>37.949999999999996</v>
      </c>
    </row>
    <row r="31" spans="1:3" s="3" customFormat="1" ht="15.5" x14ac:dyDescent="0.35">
      <c r="A31" s="23"/>
      <c r="B31" s="24" t="s">
        <v>70</v>
      </c>
      <c r="C31" s="25"/>
    </row>
    <row r="32" spans="1:3" ht="15.5" x14ac:dyDescent="0.35">
      <c r="A32" s="22">
        <v>1100</v>
      </c>
      <c r="B32" s="24" t="s">
        <v>83</v>
      </c>
      <c r="C32" s="25">
        <v>6.9</v>
      </c>
    </row>
    <row r="33" spans="1:3" ht="15.5" x14ac:dyDescent="0.35">
      <c r="A33" s="22">
        <v>1200</v>
      </c>
      <c r="B33" s="112" t="s">
        <v>93</v>
      </c>
      <c r="C33" s="25">
        <v>1.63</v>
      </c>
    </row>
    <row r="34" spans="1:3" ht="15.5" hidden="1" x14ac:dyDescent="0.35">
      <c r="A34" s="22">
        <v>2100</v>
      </c>
      <c r="B34" s="30" t="s">
        <v>42</v>
      </c>
      <c r="C34" s="25"/>
    </row>
    <row r="35" spans="1:3" ht="15.5" x14ac:dyDescent="0.35">
      <c r="A35" s="27">
        <v>2210</v>
      </c>
      <c r="B35" s="26" t="s">
        <v>100</v>
      </c>
      <c r="C35" s="25">
        <v>0.11</v>
      </c>
    </row>
    <row r="36" spans="1:3" ht="15.5" hidden="1" x14ac:dyDescent="0.35">
      <c r="A36" s="22">
        <v>2222</v>
      </c>
      <c r="B36" s="26" t="s">
        <v>101</v>
      </c>
      <c r="C36" s="25"/>
    </row>
    <row r="37" spans="1:3" ht="15.5" x14ac:dyDescent="0.35">
      <c r="A37" s="22">
        <v>2223</v>
      </c>
      <c r="B37" s="26" t="s">
        <v>94</v>
      </c>
      <c r="C37" s="25">
        <v>0.75</v>
      </c>
    </row>
    <row r="38" spans="1:3" ht="15.5" x14ac:dyDescent="0.35">
      <c r="A38" s="22">
        <v>2241</v>
      </c>
      <c r="B38" s="26" t="s">
        <v>106</v>
      </c>
      <c r="C38" s="25">
        <v>0.38</v>
      </c>
    </row>
    <row r="39" spans="1:3" ht="15.5" x14ac:dyDescent="0.35">
      <c r="A39" s="22">
        <v>2242</v>
      </c>
      <c r="B39" s="26" t="s">
        <v>107</v>
      </c>
      <c r="C39" s="25">
        <v>0.23</v>
      </c>
    </row>
    <row r="40" spans="1:3" ht="15.5" x14ac:dyDescent="0.35">
      <c r="A40" s="22">
        <v>2243</v>
      </c>
      <c r="B40" s="26" t="s">
        <v>76</v>
      </c>
      <c r="C40" s="25">
        <v>0.42</v>
      </c>
    </row>
    <row r="41" spans="1:3" ht="15.5" x14ac:dyDescent="0.35">
      <c r="A41" s="22">
        <v>2244</v>
      </c>
      <c r="B41" s="26" t="s">
        <v>108</v>
      </c>
      <c r="C41" s="25">
        <v>0.91</v>
      </c>
    </row>
    <row r="42" spans="1:3" ht="16.5" customHeight="1" x14ac:dyDescent="0.35">
      <c r="A42" s="22">
        <v>2249</v>
      </c>
      <c r="B42" s="26" t="s">
        <v>127</v>
      </c>
      <c r="C42" s="25">
        <v>0.28000000000000003</v>
      </c>
    </row>
    <row r="43" spans="1:3" ht="15.5" x14ac:dyDescent="0.35">
      <c r="A43" s="22">
        <v>2250</v>
      </c>
      <c r="B43" s="26" t="s">
        <v>110</v>
      </c>
      <c r="C43" s="25">
        <v>0.39</v>
      </c>
    </row>
    <row r="44" spans="1:3" ht="15.5" hidden="1" x14ac:dyDescent="0.35">
      <c r="A44" s="22">
        <v>2261</v>
      </c>
      <c r="B44" s="26" t="s">
        <v>128</v>
      </c>
      <c r="C44" s="25">
        <v>0</v>
      </c>
    </row>
    <row r="45" spans="1:3" ht="15.5" x14ac:dyDescent="0.35">
      <c r="A45" s="22">
        <v>2262</v>
      </c>
      <c r="B45" s="26" t="s">
        <v>111</v>
      </c>
      <c r="C45" s="25">
        <v>0.01</v>
      </c>
    </row>
    <row r="46" spans="1:3" ht="15.5" x14ac:dyDescent="0.35">
      <c r="A46" s="22">
        <v>2263</v>
      </c>
      <c r="B46" s="26" t="s">
        <v>112</v>
      </c>
      <c r="C46" s="25">
        <v>0.63</v>
      </c>
    </row>
    <row r="47" spans="1:3" ht="15.5" hidden="1" x14ac:dyDescent="0.35">
      <c r="A47" s="22">
        <v>2264</v>
      </c>
      <c r="B47" s="26" t="s">
        <v>141</v>
      </c>
      <c r="C47" s="25"/>
    </row>
    <row r="48" spans="1:3" ht="15.5" hidden="1" x14ac:dyDescent="0.35">
      <c r="A48" s="22">
        <v>2311</v>
      </c>
      <c r="B48" s="26" t="s">
        <v>114</v>
      </c>
      <c r="C48" s="25">
        <v>0</v>
      </c>
    </row>
    <row r="49" spans="1:3" ht="15.5" hidden="1" x14ac:dyDescent="0.35">
      <c r="A49" s="22">
        <v>2312</v>
      </c>
      <c r="B49" s="26" t="s">
        <v>95</v>
      </c>
      <c r="C49" s="25">
        <v>0</v>
      </c>
    </row>
    <row r="50" spans="1:3" ht="15.5" x14ac:dyDescent="0.35">
      <c r="A50" s="22">
        <v>2321</v>
      </c>
      <c r="B50" s="26" t="s">
        <v>96</v>
      </c>
      <c r="C50" s="25">
        <v>0.69</v>
      </c>
    </row>
    <row r="51" spans="1:3" ht="15.5" x14ac:dyDescent="0.35">
      <c r="A51" s="22">
        <v>2322</v>
      </c>
      <c r="B51" s="26" t="s">
        <v>117</v>
      </c>
      <c r="C51" s="25">
        <v>0.03</v>
      </c>
    </row>
    <row r="52" spans="1:3" ht="15.5" hidden="1" x14ac:dyDescent="0.35">
      <c r="A52" s="22">
        <v>2341</v>
      </c>
      <c r="B52" s="26" t="s">
        <v>97</v>
      </c>
      <c r="C52" s="25"/>
    </row>
    <row r="53" spans="1:3" ht="15.5" hidden="1" x14ac:dyDescent="0.35">
      <c r="A53" s="42">
        <v>2350</v>
      </c>
      <c r="B53" s="22" t="s">
        <v>98</v>
      </c>
      <c r="C53" s="25">
        <v>0</v>
      </c>
    </row>
    <row r="54" spans="1:3" ht="15.5" hidden="1" x14ac:dyDescent="0.35">
      <c r="A54" s="22">
        <v>2361</v>
      </c>
      <c r="B54" s="26" t="s">
        <v>65</v>
      </c>
      <c r="C54" s="25">
        <v>0</v>
      </c>
    </row>
    <row r="55" spans="1:3" ht="15.5" hidden="1" x14ac:dyDescent="0.35">
      <c r="A55" s="22">
        <v>2512</v>
      </c>
      <c r="B55" s="26" t="s">
        <v>133</v>
      </c>
      <c r="C55" s="25">
        <v>0</v>
      </c>
    </row>
    <row r="56" spans="1:3" ht="15.5" x14ac:dyDescent="0.35">
      <c r="A56" s="22">
        <v>2513</v>
      </c>
      <c r="B56" s="26" t="s">
        <v>140</v>
      </c>
      <c r="C56" s="25">
        <v>0.01</v>
      </c>
    </row>
    <row r="57" spans="1:3" ht="15.5" x14ac:dyDescent="0.35">
      <c r="A57" s="22">
        <v>2515</v>
      </c>
      <c r="B57" s="26" t="s">
        <v>73</v>
      </c>
      <c r="C57" s="25">
        <v>0.04</v>
      </c>
    </row>
    <row r="58" spans="1:3" ht="15.5" x14ac:dyDescent="0.35">
      <c r="A58" s="22">
        <v>2519</v>
      </c>
      <c r="B58" s="26" t="s">
        <v>119</v>
      </c>
      <c r="C58" s="25">
        <v>0.02</v>
      </c>
    </row>
    <row r="59" spans="1:3" ht="15.5" x14ac:dyDescent="0.35">
      <c r="A59" s="22">
        <v>5239</v>
      </c>
      <c r="B59" s="26" t="s">
        <v>138</v>
      </c>
      <c r="C59" s="25">
        <v>0.27</v>
      </c>
    </row>
    <row r="60" spans="1:3" ht="15.5" x14ac:dyDescent="0.35">
      <c r="A60" s="23"/>
      <c r="B60" s="31" t="s">
        <v>60</v>
      </c>
      <c r="C60" s="29">
        <f>SUM(C32:C59)</f>
        <v>13.7</v>
      </c>
    </row>
    <row r="61" spans="1:3" ht="15.5" x14ac:dyDescent="0.35">
      <c r="A61" s="23"/>
      <c r="B61" s="31" t="s">
        <v>61</v>
      </c>
      <c r="C61" s="29">
        <f>C60+C30</f>
        <v>51.649999999999991</v>
      </c>
    </row>
    <row r="62" spans="1:3" ht="15.5" x14ac:dyDescent="0.35">
      <c r="A62" s="9"/>
      <c r="B62" s="32"/>
      <c r="C62" s="33"/>
    </row>
    <row r="63" spans="1:3" ht="15.75" customHeight="1" x14ac:dyDescent="0.35">
      <c r="A63" s="171" t="s">
        <v>45</v>
      </c>
      <c r="B63" s="172"/>
      <c r="C63" s="34">
        <v>5</v>
      </c>
    </row>
    <row r="64" spans="1:3" ht="15.5" x14ac:dyDescent="0.35">
      <c r="A64" s="171" t="s">
        <v>54</v>
      </c>
      <c r="B64" s="172"/>
      <c r="C64" s="29">
        <f>ROUND(C61/C63,2)</f>
        <v>10.33</v>
      </c>
    </row>
    <row r="65" spans="1:3" ht="15.75" customHeight="1" x14ac:dyDescent="0.35">
      <c r="A65" s="32"/>
      <c r="B65" s="11"/>
      <c r="C65" s="11"/>
    </row>
    <row r="66" spans="1:3" s="111" customFormat="1" ht="15.5" x14ac:dyDescent="0.35">
      <c r="A66" s="177" t="s">
        <v>62</v>
      </c>
      <c r="B66" s="178"/>
      <c r="C66" s="35"/>
    </row>
    <row r="67" spans="1:3" s="111" customFormat="1" ht="15.5" x14ac:dyDescent="0.35">
      <c r="A67" s="177" t="s">
        <v>63</v>
      </c>
      <c r="B67" s="178"/>
      <c r="C67" s="35"/>
    </row>
    <row r="68" spans="1:3" ht="15.5" x14ac:dyDescent="0.35">
      <c r="A68" s="36"/>
      <c r="B68" s="11"/>
      <c r="C68" s="10"/>
    </row>
    <row r="69" spans="1:3" s="111" customFormat="1" ht="17.25" customHeight="1" x14ac:dyDescent="0.35">
      <c r="A69" s="37" t="s">
        <v>46</v>
      </c>
      <c r="B69" s="37"/>
      <c r="C69" s="37"/>
    </row>
    <row r="70" spans="1:3" s="111" customFormat="1" ht="15.5" x14ac:dyDescent="0.35">
      <c r="A70" s="37"/>
      <c r="B70" s="37"/>
      <c r="C70" s="37"/>
    </row>
    <row r="71" spans="1:3" s="111" customFormat="1" ht="15" customHeight="1" x14ac:dyDescent="0.35">
      <c r="A71" s="37" t="s">
        <v>134</v>
      </c>
      <c r="B71" s="38"/>
      <c r="C71" s="37"/>
    </row>
    <row r="72" spans="1:3" s="111" customFormat="1" ht="14.25" customHeight="1" x14ac:dyDescent="0.35">
      <c r="A72" s="37"/>
      <c r="B72" s="39"/>
      <c r="C72" s="37"/>
    </row>
    <row r="73" spans="1:3" ht="15.5" x14ac:dyDescent="0.35">
      <c r="A73" s="10"/>
      <c r="B73" s="10"/>
      <c r="C73" s="10"/>
    </row>
    <row r="74" spans="1:3" ht="15.5" x14ac:dyDescent="0.35">
      <c r="A74" s="10"/>
      <c r="B74" s="10"/>
      <c r="C74" s="10"/>
    </row>
  </sheetData>
  <mergeCells count="8">
    <mergeCell ref="A67:B67"/>
    <mergeCell ref="B13:C13"/>
    <mergeCell ref="A8:C8"/>
    <mergeCell ref="A10:B10"/>
    <mergeCell ref="A11:B11"/>
    <mergeCell ref="A63:B63"/>
    <mergeCell ref="A64:B64"/>
    <mergeCell ref="A66:B66"/>
  </mergeCells>
  <pageMargins left="0.7" right="0.7" top="0.75" bottom="0.75" header="0.3" footer="0.3"/>
  <pageSetup paperSize="9" scale="68" orientation="portrait" r:id="rId1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84"/>
  <sheetViews>
    <sheetView view="pageLayout" zoomScale="80" zoomScaleNormal="80" zoomScalePageLayoutView="80" workbookViewId="0">
      <selection activeCell="B16" sqref="B16"/>
    </sheetView>
  </sheetViews>
  <sheetFormatPr defaultColWidth="9.1796875" defaultRowHeight="15.5" x14ac:dyDescent="0.35"/>
  <cols>
    <col min="1" max="1" width="13.54296875" style="10" customWidth="1"/>
    <col min="2" max="2" width="94.7265625" style="10" customWidth="1"/>
    <col min="3" max="3" width="21.54296875" style="10" hidden="1" customWidth="1"/>
    <col min="4" max="4" width="27.453125" style="10" hidden="1" customWidth="1"/>
    <col min="5" max="5" width="27.453125" style="10" customWidth="1"/>
    <col min="6" max="16384" width="9.1796875" style="125"/>
  </cols>
  <sheetData>
    <row r="1" spans="1:5" x14ac:dyDescent="0.35">
      <c r="B1" s="9"/>
      <c r="C1" s="8"/>
      <c r="D1" s="9" t="s">
        <v>7</v>
      </c>
      <c r="E1" s="9" t="s">
        <v>7</v>
      </c>
    </row>
    <row r="2" spans="1:5" x14ac:dyDescent="0.35">
      <c r="B2" s="8"/>
      <c r="C2" s="8"/>
      <c r="D2" s="9" t="s">
        <v>44</v>
      </c>
      <c r="E2" s="9" t="s">
        <v>44</v>
      </c>
    </row>
    <row r="3" spans="1:5" x14ac:dyDescent="0.35">
      <c r="B3" s="8"/>
      <c r="C3" s="161" t="s">
        <v>91</v>
      </c>
      <c r="D3" s="161"/>
      <c r="E3" s="9" t="s">
        <v>91</v>
      </c>
    </row>
    <row r="4" spans="1:5" x14ac:dyDescent="0.35">
      <c r="B4" s="6"/>
      <c r="D4" s="6"/>
      <c r="E4" s="6"/>
    </row>
    <row r="5" spans="1:5" x14ac:dyDescent="0.35">
      <c r="B5" s="47"/>
      <c r="C5" s="7"/>
      <c r="D5" s="9" t="s">
        <v>125</v>
      </c>
      <c r="E5" s="9" t="s">
        <v>260</v>
      </c>
    </row>
    <row r="7" spans="1:5" ht="15" x14ac:dyDescent="0.3">
      <c r="A7" s="179" t="s">
        <v>6</v>
      </c>
      <c r="B7" s="179"/>
      <c r="C7" s="179"/>
      <c r="D7" s="179"/>
      <c r="E7" s="113"/>
    </row>
    <row r="8" spans="1:5" x14ac:dyDescent="0.35">
      <c r="B8" s="57"/>
    </row>
    <row r="9" spans="1:5" x14ac:dyDescent="0.35">
      <c r="A9" s="160" t="s">
        <v>1</v>
      </c>
      <c r="B9" s="160"/>
    </row>
    <row r="10" spans="1:5" x14ac:dyDescent="0.35">
      <c r="A10" s="160" t="s">
        <v>0</v>
      </c>
      <c r="B10" s="160"/>
      <c r="D10" s="32"/>
      <c r="E10" s="32"/>
    </row>
    <row r="11" spans="1:5" x14ac:dyDescent="0.35">
      <c r="A11" s="5"/>
      <c r="B11" s="5" t="s">
        <v>165</v>
      </c>
      <c r="C11" s="75"/>
      <c r="D11" s="32"/>
      <c r="E11" s="32"/>
    </row>
    <row r="12" spans="1:5" x14ac:dyDescent="0.35">
      <c r="A12" s="5"/>
      <c r="B12" s="5" t="s">
        <v>262</v>
      </c>
    </row>
    <row r="13" spans="1:5" ht="15.75" customHeight="1" x14ac:dyDescent="0.35">
      <c r="A13" s="5"/>
      <c r="B13" s="5"/>
      <c r="C13" s="75"/>
    </row>
    <row r="14" spans="1:5" x14ac:dyDescent="0.35">
      <c r="A14" s="5" t="s">
        <v>2</v>
      </c>
      <c r="B14" s="5" t="s">
        <v>124</v>
      </c>
      <c r="C14" s="75"/>
    </row>
    <row r="15" spans="1:5" ht="67.5" customHeight="1" x14ac:dyDescent="0.3">
      <c r="A15" s="17" t="s">
        <v>3</v>
      </c>
      <c r="B15" s="17" t="s">
        <v>4</v>
      </c>
      <c r="C15" s="17"/>
      <c r="D15" s="17" t="s">
        <v>64</v>
      </c>
      <c r="E15" s="17" t="s">
        <v>64</v>
      </c>
    </row>
    <row r="16" spans="1:5" ht="15" x14ac:dyDescent="0.3">
      <c r="A16" s="18">
        <v>1</v>
      </c>
      <c r="B16" s="19">
        <v>2</v>
      </c>
      <c r="C16" s="19"/>
      <c r="D16" s="19">
        <v>2022</v>
      </c>
      <c r="E16" s="19">
        <v>3</v>
      </c>
    </row>
    <row r="17" spans="1:5" x14ac:dyDescent="0.35">
      <c r="A17" s="18"/>
      <c r="B17" s="21" t="s">
        <v>5</v>
      </c>
      <c r="C17" s="22"/>
      <c r="D17" s="22"/>
      <c r="E17" s="22"/>
    </row>
    <row r="18" spans="1:5" x14ac:dyDescent="0.3">
      <c r="A18" s="42">
        <v>1100</v>
      </c>
      <c r="B18" s="42" t="s">
        <v>56</v>
      </c>
      <c r="C18" s="41">
        <v>4.67</v>
      </c>
      <c r="D18" s="41">
        <f>C18*60</f>
        <v>280.2</v>
      </c>
      <c r="E18" s="41">
        <v>130.21</v>
      </c>
    </row>
    <row r="19" spans="1:5" ht="15.75" customHeight="1" x14ac:dyDescent="0.3">
      <c r="A19" s="42">
        <v>1200</v>
      </c>
      <c r="B19" s="54" t="s">
        <v>135</v>
      </c>
      <c r="C19" s="41">
        <v>1.1299999999999999</v>
      </c>
      <c r="D19" s="41">
        <f t="shared" ref="D19:E31" si="0">C19*60</f>
        <v>67.8</v>
      </c>
      <c r="E19" s="41">
        <v>30.72</v>
      </c>
    </row>
    <row r="20" spans="1:5" x14ac:dyDescent="0.3">
      <c r="A20" s="42">
        <v>2222</v>
      </c>
      <c r="B20" s="54" t="s">
        <v>143</v>
      </c>
      <c r="C20" s="41">
        <v>0.01</v>
      </c>
      <c r="D20" s="41">
        <f t="shared" si="0"/>
        <v>0.6</v>
      </c>
      <c r="E20" s="41">
        <v>0.2</v>
      </c>
    </row>
    <row r="21" spans="1:5" x14ac:dyDescent="0.3">
      <c r="A21" s="42">
        <v>2223</v>
      </c>
      <c r="B21" s="54" t="s">
        <v>40</v>
      </c>
      <c r="C21" s="41">
        <v>0.06</v>
      </c>
      <c r="D21" s="41">
        <f t="shared" si="0"/>
        <v>3.5999999999999996</v>
      </c>
      <c r="E21" s="41">
        <v>2.87</v>
      </c>
    </row>
    <row r="22" spans="1:5" hidden="1" x14ac:dyDescent="0.3">
      <c r="A22" s="42">
        <v>2243</v>
      </c>
      <c r="B22" s="54" t="s">
        <v>12</v>
      </c>
      <c r="C22" s="41"/>
      <c r="D22" s="41">
        <f t="shared" si="0"/>
        <v>0</v>
      </c>
      <c r="E22" s="41">
        <f t="shared" si="0"/>
        <v>0</v>
      </c>
    </row>
    <row r="23" spans="1:5" x14ac:dyDescent="0.3">
      <c r="A23" s="42">
        <v>2244</v>
      </c>
      <c r="B23" s="54" t="s">
        <v>144</v>
      </c>
      <c r="C23" s="41">
        <v>0.22</v>
      </c>
      <c r="D23" s="41">
        <f t="shared" si="0"/>
        <v>13.2</v>
      </c>
      <c r="E23" s="41">
        <v>4.46</v>
      </c>
    </row>
    <row r="24" spans="1:5" x14ac:dyDescent="0.3">
      <c r="A24" s="42">
        <v>2311</v>
      </c>
      <c r="B24" s="54" t="s">
        <v>145</v>
      </c>
      <c r="C24" s="41">
        <v>0.13</v>
      </c>
      <c r="D24" s="41">
        <f t="shared" si="0"/>
        <v>7.8000000000000007</v>
      </c>
      <c r="E24" s="41">
        <v>2.66</v>
      </c>
    </row>
    <row r="25" spans="1:5" x14ac:dyDescent="0.3">
      <c r="A25" s="42">
        <v>2312</v>
      </c>
      <c r="B25" s="54" t="s">
        <v>20</v>
      </c>
      <c r="C25" s="41">
        <v>0.98</v>
      </c>
      <c r="D25" s="41">
        <f t="shared" si="0"/>
        <v>58.8</v>
      </c>
      <c r="E25" s="41">
        <v>19.62</v>
      </c>
    </row>
    <row r="26" spans="1:5" x14ac:dyDescent="0.3">
      <c r="A26" s="42">
        <v>2321</v>
      </c>
      <c r="B26" s="54" t="s">
        <v>21</v>
      </c>
      <c r="C26" s="41">
        <v>0.1</v>
      </c>
      <c r="D26" s="41">
        <f t="shared" si="0"/>
        <v>6</v>
      </c>
      <c r="E26" s="41">
        <v>2.67</v>
      </c>
    </row>
    <row r="27" spans="1:5" hidden="1" x14ac:dyDescent="0.3">
      <c r="A27" s="42">
        <v>2341</v>
      </c>
      <c r="B27" s="54" t="s">
        <v>146</v>
      </c>
      <c r="C27" s="41"/>
      <c r="D27" s="41">
        <f t="shared" si="0"/>
        <v>0</v>
      </c>
      <c r="E27" s="41">
        <f t="shared" si="0"/>
        <v>0</v>
      </c>
    </row>
    <row r="28" spans="1:5" x14ac:dyDescent="0.3">
      <c r="A28" s="42">
        <v>2350</v>
      </c>
      <c r="B28" s="54" t="s">
        <v>147</v>
      </c>
      <c r="C28" s="41">
        <v>0.11</v>
      </c>
      <c r="D28" s="41">
        <f t="shared" si="0"/>
        <v>6.6</v>
      </c>
      <c r="E28" s="41">
        <v>2.2799999999999998</v>
      </c>
    </row>
    <row r="29" spans="1:5" hidden="1" x14ac:dyDescent="0.3">
      <c r="A29" s="42">
        <v>2369</v>
      </c>
      <c r="B29" s="54" t="s">
        <v>157</v>
      </c>
      <c r="C29" s="41">
        <v>0</v>
      </c>
      <c r="D29" s="41">
        <f t="shared" si="0"/>
        <v>0</v>
      </c>
      <c r="E29" s="41">
        <f t="shared" si="0"/>
        <v>0</v>
      </c>
    </row>
    <row r="30" spans="1:5" x14ac:dyDescent="0.3">
      <c r="A30" s="42">
        <v>5238</v>
      </c>
      <c r="B30" s="54" t="s">
        <v>149</v>
      </c>
      <c r="C30" s="41">
        <v>0.15</v>
      </c>
      <c r="D30" s="41">
        <f t="shared" si="0"/>
        <v>9</v>
      </c>
      <c r="E30" s="41">
        <v>3.57</v>
      </c>
    </row>
    <row r="31" spans="1:5" x14ac:dyDescent="0.3">
      <c r="A31" s="45">
        <v>5239</v>
      </c>
      <c r="B31" s="54" t="s">
        <v>158</v>
      </c>
      <c r="C31" s="41">
        <v>0.05</v>
      </c>
      <c r="D31" s="41">
        <f t="shared" si="0"/>
        <v>3</v>
      </c>
      <c r="E31" s="41">
        <v>0.33</v>
      </c>
    </row>
    <row r="32" spans="1:5" x14ac:dyDescent="0.3">
      <c r="A32" s="42"/>
      <c r="B32" s="119" t="s">
        <v>69</v>
      </c>
      <c r="C32" s="43">
        <f>SUM(C18:C31)</f>
        <v>7.6099999999999994</v>
      </c>
      <c r="D32" s="43">
        <f>SUM(D18:D31)</f>
        <v>456.60000000000008</v>
      </c>
      <c r="E32" s="43">
        <f>SUM(E18:E31)</f>
        <v>199.59</v>
      </c>
    </row>
    <row r="33" spans="1:10" x14ac:dyDescent="0.3">
      <c r="A33" s="44"/>
      <c r="B33" s="42" t="s">
        <v>70</v>
      </c>
      <c r="C33" s="41"/>
      <c r="D33" s="41"/>
      <c r="E33" s="41"/>
      <c r="G33" s="126"/>
      <c r="H33" s="126"/>
      <c r="I33" s="126"/>
      <c r="J33" s="126"/>
    </row>
    <row r="34" spans="1:10" x14ac:dyDescent="0.3">
      <c r="A34" s="42">
        <v>1100</v>
      </c>
      <c r="B34" s="42" t="s">
        <v>56</v>
      </c>
      <c r="C34" s="41">
        <v>1.34</v>
      </c>
      <c r="D34" s="41">
        <f>C34*60</f>
        <v>80.400000000000006</v>
      </c>
      <c r="E34" s="41">
        <v>39.770000000000003</v>
      </c>
      <c r="G34" s="126"/>
    </row>
    <row r="35" spans="1:10" ht="15.75" customHeight="1" x14ac:dyDescent="0.3">
      <c r="A35" s="42">
        <v>1200</v>
      </c>
      <c r="B35" s="54" t="s">
        <v>135</v>
      </c>
      <c r="C35" s="41">
        <v>0.32</v>
      </c>
      <c r="D35" s="41">
        <f t="shared" ref="D35:D62" si="1">C35*60</f>
        <v>19.2</v>
      </c>
      <c r="E35" s="41">
        <v>9.5</v>
      </c>
      <c r="G35" s="126"/>
    </row>
    <row r="36" spans="1:10" hidden="1" x14ac:dyDescent="0.3">
      <c r="A36" s="42">
        <v>2100</v>
      </c>
      <c r="B36" s="30" t="s">
        <v>42</v>
      </c>
      <c r="C36" s="41"/>
      <c r="D36" s="41">
        <f t="shared" si="1"/>
        <v>0</v>
      </c>
      <c r="E36" s="41">
        <f t="shared" ref="E36:E61" si="2">D36/146.4*72.42</f>
        <v>0</v>
      </c>
      <c r="G36" s="126"/>
    </row>
    <row r="37" spans="1:10" x14ac:dyDescent="0.3">
      <c r="A37" s="45">
        <v>2210</v>
      </c>
      <c r="B37" s="54" t="s">
        <v>150</v>
      </c>
      <c r="C37" s="41">
        <v>0.02</v>
      </c>
      <c r="D37" s="41">
        <f t="shared" si="1"/>
        <v>1.2</v>
      </c>
      <c r="E37" s="41">
        <v>0.59</v>
      </c>
      <c r="G37" s="126"/>
      <c r="I37" s="126"/>
      <c r="J37" s="126"/>
    </row>
    <row r="38" spans="1:10" hidden="1" x14ac:dyDescent="0.3">
      <c r="A38" s="42">
        <v>2222</v>
      </c>
      <c r="B38" s="54" t="s">
        <v>39</v>
      </c>
      <c r="C38" s="41"/>
      <c r="D38" s="41">
        <f t="shared" si="1"/>
        <v>0</v>
      </c>
      <c r="E38" s="41">
        <f t="shared" si="2"/>
        <v>0</v>
      </c>
      <c r="G38" s="126"/>
      <c r="I38" s="126"/>
      <c r="J38" s="126"/>
    </row>
    <row r="39" spans="1:10" x14ac:dyDescent="0.3">
      <c r="A39" s="42">
        <v>2223</v>
      </c>
      <c r="B39" s="54" t="s">
        <v>40</v>
      </c>
      <c r="C39" s="41">
        <v>7.0000000000000007E-2</v>
      </c>
      <c r="D39" s="41">
        <f t="shared" si="1"/>
        <v>4.2</v>
      </c>
      <c r="E39" s="41">
        <v>2.08</v>
      </c>
      <c r="G39" s="126"/>
      <c r="I39" s="126"/>
      <c r="J39" s="126"/>
    </row>
    <row r="40" spans="1:10" x14ac:dyDescent="0.3">
      <c r="A40" s="42">
        <v>2224</v>
      </c>
      <c r="B40" s="54" t="s">
        <v>151</v>
      </c>
      <c r="C40" s="41">
        <v>0.02</v>
      </c>
      <c r="D40" s="41">
        <f t="shared" si="1"/>
        <v>1.2</v>
      </c>
      <c r="E40" s="41">
        <v>0.32</v>
      </c>
      <c r="G40" s="126"/>
      <c r="I40" s="126"/>
      <c r="J40" s="126"/>
    </row>
    <row r="41" spans="1:10" hidden="1" x14ac:dyDescent="0.3">
      <c r="A41" s="42">
        <v>2231</v>
      </c>
      <c r="B41" s="54" t="s">
        <v>159</v>
      </c>
      <c r="C41" s="41">
        <v>0</v>
      </c>
      <c r="D41" s="41">
        <f t="shared" si="1"/>
        <v>0</v>
      </c>
      <c r="E41" s="41">
        <f t="shared" si="2"/>
        <v>0</v>
      </c>
      <c r="G41" s="126"/>
      <c r="I41" s="126"/>
      <c r="J41" s="126"/>
    </row>
    <row r="42" spans="1:10" hidden="1" x14ac:dyDescent="0.3">
      <c r="A42" s="42">
        <v>2239</v>
      </c>
      <c r="B42" s="54" t="s">
        <v>105</v>
      </c>
      <c r="C42" s="41">
        <v>0</v>
      </c>
      <c r="D42" s="41">
        <f t="shared" si="1"/>
        <v>0</v>
      </c>
      <c r="E42" s="41">
        <f t="shared" si="2"/>
        <v>0</v>
      </c>
      <c r="G42" s="126"/>
      <c r="I42" s="126"/>
      <c r="J42" s="126"/>
    </row>
    <row r="43" spans="1:10" x14ac:dyDescent="0.35">
      <c r="A43" s="22">
        <v>2241</v>
      </c>
      <c r="B43" s="26" t="s">
        <v>154</v>
      </c>
      <c r="C43" s="41">
        <v>0.02</v>
      </c>
      <c r="D43" s="41">
        <f t="shared" si="1"/>
        <v>1.2</v>
      </c>
      <c r="E43" s="41">
        <v>0.8</v>
      </c>
      <c r="G43" s="126"/>
      <c r="I43" s="91"/>
      <c r="J43" s="126"/>
    </row>
    <row r="44" spans="1:10" x14ac:dyDescent="0.35">
      <c r="A44" s="22">
        <v>2242</v>
      </c>
      <c r="B44" s="26" t="s">
        <v>11</v>
      </c>
      <c r="C44" s="41">
        <v>0.01</v>
      </c>
      <c r="D44" s="41">
        <f t="shared" si="1"/>
        <v>0.6</v>
      </c>
      <c r="E44" s="41">
        <v>0.3</v>
      </c>
      <c r="G44" s="126"/>
      <c r="I44" s="127"/>
      <c r="J44" s="126"/>
    </row>
    <row r="45" spans="1:10" x14ac:dyDescent="0.35">
      <c r="A45" s="22">
        <v>2243</v>
      </c>
      <c r="B45" s="26" t="s">
        <v>12</v>
      </c>
      <c r="C45" s="41">
        <v>0.03</v>
      </c>
      <c r="D45" s="41">
        <f t="shared" si="1"/>
        <v>1.7999999999999998</v>
      </c>
      <c r="E45" s="41">
        <v>0.89</v>
      </c>
      <c r="G45" s="126"/>
      <c r="I45" s="127"/>
      <c r="J45" s="126"/>
    </row>
    <row r="46" spans="1:10" x14ac:dyDescent="0.35">
      <c r="A46" s="22">
        <v>2244</v>
      </c>
      <c r="B46" s="54" t="s">
        <v>144</v>
      </c>
      <c r="C46" s="41">
        <v>0.21</v>
      </c>
      <c r="D46" s="41">
        <f t="shared" si="1"/>
        <v>12.6</v>
      </c>
      <c r="E46" s="41">
        <v>6.23</v>
      </c>
      <c r="G46" s="126"/>
      <c r="I46" s="127"/>
      <c r="J46" s="126"/>
    </row>
    <row r="47" spans="1:10" hidden="1" x14ac:dyDescent="0.35">
      <c r="A47" s="22">
        <v>2247</v>
      </c>
      <c r="B47" s="21" t="s">
        <v>71</v>
      </c>
      <c r="C47" s="41">
        <v>0</v>
      </c>
      <c r="D47" s="41">
        <f t="shared" si="1"/>
        <v>0</v>
      </c>
      <c r="E47" s="41">
        <f t="shared" si="2"/>
        <v>0</v>
      </c>
      <c r="G47" s="126"/>
      <c r="I47" s="127"/>
      <c r="J47" s="126"/>
    </row>
    <row r="48" spans="1:10" hidden="1" x14ac:dyDescent="0.35">
      <c r="A48" s="22">
        <v>2249</v>
      </c>
      <c r="B48" s="26" t="s">
        <v>13</v>
      </c>
      <c r="C48" s="41"/>
      <c r="D48" s="41">
        <f t="shared" si="1"/>
        <v>0</v>
      </c>
      <c r="E48" s="41">
        <f t="shared" si="2"/>
        <v>0</v>
      </c>
      <c r="G48" s="126"/>
      <c r="I48" s="127"/>
      <c r="J48" s="126"/>
    </row>
    <row r="49" spans="1:10" x14ac:dyDescent="0.35">
      <c r="A49" s="22">
        <v>2250</v>
      </c>
      <c r="B49" s="26" t="s">
        <v>155</v>
      </c>
      <c r="C49" s="41">
        <v>0.09</v>
      </c>
      <c r="D49" s="41">
        <f t="shared" si="1"/>
        <v>5.3999999999999995</v>
      </c>
      <c r="E49" s="41">
        <v>2.67</v>
      </c>
      <c r="G49" s="126"/>
      <c r="I49" s="127"/>
      <c r="J49" s="126"/>
    </row>
    <row r="50" spans="1:10" hidden="1" x14ac:dyDescent="0.35">
      <c r="A50" s="22">
        <v>2252</v>
      </c>
      <c r="B50" s="26" t="s">
        <v>8</v>
      </c>
      <c r="C50" s="41"/>
      <c r="D50" s="41">
        <f t="shared" si="1"/>
        <v>0</v>
      </c>
      <c r="E50" s="41">
        <f t="shared" si="2"/>
        <v>0</v>
      </c>
      <c r="G50" s="126"/>
      <c r="I50" s="127"/>
      <c r="J50" s="126"/>
    </row>
    <row r="51" spans="1:10" hidden="1" x14ac:dyDescent="0.35">
      <c r="A51" s="22">
        <v>2259</v>
      </c>
      <c r="B51" s="26" t="s">
        <v>9</v>
      </c>
      <c r="C51" s="41"/>
      <c r="D51" s="41">
        <f t="shared" si="1"/>
        <v>0</v>
      </c>
      <c r="E51" s="41">
        <f t="shared" si="2"/>
        <v>0</v>
      </c>
      <c r="G51" s="126"/>
      <c r="I51" s="127"/>
      <c r="J51" s="126"/>
    </row>
    <row r="52" spans="1:10" hidden="1" x14ac:dyDescent="0.35">
      <c r="A52" s="22">
        <v>2261</v>
      </c>
      <c r="B52" s="26" t="s">
        <v>14</v>
      </c>
      <c r="C52" s="41"/>
      <c r="D52" s="41">
        <f t="shared" si="1"/>
        <v>0</v>
      </c>
      <c r="E52" s="41">
        <f t="shared" si="2"/>
        <v>0</v>
      </c>
      <c r="G52" s="126"/>
      <c r="I52" s="127"/>
      <c r="J52" s="126"/>
    </row>
    <row r="53" spans="1:10" hidden="1" x14ac:dyDescent="0.35">
      <c r="A53" s="22">
        <v>2262</v>
      </c>
      <c r="B53" s="26" t="s">
        <v>15</v>
      </c>
      <c r="C53" s="41">
        <v>0</v>
      </c>
      <c r="D53" s="41">
        <f t="shared" si="1"/>
        <v>0</v>
      </c>
      <c r="E53" s="41">
        <f t="shared" si="2"/>
        <v>0</v>
      </c>
      <c r="G53" s="126"/>
      <c r="I53" s="127"/>
      <c r="J53" s="126"/>
    </row>
    <row r="54" spans="1:10" x14ac:dyDescent="0.35">
      <c r="A54" s="22">
        <v>2263</v>
      </c>
      <c r="B54" s="26" t="s">
        <v>16</v>
      </c>
      <c r="C54" s="41">
        <v>0.11</v>
      </c>
      <c r="D54" s="41">
        <f t="shared" si="1"/>
        <v>6.6</v>
      </c>
      <c r="E54" s="41">
        <v>3.26</v>
      </c>
      <c r="G54" s="126"/>
      <c r="I54" s="127"/>
      <c r="J54" s="126"/>
    </row>
    <row r="55" spans="1:10" hidden="1" x14ac:dyDescent="0.35">
      <c r="A55" s="22">
        <v>2264</v>
      </c>
      <c r="B55" s="26" t="s">
        <v>17</v>
      </c>
      <c r="C55" s="41"/>
      <c r="D55" s="41">
        <f t="shared" si="1"/>
        <v>0</v>
      </c>
      <c r="E55" s="41">
        <f t="shared" si="2"/>
        <v>0</v>
      </c>
      <c r="G55" s="126"/>
      <c r="I55" s="127"/>
    </row>
    <row r="56" spans="1:10" x14ac:dyDescent="0.35">
      <c r="A56" s="22">
        <v>2311</v>
      </c>
      <c r="B56" s="26" t="s">
        <v>19</v>
      </c>
      <c r="C56" s="41">
        <v>0.02</v>
      </c>
      <c r="D56" s="41">
        <f t="shared" si="1"/>
        <v>1.2</v>
      </c>
      <c r="E56" s="41">
        <v>0.59</v>
      </c>
      <c r="G56" s="126"/>
    </row>
    <row r="57" spans="1:10" x14ac:dyDescent="0.35">
      <c r="A57" s="22">
        <v>2312</v>
      </c>
      <c r="B57" s="26" t="s">
        <v>20</v>
      </c>
      <c r="C57" s="41">
        <v>0.02</v>
      </c>
      <c r="D57" s="41">
        <f t="shared" si="1"/>
        <v>1.2</v>
      </c>
      <c r="E57" s="41">
        <v>0.59</v>
      </c>
      <c r="G57" s="126"/>
    </row>
    <row r="58" spans="1:10" x14ac:dyDescent="0.35">
      <c r="A58" s="22">
        <v>2321</v>
      </c>
      <c r="B58" s="26" t="s">
        <v>21</v>
      </c>
      <c r="C58" s="41">
        <v>0.1</v>
      </c>
      <c r="D58" s="41">
        <f t="shared" si="1"/>
        <v>6</v>
      </c>
      <c r="E58" s="41">
        <v>1.85</v>
      </c>
      <c r="G58" s="126"/>
    </row>
    <row r="59" spans="1:10" x14ac:dyDescent="0.35">
      <c r="A59" s="22">
        <v>2322</v>
      </c>
      <c r="B59" s="26" t="s">
        <v>22</v>
      </c>
      <c r="C59" s="41">
        <v>0.02</v>
      </c>
      <c r="D59" s="41">
        <f t="shared" si="1"/>
        <v>1.2</v>
      </c>
      <c r="E59" s="41">
        <v>0.2</v>
      </c>
      <c r="G59" s="126"/>
    </row>
    <row r="60" spans="1:10" hidden="1" x14ac:dyDescent="0.35">
      <c r="A60" s="22">
        <v>2341</v>
      </c>
      <c r="B60" s="26" t="s">
        <v>23</v>
      </c>
      <c r="C60" s="41"/>
      <c r="D60" s="41">
        <f t="shared" si="1"/>
        <v>0</v>
      </c>
      <c r="E60" s="41">
        <f t="shared" si="2"/>
        <v>0</v>
      </c>
      <c r="G60" s="126"/>
    </row>
    <row r="61" spans="1:10" hidden="1" x14ac:dyDescent="0.35">
      <c r="A61" s="22">
        <v>2344</v>
      </c>
      <c r="B61" s="26" t="s">
        <v>24</v>
      </c>
      <c r="C61" s="41"/>
      <c r="D61" s="41">
        <f t="shared" si="1"/>
        <v>0</v>
      </c>
      <c r="E61" s="41">
        <f t="shared" si="2"/>
        <v>0</v>
      </c>
      <c r="G61" s="126"/>
    </row>
    <row r="62" spans="1:10" x14ac:dyDescent="0.35">
      <c r="A62" s="22">
        <v>2350</v>
      </c>
      <c r="B62" s="26" t="s">
        <v>147</v>
      </c>
      <c r="C62" s="41">
        <v>0.04</v>
      </c>
      <c r="D62" s="41">
        <f t="shared" si="1"/>
        <v>2.4</v>
      </c>
      <c r="E62" s="41">
        <v>1.19</v>
      </c>
      <c r="G62" s="126"/>
    </row>
    <row r="63" spans="1:10" hidden="1" x14ac:dyDescent="0.35">
      <c r="A63" s="22">
        <v>2512</v>
      </c>
      <c r="B63" s="26" t="s">
        <v>30</v>
      </c>
      <c r="C63" s="41"/>
      <c r="D63" s="41">
        <f t="shared" ref="D63:E65" si="3">C63*30</f>
        <v>0</v>
      </c>
      <c r="E63" s="41">
        <f t="shared" si="3"/>
        <v>0</v>
      </c>
      <c r="G63" s="126"/>
    </row>
    <row r="64" spans="1:10" x14ac:dyDescent="0.3">
      <c r="A64" s="42">
        <v>2513</v>
      </c>
      <c r="B64" s="54" t="s">
        <v>142</v>
      </c>
      <c r="C64" s="41"/>
      <c r="D64" s="41">
        <f t="shared" si="3"/>
        <v>0</v>
      </c>
      <c r="E64" s="41">
        <v>0.19</v>
      </c>
      <c r="G64" s="126"/>
    </row>
    <row r="65" spans="1:8" x14ac:dyDescent="0.3">
      <c r="A65" s="42">
        <v>2515</v>
      </c>
      <c r="B65" s="54" t="s">
        <v>73</v>
      </c>
      <c r="C65" s="41">
        <v>0</v>
      </c>
      <c r="D65" s="41">
        <f t="shared" si="3"/>
        <v>0</v>
      </c>
      <c r="E65" s="41">
        <v>0.2</v>
      </c>
      <c r="G65" s="126"/>
    </row>
    <row r="66" spans="1:8" x14ac:dyDescent="0.3">
      <c r="A66" s="42">
        <v>2519</v>
      </c>
      <c r="B66" s="54" t="s">
        <v>34</v>
      </c>
      <c r="C66" s="41"/>
      <c r="D66" s="41">
        <f>C66*50</f>
        <v>0</v>
      </c>
      <c r="E66" s="41">
        <v>0.11</v>
      </c>
      <c r="G66" s="126"/>
    </row>
    <row r="67" spans="1:8" hidden="1" x14ac:dyDescent="0.3">
      <c r="A67" s="42">
        <v>5238</v>
      </c>
      <c r="B67" s="54" t="s">
        <v>35</v>
      </c>
      <c r="C67" s="41"/>
      <c r="D67" s="41"/>
      <c r="E67" s="41"/>
      <c r="G67" s="126"/>
    </row>
    <row r="68" spans="1:8" x14ac:dyDescent="0.3">
      <c r="A68" s="45">
        <v>5239</v>
      </c>
      <c r="B68" s="54" t="s">
        <v>158</v>
      </c>
      <c r="C68" s="41"/>
      <c r="D68" s="41"/>
      <c r="E68" s="41">
        <v>0.5</v>
      </c>
      <c r="G68" s="126"/>
    </row>
    <row r="69" spans="1:8" x14ac:dyDescent="0.3">
      <c r="A69" s="42">
        <v>5250</v>
      </c>
      <c r="B69" s="54" t="s">
        <v>37</v>
      </c>
      <c r="C69" s="41"/>
      <c r="D69" s="41">
        <f>C69/345*50</f>
        <v>0</v>
      </c>
      <c r="E69" s="41">
        <v>0.57999999999999996</v>
      </c>
      <c r="G69" s="126"/>
    </row>
    <row r="70" spans="1:8" x14ac:dyDescent="0.3">
      <c r="A70" s="44"/>
      <c r="B70" s="120" t="s">
        <v>74</v>
      </c>
      <c r="C70" s="43">
        <f>SUM(C34:C69)</f>
        <v>2.4400000000000004</v>
      </c>
      <c r="D70" s="43">
        <f>SUM(D34:D69)</f>
        <v>146.39999999999998</v>
      </c>
      <c r="E70" s="43">
        <f>SUM(E34:E69)</f>
        <v>72.410000000000011</v>
      </c>
      <c r="G70" s="126"/>
    </row>
    <row r="71" spans="1:8" x14ac:dyDescent="0.3">
      <c r="A71" s="44"/>
      <c r="B71" s="120" t="s">
        <v>75</v>
      </c>
      <c r="C71" s="43">
        <f>C70+C32</f>
        <v>10.050000000000001</v>
      </c>
      <c r="D71" s="43">
        <f>D70+D32</f>
        <v>603</v>
      </c>
      <c r="E71" s="43">
        <f>E70+E32</f>
        <v>272</v>
      </c>
      <c r="H71" s="128"/>
    </row>
    <row r="72" spans="1:8" x14ac:dyDescent="0.35">
      <c r="A72" s="9"/>
      <c r="B72" s="32"/>
      <c r="C72" s="33"/>
      <c r="D72" s="33"/>
      <c r="E72" s="33"/>
      <c r="G72" s="128"/>
    </row>
    <row r="73" spans="1:8" x14ac:dyDescent="0.35">
      <c r="A73" s="171" t="s">
        <v>45</v>
      </c>
      <c r="B73" s="172"/>
      <c r="C73" s="121">
        <v>1</v>
      </c>
      <c r="D73" s="122">
        <v>60</v>
      </c>
      <c r="E73" s="122">
        <v>20</v>
      </c>
    </row>
    <row r="74" spans="1:8" x14ac:dyDescent="0.35">
      <c r="A74" s="171" t="s">
        <v>66</v>
      </c>
      <c r="B74" s="172"/>
      <c r="C74" s="43">
        <f>ROUND(C71/C73,2)</f>
        <v>10.050000000000001</v>
      </c>
      <c r="D74" s="123">
        <f>ROUND(D71/D73,2)</f>
        <v>10.050000000000001</v>
      </c>
      <c r="E74" s="123">
        <f>ROUND(E71/E73,2)</f>
        <v>13.6</v>
      </c>
    </row>
    <row r="75" spans="1:8" x14ac:dyDescent="0.35">
      <c r="A75" s="32"/>
      <c r="B75" s="11"/>
    </row>
    <row r="76" spans="1:8" x14ac:dyDescent="0.35">
      <c r="A76" s="171" t="s">
        <v>62</v>
      </c>
      <c r="B76" s="172"/>
      <c r="C76" s="56"/>
      <c r="D76" s="56"/>
      <c r="E76" s="56"/>
    </row>
    <row r="77" spans="1:8" x14ac:dyDescent="0.35">
      <c r="A77" s="171" t="s">
        <v>63</v>
      </c>
      <c r="B77" s="172"/>
      <c r="C77" s="56"/>
      <c r="D77" s="56"/>
      <c r="E77" s="56"/>
    </row>
    <row r="78" spans="1:8" x14ac:dyDescent="0.35">
      <c r="A78" s="37"/>
      <c r="B78" s="37"/>
      <c r="C78" s="37"/>
      <c r="D78" s="37"/>
      <c r="E78" s="37"/>
    </row>
    <row r="79" spans="1:8" x14ac:dyDescent="0.35">
      <c r="A79" s="37" t="s">
        <v>46</v>
      </c>
      <c r="B79" s="37"/>
      <c r="C79" s="37"/>
      <c r="D79" s="37"/>
      <c r="E79" s="37"/>
    </row>
    <row r="80" spans="1:8" x14ac:dyDescent="0.35">
      <c r="A80" s="37"/>
      <c r="B80" s="37"/>
      <c r="C80" s="37"/>
      <c r="D80" s="37"/>
      <c r="E80" s="37"/>
    </row>
    <row r="81" spans="1:5" x14ac:dyDescent="0.35">
      <c r="A81" s="37" t="s">
        <v>160</v>
      </c>
      <c r="B81" s="38"/>
      <c r="C81" s="37"/>
      <c r="D81" s="37"/>
      <c r="E81" s="37"/>
    </row>
    <row r="82" spans="1:5" x14ac:dyDescent="0.35">
      <c r="A82" s="37"/>
      <c r="B82" s="124"/>
      <c r="C82" s="37"/>
      <c r="D82" s="37"/>
      <c r="E82" s="37"/>
    </row>
    <row r="83" spans="1:5" x14ac:dyDescent="0.35">
      <c r="B83" s="9"/>
    </row>
    <row r="84" spans="1:5" x14ac:dyDescent="0.35">
      <c r="B84" s="32"/>
    </row>
  </sheetData>
  <mergeCells count="8">
    <mergeCell ref="A76:B76"/>
    <mergeCell ref="A77:B77"/>
    <mergeCell ref="C3:D3"/>
    <mergeCell ref="A7:D7"/>
    <mergeCell ref="A9:B9"/>
    <mergeCell ref="A10:B10"/>
    <mergeCell ref="A73:B73"/>
    <mergeCell ref="A74:B74"/>
  </mergeCells>
  <pageMargins left="0.7" right="0.7" top="0.75" bottom="0.75" header="0.3" footer="0.3"/>
  <pageSetup paperSize="9" scale="65" orientation="portrait" r:id="rId1"/>
  <headerFooter>
    <oddFooter>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F85"/>
  <sheetViews>
    <sheetView view="pageLayout" zoomScale="80" zoomScaleNormal="100" zoomScalePageLayoutView="80" workbookViewId="0">
      <selection activeCell="E5" sqref="E5"/>
    </sheetView>
  </sheetViews>
  <sheetFormatPr defaultColWidth="9.1796875" defaultRowHeight="15.5" x14ac:dyDescent="0.35"/>
  <cols>
    <col min="1" max="1" width="14.453125" style="10" customWidth="1"/>
    <col min="2" max="2" width="89.1796875" style="10" customWidth="1"/>
    <col min="3" max="3" width="9.1796875" style="10" hidden="1" customWidth="1"/>
    <col min="4" max="4" width="9.1796875" style="75" hidden="1" customWidth="1"/>
    <col min="5" max="5" width="31.1796875" style="10" customWidth="1"/>
    <col min="6" max="6" width="12.26953125" style="10" customWidth="1"/>
    <col min="7" max="16384" width="9.1796875" style="40"/>
  </cols>
  <sheetData>
    <row r="1" spans="1:5" x14ac:dyDescent="0.35">
      <c r="B1" s="6"/>
      <c r="C1" s="6"/>
      <c r="D1" s="72"/>
      <c r="E1" s="70" t="s">
        <v>7</v>
      </c>
    </row>
    <row r="2" spans="1:5" x14ac:dyDescent="0.35">
      <c r="B2" s="183" t="s">
        <v>44</v>
      </c>
      <c r="C2" s="183"/>
      <c r="D2" s="183"/>
      <c r="E2" s="184"/>
    </row>
    <row r="3" spans="1:5" x14ac:dyDescent="0.35">
      <c r="B3" s="7"/>
      <c r="C3" s="7"/>
      <c r="D3" s="73"/>
      <c r="E3" s="48" t="s">
        <v>91</v>
      </c>
    </row>
    <row r="4" spans="1:5" x14ac:dyDescent="0.35">
      <c r="B4" s="6"/>
      <c r="C4" s="6"/>
      <c r="D4" s="72"/>
      <c r="E4" s="9"/>
    </row>
    <row r="5" spans="1:5" x14ac:dyDescent="0.35">
      <c r="B5" s="47"/>
      <c r="C5" s="47"/>
      <c r="D5" s="74"/>
      <c r="E5" s="9" t="s">
        <v>260</v>
      </c>
    </row>
    <row r="6" spans="1:5" x14ac:dyDescent="0.35">
      <c r="E6" s="32"/>
    </row>
    <row r="7" spans="1:5" x14ac:dyDescent="0.35">
      <c r="A7" s="179" t="s">
        <v>6</v>
      </c>
      <c r="B7" s="179"/>
      <c r="C7" s="179"/>
      <c r="D7" s="179"/>
      <c r="E7" s="179"/>
    </row>
    <row r="8" spans="1:5" x14ac:dyDescent="0.35">
      <c r="B8" s="57"/>
      <c r="C8" s="57"/>
      <c r="D8" s="76"/>
      <c r="E8" s="32"/>
    </row>
    <row r="9" spans="1:5" x14ac:dyDescent="0.35">
      <c r="A9" s="160" t="s">
        <v>1</v>
      </c>
      <c r="B9" s="160"/>
      <c r="C9" s="5"/>
      <c r="D9" s="77"/>
      <c r="E9" s="32"/>
    </row>
    <row r="10" spans="1:5" x14ac:dyDescent="0.35">
      <c r="A10" s="160" t="s">
        <v>0</v>
      </c>
      <c r="B10" s="160"/>
      <c r="C10" s="5"/>
      <c r="D10" s="77"/>
      <c r="E10" s="32"/>
    </row>
    <row r="11" spans="1:5" x14ac:dyDescent="0.35">
      <c r="A11" s="5"/>
      <c r="B11" s="5" t="s">
        <v>165</v>
      </c>
      <c r="C11" s="5"/>
      <c r="D11" s="77"/>
      <c r="E11" s="32"/>
    </row>
    <row r="12" spans="1:5" x14ac:dyDescent="0.35">
      <c r="A12" s="5"/>
      <c r="B12" s="5" t="s">
        <v>196</v>
      </c>
      <c r="C12" s="5"/>
      <c r="D12" s="77"/>
      <c r="E12" s="32"/>
    </row>
    <row r="13" spans="1:5" x14ac:dyDescent="0.35">
      <c r="A13" s="5"/>
      <c r="B13" s="5" t="s">
        <v>197</v>
      </c>
      <c r="C13" s="5"/>
      <c r="D13" s="77"/>
      <c r="E13" s="32"/>
    </row>
    <row r="14" spans="1:5" x14ac:dyDescent="0.35">
      <c r="A14" s="5" t="s">
        <v>2</v>
      </c>
      <c r="B14" s="5" t="s">
        <v>124</v>
      </c>
      <c r="C14" s="5"/>
      <c r="D14" s="77"/>
      <c r="E14" s="32"/>
    </row>
    <row r="15" spans="1:5" ht="62" x14ac:dyDescent="0.35">
      <c r="A15" s="17" t="s">
        <v>3</v>
      </c>
      <c r="B15" s="17" t="s">
        <v>4</v>
      </c>
      <c r="C15" s="17"/>
      <c r="D15" s="78"/>
      <c r="E15" s="17" t="s">
        <v>64</v>
      </c>
    </row>
    <row r="16" spans="1:5" x14ac:dyDescent="0.35">
      <c r="A16" s="18">
        <v>1</v>
      </c>
      <c r="B16" s="19">
        <v>2</v>
      </c>
      <c r="C16" s="19"/>
      <c r="D16" s="79"/>
      <c r="E16" s="19">
        <v>3</v>
      </c>
    </row>
    <row r="17" spans="1:5" x14ac:dyDescent="0.35">
      <c r="A17" s="18"/>
      <c r="B17" s="21" t="s">
        <v>5</v>
      </c>
      <c r="C17" s="21"/>
      <c r="D17" s="80"/>
      <c r="E17" s="22"/>
    </row>
    <row r="18" spans="1:5" x14ac:dyDescent="0.35">
      <c r="A18" s="42">
        <v>1100</v>
      </c>
      <c r="B18" s="42" t="s">
        <v>83</v>
      </c>
      <c r="C18" s="42"/>
      <c r="D18" s="81">
        <v>9.6199999999999992</v>
      </c>
      <c r="E18" s="41">
        <v>202.02</v>
      </c>
    </row>
    <row r="19" spans="1:5" x14ac:dyDescent="0.35">
      <c r="A19" s="42">
        <v>1200</v>
      </c>
      <c r="B19" s="22" t="s">
        <v>93</v>
      </c>
      <c r="C19" s="22"/>
      <c r="D19" s="81">
        <f>D18*0.2359</f>
        <v>2.269358</v>
      </c>
      <c r="E19" s="41">
        <v>47.66</v>
      </c>
    </row>
    <row r="20" spans="1:5" x14ac:dyDescent="0.35">
      <c r="A20" s="42">
        <v>2223</v>
      </c>
      <c r="B20" s="26" t="s">
        <v>94</v>
      </c>
      <c r="C20" s="22"/>
      <c r="D20" s="81">
        <v>0.15</v>
      </c>
      <c r="E20" s="41">
        <v>3</v>
      </c>
    </row>
    <row r="21" spans="1:5" x14ac:dyDescent="0.35">
      <c r="A21" s="45">
        <v>2312</v>
      </c>
      <c r="B21" s="26" t="s">
        <v>95</v>
      </c>
      <c r="C21" s="22"/>
      <c r="D21" s="81">
        <v>0.11</v>
      </c>
      <c r="E21" s="41">
        <v>2.2000000000000002</v>
      </c>
    </row>
    <row r="22" spans="1:5" x14ac:dyDescent="0.35">
      <c r="A22" s="42">
        <v>2321</v>
      </c>
      <c r="B22" s="26" t="s">
        <v>96</v>
      </c>
      <c r="C22" s="22"/>
      <c r="D22" s="81">
        <v>0.14000000000000001</v>
      </c>
      <c r="E22" s="41">
        <v>2.8</v>
      </c>
    </row>
    <row r="23" spans="1:5" x14ac:dyDescent="0.35">
      <c r="A23" s="45">
        <v>2341</v>
      </c>
      <c r="B23" s="26" t="s">
        <v>97</v>
      </c>
      <c r="C23" s="26"/>
      <c r="D23" s="81">
        <v>0.06</v>
      </c>
      <c r="E23" s="41">
        <v>1.2</v>
      </c>
    </row>
    <row r="24" spans="1:5" x14ac:dyDescent="0.35">
      <c r="A24" s="45">
        <v>2344</v>
      </c>
      <c r="B24" s="26" t="s">
        <v>108</v>
      </c>
      <c r="C24" s="26"/>
      <c r="D24" s="81">
        <v>0.17</v>
      </c>
      <c r="E24" s="41">
        <v>3.4</v>
      </c>
    </row>
    <row r="25" spans="1:5" x14ac:dyDescent="0.35">
      <c r="A25" s="45">
        <v>2350</v>
      </c>
      <c r="B25" s="22" t="s">
        <v>98</v>
      </c>
      <c r="C25" s="22"/>
      <c r="D25" s="81">
        <v>0.06</v>
      </c>
      <c r="E25" s="41">
        <v>1.2</v>
      </c>
    </row>
    <row r="26" spans="1:5" x14ac:dyDescent="0.35">
      <c r="A26" s="45">
        <v>5239</v>
      </c>
      <c r="B26" s="54" t="s">
        <v>122</v>
      </c>
      <c r="C26" s="22"/>
      <c r="D26" s="81">
        <v>0.12</v>
      </c>
      <c r="E26" s="41">
        <v>2.4</v>
      </c>
    </row>
    <row r="27" spans="1:5" x14ac:dyDescent="0.35">
      <c r="A27" s="42"/>
      <c r="B27" s="28" t="s">
        <v>69</v>
      </c>
      <c r="C27" s="28"/>
      <c r="D27" s="82">
        <f>SUM(D18:D26)</f>
        <v>12.699358</v>
      </c>
      <c r="E27" s="43">
        <f>SUM(E18:E26)</f>
        <v>265.87999999999994</v>
      </c>
    </row>
    <row r="28" spans="1:5" x14ac:dyDescent="0.35">
      <c r="A28" s="44"/>
      <c r="B28" s="28" t="s">
        <v>70</v>
      </c>
      <c r="C28" s="28"/>
      <c r="D28" s="81"/>
      <c r="E28" s="41"/>
    </row>
    <row r="29" spans="1:5" x14ac:dyDescent="0.35">
      <c r="A29" s="42">
        <v>1100</v>
      </c>
      <c r="B29" s="21" t="s">
        <v>83</v>
      </c>
      <c r="C29" s="22">
        <f>0.388+0.024</f>
        <v>0.41200000000000003</v>
      </c>
      <c r="D29" s="83"/>
      <c r="E29" s="41">
        <v>44.46</v>
      </c>
    </row>
    <row r="30" spans="1:5" x14ac:dyDescent="0.35">
      <c r="A30" s="42">
        <v>1200</v>
      </c>
      <c r="B30" s="21" t="s">
        <v>93</v>
      </c>
      <c r="C30" s="22">
        <f>C29*0.2359</f>
        <v>9.7190800000000008E-2</v>
      </c>
      <c r="D30" s="83"/>
      <c r="E30" s="41">
        <v>10.49</v>
      </c>
    </row>
    <row r="31" spans="1:5" x14ac:dyDescent="0.35">
      <c r="A31" s="42">
        <v>2100</v>
      </c>
      <c r="B31" s="30" t="s">
        <v>42</v>
      </c>
      <c r="C31" s="22">
        <v>1.1659999999999999E-3</v>
      </c>
      <c r="D31" s="84"/>
      <c r="E31" s="41">
        <v>0.11</v>
      </c>
    </row>
    <row r="32" spans="1:5" x14ac:dyDescent="0.35">
      <c r="A32" s="45">
        <v>2210</v>
      </c>
      <c r="B32" s="26" t="s">
        <v>100</v>
      </c>
      <c r="C32" s="22">
        <v>7.6E-3</v>
      </c>
      <c r="D32" s="84"/>
      <c r="E32" s="41">
        <v>0.7</v>
      </c>
    </row>
    <row r="33" spans="1:5" x14ac:dyDescent="0.35">
      <c r="A33" s="42">
        <v>2222</v>
      </c>
      <c r="B33" s="26" t="s">
        <v>101</v>
      </c>
      <c r="C33" s="22">
        <v>9.4999999999999998E-3</v>
      </c>
      <c r="D33" s="84"/>
      <c r="E33" s="41">
        <v>0.87</v>
      </c>
    </row>
    <row r="34" spans="1:5" x14ac:dyDescent="0.35">
      <c r="A34" s="42">
        <v>2223</v>
      </c>
      <c r="B34" s="26" t="s">
        <v>94</v>
      </c>
      <c r="C34" s="22">
        <v>1.9019999999999999E-2</v>
      </c>
      <c r="D34" s="84"/>
      <c r="E34" s="41">
        <v>1.75</v>
      </c>
    </row>
    <row r="35" spans="1:5" ht="31" x14ac:dyDescent="0.35">
      <c r="A35" s="42">
        <v>2224</v>
      </c>
      <c r="B35" s="26" t="s">
        <v>102</v>
      </c>
      <c r="C35" s="22">
        <v>4.9500000000000004E-3</v>
      </c>
      <c r="D35" s="84"/>
      <c r="E35" s="41">
        <v>0.46</v>
      </c>
    </row>
    <row r="36" spans="1:5" x14ac:dyDescent="0.35">
      <c r="A36" s="42">
        <v>2231</v>
      </c>
      <c r="B36" s="21" t="s">
        <v>103</v>
      </c>
      <c r="C36" s="22">
        <v>1.5499999999999999E-3</v>
      </c>
      <c r="D36" s="84"/>
      <c r="E36" s="41">
        <v>0.14000000000000001</v>
      </c>
    </row>
    <row r="37" spans="1:5" x14ac:dyDescent="0.35">
      <c r="A37" s="42">
        <v>2235</v>
      </c>
      <c r="B37" s="85" t="s">
        <v>104</v>
      </c>
      <c r="C37" s="22">
        <v>1.65E-3</v>
      </c>
      <c r="D37" s="84"/>
      <c r="E37" s="41">
        <v>0.11</v>
      </c>
    </row>
    <row r="38" spans="1:5" x14ac:dyDescent="0.35">
      <c r="A38" s="42">
        <v>2239</v>
      </c>
      <c r="B38" s="21" t="s">
        <v>105</v>
      </c>
      <c r="C38" s="22">
        <v>4.4099999999999999E-3</v>
      </c>
      <c r="D38" s="84"/>
      <c r="E38" s="41">
        <v>0.41</v>
      </c>
    </row>
    <row r="39" spans="1:5" x14ac:dyDescent="0.35">
      <c r="A39" s="42">
        <v>2241</v>
      </c>
      <c r="B39" s="21" t="s">
        <v>106</v>
      </c>
      <c r="C39" s="22">
        <v>1.6500000000000001E-2</v>
      </c>
      <c r="D39" s="84"/>
      <c r="E39" s="41">
        <v>1.52</v>
      </c>
    </row>
    <row r="40" spans="1:5" x14ac:dyDescent="0.35">
      <c r="A40" s="42">
        <v>2242</v>
      </c>
      <c r="B40" s="26" t="s">
        <v>107</v>
      </c>
      <c r="C40" s="22">
        <v>2.2599999999999999E-3</v>
      </c>
      <c r="D40" s="84"/>
      <c r="E40" s="41">
        <v>0.21</v>
      </c>
    </row>
    <row r="41" spans="1:5" x14ac:dyDescent="0.35">
      <c r="A41" s="42">
        <v>2243</v>
      </c>
      <c r="B41" s="21" t="s">
        <v>76</v>
      </c>
      <c r="C41" s="22">
        <v>3.2599999999999997E-2</v>
      </c>
      <c r="D41" s="84"/>
      <c r="E41" s="41">
        <v>3</v>
      </c>
    </row>
    <row r="42" spans="1:5" x14ac:dyDescent="0.35">
      <c r="A42" s="42">
        <v>2244</v>
      </c>
      <c r="B42" s="21" t="s">
        <v>108</v>
      </c>
      <c r="C42" s="22">
        <v>0.20397000000000001</v>
      </c>
      <c r="D42" s="84"/>
      <c r="E42" s="41">
        <v>18.77</v>
      </c>
    </row>
    <row r="43" spans="1:5" x14ac:dyDescent="0.35">
      <c r="A43" s="42">
        <v>2247</v>
      </c>
      <c r="B43" s="21" t="s">
        <v>71</v>
      </c>
      <c r="C43" s="22">
        <v>7.1900000000000002E-4</v>
      </c>
      <c r="D43" s="84"/>
      <c r="E43" s="41">
        <v>7.0000000000000007E-2</v>
      </c>
    </row>
    <row r="44" spans="1:5" x14ac:dyDescent="0.35">
      <c r="A44" s="42">
        <v>2249</v>
      </c>
      <c r="B44" s="21" t="s">
        <v>109</v>
      </c>
      <c r="C44" s="22">
        <v>2.32E-4</v>
      </c>
      <c r="D44" s="84"/>
      <c r="E44" s="41">
        <v>0.02</v>
      </c>
    </row>
    <row r="45" spans="1:5" x14ac:dyDescent="0.35">
      <c r="A45" s="42">
        <v>2250</v>
      </c>
      <c r="B45" s="21" t="s">
        <v>110</v>
      </c>
      <c r="C45" s="22">
        <v>2.4025999999999999E-2</v>
      </c>
      <c r="D45" s="84"/>
      <c r="E45" s="41">
        <v>2.21</v>
      </c>
    </row>
    <row r="46" spans="1:5" hidden="1" x14ac:dyDescent="0.35">
      <c r="A46" s="42">
        <v>2261</v>
      </c>
      <c r="B46" s="26" t="s">
        <v>14</v>
      </c>
      <c r="C46" s="22">
        <v>0</v>
      </c>
      <c r="D46" s="84"/>
      <c r="E46" s="41">
        <f>C46*92.01</f>
        <v>0</v>
      </c>
    </row>
    <row r="47" spans="1:5" x14ac:dyDescent="0.35">
      <c r="A47" s="42">
        <v>2262</v>
      </c>
      <c r="B47" s="26" t="s">
        <v>111</v>
      </c>
      <c r="C47" s="22">
        <v>6.2599999999999999E-3</v>
      </c>
      <c r="D47" s="84"/>
      <c r="E47" s="41">
        <v>0.57999999999999996</v>
      </c>
    </row>
    <row r="48" spans="1:5" x14ac:dyDescent="0.35">
      <c r="A48" s="42">
        <v>2263</v>
      </c>
      <c r="B48" s="26" t="s">
        <v>112</v>
      </c>
      <c r="C48" s="22">
        <v>4.58E-2</v>
      </c>
      <c r="D48" s="84"/>
      <c r="E48" s="41">
        <v>4.21</v>
      </c>
    </row>
    <row r="49" spans="1:5" x14ac:dyDescent="0.35">
      <c r="A49" s="42">
        <v>2264</v>
      </c>
      <c r="B49" s="21" t="s">
        <v>113</v>
      </c>
      <c r="C49" s="22">
        <v>1.49E-3</v>
      </c>
      <c r="D49" s="84"/>
      <c r="E49" s="41">
        <v>0.14000000000000001</v>
      </c>
    </row>
    <row r="50" spans="1:5" x14ac:dyDescent="0.35">
      <c r="A50" s="42">
        <v>2311</v>
      </c>
      <c r="B50" s="26" t="s">
        <v>114</v>
      </c>
      <c r="C50" s="22">
        <v>4.7699999999999999E-3</v>
      </c>
      <c r="D50" s="84"/>
      <c r="E50" s="41">
        <v>0.44</v>
      </c>
    </row>
    <row r="51" spans="1:5" x14ac:dyDescent="0.35">
      <c r="A51" s="42">
        <v>2312</v>
      </c>
      <c r="B51" s="26" t="s">
        <v>95</v>
      </c>
      <c r="C51" s="22">
        <v>5.79E-3</v>
      </c>
      <c r="D51" s="84"/>
      <c r="E51" s="41">
        <v>0.53</v>
      </c>
    </row>
    <row r="52" spans="1:5" hidden="1" x14ac:dyDescent="0.35">
      <c r="A52" s="42">
        <v>2313</v>
      </c>
      <c r="B52" s="26" t="s">
        <v>115</v>
      </c>
      <c r="C52" s="22"/>
      <c r="D52" s="84"/>
      <c r="E52" s="41">
        <v>0</v>
      </c>
    </row>
    <row r="53" spans="1:5" x14ac:dyDescent="0.35">
      <c r="A53" s="42">
        <v>2314</v>
      </c>
      <c r="B53" s="85" t="s">
        <v>116</v>
      </c>
      <c r="C53" s="22">
        <v>2.2200000000000002E-3</v>
      </c>
      <c r="D53" s="84"/>
      <c r="E53" s="41">
        <v>0.2</v>
      </c>
    </row>
    <row r="54" spans="1:5" x14ac:dyDescent="0.35">
      <c r="A54" s="42">
        <v>2321</v>
      </c>
      <c r="B54" s="26" t="s">
        <v>96</v>
      </c>
      <c r="C54" s="22">
        <v>1.9800000000000002E-2</v>
      </c>
      <c r="D54" s="84"/>
      <c r="E54" s="41">
        <v>1.82</v>
      </c>
    </row>
    <row r="55" spans="1:5" x14ac:dyDescent="0.35">
      <c r="A55" s="42">
        <v>2322</v>
      </c>
      <c r="B55" s="26" t="s">
        <v>117</v>
      </c>
      <c r="C55" s="22">
        <v>3.5000000000000001E-3</v>
      </c>
      <c r="D55" s="84"/>
      <c r="E55" s="41">
        <v>0.32</v>
      </c>
    </row>
    <row r="56" spans="1:5" hidden="1" x14ac:dyDescent="0.35">
      <c r="A56" s="42">
        <v>2341</v>
      </c>
      <c r="B56" s="26" t="s">
        <v>23</v>
      </c>
      <c r="C56" s="22"/>
      <c r="D56" s="84"/>
      <c r="E56" s="41">
        <f>C56*92.01</f>
        <v>0</v>
      </c>
    </row>
    <row r="57" spans="1:5" x14ac:dyDescent="0.35">
      <c r="A57" s="42">
        <v>2350</v>
      </c>
      <c r="B57" s="22" t="s">
        <v>98</v>
      </c>
      <c r="C57" s="22">
        <v>8.5000000000000006E-3</v>
      </c>
      <c r="D57" s="84"/>
      <c r="E57" s="41">
        <v>0.78</v>
      </c>
    </row>
    <row r="58" spans="1:5" hidden="1" x14ac:dyDescent="0.35">
      <c r="A58" s="42">
        <v>2361</v>
      </c>
      <c r="B58" s="26" t="s">
        <v>26</v>
      </c>
      <c r="C58" s="22">
        <v>0</v>
      </c>
      <c r="D58" s="84"/>
      <c r="E58" s="41">
        <f t="shared" ref="E58:E63" si="0">C58*92.01</f>
        <v>0</v>
      </c>
    </row>
    <row r="59" spans="1:5" hidden="1" x14ac:dyDescent="0.35">
      <c r="A59" s="42">
        <v>2362</v>
      </c>
      <c r="B59" s="26" t="s">
        <v>27</v>
      </c>
      <c r="C59" s="22">
        <v>0</v>
      </c>
      <c r="D59" s="84"/>
      <c r="E59" s="41">
        <f t="shared" si="0"/>
        <v>0</v>
      </c>
    </row>
    <row r="60" spans="1:5" hidden="1" x14ac:dyDescent="0.35">
      <c r="A60" s="42">
        <v>2363</v>
      </c>
      <c r="B60" s="26" t="s">
        <v>28</v>
      </c>
      <c r="C60" s="22">
        <v>0</v>
      </c>
      <c r="D60" s="84"/>
      <c r="E60" s="41">
        <f t="shared" si="0"/>
        <v>0</v>
      </c>
    </row>
    <row r="61" spans="1:5" hidden="1" x14ac:dyDescent="0.35">
      <c r="A61" s="42">
        <v>2370</v>
      </c>
      <c r="B61" s="26" t="s">
        <v>29</v>
      </c>
      <c r="C61" s="22">
        <v>0</v>
      </c>
      <c r="D61" s="84"/>
      <c r="E61" s="41">
        <f t="shared" si="0"/>
        <v>0</v>
      </c>
    </row>
    <row r="62" spans="1:5" hidden="1" x14ac:dyDescent="0.35">
      <c r="A62" s="42">
        <v>2400</v>
      </c>
      <c r="B62" s="26" t="s">
        <v>43</v>
      </c>
      <c r="C62" s="22">
        <v>0</v>
      </c>
      <c r="D62" s="84"/>
      <c r="E62" s="41">
        <f t="shared" si="0"/>
        <v>0</v>
      </c>
    </row>
    <row r="63" spans="1:5" hidden="1" x14ac:dyDescent="0.35">
      <c r="A63" s="42">
        <v>2512</v>
      </c>
      <c r="B63" s="26" t="s">
        <v>30</v>
      </c>
      <c r="C63" s="22">
        <v>0</v>
      </c>
      <c r="D63" s="84"/>
      <c r="E63" s="41">
        <f t="shared" si="0"/>
        <v>0</v>
      </c>
    </row>
    <row r="64" spans="1:5" x14ac:dyDescent="0.35">
      <c r="A64" s="42">
        <v>2513</v>
      </c>
      <c r="B64" s="22" t="s">
        <v>118</v>
      </c>
      <c r="C64" s="22">
        <v>1.4599999999999999E-3</v>
      </c>
      <c r="D64" s="84"/>
      <c r="E64" s="41">
        <v>0.13</v>
      </c>
    </row>
    <row r="65" spans="1:6" x14ac:dyDescent="0.35">
      <c r="A65" s="42">
        <v>2515</v>
      </c>
      <c r="B65" s="26" t="s">
        <v>73</v>
      </c>
      <c r="C65" s="22">
        <v>1.9E-3</v>
      </c>
      <c r="D65" s="84"/>
      <c r="E65" s="41">
        <v>0.17</v>
      </c>
    </row>
    <row r="66" spans="1:6" x14ac:dyDescent="0.35">
      <c r="A66" s="42">
        <v>2519</v>
      </c>
      <c r="B66" s="26" t="s">
        <v>119</v>
      </c>
      <c r="C66" s="22">
        <v>2E-3</v>
      </c>
      <c r="D66" s="84"/>
      <c r="E66" s="41">
        <v>0.18</v>
      </c>
    </row>
    <row r="67" spans="1:6" x14ac:dyDescent="0.35">
      <c r="A67" s="42">
        <v>5220</v>
      </c>
      <c r="B67" s="26" t="s">
        <v>120</v>
      </c>
      <c r="C67" s="22">
        <v>1.06E-2</v>
      </c>
      <c r="D67" s="84"/>
      <c r="E67" s="41">
        <v>0.98</v>
      </c>
    </row>
    <row r="68" spans="1:6" x14ac:dyDescent="0.35">
      <c r="A68" s="42">
        <v>5238</v>
      </c>
      <c r="B68" s="22" t="s">
        <v>121</v>
      </c>
      <c r="C68" s="22">
        <v>1.65E-3</v>
      </c>
      <c r="D68" s="84"/>
      <c r="E68" s="41">
        <v>0.2</v>
      </c>
    </row>
    <row r="69" spans="1:6" x14ac:dyDescent="0.35">
      <c r="A69" s="42">
        <v>5239</v>
      </c>
      <c r="B69" s="22" t="s">
        <v>122</v>
      </c>
      <c r="C69" s="22">
        <v>1.9800000000000002E-2</v>
      </c>
      <c r="D69" s="84"/>
      <c r="E69" s="41">
        <v>1.83</v>
      </c>
    </row>
    <row r="70" spans="1:6" x14ac:dyDescent="0.35">
      <c r="A70" s="42">
        <v>5250</v>
      </c>
      <c r="B70" s="26" t="s">
        <v>123</v>
      </c>
      <c r="C70" s="22">
        <v>2.5000000000000001E-2</v>
      </c>
      <c r="D70" s="84"/>
      <c r="E70" s="41">
        <v>2.31</v>
      </c>
    </row>
    <row r="71" spans="1:6" x14ac:dyDescent="0.35">
      <c r="A71" s="44"/>
      <c r="B71" s="31" t="s">
        <v>60</v>
      </c>
      <c r="C71" s="22">
        <f>SUM(C29:C70)</f>
        <v>0.99988380000000032</v>
      </c>
      <c r="D71" s="43"/>
      <c r="E71" s="43">
        <f>SUM(E29:E70)</f>
        <v>100.11999999999998</v>
      </c>
    </row>
    <row r="72" spans="1:6" x14ac:dyDescent="0.35">
      <c r="A72" s="44"/>
      <c r="B72" s="31" t="s">
        <v>61</v>
      </c>
      <c r="C72" s="31"/>
      <c r="D72" s="82"/>
      <c r="E72" s="43">
        <f>E27+E71</f>
        <v>365.99999999999989</v>
      </c>
    </row>
    <row r="73" spans="1:6" x14ac:dyDescent="0.35">
      <c r="A73" s="9"/>
      <c r="B73" s="32"/>
      <c r="C73" s="32"/>
      <c r="D73" s="86"/>
      <c r="E73" s="33"/>
    </row>
    <row r="74" spans="1:6" x14ac:dyDescent="0.35">
      <c r="A74" s="162" t="s">
        <v>45</v>
      </c>
      <c r="B74" s="162"/>
      <c r="C74" s="87"/>
      <c r="D74" s="88"/>
      <c r="E74" s="89">
        <v>20</v>
      </c>
    </row>
    <row r="75" spans="1:6" x14ac:dyDescent="0.35">
      <c r="A75" s="162" t="s">
        <v>66</v>
      </c>
      <c r="B75" s="162"/>
      <c r="C75" s="87"/>
      <c r="D75" s="88"/>
      <c r="E75" s="90">
        <f>E72/E74</f>
        <v>18.299999999999994</v>
      </c>
      <c r="F75" s="75"/>
    </row>
    <row r="76" spans="1:6" x14ac:dyDescent="0.35">
      <c r="A76" s="91"/>
      <c r="B76" s="92"/>
      <c r="C76" s="92"/>
      <c r="D76" s="55"/>
      <c r="E76" s="71"/>
    </row>
    <row r="77" spans="1:6" x14ac:dyDescent="0.35">
      <c r="A77" s="182" t="s">
        <v>62</v>
      </c>
      <c r="B77" s="182"/>
      <c r="C77" s="93"/>
      <c r="D77" s="94"/>
      <c r="E77" s="56"/>
    </row>
    <row r="78" spans="1:6" x14ac:dyDescent="0.35">
      <c r="A78" s="182" t="s">
        <v>67</v>
      </c>
      <c r="B78" s="182"/>
      <c r="C78" s="93"/>
      <c r="D78" s="94"/>
      <c r="E78" s="56"/>
    </row>
    <row r="79" spans="1:6" x14ac:dyDescent="0.35">
      <c r="A79" s="37"/>
      <c r="B79" s="37"/>
      <c r="C79" s="37"/>
      <c r="D79" s="95"/>
      <c r="E79" s="116"/>
    </row>
    <row r="80" spans="1:6" x14ac:dyDescent="0.35">
      <c r="A80" s="37" t="s">
        <v>46</v>
      </c>
      <c r="B80" s="37"/>
      <c r="C80" s="37"/>
      <c r="D80" s="95"/>
      <c r="E80" s="95"/>
    </row>
    <row r="81" spans="1:5" x14ac:dyDescent="0.35">
      <c r="A81" s="37"/>
      <c r="B81" s="37"/>
      <c r="C81" s="37"/>
      <c r="D81" s="95"/>
      <c r="E81" s="95"/>
    </row>
    <row r="82" spans="1:5" x14ac:dyDescent="0.35">
      <c r="A82" s="37" t="s">
        <v>84</v>
      </c>
      <c r="B82" s="38"/>
      <c r="C82" s="38"/>
      <c r="D82" s="96"/>
      <c r="E82" s="37"/>
    </row>
    <row r="83" spans="1:5" x14ac:dyDescent="0.35">
      <c r="B83" s="46"/>
      <c r="C83" s="46"/>
      <c r="D83" s="97"/>
      <c r="E83" s="98"/>
    </row>
    <row r="85" spans="1:5" x14ac:dyDescent="0.35">
      <c r="E85" s="75"/>
    </row>
  </sheetData>
  <mergeCells count="8">
    <mergeCell ref="A78:B78"/>
    <mergeCell ref="B2:E2"/>
    <mergeCell ref="A7:E7"/>
    <mergeCell ref="A9:B9"/>
    <mergeCell ref="A10:B10"/>
    <mergeCell ref="A74:B74"/>
    <mergeCell ref="A77:B77"/>
    <mergeCell ref="A75:B7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headerFooter>
    <oddFooter>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86"/>
  <sheetViews>
    <sheetView view="pageLayout" topLeftCell="A4" zoomScale="80" zoomScaleNormal="100" zoomScalePageLayoutView="80" workbookViewId="0">
      <selection activeCell="B52" sqref="B52"/>
    </sheetView>
  </sheetViews>
  <sheetFormatPr defaultRowHeight="15.5" x14ac:dyDescent="0.35"/>
  <cols>
    <col min="1" max="1" width="14.453125" style="10" customWidth="1"/>
    <col min="2" max="2" width="87.1796875" style="10" customWidth="1"/>
    <col min="3" max="3" width="10" style="10" hidden="1" customWidth="1"/>
    <col min="4" max="4" width="12" style="75" hidden="1" customWidth="1"/>
    <col min="5" max="5" width="32.54296875" style="10" hidden="1" customWidth="1"/>
    <col min="6" max="6" width="32.54296875" style="10" customWidth="1"/>
    <col min="7" max="7" width="12.26953125" style="10" customWidth="1"/>
  </cols>
  <sheetData>
    <row r="1" spans="1:6" x14ac:dyDescent="0.35">
      <c r="B1" s="6"/>
      <c r="C1" s="6"/>
      <c r="D1" s="72"/>
      <c r="E1" s="70" t="s">
        <v>7</v>
      </c>
      <c r="F1" s="70" t="s">
        <v>7</v>
      </c>
    </row>
    <row r="2" spans="1:6" x14ac:dyDescent="0.35">
      <c r="B2" s="183"/>
      <c r="C2" s="183"/>
      <c r="D2" s="183"/>
      <c r="E2" s="184"/>
      <c r="F2" s="46" t="s">
        <v>44</v>
      </c>
    </row>
    <row r="3" spans="1:6" x14ac:dyDescent="0.35">
      <c r="B3" s="7"/>
      <c r="C3" s="7"/>
      <c r="D3" s="73"/>
      <c r="E3" s="48" t="s">
        <v>91</v>
      </c>
      <c r="F3" s="48" t="s">
        <v>91</v>
      </c>
    </row>
    <row r="4" spans="1:6" x14ac:dyDescent="0.35">
      <c r="B4" s="6"/>
      <c r="C4" s="6"/>
      <c r="D4" s="72"/>
      <c r="E4" s="9"/>
      <c r="F4" s="9"/>
    </row>
    <row r="5" spans="1:6" x14ac:dyDescent="0.35">
      <c r="B5" s="47"/>
      <c r="C5" s="47"/>
      <c r="D5" s="74"/>
      <c r="E5" s="9" t="s">
        <v>92</v>
      </c>
      <c r="F5" s="9" t="s">
        <v>260</v>
      </c>
    </row>
    <row r="6" spans="1:6" x14ac:dyDescent="0.35">
      <c r="E6" s="32"/>
      <c r="F6" s="32"/>
    </row>
    <row r="7" spans="1:6" x14ac:dyDescent="0.35">
      <c r="A7" s="179" t="s">
        <v>6</v>
      </c>
      <c r="B7" s="179"/>
      <c r="C7" s="179"/>
      <c r="D7" s="179"/>
      <c r="E7" s="179"/>
      <c r="F7" s="113"/>
    </row>
    <row r="8" spans="1:6" x14ac:dyDescent="0.35">
      <c r="B8" s="57"/>
      <c r="C8" s="57"/>
      <c r="D8" s="76"/>
      <c r="E8" s="32"/>
      <c r="F8" s="32"/>
    </row>
    <row r="9" spans="1:6" x14ac:dyDescent="0.35">
      <c r="A9" s="160" t="s">
        <v>1</v>
      </c>
      <c r="B9" s="160"/>
      <c r="C9" s="5"/>
      <c r="D9" s="77"/>
      <c r="E9" s="32"/>
      <c r="F9" s="32"/>
    </row>
    <row r="10" spans="1:6" x14ac:dyDescent="0.35">
      <c r="A10" s="160" t="s">
        <v>0</v>
      </c>
      <c r="B10" s="160"/>
      <c r="C10" s="5"/>
      <c r="D10" s="77"/>
      <c r="E10" s="32"/>
      <c r="F10" s="32"/>
    </row>
    <row r="11" spans="1:6" x14ac:dyDescent="0.35">
      <c r="A11" s="5"/>
      <c r="B11" s="5" t="s">
        <v>165</v>
      </c>
      <c r="C11" s="5"/>
      <c r="D11" s="77"/>
      <c r="E11" s="32"/>
      <c r="F11" s="32"/>
    </row>
    <row r="12" spans="1:6" x14ac:dyDescent="0.35">
      <c r="A12" s="5"/>
      <c r="B12" s="5" t="s">
        <v>196</v>
      </c>
      <c r="C12" s="5"/>
      <c r="D12" s="77"/>
      <c r="E12" s="32"/>
      <c r="F12" s="32"/>
    </row>
    <row r="13" spans="1:6" ht="21" customHeight="1" x14ac:dyDescent="0.35">
      <c r="A13" s="5"/>
      <c r="B13" s="5" t="s">
        <v>198</v>
      </c>
      <c r="C13" s="5"/>
      <c r="D13" s="77"/>
      <c r="E13" s="32"/>
      <c r="F13" s="32"/>
    </row>
    <row r="14" spans="1:6" x14ac:dyDescent="0.35">
      <c r="A14" s="5" t="s">
        <v>2</v>
      </c>
      <c r="B14" s="5" t="s">
        <v>124</v>
      </c>
      <c r="C14" s="5"/>
      <c r="D14" s="77"/>
      <c r="E14" s="32"/>
      <c r="F14" s="32"/>
    </row>
    <row r="15" spans="1:6" hidden="1" x14ac:dyDescent="0.35">
      <c r="A15" s="5"/>
      <c r="B15" s="5"/>
      <c r="C15" s="5"/>
      <c r="D15" s="77"/>
      <c r="E15" s="32"/>
      <c r="F15" s="32"/>
    </row>
    <row r="16" spans="1:6" ht="46.5" x14ac:dyDescent="0.35">
      <c r="A16" s="17" t="s">
        <v>3</v>
      </c>
      <c r="B16" s="17" t="s">
        <v>4</v>
      </c>
      <c r="C16" s="17"/>
      <c r="D16" s="78"/>
      <c r="E16" s="17" t="s">
        <v>64</v>
      </c>
      <c r="F16" s="17" t="s">
        <v>64</v>
      </c>
    </row>
    <row r="17" spans="1:8" x14ac:dyDescent="0.35">
      <c r="A17" s="18">
        <v>1</v>
      </c>
      <c r="B17" s="19">
        <v>2</v>
      </c>
      <c r="C17" s="19"/>
      <c r="D17" s="79"/>
      <c r="E17" s="19">
        <v>3</v>
      </c>
      <c r="F17" s="19">
        <v>3</v>
      </c>
    </row>
    <row r="18" spans="1:8" x14ac:dyDescent="0.35">
      <c r="A18" s="18"/>
      <c r="B18" s="21" t="s">
        <v>5</v>
      </c>
      <c r="C18" s="21"/>
      <c r="D18" s="80"/>
      <c r="E18" s="22"/>
      <c r="F18" s="22"/>
    </row>
    <row r="19" spans="1:8" x14ac:dyDescent="0.35">
      <c r="A19" s="42">
        <v>1100</v>
      </c>
      <c r="B19" s="42" t="s">
        <v>83</v>
      </c>
      <c r="C19" s="42"/>
      <c r="D19" s="81">
        <v>10.62</v>
      </c>
      <c r="E19" s="41">
        <f>5.49*30</f>
        <v>164.70000000000002</v>
      </c>
      <c r="F19" s="41">
        <v>57.65</v>
      </c>
    </row>
    <row r="20" spans="1:8" x14ac:dyDescent="0.35">
      <c r="A20" s="42">
        <v>1200</v>
      </c>
      <c r="B20" s="22" t="s">
        <v>93</v>
      </c>
      <c r="C20" s="22"/>
      <c r="D20" s="81">
        <v>2.5099999999999998</v>
      </c>
      <c r="E20" s="41">
        <v>38.85</v>
      </c>
      <c r="F20" s="41">
        <v>13.6</v>
      </c>
    </row>
    <row r="21" spans="1:8" x14ac:dyDescent="0.35">
      <c r="A21" s="42">
        <v>2223</v>
      </c>
      <c r="B21" s="26" t="s">
        <v>94</v>
      </c>
      <c r="C21" s="22"/>
      <c r="D21" s="81"/>
      <c r="E21" s="41">
        <f>0.14*30</f>
        <v>4.2</v>
      </c>
      <c r="F21" s="41">
        <v>3.85</v>
      </c>
    </row>
    <row r="22" spans="1:8" x14ac:dyDescent="0.35">
      <c r="A22" s="42">
        <v>2311</v>
      </c>
      <c r="B22" s="26" t="s">
        <v>114</v>
      </c>
      <c r="C22" s="22"/>
      <c r="D22" s="81"/>
      <c r="E22" s="41">
        <f>0.22*30</f>
        <v>6.6</v>
      </c>
      <c r="F22" s="41">
        <v>2.2000000000000002</v>
      </c>
    </row>
    <row r="23" spans="1:8" x14ac:dyDescent="0.35">
      <c r="A23" s="45">
        <v>2312</v>
      </c>
      <c r="B23" s="26" t="s">
        <v>95</v>
      </c>
      <c r="C23" s="22"/>
      <c r="D23" s="81"/>
      <c r="E23" s="41">
        <f>0.06*30</f>
        <v>1.7999999999999998</v>
      </c>
      <c r="F23" s="41">
        <v>0.6</v>
      </c>
    </row>
    <row r="24" spans="1:8" x14ac:dyDescent="0.35">
      <c r="A24" s="42">
        <v>2321</v>
      </c>
      <c r="B24" s="26" t="s">
        <v>96</v>
      </c>
      <c r="C24" s="22"/>
      <c r="D24" s="81"/>
      <c r="E24" s="41">
        <f>0.16*30</f>
        <v>4.8</v>
      </c>
      <c r="F24" s="41">
        <v>2.92</v>
      </c>
    </row>
    <row r="25" spans="1:8" x14ac:dyDescent="0.35">
      <c r="A25" s="45">
        <v>2341</v>
      </c>
      <c r="B25" s="26" t="s">
        <v>97</v>
      </c>
      <c r="C25" s="26"/>
      <c r="D25" s="81">
        <v>0.31</v>
      </c>
      <c r="E25" s="41">
        <f>0.11*30</f>
        <v>3.3</v>
      </c>
      <c r="F25" s="41">
        <v>1.1000000000000001</v>
      </c>
    </row>
    <row r="26" spans="1:8" x14ac:dyDescent="0.35">
      <c r="A26" s="45">
        <v>2350</v>
      </c>
      <c r="B26" s="22" t="s">
        <v>98</v>
      </c>
      <c r="C26" s="22"/>
      <c r="D26" s="81">
        <v>0.04</v>
      </c>
      <c r="E26" s="41">
        <f>0.11*30</f>
        <v>3.3</v>
      </c>
      <c r="F26" s="41">
        <v>1.1000000000000001</v>
      </c>
    </row>
    <row r="27" spans="1:8" x14ac:dyDescent="0.35">
      <c r="A27" s="45">
        <v>5239</v>
      </c>
      <c r="B27" s="54" t="s">
        <v>122</v>
      </c>
      <c r="C27" s="22"/>
      <c r="D27" s="81"/>
      <c r="E27" s="41">
        <f>0.42*30</f>
        <v>12.6</v>
      </c>
      <c r="F27" s="41">
        <v>4.2</v>
      </c>
    </row>
    <row r="28" spans="1:8" x14ac:dyDescent="0.35">
      <c r="A28" s="42"/>
      <c r="B28" s="28" t="s">
        <v>69</v>
      </c>
      <c r="C28" s="28"/>
      <c r="D28" s="82">
        <f>SUM(D19:D26)</f>
        <v>13.479999999999999</v>
      </c>
      <c r="E28" s="43">
        <f>SUM(E19:E27)</f>
        <v>240.15000000000003</v>
      </c>
      <c r="F28" s="43">
        <f>SUM(F19:F27)</f>
        <v>87.219999999999985</v>
      </c>
      <c r="G28" s="75"/>
    </row>
    <row r="29" spans="1:8" x14ac:dyDescent="0.35">
      <c r="A29" s="44"/>
      <c r="B29" s="28" t="s">
        <v>70</v>
      </c>
      <c r="C29" s="28"/>
      <c r="D29" s="81"/>
      <c r="E29" s="41"/>
      <c r="F29" s="41"/>
      <c r="H29" s="100"/>
    </row>
    <row r="30" spans="1:8" x14ac:dyDescent="0.35">
      <c r="A30" s="42">
        <v>1100</v>
      </c>
      <c r="B30" s="21" t="s">
        <v>83</v>
      </c>
      <c r="C30" s="22">
        <f>0.388+0.024</f>
        <v>0.41200000000000003</v>
      </c>
      <c r="D30" s="83">
        <f>3.07*C30</f>
        <v>1.26484</v>
      </c>
      <c r="E30" s="41">
        <v>45.84</v>
      </c>
      <c r="F30" s="41">
        <v>17.54</v>
      </c>
    </row>
    <row r="31" spans="1:8" x14ac:dyDescent="0.35">
      <c r="A31" s="42">
        <v>1200</v>
      </c>
      <c r="B31" s="21" t="s">
        <v>93</v>
      </c>
      <c r="C31" s="22">
        <f>C30*0.2359</f>
        <v>9.7190800000000008E-2</v>
      </c>
      <c r="D31" s="83">
        <f>D30*0.2359</f>
        <v>0.29837575599999999</v>
      </c>
      <c r="E31" s="41">
        <v>10.81</v>
      </c>
      <c r="F31" s="41">
        <v>4.1399999999999997</v>
      </c>
    </row>
    <row r="32" spans="1:8" x14ac:dyDescent="0.35">
      <c r="A32" s="42">
        <v>2100</v>
      </c>
      <c r="B32" s="30" t="s">
        <v>42</v>
      </c>
      <c r="C32" s="22">
        <v>1.1659999999999999E-3</v>
      </c>
      <c r="D32" s="84">
        <f t="shared" ref="D32:D71" si="0">C32*3.07</f>
        <v>3.5796199999999995E-3</v>
      </c>
      <c r="E32" s="41">
        <v>7.0000000000000007E-2</v>
      </c>
      <c r="F32" s="41">
        <v>0.02</v>
      </c>
    </row>
    <row r="33" spans="1:6" x14ac:dyDescent="0.35">
      <c r="A33" s="45">
        <v>2210</v>
      </c>
      <c r="B33" s="26" t="s">
        <v>100</v>
      </c>
      <c r="C33" s="22">
        <v>7.6E-3</v>
      </c>
      <c r="D33" s="84">
        <f t="shared" si="0"/>
        <v>2.3331999999999999E-2</v>
      </c>
      <c r="E33" s="41">
        <v>0.47</v>
      </c>
      <c r="F33" s="41">
        <v>0.16</v>
      </c>
    </row>
    <row r="34" spans="1:6" x14ac:dyDescent="0.35">
      <c r="A34" s="42">
        <v>2222</v>
      </c>
      <c r="B34" s="26" t="s">
        <v>101</v>
      </c>
      <c r="C34" s="22">
        <v>9.4999999999999998E-3</v>
      </c>
      <c r="D34" s="84">
        <f t="shared" si="0"/>
        <v>2.9164999999999996E-2</v>
      </c>
      <c r="E34" s="41">
        <v>0.57999999999999996</v>
      </c>
      <c r="F34" s="41">
        <v>0.21</v>
      </c>
    </row>
    <row r="35" spans="1:6" x14ac:dyDescent="0.35">
      <c r="A35" s="42">
        <v>2223</v>
      </c>
      <c r="B35" s="26" t="s">
        <v>94</v>
      </c>
      <c r="C35" s="22">
        <v>1.9019999999999999E-2</v>
      </c>
      <c r="D35" s="84">
        <f t="shared" si="0"/>
        <v>5.8391399999999996E-2</v>
      </c>
      <c r="E35" s="41">
        <v>1.17</v>
      </c>
      <c r="F35" s="41">
        <v>0.83</v>
      </c>
    </row>
    <row r="36" spans="1:6" ht="31" x14ac:dyDescent="0.35">
      <c r="A36" s="42">
        <v>2224</v>
      </c>
      <c r="B36" s="26" t="s">
        <v>102</v>
      </c>
      <c r="C36" s="22">
        <v>4.9500000000000004E-3</v>
      </c>
      <c r="D36" s="84">
        <f t="shared" si="0"/>
        <v>1.51965E-2</v>
      </c>
      <c r="E36" s="41">
        <v>0.3</v>
      </c>
      <c r="F36" s="41">
        <v>0.12</v>
      </c>
    </row>
    <row r="37" spans="1:6" x14ac:dyDescent="0.35">
      <c r="A37" s="42">
        <v>2231</v>
      </c>
      <c r="B37" s="21" t="s">
        <v>103</v>
      </c>
      <c r="C37" s="22">
        <v>1.5499999999999999E-3</v>
      </c>
      <c r="D37" s="84">
        <f t="shared" si="0"/>
        <v>4.7584999999999997E-3</v>
      </c>
      <c r="E37" s="41">
        <v>0.1</v>
      </c>
      <c r="F37" s="41">
        <v>0.03</v>
      </c>
    </row>
    <row r="38" spans="1:6" x14ac:dyDescent="0.35">
      <c r="A38" s="42">
        <v>2235</v>
      </c>
      <c r="B38" s="85" t="s">
        <v>104</v>
      </c>
      <c r="C38" s="22">
        <v>1.65E-3</v>
      </c>
      <c r="D38" s="84">
        <f t="shared" si="0"/>
        <v>5.0654999999999997E-3</v>
      </c>
      <c r="E38" s="41">
        <v>0.1</v>
      </c>
      <c r="F38" s="41">
        <v>0.03</v>
      </c>
    </row>
    <row r="39" spans="1:6" x14ac:dyDescent="0.35">
      <c r="A39" s="42">
        <v>2239</v>
      </c>
      <c r="B39" s="21" t="s">
        <v>105</v>
      </c>
      <c r="C39" s="22">
        <v>4.4099999999999999E-3</v>
      </c>
      <c r="D39" s="84">
        <f t="shared" si="0"/>
        <v>1.3538699999999999E-2</v>
      </c>
      <c r="E39" s="41">
        <v>0.27</v>
      </c>
      <c r="F39" s="41">
        <v>0.09</v>
      </c>
    </row>
    <row r="40" spans="1:6" x14ac:dyDescent="0.35">
      <c r="A40" s="42">
        <v>2241</v>
      </c>
      <c r="B40" s="21" t="s">
        <v>106</v>
      </c>
      <c r="C40" s="22">
        <v>1.6500000000000001E-2</v>
      </c>
      <c r="D40" s="84">
        <f t="shared" si="0"/>
        <v>5.0654999999999999E-2</v>
      </c>
      <c r="E40" s="41">
        <v>1.01</v>
      </c>
      <c r="F40" s="41">
        <v>0.34</v>
      </c>
    </row>
    <row r="41" spans="1:6" x14ac:dyDescent="0.35">
      <c r="A41" s="42">
        <v>2242</v>
      </c>
      <c r="B41" s="26" t="s">
        <v>107</v>
      </c>
      <c r="C41" s="22">
        <v>2.2599999999999999E-3</v>
      </c>
      <c r="D41" s="84">
        <f t="shared" si="0"/>
        <v>6.9381999999999994E-3</v>
      </c>
      <c r="E41" s="41">
        <v>0.14000000000000001</v>
      </c>
      <c r="F41" s="41">
        <v>0.05</v>
      </c>
    </row>
    <row r="42" spans="1:6" x14ac:dyDescent="0.35">
      <c r="A42" s="42">
        <v>2243</v>
      </c>
      <c r="B42" s="21" t="s">
        <v>76</v>
      </c>
      <c r="C42" s="22">
        <v>3.2599999999999997E-2</v>
      </c>
      <c r="D42" s="84">
        <f t="shared" si="0"/>
        <v>0.10008199999999999</v>
      </c>
      <c r="E42" s="41">
        <v>2</v>
      </c>
      <c r="F42" s="41">
        <v>0.67</v>
      </c>
    </row>
    <row r="43" spans="1:6" x14ac:dyDescent="0.35">
      <c r="A43" s="42">
        <v>2244</v>
      </c>
      <c r="B43" s="21" t="s">
        <v>108</v>
      </c>
      <c r="C43" s="22">
        <v>0.20397000000000001</v>
      </c>
      <c r="D43" s="84">
        <f t="shared" si="0"/>
        <v>0.62618790000000002</v>
      </c>
      <c r="E43" s="41">
        <f>12.52+1.57</f>
        <v>14.09</v>
      </c>
      <c r="F43" s="41">
        <v>4.7</v>
      </c>
    </row>
    <row r="44" spans="1:6" x14ac:dyDescent="0.35">
      <c r="A44" s="42">
        <v>2247</v>
      </c>
      <c r="B44" s="21" t="s">
        <v>71</v>
      </c>
      <c r="C44" s="22">
        <v>7.1900000000000002E-4</v>
      </c>
      <c r="D44" s="84">
        <f t="shared" si="0"/>
        <v>2.20733E-3</v>
      </c>
      <c r="E44" s="41">
        <v>0.04</v>
      </c>
      <c r="F44" s="41">
        <v>0.01</v>
      </c>
    </row>
    <row r="45" spans="1:6" hidden="1" x14ac:dyDescent="0.35">
      <c r="A45" s="42">
        <v>2249</v>
      </c>
      <c r="B45" s="21" t="s">
        <v>109</v>
      </c>
      <c r="C45" s="22">
        <v>2.32E-4</v>
      </c>
      <c r="D45" s="84">
        <f t="shared" si="0"/>
        <v>7.1223999999999994E-4</v>
      </c>
      <c r="E45" s="41">
        <v>0.01</v>
      </c>
      <c r="F45" s="41">
        <v>0</v>
      </c>
    </row>
    <row r="46" spans="1:6" x14ac:dyDescent="0.35">
      <c r="A46" s="42">
        <v>2250</v>
      </c>
      <c r="B46" s="21" t="s">
        <v>110</v>
      </c>
      <c r="C46" s="22">
        <v>2.4025999999999999E-2</v>
      </c>
      <c r="D46" s="84">
        <f t="shared" si="0"/>
        <v>7.375981999999999E-2</v>
      </c>
      <c r="E46" s="41">
        <v>1.48</v>
      </c>
      <c r="F46" s="41">
        <v>0.49</v>
      </c>
    </row>
    <row r="47" spans="1:6" hidden="1" x14ac:dyDescent="0.35">
      <c r="A47" s="42">
        <v>2261</v>
      </c>
      <c r="B47" s="26" t="s">
        <v>14</v>
      </c>
      <c r="C47" s="22">
        <v>0</v>
      </c>
      <c r="D47" s="84">
        <f t="shared" si="0"/>
        <v>0</v>
      </c>
      <c r="E47" s="41">
        <v>0</v>
      </c>
      <c r="F47" s="41">
        <v>0</v>
      </c>
    </row>
    <row r="48" spans="1:6" x14ac:dyDescent="0.35">
      <c r="A48" s="42">
        <v>2262</v>
      </c>
      <c r="B48" s="26" t="s">
        <v>111</v>
      </c>
      <c r="C48" s="22">
        <v>6.2599999999999999E-3</v>
      </c>
      <c r="D48" s="84">
        <f t="shared" si="0"/>
        <v>1.9218199999999998E-2</v>
      </c>
      <c r="E48" s="41">
        <v>0.38</v>
      </c>
      <c r="F48" s="41">
        <v>0.13</v>
      </c>
    </row>
    <row r="49" spans="1:6" x14ac:dyDescent="0.35">
      <c r="A49" s="42">
        <v>2263</v>
      </c>
      <c r="B49" s="26" t="s">
        <v>112</v>
      </c>
      <c r="C49" s="22">
        <v>4.58E-2</v>
      </c>
      <c r="D49" s="84">
        <f t="shared" si="0"/>
        <v>0.14060599999999998</v>
      </c>
      <c r="E49" s="41">
        <v>2.81</v>
      </c>
      <c r="F49" s="41">
        <v>0.94</v>
      </c>
    </row>
    <row r="50" spans="1:6" x14ac:dyDescent="0.35">
      <c r="A50" s="42">
        <v>2264</v>
      </c>
      <c r="B50" s="21" t="s">
        <v>113</v>
      </c>
      <c r="C50" s="22">
        <v>1.49E-3</v>
      </c>
      <c r="D50" s="84">
        <f t="shared" si="0"/>
        <v>4.5742999999999999E-3</v>
      </c>
      <c r="E50" s="41">
        <v>0.09</v>
      </c>
      <c r="F50" s="41">
        <v>0.03</v>
      </c>
    </row>
    <row r="51" spans="1:6" x14ac:dyDescent="0.35">
      <c r="A51" s="42">
        <v>2311</v>
      </c>
      <c r="B51" s="26" t="s">
        <v>114</v>
      </c>
      <c r="C51" s="22">
        <v>4.7699999999999999E-3</v>
      </c>
      <c r="D51" s="84">
        <f t="shared" si="0"/>
        <v>1.46439E-2</v>
      </c>
      <c r="E51" s="41">
        <v>0.28999999999999998</v>
      </c>
      <c r="F51" s="41">
        <v>0.1</v>
      </c>
    </row>
    <row r="52" spans="1:6" x14ac:dyDescent="0.35">
      <c r="A52" s="42">
        <v>2312</v>
      </c>
      <c r="B52" s="26" t="s">
        <v>95</v>
      </c>
      <c r="C52" s="22">
        <v>5.79E-3</v>
      </c>
      <c r="D52" s="84">
        <f t="shared" si="0"/>
        <v>1.7775300000000001E-2</v>
      </c>
      <c r="E52" s="41">
        <v>0.36</v>
      </c>
      <c r="F52" s="41">
        <v>0.12</v>
      </c>
    </row>
    <row r="53" spans="1:6" hidden="1" x14ac:dyDescent="0.35">
      <c r="A53" s="42">
        <v>2313</v>
      </c>
      <c r="B53" s="26" t="s">
        <v>115</v>
      </c>
      <c r="C53" s="22"/>
      <c r="D53" s="84"/>
      <c r="E53" s="41">
        <v>0.06</v>
      </c>
      <c r="F53" s="41">
        <v>0</v>
      </c>
    </row>
    <row r="54" spans="1:6" x14ac:dyDescent="0.35">
      <c r="A54" s="42">
        <v>2314</v>
      </c>
      <c r="B54" s="85" t="s">
        <v>116</v>
      </c>
      <c r="C54" s="22">
        <v>2.2200000000000002E-3</v>
      </c>
      <c r="D54" s="84">
        <f t="shared" si="0"/>
        <v>6.8154000000000001E-3</v>
      </c>
      <c r="E54" s="41">
        <v>0.08</v>
      </c>
      <c r="F54" s="41">
        <v>0.03</v>
      </c>
    </row>
    <row r="55" spans="1:6" x14ac:dyDescent="0.35">
      <c r="A55" s="42">
        <v>2321</v>
      </c>
      <c r="B55" s="26" t="s">
        <v>96</v>
      </c>
      <c r="C55" s="22">
        <v>1.9800000000000002E-2</v>
      </c>
      <c r="D55" s="84">
        <f t="shared" si="0"/>
        <v>6.0786E-2</v>
      </c>
      <c r="E55" s="41">
        <v>1.22</v>
      </c>
      <c r="F55" s="41">
        <v>0.51</v>
      </c>
    </row>
    <row r="56" spans="1:6" x14ac:dyDescent="0.35">
      <c r="A56" s="42">
        <v>2322</v>
      </c>
      <c r="B56" s="26" t="s">
        <v>117</v>
      </c>
      <c r="C56" s="22">
        <v>3.5000000000000001E-3</v>
      </c>
      <c r="D56" s="84">
        <f t="shared" si="0"/>
        <v>1.0744999999999999E-2</v>
      </c>
      <c r="E56" s="41">
        <v>0.21</v>
      </c>
      <c r="F56" s="41">
        <v>0.08</v>
      </c>
    </row>
    <row r="57" spans="1:6" hidden="1" x14ac:dyDescent="0.35">
      <c r="A57" s="42">
        <v>2341</v>
      </c>
      <c r="B57" s="26" t="s">
        <v>23</v>
      </c>
      <c r="C57" s="22"/>
      <c r="D57" s="84">
        <f t="shared" si="0"/>
        <v>0</v>
      </c>
      <c r="E57" s="41">
        <v>0</v>
      </c>
      <c r="F57" s="41">
        <f>E57/30*10</f>
        <v>0</v>
      </c>
    </row>
    <row r="58" spans="1:6" x14ac:dyDescent="0.35">
      <c r="A58" s="42">
        <v>2350</v>
      </c>
      <c r="B58" s="22" t="s">
        <v>98</v>
      </c>
      <c r="C58" s="22">
        <v>8.5000000000000006E-3</v>
      </c>
      <c r="D58" s="84">
        <f t="shared" si="0"/>
        <v>2.6095E-2</v>
      </c>
      <c r="E58" s="41">
        <v>0.52</v>
      </c>
      <c r="F58" s="41">
        <v>0.17</v>
      </c>
    </row>
    <row r="59" spans="1:6" hidden="1" x14ac:dyDescent="0.35">
      <c r="A59" s="42">
        <v>2361</v>
      </c>
      <c r="B59" s="26" t="s">
        <v>26</v>
      </c>
      <c r="C59" s="22">
        <v>0</v>
      </c>
      <c r="D59" s="84">
        <f t="shared" si="0"/>
        <v>0</v>
      </c>
      <c r="E59" s="41">
        <v>0</v>
      </c>
      <c r="F59" s="41">
        <f t="shared" ref="F59:F64" si="1">E59/30*10</f>
        <v>0</v>
      </c>
    </row>
    <row r="60" spans="1:6" hidden="1" x14ac:dyDescent="0.35">
      <c r="A60" s="42">
        <v>2362</v>
      </c>
      <c r="B60" s="26" t="s">
        <v>27</v>
      </c>
      <c r="C60" s="22">
        <v>0</v>
      </c>
      <c r="D60" s="84">
        <f t="shared" si="0"/>
        <v>0</v>
      </c>
      <c r="E60" s="41">
        <v>0</v>
      </c>
      <c r="F60" s="41">
        <f t="shared" si="1"/>
        <v>0</v>
      </c>
    </row>
    <row r="61" spans="1:6" hidden="1" x14ac:dyDescent="0.35">
      <c r="A61" s="42">
        <v>2363</v>
      </c>
      <c r="B61" s="26" t="s">
        <v>28</v>
      </c>
      <c r="C61" s="22">
        <v>0</v>
      </c>
      <c r="D61" s="84">
        <f t="shared" si="0"/>
        <v>0</v>
      </c>
      <c r="E61" s="41">
        <v>0</v>
      </c>
      <c r="F61" s="41">
        <f t="shared" si="1"/>
        <v>0</v>
      </c>
    </row>
    <row r="62" spans="1:6" hidden="1" x14ac:dyDescent="0.35">
      <c r="A62" s="42">
        <v>2370</v>
      </c>
      <c r="B62" s="26" t="s">
        <v>29</v>
      </c>
      <c r="C62" s="22">
        <v>0</v>
      </c>
      <c r="D62" s="84">
        <f t="shared" si="0"/>
        <v>0</v>
      </c>
      <c r="E62" s="41">
        <v>0</v>
      </c>
      <c r="F62" s="41">
        <f t="shared" si="1"/>
        <v>0</v>
      </c>
    </row>
    <row r="63" spans="1:6" hidden="1" x14ac:dyDescent="0.35">
      <c r="A63" s="42">
        <v>2400</v>
      </c>
      <c r="B63" s="26" t="s">
        <v>43</v>
      </c>
      <c r="C63" s="22">
        <v>0</v>
      </c>
      <c r="D63" s="84">
        <f t="shared" si="0"/>
        <v>0</v>
      </c>
      <c r="E63" s="41">
        <v>0</v>
      </c>
      <c r="F63" s="41">
        <f t="shared" si="1"/>
        <v>0</v>
      </c>
    </row>
    <row r="64" spans="1:6" hidden="1" x14ac:dyDescent="0.35">
      <c r="A64" s="42">
        <v>2512</v>
      </c>
      <c r="B64" s="26" t="s">
        <v>30</v>
      </c>
      <c r="C64" s="22">
        <v>0</v>
      </c>
      <c r="D64" s="84">
        <f t="shared" si="0"/>
        <v>0</v>
      </c>
      <c r="E64" s="41">
        <v>0</v>
      </c>
      <c r="F64" s="41">
        <f t="shared" si="1"/>
        <v>0</v>
      </c>
    </row>
    <row r="65" spans="1:7" x14ac:dyDescent="0.35">
      <c r="A65" s="42">
        <v>2513</v>
      </c>
      <c r="B65" s="22" t="s">
        <v>118</v>
      </c>
      <c r="C65" s="22">
        <v>1.4599999999999999E-3</v>
      </c>
      <c r="D65" s="84">
        <f t="shared" si="0"/>
        <v>4.4821999999999996E-3</v>
      </c>
      <c r="E65" s="41">
        <v>0.09</v>
      </c>
      <c r="F65" s="41">
        <v>0.03</v>
      </c>
    </row>
    <row r="66" spans="1:7" x14ac:dyDescent="0.35">
      <c r="A66" s="42">
        <v>2515</v>
      </c>
      <c r="B66" s="26" t="s">
        <v>73</v>
      </c>
      <c r="C66" s="22">
        <v>1.9E-3</v>
      </c>
      <c r="D66" s="84">
        <f t="shared" si="0"/>
        <v>5.8329999999999996E-3</v>
      </c>
      <c r="E66" s="41">
        <v>0.12</v>
      </c>
      <c r="F66" s="41">
        <v>0.04</v>
      </c>
    </row>
    <row r="67" spans="1:7" x14ac:dyDescent="0.35">
      <c r="A67" s="42">
        <v>2519</v>
      </c>
      <c r="B67" s="26" t="s">
        <v>119</v>
      </c>
      <c r="C67" s="22">
        <v>2E-3</v>
      </c>
      <c r="D67" s="84">
        <f t="shared" si="0"/>
        <v>6.1399999999999996E-3</v>
      </c>
      <c r="E67" s="41">
        <v>0.12</v>
      </c>
      <c r="F67" s="41">
        <v>0.04</v>
      </c>
    </row>
    <row r="68" spans="1:7" x14ac:dyDescent="0.35">
      <c r="A68" s="42">
        <v>5220</v>
      </c>
      <c r="B68" s="26" t="s">
        <v>120</v>
      </c>
      <c r="C68" s="22">
        <v>1.06E-2</v>
      </c>
      <c r="D68" s="84">
        <f t="shared" si="0"/>
        <v>3.2542000000000001E-2</v>
      </c>
      <c r="E68" s="41">
        <v>0.65</v>
      </c>
      <c r="F68" s="41">
        <v>0.22</v>
      </c>
    </row>
    <row r="69" spans="1:7" x14ac:dyDescent="0.35">
      <c r="A69" s="42">
        <v>5238</v>
      </c>
      <c r="B69" s="22" t="s">
        <v>121</v>
      </c>
      <c r="C69" s="22">
        <v>1.65E-3</v>
      </c>
      <c r="D69" s="84">
        <f t="shared" si="0"/>
        <v>5.0654999999999997E-3</v>
      </c>
      <c r="E69" s="41">
        <v>0.11</v>
      </c>
      <c r="F69" s="41">
        <v>0.04</v>
      </c>
    </row>
    <row r="70" spans="1:7" x14ac:dyDescent="0.35">
      <c r="A70" s="42">
        <v>5239</v>
      </c>
      <c r="B70" s="22" t="s">
        <v>122</v>
      </c>
      <c r="C70" s="22">
        <v>1.9800000000000002E-2</v>
      </c>
      <c r="D70" s="84">
        <f t="shared" si="0"/>
        <v>6.0786E-2</v>
      </c>
      <c r="E70" s="41">
        <v>1.22</v>
      </c>
      <c r="F70" s="41">
        <v>0.41</v>
      </c>
    </row>
    <row r="71" spans="1:7" x14ac:dyDescent="0.35">
      <c r="A71" s="42">
        <v>5250</v>
      </c>
      <c r="B71" s="26" t="s">
        <v>123</v>
      </c>
      <c r="C71" s="22">
        <v>2.5000000000000001E-2</v>
      </c>
      <c r="D71" s="84">
        <f t="shared" si="0"/>
        <v>7.6749999999999999E-2</v>
      </c>
      <c r="E71" s="41">
        <v>1.54</v>
      </c>
      <c r="F71" s="41">
        <v>0.46</v>
      </c>
    </row>
    <row r="72" spans="1:7" x14ac:dyDescent="0.35">
      <c r="A72" s="44"/>
      <c r="B72" s="31" t="s">
        <v>60</v>
      </c>
      <c r="C72" s="22">
        <f>SUM(C30:C71)</f>
        <v>0.99988380000000032</v>
      </c>
      <c r="D72" s="43">
        <f>SUM(D30:D71)</f>
        <v>3.0696432659999986</v>
      </c>
      <c r="E72" s="43">
        <f>SUM(E30:E71)</f>
        <v>88.350000000000037</v>
      </c>
      <c r="F72" s="43">
        <f>SUM(F30:F71)</f>
        <v>32.780000000000008</v>
      </c>
    </row>
    <row r="73" spans="1:7" x14ac:dyDescent="0.35">
      <c r="A73" s="44"/>
      <c r="B73" s="31" t="s">
        <v>61</v>
      </c>
      <c r="C73" s="31"/>
      <c r="D73" s="82">
        <f>D28+D72</f>
        <v>16.549643265999997</v>
      </c>
      <c r="E73" s="43">
        <f>E28+E72</f>
        <v>328.50000000000006</v>
      </c>
      <c r="F73" s="43">
        <f>F28+F72</f>
        <v>120</v>
      </c>
    </row>
    <row r="74" spans="1:7" x14ac:dyDescent="0.35">
      <c r="A74" s="9"/>
      <c r="B74" s="32"/>
      <c r="C74" s="32"/>
      <c r="D74" s="86"/>
      <c r="E74" s="33"/>
      <c r="F74" s="33"/>
    </row>
    <row r="75" spans="1:7" x14ac:dyDescent="0.35">
      <c r="A75" s="162" t="s">
        <v>45</v>
      </c>
      <c r="B75" s="162"/>
      <c r="C75" s="87"/>
      <c r="D75" s="88"/>
      <c r="E75" s="89">
        <v>30</v>
      </c>
      <c r="F75" s="89">
        <v>10</v>
      </c>
    </row>
    <row r="76" spans="1:7" x14ac:dyDescent="0.35">
      <c r="A76" s="162" t="s">
        <v>66</v>
      </c>
      <c r="B76" s="162"/>
      <c r="C76" s="87"/>
      <c r="D76" s="88"/>
      <c r="E76" s="90">
        <f>E73/E75</f>
        <v>10.950000000000001</v>
      </c>
      <c r="F76" s="90">
        <f>F73/F75</f>
        <v>12</v>
      </c>
      <c r="G76" s="75"/>
    </row>
    <row r="77" spans="1:7" x14ac:dyDescent="0.35">
      <c r="A77" s="91"/>
      <c r="B77" s="92"/>
      <c r="C77" s="92"/>
      <c r="D77" s="55"/>
    </row>
    <row r="78" spans="1:7" x14ac:dyDescent="0.35">
      <c r="A78" s="182" t="s">
        <v>62</v>
      </c>
      <c r="B78" s="182"/>
      <c r="C78" s="93"/>
      <c r="D78" s="94"/>
      <c r="E78" s="56"/>
      <c r="F78" s="56"/>
    </row>
    <row r="79" spans="1:7" x14ac:dyDescent="0.35">
      <c r="A79" s="182" t="s">
        <v>67</v>
      </c>
      <c r="B79" s="182"/>
      <c r="C79" s="93"/>
      <c r="D79" s="94"/>
      <c r="E79" s="56"/>
      <c r="F79" s="117"/>
    </row>
    <row r="80" spans="1:7" x14ac:dyDescent="0.35">
      <c r="A80" s="37"/>
      <c r="B80" s="37"/>
      <c r="C80" s="37"/>
      <c r="D80" s="95"/>
      <c r="E80" s="37"/>
      <c r="F80" s="37"/>
    </row>
    <row r="81" spans="1:6" x14ac:dyDescent="0.35">
      <c r="A81" s="37" t="s">
        <v>46</v>
      </c>
      <c r="B81" s="37"/>
      <c r="C81" s="37"/>
      <c r="D81" s="95"/>
      <c r="E81" s="95"/>
      <c r="F81" s="95"/>
    </row>
    <row r="82" spans="1:6" x14ac:dyDescent="0.35">
      <c r="A82" s="37"/>
      <c r="B82" s="37"/>
      <c r="C82" s="37"/>
      <c r="D82" s="95"/>
      <c r="E82" s="95"/>
      <c r="F82" s="95"/>
    </row>
    <row r="83" spans="1:6" x14ac:dyDescent="0.35">
      <c r="A83" s="37" t="s">
        <v>84</v>
      </c>
      <c r="B83" s="38"/>
      <c r="C83" s="38"/>
      <c r="D83" s="96"/>
      <c r="E83" s="37"/>
      <c r="F83" s="37"/>
    </row>
    <row r="84" spans="1:6" x14ac:dyDescent="0.35">
      <c r="B84" s="46"/>
      <c r="C84" s="46"/>
      <c r="D84" s="97"/>
      <c r="E84" s="98"/>
      <c r="F84" s="98"/>
    </row>
    <row r="86" spans="1:6" x14ac:dyDescent="0.35">
      <c r="E86" s="75"/>
      <c r="F86" s="75"/>
    </row>
  </sheetData>
  <mergeCells count="8">
    <mergeCell ref="A78:B78"/>
    <mergeCell ref="A75:B75"/>
    <mergeCell ref="A76:B76"/>
    <mergeCell ref="A79:B79"/>
    <mergeCell ref="B2:E2"/>
    <mergeCell ref="A7:E7"/>
    <mergeCell ref="A9:B9"/>
    <mergeCell ref="A10:B10"/>
  </mergeCells>
  <pageMargins left="0.7" right="0.7" top="0.75" bottom="0.75" header="0.3" footer="0.3"/>
  <pageSetup paperSize="9" scale="64" orientation="portrait" r:id="rId1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F85"/>
  <sheetViews>
    <sheetView view="pageLayout" topLeftCell="A6" zoomScale="80" zoomScaleNormal="100" zoomScalePageLayoutView="80" workbookViewId="0">
      <selection activeCell="B49" sqref="B49"/>
    </sheetView>
  </sheetViews>
  <sheetFormatPr defaultRowHeight="15.5" x14ac:dyDescent="0.35"/>
  <cols>
    <col min="1" max="1" width="14.453125" style="10" customWidth="1"/>
    <col min="2" max="2" width="87.1796875" style="10" customWidth="1"/>
    <col min="3" max="3" width="8.7265625" style="10" hidden="1" customWidth="1"/>
    <col min="4" max="4" width="8.7265625" style="75" hidden="1" customWidth="1"/>
    <col min="5" max="5" width="32.54296875" style="10" hidden="1" customWidth="1"/>
    <col min="6" max="6" width="32.453125" style="10" customWidth="1"/>
  </cols>
  <sheetData>
    <row r="1" spans="1:6" x14ac:dyDescent="0.35">
      <c r="B1" s="6"/>
      <c r="C1" s="6"/>
      <c r="D1" s="72"/>
      <c r="E1" s="70" t="s">
        <v>7</v>
      </c>
      <c r="F1" s="70" t="s">
        <v>7</v>
      </c>
    </row>
    <row r="2" spans="1:6" x14ac:dyDescent="0.35">
      <c r="B2" s="183"/>
      <c r="C2" s="183"/>
      <c r="D2" s="183"/>
      <c r="E2" s="184"/>
      <c r="F2" s="7" t="s">
        <v>44</v>
      </c>
    </row>
    <row r="3" spans="1:6" x14ac:dyDescent="0.35">
      <c r="B3" s="7"/>
      <c r="C3" s="7"/>
      <c r="D3" s="73"/>
      <c r="E3" s="48" t="s">
        <v>91</v>
      </c>
      <c r="F3" s="48" t="s">
        <v>91</v>
      </c>
    </row>
    <row r="4" spans="1:6" x14ac:dyDescent="0.35">
      <c r="B4" s="6"/>
      <c r="C4" s="6"/>
      <c r="D4" s="72"/>
      <c r="E4" s="9"/>
      <c r="F4" s="9"/>
    </row>
    <row r="5" spans="1:6" x14ac:dyDescent="0.35">
      <c r="B5" s="47"/>
      <c r="C5" s="47"/>
      <c r="D5" s="74"/>
      <c r="E5" s="9" t="s">
        <v>92</v>
      </c>
      <c r="F5" s="9" t="s">
        <v>260</v>
      </c>
    </row>
    <row r="6" spans="1:6" x14ac:dyDescent="0.35">
      <c r="E6" s="32"/>
      <c r="F6" s="32"/>
    </row>
    <row r="7" spans="1:6" ht="15" x14ac:dyDescent="0.3">
      <c r="A7" s="179" t="s">
        <v>6</v>
      </c>
      <c r="B7" s="179"/>
      <c r="C7" s="179"/>
      <c r="D7" s="179"/>
      <c r="E7" s="179"/>
      <c r="F7" s="113"/>
    </row>
    <row r="8" spans="1:6" x14ac:dyDescent="0.35">
      <c r="B8" s="57"/>
      <c r="C8" s="57"/>
      <c r="D8" s="76"/>
      <c r="E8" s="32"/>
      <c r="F8" s="32"/>
    </row>
    <row r="9" spans="1:6" x14ac:dyDescent="0.35">
      <c r="A9" s="160" t="s">
        <v>1</v>
      </c>
      <c r="B9" s="160"/>
      <c r="C9" s="5"/>
      <c r="D9" s="77"/>
      <c r="E9" s="32"/>
      <c r="F9" s="32"/>
    </row>
    <row r="10" spans="1:6" x14ac:dyDescent="0.35">
      <c r="A10" s="160" t="s">
        <v>0</v>
      </c>
      <c r="B10" s="160"/>
      <c r="C10" s="5"/>
      <c r="D10" s="77"/>
      <c r="E10" s="32"/>
      <c r="F10" s="32"/>
    </row>
    <row r="11" spans="1:6" x14ac:dyDescent="0.35">
      <c r="A11" s="5"/>
      <c r="B11" s="5" t="s">
        <v>165</v>
      </c>
      <c r="C11" s="5"/>
      <c r="D11" s="77"/>
      <c r="E11" s="32"/>
      <c r="F11" s="32"/>
    </row>
    <row r="12" spans="1:6" x14ac:dyDescent="0.35">
      <c r="A12" s="5"/>
      <c r="B12" s="5" t="s">
        <v>196</v>
      </c>
      <c r="C12" s="5"/>
      <c r="D12" s="77"/>
      <c r="E12" s="32"/>
      <c r="F12" s="32"/>
    </row>
    <row r="13" spans="1:6" x14ac:dyDescent="0.35">
      <c r="A13" s="5"/>
      <c r="B13" s="5" t="s">
        <v>199</v>
      </c>
      <c r="C13" s="5"/>
      <c r="D13" s="77"/>
      <c r="E13" s="32"/>
      <c r="F13" s="32"/>
    </row>
    <row r="14" spans="1:6" x14ac:dyDescent="0.35">
      <c r="A14" s="5" t="s">
        <v>2</v>
      </c>
      <c r="B14" s="5" t="s">
        <v>124</v>
      </c>
      <c r="C14" s="5"/>
      <c r="D14" s="77"/>
      <c r="E14" s="32"/>
      <c r="F14" s="32"/>
    </row>
    <row r="15" spans="1:6" ht="46.5" x14ac:dyDescent="0.25">
      <c r="A15" s="17" t="s">
        <v>3</v>
      </c>
      <c r="B15" s="17" t="s">
        <v>4</v>
      </c>
      <c r="C15" s="17"/>
      <c r="D15" s="78"/>
      <c r="E15" s="17" t="s">
        <v>64</v>
      </c>
      <c r="F15" s="17" t="s">
        <v>64</v>
      </c>
    </row>
    <row r="16" spans="1:6" ht="15" x14ac:dyDescent="0.25">
      <c r="A16" s="18">
        <v>1</v>
      </c>
      <c r="B16" s="19">
        <v>2</v>
      </c>
      <c r="C16" s="19"/>
      <c r="D16" s="79"/>
      <c r="E16" s="19">
        <v>3</v>
      </c>
      <c r="F16" s="19">
        <v>3</v>
      </c>
    </row>
    <row r="17" spans="1:6" x14ac:dyDescent="0.35">
      <c r="A17" s="18"/>
      <c r="B17" s="21" t="s">
        <v>5</v>
      </c>
      <c r="C17" s="21"/>
      <c r="D17" s="80"/>
      <c r="E17" s="22"/>
      <c r="F17" s="22"/>
    </row>
    <row r="18" spans="1:6" x14ac:dyDescent="0.25">
      <c r="A18" s="42">
        <v>1100</v>
      </c>
      <c r="B18" s="42" t="s">
        <v>83</v>
      </c>
      <c r="C18" s="42"/>
      <c r="D18" s="81">
        <v>9.6199999999999992</v>
      </c>
      <c r="E18" s="41">
        <f>9.6*10</f>
        <v>96</v>
      </c>
      <c r="F18" s="41">
        <v>101.01</v>
      </c>
    </row>
    <row r="19" spans="1:6" x14ac:dyDescent="0.35">
      <c r="A19" s="42">
        <v>1200</v>
      </c>
      <c r="B19" s="22" t="s">
        <v>93</v>
      </c>
      <c r="C19" s="22"/>
      <c r="D19" s="81">
        <f>D18*0.2359</f>
        <v>2.269358</v>
      </c>
      <c r="E19" s="41">
        <v>22.65</v>
      </c>
      <c r="F19" s="41">
        <v>23.83</v>
      </c>
    </row>
    <row r="20" spans="1:6" x14ac:dyDescent="0.35">
      <c r="A20" s="42">
        <v>2223</v>
      </c>
      <c r="B20" s="26" t="s">
        <v>94</v>
      </c>
      <c r="C20" s="22"/>
      <c r="D20" s="81"/>
      <c r="E20" s="41">
        <f>0.16*10</f>
        <v>1.6</v>
      </c>
      <c r="F20" s="41">
        <v>2.2999999999999998</v>
      </c>
    </row>
    <row r="21" spans="1:6" x14ac:dyDescent="0.35">
      <c r="A21" s="42">
        <v>2311</v>
      </c>
      <c r="B21" s="26" t="s">
        <v>114</v>
      </c>
      <c r="C21" s="22"/>
      <c r="D21" s="81"/>
      <c r="E21" s="41">
        <f>0.22*10</f>
        <v>2.2000000000000002</v>
      </c>
      <c r="F21" s="41">
        <v>1.1000000000000001</v>
      </c>
    </row>
    <row r="22" spans="1:6" x14ac:dyDescent="0.35">
      <c r="A22" s="45">
        <v>2312</v>
      </c>
      <c r="B22" s="26" t="s">
        <v>95</v>
      </c>
      <c r="C22" s="22"/>
      <c r="D22" s="81"/>
      <c r="E22" s="41">
        <f>0.02*10</f>
        <v>0.2</v>
      </c>
      <c r="F22" s="41">
        <f>0.02*10</f>
        <v>0.2</v>
      </c>
    </row>
    <row r="23" spans="1:6" x14ac:dyDescent="0.35">
      <c r="A23" s="42">
        <v>2321</v>
      </c>
      <c r="B23" s="26" t="s">
        <v>96</v>
      </c>
      <c r="C23" s="22"/>
      <c r="D23" s="81"/>
      <c r="E23" s="41">
        <f>0.2*10</f>
        <v>2</v>
      </c>
      <c r="F23" s="41">
        <v>2.2000000000000002</v>
      </c>
    </row>
    <row r="24" spans="1:6" x14ac:dyDescent="0.35">
      <c r="A24" s="45">
        <v>2341</v>
      </c>
      <c r="B24" s="26" t="s">
        <v>97</v>
      </c>
      <c r="C24" s="26"/>
      <c r="D24" s="81"/>
      <c r="E24" s="41">
        <f>0.11*10</f>
        <v>1.1000000000000001</v>
      </c>
      <c r="F24" s="41">
        <f>0.11*10</f>
        <v>1.1000000000000001</v>
      </c>
    </row>
    <row r="25" spans="1:6" x14ac:dyDescent="0.35">
      <c r="A25" s="45">
        <v>2350</v>
      </c>
      <c r="B25" s="22" t="s">
        <v>98</v>
      </c>
      <c r="C25" s="22"/>
      <c r="D25" s="81"/>
      <c r="E25" s="41">
        <f>0.11*10</f>
        <v>1.1000000000000001</v>
      </c>
      <c r="F25" s="41">
        <v>2.2000000000000002</v>
      </c>
    </row>
    <row r="26" spans="1:6" x14ac:dyDescent="0.35">
      <c r="A26" s="45">
        <v>5239</v>
      </c>
      <c r="B26" s="54" t="s">
        <v>99</v>
      </c>
      <c r="C26" s="22"/>
      <c r="D26" s="81"/>
      <c r="E26" s="41">
        <f>0.27*10</f>
        <v>2.7</v>
      </c>
      <c r="F26" s="41">
        <f>0.27*10</f>
        <v>2.7</v>
      </c>
    </row>
    <row r="27" spans="1:6" x14ac:dyDescent="0.3">
      <c r="A27" s="42"/>
      <c r="B27" s="28" t="s">
        <v>69</v>
      </c>
      <c r="C27" s="28"/>
      <c r="D27" s="82"/>
      <c r="E27" s="43">
        <f>SUM(E18:E26)</f>
        <v>129.54999999999998</v>
      </c>
      <c r="F27" s="43">
        <f>SUM(F18:F26)</f>
        <v>136.63999999999996</v>
      </c>
    </row>
    <row r="28" spans="1:6" x14ac:dyDescent="0.3">
      <c r="A28" s="44"/>
      <c r="B28" s="28" t="s">
        <v>70</v>
      </c>
      <c r="C28" s="28"/>
      <c r="D28" s="81"/>
      <c r="E28" s="41"/>
      <c r="F28" s="41"/>
    </row>
    <row r="29" spans="1:6" x14ac:dyDescent="0.35">
      <c r="A29" s="42">
        <v>1100</v>
      </c>
      <c r="B29" s="21" t="s">
        <v>83</v>
      </c>
      <c r="C29" s="22">
        <f>0.388+0.024+0.1</f>
        <v>0.51200000000000001</v>
      </c>
      <c r="D29" s="83"/>
      <c r="E29" s="41">
        <v>23.63</v>
      </c>
      <c r="F29" s="41">
        <v>30.05</v>
      </c>
    </row>
    <row r="30" spans="1:6" x14ac:dyDescent="0.35">
      <c r="A30" s="42">
        <v>1200</v>
      </c>
      <c r="B30" s="21" t="s">
        <v>93</v>
      </c>
      <c r="C30" s="22">
        <f>C29*0.2359</f>
        <v>0.12078080000000001</v>
      </c>
      <c r="D30" s="83"/>
      <c r="E30" s="41">
        <v>5.57</v>
      </c>
      <c r="F30" s="41">
        <v>7.09</v>
      </c>
    </row>
    <row r="31" spans="1:6" x14ac:dyDescent="0.35">
      <c r="A31" s="42">
        <v>2100</v>
      </c>
      <c r="B31" s="30" t="s">
        <v>42</v>
      </c>
      <c r="C31" s="22">
        <v>1.1659999999999999E-3</v>
      </c>
      <c r="D31" s="84"/>
      <c r="E31" s="41">
        <v>0.04</v>
      </c>
      <c r="F31" s="41">
        <v>0.06</v>
      </c>
    </row>
    <row r="32" spans="1:6" x14ac:dyDescent="0.35">
      <c r="A32" s="45">
        <v>2210</v>
      </c>
      <c r="B32" s="26" t="s">
        <v>100</v>
      </c>
      <c r="C32" s="22">
        <v>7.6E-3</v>
      </c>
      <c r="D32" s="84"/>
      <c r="E32" s="41">
        <v>0.24</v>
      </c>
      <c r="F32" s="41">
        <v>0.4</v>
      </c>
    </row>
    <row r="33" spans="1:6" x14ac:dyDescent="0.35">
      <c r="A33" s="42">
        <v>2222</v>
      </c>
      <c r="B33" s="26" t="s">
        <v>101</v>
      </c>
      <c r="C33" s="22">
        <v>9.4999999999999998E-3</v>
      </c>
      <c r="D33" s="84"/>
      <c r="E33" s="41">
        <v>0.3</v>
      </c>
      <c r="F33" s="41">
        <v>0.5</v>
      </c>
    </row>
    <row r="34" spans="1:6" x14ac:dyDescent="0.35">
      <c r="A34" s="42">
        <v>2223</v>
      </c>
      <c r="B34" s="26" t="s">
        <v>94</v>
      </c>
      <c r="C34" s="22">
        <v>1.9019999999999999E-2</v>
      </c>
      <c r="D34" s="84"/>
      <c r="E34" s="41">
        <v>0.6</v>
      </c>
      <c r="F34" s="41">
        <v>0.99</v>
      </c>
    </row>
    <row r="35" spans="1:6" ht="31" x14ac:dyDescent="0.35">
      <c r="A35" s="42">
        <v>2224</v>
      </c>
      <c r="B35" s="26" t="s">
        <v>102</v>
      </c>
      <c r="C35" s="22">
        <v>4.9500000000000004E-3</v>
      </c>
      <c r="D35" s="84"/>
      <c r="E35" s="41">
        <v>0.15</v>
      </c>
      <c r="F35" s="41">
        <v>0.26</v>
      </c>
    </row>
    <row r="36" spans="1:6" x14ac:dyDescent="0.35">
      <c r="A36" s="42">
        <v>2231</v>
      </c>
      <c r="B36" s="21" t="s">
        <v>103</v>
      </c>
      <c r="C36" s="22">
        <v>1.5499999999999999E-3</v>
      </c>
      <c r="D36" s="84"/>
      <c r="E36" s="41">
        <v>0.05</v>
      </c>
      <c r="F36" s="41">
        <v>0.08</v>
      </c>
    </row>
    <row r="37" spans="1:6" x14ac:dyDescent="0.35">
      <c r="A37" s="42">
        <v>2235</v>
      </c>
      <c r="B37" s="85" t="s">
        <v>104</v>
      </c>
      <c r="C37" s="22">
        <v>1.65E-3</v>
      </c>
      <c r="D37" s="84"/>
      <c r="E37" s="41">
        <v>0.05</v>
      </c>
      <c r="F37" s="41">
        <v>0.09</v>
      </c>
    </row>
    <row r="38" spans="1:6" x14ac:dyDescent="0.35">
      <c r="A38" s="42">
        <v>2239</v>
      </c>
      <c r="B38" s="21" t="s">
        <v>105</v>
      </c>
      <c r="C38" s="22">
        <v>4.4099999999999999E-3</v>
      </c>
      <c r="D38" s="84"/>
      <c r="E38" s="41">
        <v>0.14000000000000001</v>
      </c>
      <c r="F38" s="41">
        <v>0.23</v>
      </c>
    </row>
    <row r="39" spans="1:6" x14ac:dyDescent="0.35">
      <c r="A39" s="42">
        <v>2241</v>
      </c>
      <c r="B39" s="21" t="s">
        <v>106</v>
      </c>
      <c r="C39" s="22">
        <v>1.6500000000000001E-2</v>
      </c>
      <c r="D39" s="84"/>
      <c r="E39" s="41">
        <v>0.52</v>
      </c>
      <c r="F39" s="41">
        <v>0.86</v>
      </c>
    </row>
    <row r="40" spans="1:6" x14ac:dyDescent="0.35">
      <c r="A40" s="42">
        <v>2242</v>
      </c>
      <c r="B40" s="26" t="s">
        <v>107</v>
      </c>
      <c r="C40" s="22">
        <v>2.2599999999999999E-3</v>
      </c>
      <c r="D40" s="84"/>
      <c r="E40" s="41">
        <v>7.0000000000000007E-2</v>
      </c>
      <c r="F40" s="41">
        <v>0.12</v>
      </c>
    </row>
    <row r="41" spans="1:6" x14ac:dyDescent="0.35">
      <c r="A41" s="42">
        <v>2243</v>
      </c>
      <c r="B41" s="21" t="s">
        <v>76</v>
      </c>
      <c r="C41" s="22">
        <v>3.2599999999999997E-2</v>
      </c>
      <c r="D41" s="84"/>
      <c r="E41" s="41">
        <v>1.03</v>
      </c>
      <c r="F41" s="41">
        <v>1.71</v>
      </c>
    </row>
    <row r="42" spans="1:6" x14ac:dyDescent="0.35">
      <c r="A42" s="42">
        <v>2244</v>
      </c>
      <c r="B42" s="21" t="s">
        <v>108</v>
      </c>
      <c r="C42" s="22">
        <f>0.20397-0.1-0.023474</f>
        <v>8.0496000000000012E-2</v>
      </c>
      <c r="D42" s="84"/>
      <c r="E42" s="41">
        <v>7.26</v>
      </c>
      <c r="F42" s="41">
        <v>4.21</v>
      </c>
    </row>
    <row r="43" spans="1:6" x14ac:dyDescent="0.35">
      <c r="A43" s="42">
        <v>2247</v>
      </c>
      <c r="B43" s="21" t="s">
        <v>71</v>
      </c>
      <c r="C43" s="22">
        <v>7.1900000000000002E-4</v>
      </c>
      <c r="D43" s="84"/>
      <c r="E43" s="41">
        <v>0.02</v>
      </c>
      <c r="F43" s="41">
        <v>0.04</v>
      </c>
    </row>
    <row r="44" spans="1:6" x14ac:dyDescent="0.35">
      <c r="A44" s="42">
        <v>2249</v>
      </c>
      <c r="B44" s="21" t="s">
        <v>109</v>
      </c>
      <c r="C44" s="22">
        <v>2.32E-4</v>
      </c>
      <c r="D44" s="84"/>
      <c r="E44" s="41">
        <v>0.01</v>
      </c>
      <c r="F44" s="41">
        <v>0.01</v>
      </c>
    </row>
    <row r="45" spans="1:6" x14ac:dyDescent="0.35">
      <c r="A45" s="42">
        <v>2250</v>
      </c>
      <c r="B45" s="21" t="s">
        <v>110</v>
      </c>
      <c r="C45" s="22">
        <v>2.4025999999999999E-2</v>
      </c>
      <c r="D45" s="84"/>
      <c r="E45" s="41">
        <v>0.76</v>
      </c>
      <c r="F45" s="41">
        <v>1.26</v>
      </c>
    </row>
    <row r="46" spans="1:6" hidden="1" x14ac:dyDescent="0.35">
      <c r="A46" s="42">
        <v>2261</v>
      </c>
      <c r="B46" s="26" t="s">
        <v>14</v>
      </c>
      <c r="C46" s="22">
        <v>0</v>
      </c>
      <c r="D46" s="84"/>
      <c r="E46" s="41">
        <v>0</v>
      </c>
      <c r="F46" s="41">
        <f>C46*52.31</f>
        <v>0</v>
      </c>
    </row>
    <row r="47" spans="1:6" x14ac:dyDescent="0.35">
      <c r="A47" s="42">
        <v>2262</v>
      </c>
      <c r="B47" s="26" t="s">
        <v>111</v>
      </c>
      <c r="C47" s="22">
        <v>6.2599999999999999E-3</v>
      </c>
      <c r="D47" s="84"/>
      <c r="E47" s="41">
        <v>0.2</v>
      </c>
      <c r="F47" s="41">
        <v>0.33</v>
      </c>
    </row>
    <row r="48" spans="1:6" x14ac:dyDescent="0.35">
      <c r="A48" s="42">
        <v>2263</v>
      </c>
      <c r="B48" s="26" t="s">
        <v>112</v>
      </c>
      <c r="C48" s="22">
        <v>4.58E-2</v>
      </c>
      <c r="D48" s="84"/>
      <c r="E48" s="41">
        <v>1.45</v>
      </c>
      <c r="F48" s="41">
        <v>2.4</v>
      </c>
    </row>
    <row r="49" spans="1:6" x14ac:dyDescent="0.35">
      <c r="A49" s="42">
        <v>2264</v>
      </c>
      <c r="B49" s="21" t="s">
        <v>113</v>
      </c>
      <c r="C49" s="22">
        <v>1.49E-3</v>
      </c>
      <c r="D49" s="84"/>
      <c r="E49" s="41">
        <v>0.05</v>
      </c>
      <c r="F49" s="41">
        <v>0.08</v>
      </c>
    </row>
    <row r="50" spans="1:6" x14ac:dyDescent="0.35">
      <c r="A50" s="42">
        <v>2311</v>
      </c>
      <c r="B50" s="26" t="s">
        <v>114</v>
      </c>
      <c r="C50" s="22">
        <v>4.7699999999999999E-3</v>
      </c>
      <c r="D50" s="84"/>
      <c r="E50" s="41">
        <v>0.15</v>
      </c>
      <c r="F50" s="41">
        <v>0.25</v>
      </c>
    </row>
    <row r="51" spans="1:6" x14ac:dyDescent="0.35">
      <c r="A51" s="42">
        <v>2312</v>
      </c>
      <c r="B51" s="26" t="s">
        <v>95</v>
      </c>
      <c r="C51" s="22">
        <v>5.79E-3</v>
      </c>
      <c r="D51" s="84"/>
      <c r="E51" s="41">
        <v>0.19</v>
      </c>
      <c r="F51" s="41">
        <v>0.3</v>
      </c>
    </row>
    <row r="52" spans="1:6" hidden="1" x14ac:dyDescent="0.35">
      <c r="A52" s="42">
        <v>2313</v>
      </c>
      <c r="B52" s="26" t="s">
        <v>115</v>
      </c>
      <c r="C52" s="22"/>
      <c r="D52" s="84"/>
      <c r="E52" s="41">
        <v>0.03</v>
      </c>
      <c r="F52" s="41">
        <v>0</v>
      </c>
    </row>
    <row r="53" spans="1:6" x14ac:dyDescent="0.35">
      <c r="A53" s="42">
        <v>2314</v>
      </c>
      <c r="B53" s="85" t="s">
        <v>116</v>
      </c>
      <c r="C53" s="22">
        <v>2.2200000000000002E-3</v>
      </c>
      <c r="D53" s="84"/>
      <c r="E53" s="41">
        <v>0.04</v>
      </c>
      <c r="F53" s="41">
        <v>0.12</v>
      </c>
    </row>
    <row r="54" spans="1:6" x14ac:dyDescent="0.35">
      <c r="A54" s="42">
        <v>2321</v>
      </c>
      <c r="B54" s="26" t="s">
        <v>96</v>
      </c>
      <c r="C54" s="22">
        <v>1.9800000000000002E-2</v>
      </c>
      <c r="D54" s="84"/>
      <c r="E54" s="41">
        <v>0.63</v>
      </c>
      <c r="F54" s="41">
        <v>1.04</v>
      </c>
    </row>
    <row r="55" spans="1:6" x14ac:dyDescent="0.35">
      <c r="A55" s="42">
        <v>2322</v>
      </c>
      <c r="B55" s="26" t="s">
        <v>117</v>
      </c>
      <c r="C55" s="22">
        <v>3.5000000000000001E-3</v>
      </c>
      <c r="D55" s="84"/>
      <c r="E55" s="41">
        <v>0.11</v>
      </c>
      <c r="F55" s="41">
        <v>0.18</v>
      </c>
    </row>
    <row r="56" spans="1:6" hidden="1" x14ac:dyDescent="0.35">
      <c r="A56" s="42">
        <v>2341</v>
      </c>
      <c r="B56" s="26" t="s">
        <v>23</v>
      </c>
      <c r="C56" s="22"/>
      <c r="D56" s="84"/>
      <c r="E56" s="41">
        <v>0</v>
      </c>
      <c r="F56" s="41">
        <v>0</v>
      </c>
    </row>
    <row r="57" spans="1:6" x14ac:dyDescent="0.35">
      <c r="A57" s="42">
        <v>2350</v>
      </c>
      <c r="B57" s="22" t="s">
        <v>98</v>
      </c>
      <c r="C57" s="22">
        <v>8.5000000000000006E-3</v>
      </c>
      <c r="D57" s="84"/>
      <c r="E57" s="41">
        <v>0.27</v>
      </c>
      <c r="F57" s="41">
        <v>0.44</v>
      </c>
    </row>
    <row r="58" spans="1:6" hidden="1" x14ac:dyDescent="0.35">
      <c r="A58" s="42">
        <v>2361</v>
      </c>
      <c r="B58" s="26" t="s">
        <v>26</v>
      </c>
      <c r="C58" s="22">
        <v>0</v>
      </c>
      <c r="D58" s="84"/>
      <c r="E58" s="41">
        <v>0</v>
      </c>
      <c r="F58" s="41">
        <f t="shared" ref="F58:F63" si="0">C58*52.31</f>
        <v>0</v>
      </c>
    </row>
    <row r="59" spans="1:6" hidden="1" x14ac:dyDescent="0.35">
      <c r="A59" s="42">
        <v>2362</v>
      </c>
      <c r="B59" s="26" t="s">
        <v>27</v>
      </c>
      <c r="C59" s="22">
        <v>0</v>
      </c>
      <c r="D59" s="84"/>
      <c r="E59" s="41">
        <v>0</v>
      </c>
      <c r="F59" s="41">
        <f t="shared" si="0"/>
        <v>0</v>
      </c>
    </row>
    <row r="60" spans="1:6" hidden="1" x14ac:dyDescent="0.35">
      <c r="A60" s="42">
        <v>2363</v>
      </c>
      <c r="B60" s="26" t="s">
        <v>28</v>
      </c>
      <c r="C60" s="22">
        <v>0</v>
      </c>
      <c r="D60" s="84"/>
      <c r="E60" s="41">
        <v>0</v>
      </c>
      <c r="F60" s="41">
        <f t="shared" si="0"/>
        <v>0</v>
      </c>
    </row>
    <row r="61" spans="1:6" hidden="1" x14ac:dyDescent="0.35">
      <c r="A61" s="42">
        <v>2370</v>
      </c>
      <c r="B61" s="26" t="s">
        <v>29</v>
      </c>
      <c r="C61" s="22">
        <v>0</v>
      </c>
      <c r="D61" s="84"/>
      <c r="E61" s="41">
        <v>0</v>
      </c>
      <c r="F61" s="41">
        <f t="shared" si="0"/>
        <v>0</v>
      </c>
    </row>
    <row r="62" spans="1:6" hidden="1" x14ac:dyDescent="0.35">
      <c r="A62" s="42">
        <v>2400</v>
      </c>
      <c r="B62" s="26" t="s">
        <v>43</v>
      </c>
      <c r="C62" s="22">
        <v>0</v>
      </c>
      <c r="D62" s="84"/>
      <c r="E62" s="41">
        <v>0</v>
      </c>
      <c r="F62" s="41">
        <f t="shared" si="0"/>
        <v>0</v>
      </c>
    </row>
    <row r="63" spans="1:6" hidden="1" x14ac:dyDescent="0.35">
      <c r="A63" s="42">
        <v>2512</v>
      </c>
      <c r="B63" s="26" t="s">
        <v>30</v>
      </c>
      <c r="C63" s="22">
        <v>0</v>
      </c>
      <c r="D63" s="84"/>
      <c r="E63" s="41">
        <v>0</v>
      </c>
      <c r="F63" s="41">
        <f t="shared" si="0"/>
        <v>0</v>
      </c>
    </row>
    <row r="64" spans="1:6" x14ac:dyDescent="0.35">
      <c r="A64" s="42">
        <v>2513</v>
      </c>
      <c r="B64" s="22" t="s">
        <v>118</v>
      </c>
      <c r="C64" s="22">
        <v>1.4599999999999999E-3</v>
      </c>
      <c r="D64" s="84"/>
      <c r="E64" s="41">
        <v>0.05</v>
      </c>
      <c r="F64" s="41">
        <v>0.08</v>
      </c>
    </row>
    <row r="65" spans="1:6" x14ac:dyDescent="0.35">
      <c r="A65" s="42">
        <v>2515</v>
      </c>
      <c r="B65" s="26" t="s">
        <v>73</v>
      </c>
      <c r="C65" s="22">
        <v>1.9E-3</v>
      </c>
      <c r="D65" s="84"/>
      <c r="E65" s="41">
        <v>0.06</v>
      </c>
      <c r="F65" s="41">
        <v>0.1</v>
      </c>
    </row>
    <row r="66" spans="1:6" x14ac:dyDescent="0.35">
      <c r="A66" s="42">
        <v>2519</v>
      </c>
      <c r="B66" s="26" t="s">
        <v>119</v>
      </c>
      <c r="C66" s="22">
        <v>2E-3</v>
      </c>
      <c r="D66" s="84"/>
      <c r="E66" s="41">
        <v>0.06</v>
      </c>
      <c r="F66" s="41">
        <v>0.1</v>
      </c>
    </row>
    <row r="67" spans="1:6" x14ac:dyDescent="0.35">
      <c r="A67" s="42">
        <v>5220</v>
      </c>
      <c r="B67" s="26" t="s">
        <v>120</v>
      </c>
      <c r="C67" s="22">
        <v>1.06E-2</v>
      </c>
      <c r="D67" s="84"/>
      <c r="E67" s="41">
        <v>0.34</v>
      </c>
      <c r="F67" s="41">
        <v>0.55000000000000004</v>
      </c>
    </row>
    <row r="68" spans="1:6" x14ac:dyDescent="0.35">
      <c r="A68" s="42">
        <v>5238</v>
      </c>
      <c r="B68" s="22" t="s">
        <v>121</v>
      </c>
      <c r="C68" s="22">
        <v>1.65E-3</v>
      </c>
      <c r="D68" s="84"/>
      <c r="E68" s="41">
        <v>0.06</v>
      </c>
      <c r="F68" s="41">
        <v>0.1</v>
      </c>
    </row>
    <row r="69" spans="1:6" x14ac:dyDescent="0.35">
      <c r="A69" s="42">
        <v>5239</v>
      </c>
      <c r="B69" s="22" t="s">
        <v>122</v>
      </c>
      <c r="C69" s="22">
        <v>1.9800000000000002E-2</v>
      </c>
      <c r="D69" s="84"/>
      <c r="E69" s="41">
        <v>0.63</v>
      </c>
      <c r="F69" s="41">
        <v>1.04</v>
      </c>
    </row>
    <row r="70" spans="1:6" x14ac:dyDescent="0.35">
      <c r="A70" s="42">
        <v>5250</v>
      </c>
      <c r="B70" s="26" t="s">
        <v>123</v>
      </c>
      <c r="C70" s="22">
        <v>2.5000000000000001E-2</v>
      </c>
      <c r="D70" s="84"/>
      <c r="E70" s="41">
        <v>0.79</v>
      </c>
      <c r="F70" s="41">
        <v>1.29</v>
      </c>
    </row>
    <row r="71" spans="1:6" x14ac:dyDescent="0.35">
      <c r="A71" s="44"/>
      <c r="B71" s="31" t="s">
        <v>60</v>
      </c>
      <c r="C71" s="22">
        <f>SUM(C29:C70)</f>
        <v>0.99999980000000033</v>
      </c>
      <c r="D71" s="43"/>
      <c r="E71" s="43">
        <f>SUM(E29:E70)</f>
        <v>45.550000000000011</v>
      </c>
      <c r="F71" s="43">
        <f>SUM(F29:F70)</f>
        <v>56.359999999999978</v>
      </c>
    </row>
    <row r="72" spans="1:6" x14ac:dyDescent="0.3">
      <c r="A72" s="44"/>
      <c r="B72" s="31" t="s">
        <v>61</v>
      </c>
      <c r="C72" s="31"/>
      <c r="D72" s="82"/>
      <c r="E72" s="43">
        <f>E27+E71</f>
        <v>175.1</v>
      </c>
      <c r="F72" s="43">
        <f>F27+F71</f>
        <v>192.99999999999994</v>
      </c>
    </row>
    <row r="73" spans="1:6" x14ac:dyDescent="0.35">
      <c r="A73" s="9"/>
      <c r="B73" s="32"/>
      <c r="C73" s="32"/>
      <c r="D73" s="86"/>
      <c r="E73" s="33"/>
      <c r="F73" s="33"/>
    </row>
    <row r="74" spans="1:6" x14ac:dyDescent="0.35">
      <c r="A74" s="162" t="s">
        <v>45</v>
      </c>
      <c r="B74" s="162"/>
      <c r="C74" s="87"/>
      <c r="D74" s="88"/>
      <c r="E74" s="89">
        <v>10</v>
      </c>
      <c r="F74" s="89">
        <v>10</v>
      </c>
    </row>
    <row r="75" spans="1:6" x14ac:dyDescent="0.35">
      <c r="A75" s="162" t="s">
        <v>66</v>
      </c>
      <c r="B75" s="162"/>
      <c r="C75" s="87"/>
      <c r="D75" s="88"/>
      <c r="E75" s="90">
        <f>E72/E74</f>
        <v>17.509999999999998</v>
      </c>
      <c r="F75" s="90">
        <f>F72/F74</f>
        <v>19.299999999999994</v>
      </c>
    </row>
    <row r="76" spans="1:6" x14ac:dyDescent="0.35">
      <c r="A76" s="91"/>
      <c r="B76" s="92"/>
      <c r="C76" s="92"/>
      <c r="D76" s="55"/>
      <c r="F76" s="71"/>
    </row>
    <row r="77" spans="1:6" x14ac:dyDescent="0.35">
      <c r="A77" s="182" t="s">
        <v>62</v>
      </c>
      <c r="B77" s="182"/>
      <c r="C77" s="93"/>
      <c r="D77" s="94"/>
      <c r="E77" s="56"/>
      <c r="F77" s="56"/>
    </row>
    <row r="78" spans="1:6" x14ac:dyDescent="0.35">
      <c r="A78" s="182" t="s">
        <v>67</v>
      </c>
      <c r="B78" s="182"/>
      <c r="C78" s="93"/>
      <c r="D78" s="94"/>
      <c r="E78" s="56"/>
      <c r="F78" s="56"/>
    </row>
    <row r="79" spans="1:6" x14ac:dyDescent="0.35">
      <c r="A79" s="37"/>
      <c r="B79" s="37"/>
      <c r="C79" s="37"/>
      <c r="D79" s="95"/>
      <c r="E79" s="37"/>
      <c r="F79" s="37"/>
    </row>
    <row r="80" spans="1:6" x14ac:dyDescent="0.35">
      <c r="A80" s="37" t="s">
        <v>46</v>
      </c>
      <c r="B80" s="37"/>
      <c r="C80" s="37"/>
      <c r="D80" s="95"/>
      <c r="E80" s="95"/>
      <c r="F80" s="95"/>
    </row>
    <row r="81" spans="1:6" x14ac:dyDescent="0.35">
      <c r="A81" s="37"/>
      <c r="B81" s="37"/>
      <c r="C81" s="37"/>
      <c r="D81" s="95"/>
      <c r="E81" s="95"/>
      <c r="F81" s="95"/>
    </row>
    <row r="82" spans="1:6" x14ac:dyDescent="0.35">
      <c r="A82" s="37" t="s">
        <v>84</v>
      </c>
      <c r="B82" s="38"/>
      <c r="C82" s="38"/>
      <c r="D82" s="96"/>
      <c r="E82" s="37"/>
      <c r="F82" s="37"/>
    </row>
    <row r="83" spans="1:6" x14ac:dyDescent="0.35">
      <c r="B83" s="46"/>
      <c r="C83" s="46"/>
      <c r="D83" s="97"/>
      <c r="E83" s="98"/>
      <c r="F83" s="98"/>
    </row>
    <row r="85" spans="1:6" x14ac:dyDescent="0.35">
      <c r="E85" s="75"/>
      <c r="F85" s="75"/>
    </row>
  </sheetData>
  <mergeCells count="8">
    <mergeCell ref="A77:B77"/>
    <mergeCell ref="A74:B74"/>
    <mergeCell ref="A75:B75"/>
    <mergeCell ref="A78:B78"/>
    <mergeCell ref="B2:E2"/>
    <mergeCell ref="A7:E7"/>
    <mergeCell ref="A9:B9"/>
    <mergeCell ref="A10:B10"/>
  </mergeCells>
  <pageMargins left="0.7" right="0.7" top="0.75" bottom="0.75" header="0.3" footer="0.3"/>
  <pageSetup paperSize="9" scale="62" orientation="portrait" r:id="rId1"/>
  <headerFooter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D85"/>
  <sheetViews>
    <sheetView view="pageLayout" topLeftCell="A21" zoomScale="80" zoomScaleNormal="80" zoomScalePageLayoutView="80" workbookViewId="0">
      <selection activeCell="A47" sqref="A47"/>
    </sheetView>
  </sheetViews>
  <sheetFormatPr defaultRowHeight="15.5" x14ac:dyDescent="0.35"/>
  <cols>
    <col min="1" max="1" width="11.7265625" style="130" customWidth="1"/>
    <col min="2" max="2" width="93.7265625" style="130" customWidth="1"/>
    <col min="3" max="3" width="19.1796875" style="10" hidden="1" customWidth="1"/>
    <col min="4" max="4" width="31.81640625" style="10" customWidth="1"/>
  </cols>
  <sheetData>
    <row r="1" spans="1:4" x14ac:dyDescent="0.35">
      <c r="A1" s="10"/>
      <c r="B1" s="6"/>
      <c r="C1" s="7"/>
      <c r="D1" s="6" t="s">
        <v>7</v>
      </c>
    </row>
    <row r="2" spans="1:4" x14ac:dyDescent="0.35">
      <c r="A2" s="10"/>
      <c r="B2" s="163" t="s">
        <v>44</v>
      </c>
      <c r="C2" s="185"/>
      <c r="D2" s="185"/>
    </row>
    <row r="3" spans="1:4" x14ac:dyDescent="0.35">
      <c r="A3" s="10"/>
      <c r="B3" s="7"/>
      <c r="C3" s="48"/>
      <c r="D3" s="36" t="s">
        <v>91</v>
      </c>
    </row>
    <row r="4" spans="1:4" x14ac:dyDescent="0.35">
      <c r="A4" s="10"/>
      <c r="B4" s="6"/>
      <c r="D4" s="6"/>
    </row>
    <row r="5" spans="1:4" x14ac:dyDescent="0.35">
      <c r="A5" s="10"/>
      <c r="B5" s="47"/>
      <c r="C5" s="7"/>
      <c r="D5" s="9" t="s">
        <v>163</v>
      </c>
    </row>
    <row r="6" spans="1:4" x14ac:dyDescent="0.35">
      <c r="A6" s="10"/>
      <c r="B6" s="10"/>
      <c r="C6" s="32"/>
      <c r="D6" s="32"/>
    </row>
    <row r="7" spans="1:4" ht="15" x14ac:dyDescent="0.3">
      <c r="A7" s="179" t="s">
        <v>6</v>
      </c>
      <c r="B7" s="179"/>
      <c r="C7" s="179"/>
      <c r="D7" s="179"/>
    </row>
    <row r="8" spans="1:4" x14ac:dyDescent="0.35">
      <c r="A8" s="10"/>
      <c r="B8" s="57"/>
      <c r="C8" s="32"/>
      <c r="D8" s="32"/>
    </row>
    <row r="9" spans="1:4" x14ac:dyDescent="0.35">
      <c r="A9" s="160" t="s">
        <v>1</v>
      </c>
      <c r="B9" s="160"/>
      <c r="C9" s="32"/>
      <c r="D9" s="32"/>
    </row>
    <row r="10" spans="1:4" x14ac:dyDescent="0.35">
      <c r="A10" s="160" t="s">
        <v>0</v>
      </c>
      <c r="B10" s="160"/>
      <c r="C10" s="32"/>
      <c r="D10" s="32"/>
    </row>
    <row r="11" spans="1:4" x14ac:dyDescent="0.35">
      <c r="A11" s="5"/>
      <c r="B11" s="5" t="s">
        <v>165</v>
      </c>
      <c r="C11" s="130"/>
      <c r="D11" s="130"/>
    </row>
    <row r="12" spans="1:4" x14ac:dyDescent="0.35">
      <c r="A12" s="5"/>
      <c r="B12" s="5" t="s">
        <v>200</v>
      </c>
      <c r="C12" s="32"/>
      <c r="D12" s="32"/>
    </row>
    <row r="13" spans="1:4" x14ac:dyDescent="0.35">
      <c r="A13" s="5"/>
      <c r="B13" s="5" t="s">
        <v>201</v>
      </c>
      <c r="C13" s="32"/>
      <c r="D13" s="32"/>
    </row>
    <row r="14" spans="1:4" x14ac:dyDescent="0.35">
      <c r="A14" s="5"/>
      <c r="B14" s="5" t="s">
        <v>202</v>
      </c>
      <c r="C14" s="32"/>
      <c r="D14" s="32"/>
    </row>
    <row r="15" spans="1:4" x14ac:dyDescent="0.35">
      <c r="A15" s="5" t="s">
        <v>2</v>
      </c>
      <c r="B15" s="5" t="s">
        <v>124</v>
      </c>
      <c r="C15" s="32"/>
      <c r="D15" s="32"/>
    </row>
    <row r="16" spans="1:4" hidden="1" x14ac:dyDescent="0.35">
      <c r="A16" s="5"/>
      <c r="B16" s="5"/>
      <c r="C16" s="32"/>
      <c r="D16" s="32"/>
    </row>
    <row r="17" spans="1:4" ht="64.5" customHeight="1" x14ac:dyDescent="0.25">
      <c r="A17" s="17" t="s">
        <v>3</v>
      </c>
      <c r="B17" s="17" t="s">
        <v>4</v>
      </c>
      <c r="C17" s="34"/>
      <c r="D17" s="17" t="s">
        <v>64</v>
      </c>
    </row>
    <row r="18" spans="1:4" ht="15" x14ac:dyDescent="0.25">
      <c r="A18" s="18">
        <v>1</v>
      </c>
      <c r="B18" s="19">
        <v>2</v>
      </c>
      <c r="C18" s="19"/>
      <c r="D18" s="19">
        <v>3</v>
      </c>
    </row>
    <row r="19" spans="1:4" x14ac:dyDescent="0.35">
      <c r="A19" s="18"/>
      <c r="B19" s="21" t="s">
        <v>5</v>
      </c>
      <c r="C19" s="22"/>
      <c r="D19" s="22"/>
    </row>
    <row r="20" spans="1:4" x14ac:dyDescent="0.25">
      <c r="A20" s="42">
        <v>1100</v>
      </c>
      <c r="B20" s="42" t="s">
        <v>83</v>
      </c>
      <c r="C20" s="41">
        <v>218.9</v>
      </c>
      <c r="D20" s="41">
        <v>54.73</v>
      </c>
    </row>
    <row r="21" spans="1:4" ht="15.75" customHeight="1" x14ac:dyDescent="0.35">
      <c r="A21" s="42">
        <v>1200</v>
      </c>
      <c r="B21" s="22" t="s">
        <v>93</v>
      </c>
      <c r="C21" s="41">
        <f>C20*24.09%</f>
        <v>52.73301</v>
      </c>
      <c r="D21" s="41">
        <v>13.18</v>
      </c>
    </row>
    <row r="22" spans="1:4" ht="15.75" customHeight="1" x14ac:dyDescent="0.35">
      <c r="A22" s="42">
        <v>2311</v>
      </c>
      <c r="B22" s="26" t="s">
        <v>114</v>
      </c>
      <c r="C22" s="41">
        <v>10</v>
      </c>
      <c r="D22" s="41">
        <v>2.5</v>
      </c>
    </row>
    <row r="23" spans="1:4" ht="15.75" hidden="1" customHeight="1" x14ac:dyDescent="0.35">
      <c r="A23" s="42">
        <v>2312</v>
      </c>
      <c r="B23" s="26" t="s">
        <v>20</v>
      </c>
      <c r="C23" s="41"/>
      <c r="D23" s="41">
        <f>C23/20*5</f>
        <v>0</v>
      </c>
    </row>
    <row r="24" spans="1:4" ht="18.75" hidden="1" customHeight="1" x14ac:dyDescent="0.35">
      <c r="A24" s="45">
        <v>2341</v>
      </c>
      <c r="B24" s="26" t="s">
        <v>23</v>
      </c>
      <c r="C24" s="41">
        <v>0</v>
      </c>
      <c r="D24" s="41">
        <f>C24/20*5</f>
        <v>0</v>
      </c>
    </row>
    <row r="25" spans="1:4" hidden="1" x14ac:dyDescent="0.35">
      <c r="A25" s="42">
        <v>2350</v>
      </c>
      <c r="B25" s="26" t="s">
        <v>25</v>
      </c>
      <c r="C25" s="41">
        <v>0</v>
      </c>
      <c r="D25" s="41">
        <f>C25/20*5</f>
        <v>0</v>
      </c>
    </row>
    <row r="26" spans="1:4" hidden="1" x14ac:dyDescent="0.35">
      <c r="A26" s="42"/>
      <c r="B26" s="24"/>
      <c r="C26" s="41">
        <v>0</v>
      </c>
      <c r="D26" s="41">
        <f>C26/20*5</f>
        <v>0</v>
      </c>
    </row>
    <row r="27" spans="1:4" x14ac:dyDescent="0.3">
      <c r="A27" s="42"/>
      <c r="B27" s="28" t="s">
        <v>69</v>
      </c>
      <c r="C27" s="43">
        <f>SUM(C20:C26)</f>
        <v>281.63301000000001</v>
      </c>
      <c r="D27" s="43">
        <f>SUM(D20:D26)</f>
        <v>70.41</v>
      </c>
    </row>
    <row r="28" spans="1:4" x14ac:dyDescent="0.35">
      <c r="A28" s="44"/>
      <c r="B28" s="24" t="s">
        <v>70</v>
      </c>
      <c r="C28" s="41"/>
      <c r="D28" s="41"/>
    </row>
    <row r="29" spans="1:4" x14ac:dyDescent="0.35">
      <c r="A29" s="42">
        <v>1100</v>
      </c>
      <c r="B29" s="24" t="s">
        <v>83</v>
      </c>
      <c r="C29" s="41">
        <v>93.5</v>
      </c>
      <c r="D29" s="41">
        <v>23.38</v>
      </c>
    </row>
    <row r="30" spans="1:4" ht="14.25" customHeight="1" x14ac:dyDescent="0.25">
      <c r="A30" s="42">
        <v>1200</v>
      </c>
      <c r="B30" s="54" t="s">
        <v>93</v>
      </c>
      <c r="C30" s="41">
        <f>C29*24.09%</f>
        <v>22.524149999999999</v>
      </c>
      <c r="D30" s="41">
        <v>5.63</v>
      </c>
    </row>
    <row r="31" spans="1:4" hidden="1" x14ac:dyDescent="0.25">
      <c r="A31" s="42">
        <v>2100</v>
      </c>
      <c r="B31" s="30" t="s">
        <v>42</v>
      </c>
      <c r="C31" s="41">
        <v>0</v>
      </c>
      <c r="D31" s="41">
        <f>C31/20*5</f>
        <v>0</v>
      </c>
    </row>
    <row r="32" spans="1:4" x14ac:dyDescent="0.35">
      <c r="A32" s="45">
        <v>2210</v>
      </c>
      <c r="B32" s="26" t="s">
        <v>100</v>
      </c>
      <c r="C32" s="41">
        <v>7.5</v>
      </c>
      <c r="D32" s="41">
        <v>1.88</v>
      </c>
    </row>
    <row r="33" spans="1:4" x14ac:dyDescent="0.35">
      <c r="A33" s="42">
        <v>2222</v>
      </c>
      <c r="B33" s="26" t="s">
        <v>101</v>
      </c>
      <c r="C33" s="41">
        <v>13.5</v>
      </c>
      <c r="D33" s="41">
        <v>3.38</v>
      </c>
    </row>
    <row r="34" spans="1:4" x14ac:dyDescent="0.35">
      <c r="A34" s="42">
        <v>2223</v>
      </c>
      <c r="B34" s="26" t="s">
        <v>94</v>
      </c>
      <c r="C34" s="41">
        <v>26.5</v>
      </c>
      <c r="D34" s="41">
        <v>6.63</v>
      </c>
    </row>
    <row r="35" spans="1:4" x14ac:dyDescent="0.35">
      <c r="A35" s="42">
        <v>2235</v>
      </c>
      <c r="B35" s="26" t="s">
        <v>161</v>
      </c>
      <c r="C35" s="41">
        <v>24.85</v>
      </c>
      <c r="D35" s="41">
        <v>6.21</v>
      </c>
    </row>
    <row r="36" spans="1:4" hidden="1" x14ac:dyDescent="0.35">
      <c r="A36" s="42">
        <v>2230</v>
      </c>
      <c r="B36" s="26" t="s">
        <v>41</v>
      </c>
      <c r="C36" s="41"/>
      <c r="D36" s="41">
        <f>C36/20*5</f>
        <v>0</v>
      </c>
    </row>
    <row r="37" spans="1:4" x14ac:dyDescent="0.35">
      <c r="A37" s="42">
        <v>2241</v>
      </c>
      <c r="B37" s="26" t="s">
        <v>106</v>
      </c>
      <c r="C37" s="41">
        <v>12.5</v>
      </c>
      <c r="D37" s="41">
        <v>3.13</v>
      </c>
    </row>
    <row r="38" spans="1:4" x14ac:dyDescent="0.35">
      <c r="A38" s="42">
        <v>2242</v>
      </c>
      <c r="B38" s="26" t="s">
        <v>107</v>
      </c>
      <c r="C38" s="41">
        <v>0.36</v>
      </c>
      <c r="D38" s="41">
        <v>0.09</v>
      </c>
    </row>
    <row r="39" spans="1:4" x14ac:dyDescent="0.35">
      <c r="A39" s="42">
        <v>2243</v>
      </c>
      <c r="B39" s="26" t="s">
        <v>76</v>
      </c>
      <c r="C39" s="41">
        <v>15.1</v>
      </c>
      <c r="D39" s="41">
        <v>3.78</v>
      </c>
    </row>
    <row r="40" spans="1:4" x14ac:dyDescent="0.35">
      <c r="A40" s="42">
        <v>2244</v>
      </c>
      <c r="B40" s="26" t="s">
        <v>108</v>
      </c>
      <c r="C40" s="41">
        <v>17.899999999999999</v>
      </c>
      <c r="D40" s="41">
        <v>5.65</v>
      </c>
    </row>
    <row r="41" spans="1:4" x14ac:dyDescent="0.35">
      <c r="A41" s="42">
        <v>2247</v>
      </c>
      <c r="B41" s="21" t="s">
        <v>71</v>
      </c>
      <c r="C41" s="41">
        <v>0.12</v>
      </c>
      <c r="D41" s="41">
        <v>0.03</v>
      </c>
    </row>
    <row r="42" spans="1:4" hidden="1" x14ac:dyDescent="0.35">
      <c r="A42" s="42">
        <v>2249</v>
      </c>
      <c r="B42" s="26" t="s">
        <v>13</v>
      </c>
      <c r="C42" s="41">
        <v>0</v>
      </c>
      <c r="D42" s="41">
        <f>C42/20*5</f>
        <v>0</v>
      </c>
    </row>
    <row r="43" spans="1:4" x14ac:dyDescent="0.35">
      <c r="A43" s="42">
        <v>2250</v>
      </c>
      <c r="B43" s="26" t="s">
        <v>110</v>
      </c>
      <c r="C43" s="41">
        <v>9.8800000000000008</v>
      </c>
      <c r="D43" s="41">
        <v>2.58</v>
      </c>
    </row>
    <row r="44" spans="1:4" hidden="1" x14ac:dyDescent="0.35">
      <c r="A44" s="42">
        <v>2252</v>
      </c>
      <c r="B44" s="26" t="s">
        <v>8</v>
      </c>
      <c r="C44" s="41">
        <v>0</v>
      </c>
      <c r="D44" s="41">
        <f>C44/20*5</f>
        <v>0</v>
      </c>
    </row>
    <row r="45" spans="1:4" hidden="1" x14ac:dyDescent="0.35">
      <c r="A45" s="42">
        <v>2259</v>
      </c>
      <c r="B45" s="26" t="s">
        <v>9</v>
      </c>
      <c r="C45" s="41">
        <v>0</v>
      </c>
      <c r="D45" s="41">
        <f>C45/20*5</f>
        <v>0</v>
      </c>
    </row>
    <row r="46" spans="1:4" hidden="1" x14ac:dyDescent="0.35">
      <c r="A46" s="42">
        <v>2261</v>
      </c>
      <c r="B46" s="26" t="s">
        <v>128</v>
      </c>
      <c r="C46" s="41">
        <v>0.24</v>
      </c>
      <c r="D46" s="41">
        <v>0</v>
      </c>
    </row>
    <row r="47" spans="1:4" x14ac:dyDescent="0.35">
      <c r="A47" s="42">
        <v>2262</v>
      </c>
      <c r="B47" s="26" t="s">
        <v>111</v>
      </c>
      <c r="C47" s="41">
        <v>1.0900000000000001</v>
      </c>
      <c r="D47" s="41">
        <v>0.27</v>
      </c>
    </row>
    <row r="48" spans="1:4" x14ac:dyDescent="0.35">
      <c r="A48" s="42">
        <v>2263</v>
      </c>
      <c r="B48" s="26" t="s">
        <v>112</v>
      </c>
      <c r="C48" s="41">
        <v>5.9</v>
      </c>
      <c r="D48" s="41">
        <v>1.48</v>
      </c>
    </row>
    <row r="49" spans="1:4" hidden="1" x14ac:dyDescent="0.35">
      <c r="A49" s="42">
        <v>2264</v>
      </c>
      <c r="B49" s="26" t="s">
        <v>17</v>
      </c>
      <c r="C49" s="41">
        <v>0</v>
      </c>
      <c r="D49" s="41">
        <f>C49/20*5</f>
        <v>0</v>
      </c>
    </row>
    <row r="50" spans="1:4" x14ac:dyDescent="0.35">
      <c r="A50" s="42">
        <v>2311</v>
      </c>
      <c r="B50" s="26" t="s">
        <v>114</v>
      </c>
      <c r="C50" s="41">
        <v>0.43</v>
      </c>
      <c r="D50" s="41">
        <v>0.11</v>
      </c>
    </row>
    <row r="51" spans="1:4" x14ac:dyDescent="0.35">
      <c r="A51" s="42">
        <v>2312</v>
      </c>
      <c r="B51" s="26" t="s">
        <v>95</v>
      </c>
      <c r="C51" s="41">
        <v>14.88</v>
      </c>
      <c r="D51" s="41">
        <v>3.72</v>
      </c>
    </row>
    <row r="52" spans="1:4" x14ac:dyDescent="0.35">
      <c r="A52" s="42">
        <v>2321</v>
      </c>
      <c r="B52" s="26" t="s">
        <v>96</v>
      </c>
      <c r="C52" s="41">
        <v>25.5</v>
      </c>
      <c r="D52" s="41">
        <v>6.38</v>
      </c>
    </row>
    <row r="53" spans="1:4" x14ac:dyDescent="0.35">
      <c r="A53" s="42">
        <v>2322</v>
      </c>
      <c r="B53" s="26" t="s">
        <v>117</v>
      </c>
      <c r="C53" s="41">
        <v>0.73</v>
      </c>
      <c r="D53" s="41">
        <v>0.18</v>
      </c>
    </row>
    <row r="54" spans="1:4" x14ac:dyDescent="0.35">
      <c r="A54" s="42">
        <v>2341</v>
      </c>
      <c r="B54" s="26" t="s">
        <v>97</v>
      </c>
      <c r="C54" s="41">
        <v>0.12</v>
      </c>
      <c r="D54" s="41">
        <v>0.03</v>
      </c>
    </row>
    <row r="55" spans="1:4" hidden="1" x14ac:dyDescent="0.35">
      <c r="A55" s="42">
        <v>2344</v>
      </c>
      <c r="B55" s="26" t="s">
        <v>24</v>
      </c>
      <c r="C55" s="41">
        <v>0</v>
      </c>
      <c r="D55" s="41">
        <f>C55/20*5</f>
        <v>0</v>
      </c>
    </row>
    <row r="56" spans="1:4" x14ac:dyDescent="0.35">
      <c r="A56" s="42">
        <v>2350</v>
      </c>
      <c r="B56" s="26" t="s">
        <v>98</v>
      </c>
      <c r="C56" s="41">
        <v>3.51</v>
      </c>
      <c r="D56" s="41">
        <v>0.88</v>
      </c>
    </row>
    <row r="57" spans="1:4" x14ac:dyDescent="0.35">
      <c r="A57" s="42">
        <v>2361</v>
      </c>
      <c r="B57" s="26" t="s">
        <v>65</v>
      </c>
      <c r="C57" s="41">
        <v>2.12</v>
      </c>
      <c r="D57" s="41">
        <v>0.53</v>
      </c>
    </row>
    <row r="58" spans="1:4" hidden="1" x14ac:dyDescent="0.35">
      <c r="A58" s="42">
        <v>2362</v>
      </c>
      <c r="B58" s="26" t="s">
        <v>27</v>
      </c>
      <c r="C58" s="41">
        <v>0</v>
      </c>
      <c r="D58" s="41">
        <f>C58/20*5</f>
        <v>0</v>
      </c>
    </row>
    <row r="59" spans="1:4" hidden="1" x14ac:dyDescent="0.35">
      <c r="A59" s="42">
        <v>2363</v>
      </c>
      <c r="B59" s="26" t="s">
        <v>28</v>
      </c>
      <c r="C59" s="41">
        <v>0</v>
      </c>
      <c r="D59" s="41">
        <f>C59/20*5</f>
        <v>0</v>
      </c>
    </row>
    <row r="60" spans="1:4" hidden="1" x14ac:dyDescent="0.35">
      <c r="A60" s="42">
        <v>2370</v>
      </c>
      <c r="B60" s="26" t="s">
        <v>29</v>
      </c>
      <c r="C60" s="41">
        <v>0</v>
      </c>
      <c r="D60" s="41">
        <f>C60/20*5</f>
        <v>0</v>
      </c>
    </row>
    <row r="61" spans="1:4" x14ac:dyDescent="0.35">
      <c r="A61" s="42">
        <v>2400</v>
      </c>
      <c r="B61" s="26" t="s">
        <v>132</v>
      </c>
      <c r="C61" s="41">
        <v>0.18</v>
      </c>
      <c r="D61" s="41">
        <v>0.05</v>
      </c>
    </row>
    <row r="62" spans="1:4" hidden="1" x14ac:dyDescent="0.35">
      <c r="A62" s="42">
        <v>2512</v>
      </c>
      <c r="B62" s="26" t="s">
        <v>30</v>
      </c>
      <c r="C62" s="41">
        <v>0</v>
      </c>
      <c r="D62" s="41">
        <f>C62/20*5</f>
        <v>0</v>
      </c>
    </row>
    <row r="63" spans="1:4" x14ac:dyDescent="0.35">
      <c r="A63" s="42">
        <v>2513</v>
      </c>
      <c r="B63" s="26" t="s">
        <v>140</v>
      </c>
      <c r="C63" s="41">
        <v>2.85</v>
      </c>
      <c r="D63" s="41">
        <v>0.71</v>
      </c>
    </row>
    <row r="64" spans="1:4" x14ac:dyDescent="0.35">
      <c r="A64" s="42">
        <v>2515</v>
      </c>
      <c r="B64" s="26" t="s">
        <v>73</v>
      </c>
      <c r="C64" s="41">
        <v>0.12</v>
      </c>
      <c r="D64" s="41">
        <v>0.03</v>
      </c>
    </row>
    <row r="65" spans="1:4" x14ac:dyDescent="0.35">
      <c r="A65" s="42">
        <v>2519</v>
      </c>
      <c r="B65" s="26" t="s">
        <v>119</v>
      </c>
      <c r="C65" s="41">
        <v>0.73</v>
      </c>
      <c r="D65" s="41">
        <v>0.18</v>
      </c>
    </row>
    <row r="66" spans="1:4" hidden="1" x14ac:dyDescent="0.35">
      <c r="A66" s="42">
        <v>6240</v>
      </c>
      <c r="B66" s="26"/>
      <c r="C66" s="41">
        <v>0</v>
      </c>
      <c r="D66" s="41">
        <f>C66/20*5</f>
        <v>0</v>
      </c>
    </row>
    <row r="67" spans="1:4" hidden="1" x14ac:dyDescent="0.35">
      <c r="A67" s="42">
        <v>6290</v>
      </c>
      <c r="B67" s="26"/>
      <c r="C67" s="41">
        <v>0</v>
      </c>
      <c r="D67" s="41">
        <f>C67/20*5</f>
        <v>0</v>
      </c>
    </row>
    <row r="68" spans="1:4" x14ac:dyDescent="0.35">
      <c r="A68" s="42">
        <v>5238</v>
      </c>
      <c r="B68" s="26" t="s">
        <v>121</v>
      </c>
      <c r="C68" s="41">
        <v>29.5</v>
      </c>
      <c r="D68" s="41">
        <v>7.33</v>
      </c>
    </row>
    <row r="69" spans="1:4" x14ac:dyDescent="0.35">
      <c r="A69" s="42">
        <v>5239</v>
      </c>
      <c r="B69" s="10" t="s">
        <v>122</v>
      </c>
      <c r="C69" s="41">
        <v>0</v>
      </c>
      <c r="D69" s="41">
        <v>14.14</v>
      </c>
    </row>
    <row r="70" spans="1:4" x14ac:dyDescent="0.35">
      <c r="A70" s="42">
        <v>5250</v>
      </c>
      <c r="B70" s="26" t="s">
        <v>123</v>
      </c>
      <c r="C70" s="41">
        <v>24.81</v>
      </c>
      <c r="D70" s="41">
        <v>6.2</v>
      </c>
    </row>
    <row r="71" spans="1:4" x14ac:dyDescent="0.3">
      <c r="A71" s="44"/>
      <c r="B71" s="31" t="s">
        <v>74</v>
      </c>
      <c r="C71" s="29">
        <f>SUM(C29:C70)</f>
        <v>356.94415000000009</v>
      </c>
      <c r="D71" s="29">
        <f>SUM(D29:D70)</f>
        <v>104.59</v>
      </c>
    </row>
    <row r="72" spans="1:4" x14ac:dyDescent="0.35">
      <c r="A72" s="23"/>
      <c r="B72" s="31" t="s">
        <v>75</v>
      </c>
      <c r="C72" s="29">
        <f>C71+C27</f>
        <v>638.57716000000005</v>
      </c>
      <c r="D72" s="29">
        <f>D71+D27</f>
        <v>175</v>
      </c>
    </row>
    <row r="73" spans="1:4" x14ac:dyDescent="0.35">
      <c r="A73" s="9"/>
      <c r="B73" s="32"/>
      <c r="C73" s="33"/>
      <c r="D73" s="33"/>
    </row>
    <row r="74" spans="1:4" x14ac:dyDescent="0.25">
      <c r="A74" s="177" t="s">
        <v>45</v>
      </c>
      <c r="B74" s="178"/>
      <c r="C74" s="34">
        <v>20</v>
      </c>
      <c r="D74" s="59">
        <v>5</v>
      </c>
    </row>
    <row r="75" spans="1:4" x14ac:dyDescent="0.35">
      <c r="A75" s="171" t="s">
        <v>66</v>
      </c>
      <c r="B75" s="172"/>
      <c r="C75" s="29">
        <f>C72/C74</f>
        <v>31.928858000000002</v>
      </c>
      <c r="D75" s="61">
        <f>D72/D74</f>
        <v>35</v>
      </c>
    </row>
    <row r="76" spans="1:4" x14ac:dyDescent="0.35">
      <c r="A76" s="32"/>
      <c r="B76" s="11"/>
      <c r="D76" s="86"/>
    </row>
    <row r="77" spans="1:4" x14ac:dyDescent="0.35">
      <c r="A77" s="171" t="s">
        <v>62</v>
      </c>
      <c r="B77" s="172"/>
      <c r="C77" s="56"/>
      <c r="D77" s="56"/>
    </row>
    <row r="78" spans="1:4" x14ac:dyDescent="0.35">
      <c r="A78" s="171" t="s">
        <v>67</v>
      </c>
      <c r="B78" s="172"/>
      <c r="C78" s="56"/>
      <c r="D78" s="56"/>
    </row>
    <row r="79" spans="1:4" x14ac:dyDescent="0.35">
      <c r="A79" s="37"/>
      <c r="B79" s="37"/>
      <c r="C79" s="37"/>
      <c r="D79" s="37"/>
    </row>
    <row r="80" spans="1:4" x14ac:dyDescent="0.35">
      <c r="A80" s="37" t="s">
        <v>46</v>
      </c>
      <c r="B80" s="37"/>
      <c r="C80" s="37"/>
      <c r="D80" s="37"/>
    </row>
    <row r="81" spans="1:4" x14ac:dyDescent="0.35">
      <c r="A81" s="37"/>
      <c r="B81" s="37"/>
      <c r="C81" s="37"/>
      <c r="D81" s="37"/>
    </row>
    <row r="82" spans="1:4" x14ac:dyDescent="0.35">
      <c r="A82" s="37" t="s">
        <v>162</v>
      </c>
      <c r="B82" s="38"/>
      <c r="C82" s="37"/>
      <c r="D82" s="37"/>
    </row>
    <row r="83" spans="1:4" x14ac:dyDescent="0.35">
      <c r="A83" s="37"/>
      <c r="B83" s="124"/>
      <c r="C83" s="37"/>
      <c r="D83" s="37"/>
    </row>
    <row r="84" spans="1:4" x14ac:dyDescent="0.35">
      <c r="A84" s="10"/>
      <c r="B84" s="6"/>
    </row>
    <row r="85" spans="1:4" x14ac:dyDescent="0.35">
      <c r="A85" s="10"/>
      <c r="B85" s="6"/>
    </row>
  </sheetData>
  <mergeCells count="8">
    <mergeCell ref="A77:B77"/>
    <mergeCell ref="A78:B78"/>
    <mergeCell ref="B2:D2"/>
    <mergeCell ref="A7:D7"/>
    <mergeCell ref="A9:B9"/>
    <mergeCell ref="A10:B10"/>
    <mergeCell ref="A74:B74"/>
    <mergeCell ref="A75:B75"/>
  </mergeCells>
  <pageMargins left="0.7" right="0.7" top="0.75" bottom="0.75" header="0.3" footer="0.3"/>
  <pageSetup paperSize="9" scale="65" orientation="portrait" verticalDpi="0" r:id="rId1"/>
  <headerFooter>
    <oddFooter>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D85"/>
  <sheetViews>
    <sheetView view="pageLayout" topLeftCell="A19" zoomScale="80" zoomScaleNormal="80" zoomScalePageLayoutView="80" workbookViewId="0">
      <selection activeCell="A47" sqref="A47"/>
    </sheetView>
  </sheetViews>
  <sheetFormatPr defaultRowHeight="15.5" x14ac:dyDescent="0.35"/>
  <cols>
    <col min="1" max="1" width="11.7265625" style="130" customWidth="1"/>
    <col min="2" max="2" width="93.7265625" style="130" customWidth="1"/>
    <col min="3" max="3" width="19.1796875" style="10" hidden="1" customWidth="1"/>
    <col min="4" max="4" width="31.81640625" style="10" customWidth="1"/>
  </cols>
  <sheetData>
    <row r="1" spans="1:4" x14ac:dyDescent="0.35">
      <c r="A1" s="10"/>
      <c r="B1" s="6"/>
      <c r="C1" s="7"/>
      <c r="D1" s="6" t="s">
        <v>7</v>
      </c>
    </row>
    <row r="2" spans="1:4" x14ac:dyDescent="0.35">
      <c r="A2" s="10"/>
      <c r="B2" s="163" t="s">
        <v>44</v>
      </c>
      <c r="C2" s="185"/>
      <c r="D2" s="185"/>
    </row>
    <row r="3" spans="1:4" x14ac:dyDescent="0.35">
      <c r="A3" s="10"/>
      <c r="B3" s="7"/>
      <c r="C3" s="48"/>
      <c r="D3" s="36" t="s">
        <v>91</v>
      </c>
    </row>
    <row r="4" spans="1:4" x14ac:dyDescent="0.35">
      <c r="A4" s="10"/>
      <c r="B4" s="6"/>
      <c r="D4" s="6"/>
    </row>
    <row r="5" spans="1:4" x14ac:dyDescent="0.35">
      <c r="A5" s="10"/>
      <c r="B5" s="47"/>
      <c r="C5" s="7"/>
      <c r="D5" s="9" t="s">
        <v>163</v>
      </c>
    </row>
    <row r="6" spans="1:4" x14ac:dyDescent="0.35">
      <c r="A6" s="10"/>
      <c r="B6" s="10"/>
      <c r="C6" s="32"/>
      <c r="D6" s="32"/>
    </row>
    <row r="7" spans="1:4" ht="15" x14ac:dyDescent="0.3">
      <c r="A7" s="179" t="s">
        <v>6</v>
      </c>
      <c r="B7" s="179"/>
      <c r="C7" s="179"/>
      <c r="D7" s="179"/>
    </row>
    <row r="8" spans="1:4" x14ac:dyDescent="0.35">
      <c r="A8" s="10"/>
      <c r="B8" s="57"/>
      <c r="C8" s="32"/>
      <c r="D8" s="32"/>
    </row>
    <row r="9" spans="1:4" x14ac:dyDescent="0.35">
      <c r="A9" s="160" t="s">
        <v>1</v>
      </c>
      <c r="B9" s="160"/>
      <c r="C9" s="32"/>
      <c r="D9" s="32"/>
    </row>
    <row r="10" spans="1:4" x14ac:dyDescent="0.35">
      <c r="A10" s="160" t="s">
        <v>0</v>
      </c>
      <c r="B10" s="160"/>
      <c r="C10" s="32"/>
      <c r="D10" s="32"/>
    </row>
    <row r="11" spans="1:4" x14ac:dyDescent="0.35">
      <c r="A11" s="5"/>
      <c r="B11" s="5" t="s">
        <v>165</v>
      </c>
      <c r="C11" s="130"/>
      <c r="D11" s="130"/>
    </row>
    <row r="12" spans="1:4" x14ac:dyDescent="0.35">
      <c r="A12" s="5"/>
      <c r="B12" s="5" t="s">
        <v>200</v>
      </c>
      <c r="C12" s="32"/>
      <c r="D12" s="32"/>
    </row>
    <row r="13" spans="1:4" x14ac:dyDescent="0.35">
      <c r="A13" s="5"/>
      <c r="B13" s="5" t="s">
        <v>201</v>
      </c>
      <c r="C13" s="32"/>
      <c r="D13" s="32"/>
    </row>
    <row r="14" spans="1:4" x14ac:dyDescent="0.35">
      <c r="A14" s="5"/>
      <c r="B14" s="5" t="s">
        <v>203</v>
      </c>
      <c r="C14" s="32"/>
      <c r="D14" s="32"/>
    </row>
    <row r="15" spans="1:4" x14ac:dyDescent="0.35">
      <c r="A15" s="5" t="s">
        <v>2</v>
      </c>
      <c r="B15" s="5" t="s">
        <v>124</v>
      </c>
      <c r="C15" s="32"/>
      <c r="D15" s="32"/>
    </row>
    <row r="16" spans="1:4" hidden="1" x14ac:dyDescent="0.35">
      <c r="A16" s="5"/>
      <c r="B16" s="5"/>
      <c r="C16" s="32"/>
      <c r="D16" s="32"/>
    </row>
    <row r="17" spans="1:4" ht="64.5" customHeight="1" x14ac:dyDescent="0.25">
      <c r="A17" s="17" t="s">
        <v>3</v>
      </c>
      <c r="B17" s="17" t="s">
        <v>4</v>
      </c>
      <c r="C17" s="34"/>
      <c r="D17" s="17" t="s">
        <v>64</v>
      </c>
    </row>
    <row r="18" spans="1:4" ht="15" x14ac:dyDescent="0.25">
      <c r="A18" s="18">
        <v>1</v>
      </c>
      <c r="B18" s="19">
        <v>2</v>
      </c>
      <c r="C18" s="19"/>
      <c r="D18" s="19">
        <v>3</v>
      </c>
    </row>
    <row r="19" spans="1:4" x14ac:dyDescent="0.35">
      <c r="A19" s="18"/>
      <c r="B19" s="21" t="s">
        <v>5</v>
      </c>
      <c r="C19" s="22"/>
      <c r="D19" s="22"/>
    </row>
    <row r="20" spans="1:4" x14ac:dyDescent="0.25">
      <c r="A20" s="42">
        <v>1100</v>
      </c>
      <c r="B20" s="42" t="s">
        <v>83</v>
      </c>
      <c r="C20" s="41">
        <v>218.9</v>
      </c>
      <c r="D20" s="41">
        <v>51.24</v>
      </c>
    </row>
    <row r="21" spans="1:4" ht="15.75" customHeight="1" x14ac:dyDescent="0.35">
      <c r="A21" s="42">
        <v>1200</v>
      </c>
      <c r="B21" s="22" t="s">
        <v>93</v>
      </c>
      <c r="C21" s="41">
        <f>C20*24.09%</f>
        <v>52.73301</v>
      </c>
      <c r="D21" s="41">
        <v>12.36</v>
      </c>
    </row>
    <row r="22" spans="1:4" ht="15.75" customHeight="1" x14ac:dyDescent="0.35">
      <c r="A22" s="42">
        <v>2311</v>
      </c>
      <c r="B22" s="26" t="s">
        <v>114</v>
      </c>
      <c r="C22" s="41">
        <v>10</v>
      </c>
      <c r="D22" s="41">
        <v>3</v>
      </c>
    </row>
    <row r="23" spans="1:4" ht="15.75" hidden="1" customHeight="1" x14ac:dyDescent="0.35">
      <c r="A23" s="42">
        <v>2312</v>
      </c>
      <c r="B23" s="26" t="s">
        <v>20</v>
      </c>
      <c r="C23" s="41"/>
      <c r="D23" s="41">
        <f>C23/20*5</f>
        <v>0</v>
      </c>
    </row>
    <row r="24" spans="1:4" ht="18.75" hidden="1" customHeight="1" x14ac:dyDescent="0.35">
      <c r="A24" s="45">
        <v>2341</v>
      </c>
      <c r="B24" s="26" t="s">
        <v>23</v>
      </c>
      <c r="C24" s="41">
        <v>0</v>
      </c>
      <c r="D24" s="41">
        <f>C24/20*5</f>
        <v>0</v>
      </c>
    </row>
    <row r="25" spans="1:4" hidden="1" x14ac:dyDescent="0.35">
      <c r="A25" s="42">
        <v>2350</v>
      </c>
      <c r="B25" s="26" t="s">
        <v>25</v>
      </c>
      <c r="C25" s="41">
        <v>0</v>
      </c>
      <c r="D25" s="41">
        <f>C25/20*5</f>
        <v>0</v>
      </c>
    </row>
    <row r="26" spans="1:4" hidden="1" x14ac:dyDescent="0.35">
      <c r="A26" s="42"/>
      <c r="B26" s="24"/>
      <c r="C26" s="41">
        <v>0</v>
      </c>
      <c r="D26" s="41">
        <f>C26/20*5</f>
        <v>0</v>
      </c>
    </row>
    <row r="27" spans="1:4" x14ac:dyDescent="0.3">
      <c r="A27" s="42"/>
      <c r="B27" s="28" t="s">
        <v>69</v>
      </c>
      <c r="C27" s="43">
        <f>SUM(C20:C26)</f>
        <v>281.63301000000001</v>
      </c>
      <c r="D27" s="43">
        <f>SUM(D20:D26)</f>
        <v>66.599999999999994</v>
      </c>
    </row>
    <row r="28" spans="1:4" x14ac:dyDescent="0.35">
      <c r="A28" s="44"/>
      <c r="B28" s="24" t="s">
        <v>70</v>
      </c>
      <c r="C28" s="41"/>
      <c r="D28" s="41"/>
    </row>
    <row r="29" spans="1:4" x14ac:dyDescent="0.35">
      <c r="A29" s="42">
        <v>1100</v>
      </c>
      <c r="B29" s="24" t="s">
        <v>83</v>
      </c>
      <c r="C29" s="41">
        <v>93.5</v>
      </c>
      <c r="D29" s="41">
        <v>13.2</v>
      </c>
    </row>
    <row r="30" spans="1:4" x14ac:dyDescent="0.25">
      <c r="A30" s="42">
        <v>1200</v>
      </c>
      <c r="B30" s="54" t="s">
        <v>93</v>
      </c>
      <c r="C30" s="41">
        <f>C29*24.09%</f>
        <v>22.524149999999999</v>
      </c>
      <c r="D30" s="41">
        <v>3.18</v>
      </c>
    </row>
    <row r="31" spans="1:4" hidden="1" x14ac:dyDescent="0.25">
      <c r="A31" s="42">
        <v>2100</v>
      </c>
      <c r="B31" s="30" t="s">
        <v>42</v>
      </c>
      <c r="C31" s="41">
        <v>0</v>
      </c>
      <c r="D31" s="41">
        <f>C31/20*5</f>
        <v>0</v>
      </c>
    </row>
    <row r="32" spans="1:4" x14ac:dyDescent="0.35">
      <c r="A32" s="45">
        <v>2210</v>
      </c>
      <c r="B32" s="26" t="s">
        <v>100</v>
      </c>
      <c r="C32" s="41">
        <v>7.5</v>
      </c>
      <c r="D32" s="41">
        <v>1.08</v>
      </c>
    </row>
    <row r="33" spans="1:4" x14ac:dyDescent="0.35">
      <c r="A33" s="42">
        <v>2222</v>
      </c>
      <c r="B33" s="26" t="s">
        <v>101</v>
      </c>
      <c r="C33" s="41">
        <v>13.5</v>
      </c>
      <c r="D33" s="41">
        <v>1.92</v>
      </c>
    </row>
    <row r="34" spans="1:4" x14ac:dyDescent="0.35">
      <c r="A34" s="42">
        <v>2223</v>
      </c>
      <c r="B34" s="26" t="s">
        <v>94</v>
      </c>
      <c r="C34" s="41">
        <v>26.5</v>
      </c>
      <c r="D34" s="41">
        <v>3.72</v>
      </c>
    </row>
    <row r="35" spans="1:4" x14ac:dyDescent="0.35">
      <c r="A35" s="42">
        <v>2235</v>
      </c>
      <c r="B35" s="26" t="s">
        <v>204</v>
      </c>
      <c r="C35" s="41">
        <v>24.85</v>
      </c>
      <c r="D35" s="41">
        <v>3.48</v>
      </c>
    </row>
    <row r="36" spans="1:4" hidden="1" x14ac:dyDescent="0.35">
      <c r="A36" s="42">
        <v>2230</v>
      </c>
      <c r="B36" s="26" t="s">
        <v>41</v>
      </c>
      <c r="C36" s="41"/>
      <c r="D36" s="41">
        <f>C36/20*5</f>
        <v>0</v>
      </c>
    </row>
    <row r="37" spans="1:4" x14ac:dyDescent="0.35">
      <c r="A37" s="42">
        <v>2241</v>
      </c>
      <c r="B37" s="26" t="s">
        <v>106</v>
      </c>
      <c r="C37" s="41">
        <v>12.5</v>
      </c>
      <c r="D37" s="41">
        <v>1.74</v>
      </c>
    </row>
    <row r="38" spans="1:4" x14ac:dyDescent="0.35">
      <c r="A38" s="42">
        <v>2242</v>
      </c>
      <c r="B38" s="26" t="s">
        <v>107</v>
      </c>
      <c r="C38" s="41">
        <v>0.36</v>
      </c>
      <c r="D38" s="41">
        <v>0.06</v>
      </c>
    </row>
    <row r="39" spans="1:4" x14ac:dyDescent="0.35">
      <c r="A39" s="42">
        <v>2243</v>
      </c>
      <c r="B39" s="26" t="s">
        <v>76</v>
      </c>
      <c r="C39" s="41">
        <v>15.1</v>
      </c>
      <c r="D39" s="41">
        <v>2.1</v>
      </c>
    </row>
    <row r="40" spans="1:4" x14ac:dyDescent="0.35">
      <c r="A40" s="42">
        <v>2244</v>
      </c>
      <c r="B40" s="26" t="s">
        <v>108</v>
      </c>
      <c r="C40" s="41">
        <v>17.899999999999999</v>
      </c>
      <c r="D40" s="41">
        <v>2.52</v>
      </c>
    </row>
    <row r="41" spans="1:4" x14ac:dyDescent="0.35">
      <c r="A41" s="42">
        <v>2247</v>
      </c>
      <c r="B41" s="21" t="s">
        <v>71</v>
      </c>
      <c r="C41" s="41">
        <v>0.12</v>
      </c>
      <c r="D41" s="41">
        <v>0.03</v>
      </c>
    </row>
    <row r="42" spans="1:4" hidden="1" x14ac:dyDescent="0.35">
      <c r="A42" s="42">
        <v>2249</v>
      </c>
      <c r="B42" s="26" t="s">
        <v>13</v>
      </c>
      <c r="C42" s="41">
        <v>0</v>
      </c>
      <c r="D42" s="41">
        <f>C42/20*5</f>
        <v>0</v>
      </c>
    </row>
    <row r="43" spans="1:4" x14ac:dyDescent="0.35">
      <c r="A43" s="42">
        <v>2250</v>
      </c>
      <c r="B43" s="26" t="s">
        <v>110</v>
      </c>
      <c r="C43" s="41">
        <v>9.8800000000000008</v>
      </c>
      <c r="D43" s="41">
        <v>1.38</v>
      </c>
    </row>
    <row r="44" spans="1:4" hidden="1" x14ac:dyDescent="0.35">
      <c r="A44" s="42">
        <v>2252</v>
      </c>
      <c r="B44" s="26" t="s">
        <v>8</v>
      </c>
      <c r="C44" s="41">
        <v>0</v>
      </c>
      <c r="D44" s="41">
        <f>C44/20*5</f>
        <v>0</v>
      </c>
    </row>
    <row r="45" spans="1:4" hidden="1" x14ac:dyDescent="0.35">
      <c r="A45" s="42">
        <v>2259</v>
      </c>
      <c r="B45" s="26" t="s">
        <v>9</v>
      </c>
      <c r="C45" s="41">
        <v>0</v>
      </c>
      <c r="D45" s="41">
        <f>C45/20*5</f>
        <v>0</v>
      </c>
    </row>
    <row r="46" spans="1:4" hidden="1" x14ac:dyDescent="0.35">
      <c r="A46" s="42">
        <v>2261</v>
      </c>
      <c r="B46" s="26" t="s">
        <v>128</v>
      </c>
      <c r="C46" s="41">
        <v>0.24</v>
      </c>
      <c r="D46" s="41">
        <v>0</v>
      </c>
    </row>
    <row r="47" spans="1:4" x14ac:dyDescent="0.35">
      <c r="A47" s="42">
        <v>2262</v>
      </c>
      <c r="B47" s="26" t="s">
        <v>111</v>
      </c>
      <c r="C47" s="41">
        <v>1.0900000000000001</v>
      </c>
      <c r="D47" s="41">
        <v>0.18</v>
      </c>
    </row>
    <row r="48" spans="1:4" x14ac:dyDescent="0.35">
      <c r="A48" s="42">
        <v>2263</v>
      </c>
      <c r="B48" s="26" t="s">
        <v>112</v>
      </c>
      <c r="C48" s="41">
        <v>5.9</v>
      </c>
      <c r="D48" s="41">
        <v>1.48</v>
      </c>
    </row>
    <row r="49" spans="1:4" hidden="1" x14ac:dyDescent="0.35">
      <c r="A49" s="42">
        <v>2264</v>
      </c>
      <c r="B49" s="26" t="s">
        <v>17</v>
      </c>
      <c r="C49" s="41">
        <v>0</v>
      </c>
      <c r="D49" s="41">
        <f>C49/20*5</f>
        <v>0</v>
      </c>
    </row>
    <row r="50" spans="1:4" x14ac:dyDescent="0.35">
      <c r="A50" s="42">
        <v>2311</v>
      </c>
      <c r="B50" s="26" t="s">
        <v>114</v>
      </c>
      <c r="C50" s="41">
        <v>0.43</v>
      </c>
      <c r="D50" s="41">
        <v>0.06</v>
      </c>
    </row>
    <row r="51" spans="1:4" x14ac:dyDescent="0.35">
      <c r="A51" s="42">
        <v>2312</v>
      </c>
      <c r="B51" s="26" t="s">
        <v>95</v>
      </c>
      <c r="C51" s="41">
        <v>14.88</v>
      </c>
      <c r="D51" s="41">
        <v>2.1</v>
      </c>
    </row>
    <row r="52" spans="1:4" x14ac:dyDescent="0.35">
      <c r="A52" s="42">
        <v>2321</v>
      </c>
      <c r="B52" s="26" t="s">
        <v>96</v>
      </c>
      <c r="C52" s="41">
        <v>25.5</v>
      </c>
      <c r="D52" s="41">
        <v>3.84</v>
      </c>
    </row>
    <row r="53" spans="1:4" x14ac:dyDescent="0.35">
      <c r="A53" s="42">
        <v>2322</v>
      </c>
      <c r="B53" s="26" t="s">
        <v>117</v>
      </c>
      <c r="C53" s="41">
        <v>0.73</v>
      </c>
      <c r="D53" s="41">
        <v>0.12</v>
      </c>
    </row>
    <row r="54" spans="1:4" x14ac:dyDescent="0.35">
      <c r="A54" s="42">
        <v>2341</v>
      </c>
      <c r="B54" s="26" t="s">
        <v>97</v>
      </c>
      <c r="C54" s="41">
        <v>0.12</v>
      </c>
      <c r="D54" s="41">
        <v>0.03</v>
      </c>
    </row>
    <row r="55" spans="1:4" hidden="1" x14ac:dyDescent="0.35">
      <c r="A55" s="42">
        <v>2344</v>
      </c>
      <c r="B55" s="26" t="s">
        <v>24</v>
      </c>
      <c r="C55" s="41">
        <v>0</v>
      </c>
      <c r="D55" s="41">
        <f>C55/20*5</f>
        <v>0</v>
      </c>
    </row>
    <row r="56" spans="1:4" x14ac:dyDescent="0.35">
      <c r="A56" s="42">
        <v>2350</v>
      </c>
      <c r="B56" s="26" t="s">
        <v>98</v>
      </c>
      <c r="C56" s="41">
        <v>3.51</v>
      </c>
      <c r="D56" s="41">
        <v>0.48</v>
      </c>
    </row>
    <row r="57" spans="1:4" x14ac:dyDescent="0.35">
      <c r="A57" s="42">
        <v>2361</v>
      </c>
      <c r="B57" s="26" t="s">
        <v>65</v>
      </c>
      <c r="C57" s="41">
        <v>2.12</v>
      </c>
      <c r="D57" s="41">
        <v>0.3</v>
      </c>
    </row>
    <row r="58" spans="1:4" hidden="1" x14ac:dyDescent="0.35">
      <c r="A58" s="42">
        <v>2362</v>
      </c>
      <c r="B58" s="26" t="s">
        <v>27</v>
      </c>
      <c r="C58" s="41">
        <v>0</v>
      </c>
      <c r="D58" s="41">
        <f>C58/20*5</f>
        <v>0</v>
      </c>
    </row>
    <row r="59" spans="1:4" hidden="1" x14ac:dyDescent="0.35">
      <c r="A59" s="42">
        <v>2363</v>
      </c>
      <c r="B59" s="26" t="s">
        <v>28</v>
      </c>
      <c r="C59" s="41">
        <v>0</v>
      </c>
      <c r="D59" s="41">
        <f>C59/20*5</f>
        <v>0</v>
      </c>
    </row>
    <row r="60" spans="1:4" hidden="1" x14ac:dyDescent="0.35">
      <c r="A60" s="42">
        <v>2370</v>
      </c>
      <c r="B60" s="26" t="s">
        <v>29</v>
      </c>
      <c r="C60" s="41">
        <v>0</v>
      </c>
      <c r="D60" s="41">
        <f>C60/20*5</f>
        <v>0</v>
      </c>
    </row>
    <row r="61" spans="1:4" x14ac:dyDescent="0.35">
      <c r="A61" s="42">
        <v>2400</v>
      </c>
      <c r="B61" s="26" t="s">
        <v>132</v>
      </c>
      <c r="C61" s="41">
        <v>0.18</v>
      </c>
      <c r="D61" s="41">
        <v>0.02</v>
      </c>
    </row>
    <row r="62" spans="1:4" hidden="1" x14ac:dyDescent="0.35">
      <c r="A62" s="42">
        <v>2512</v>
      </c>
      <c r="B62" s="26" t="s">
        <v>30</v>
      </c>
      <c r="C62" s="41">
        <v>0</v>
      </c>
      <c r="D62" s="41">
        <f>C62/20*5</f>
        <v>0</v>
      </c>
    </row>
    <row r="63" spans="1:4" x14ac:dyDescent="0.35">
      <c r="A63" s="42">
        <v>2513</v>
      </c>
      <c r="B63" s="26" t="s">
        <v>140</v>
      </c>
      <c r="C63" s="41">
        <v>2.85</v>
      </c>
      <c r="D63" s="41">
        <v>0.42</v>
      </c>
    </row>
    <row r="64" spans="1:4" x14ac:dyDescent="0.35">
      <c r="A64" s="42">
        <v>2515</v>
      </c>
      <c r="B64" s="26" t="s">
        <v>73</v>
      </c>
      <c r="C64" s="41">
        <v>0.12</v>
      </c>
      <c r="D64" s="41">
        <v>0.03</v>
      </c>
    </row>
    <row r="65" spans="1:4" x14ac:dyDescent="0.35">
      <c r="A65" s="42">
        <v>2519</v>
      </c>
      <c r="B65" s="26" t="s">
        <v>119</v>
      </c>
      <c r="C65" s="41">
        <v>0.73</v>
      </c>
      <c r="D65" s="41">
        <v>0.12</v>
      </c>
    </row>
    <row r="66" spans="1:4" hidden="1" x14ac:dyDescent="0.35">
      <c r="A66" s="42">
        <v>6240</v>
      </c>
      <c r="B66" s="26"/>
      <c r="C66" s="41">
        <v>0</v>
      </c>
      <c r="D66" s="41">
        <f>C66/20*5</f>
        <v>0</v>
      </c>
    </row>
    <row r="67" spans="1:4" hidden="1" x14ac:dyDescent="0.35">
      <c r="A67" s="42">
        <v>6290</v>
      </c>
      <c r="B67" s="26"/>
      <c r="C67" s="41">
        <v>0</v>
      </c>
      <c r="D67" s="41">
        <f>C67/20*5</f>
        <v>0</v>
      </c>
    </row>
    <row r="68" spans="1:4" x14ac:dyDescent="0.35">
      <c r="A68" s="42">
        <v>5238</v>
      </c>
      <c r="B68" s="26" t="s">
        <v>121</v>
      </c>
      <c r="C68" s="41">
        <v>29.5</v>
      </c>
      <c r="D68" s="41">
        <v>4.1399999999999997</v>
      </c>
    </row>
    <row r="69" spans="1:4" x14ac:dyDescent="0.35">
      <c r="A69" s="42">
        <v>5239</v>
      </c>
      <c r="B69" s="10" t="s">
        <v>122</v>
      </c>
      <c r="C69" s="41">
        <v>0</v>
      </c>
      <c r="D69" s="41">
        <v>7.95</v>
      </c>
    </row>
    <row r="70" spans="1:4" x14ac:dyDescent="0.35">
      <c r="A70" s="42">
        <v>5250</v>
      </c>
      <c r="B70" s="26" t="s">
        <v>123</v>
      </c>
      <c r="C70" s="41">
        <v>24.81</v>
      </c>
      <c r="D70" s="41">
        <v>3.72</v>
      </c>
    </row>
    <row r="71" spans="1:4" x14ac:dyDescent="0.3">
      <c r="A71" s="44"/>
      <c r="B71" s="31" t="s">
        <v>74</v>
      </c>
      <c r="C71" s="29">
        <f>SUM(C29:C70)</f>
        <v>356.94415000000009</v>
      </c>
      <c r="D71" s="29">
        <f>SUM(D29:D70)</f>
        <v>59.400000000000006</v>
      </c>
    </row>
    <row r="72" spans="1:4" x14ac:dyDescent="0.35">
      <c r="A72" s="23"/>
      <c r="B72" s="31" t="s">
        <v>75</v>
      </c>
      <c r="C72" s="29">
        <f>C71+C27</f>
        <v>638.57716000000005</v>
      </c>
      <c r="D72" s="29">
        <f>D27+D71</f>
        <v>126</v>
      </c>
    </row>
    <row r="73" spans="1:4" x14ac:dyDescent="0.35">
      <c r="A73" s="9"/>
      <c r="B73" s="32"/>
      <c r="C73" s="33"/>
      <c r="D73" s="33"/>
    </row>
    <row r="74" spans="1:4" x14ac:dyDescent="0.25">
      <c r="A74" s="177" t="s">
        <v>45</v>
      </c>
      <c r="B74" s="178"/>
      <c r="C74" s="34">
        <v>20</v>
      </c>
      <c r="D74" s="59">
        <v>6</v>
      </c>
    </row>
    <row r="75" spans="1:4" x14ac:dyDescent="0.35">
      <c r="A75" s="171" t="s">
        <v>66</v>
      </c>
      <c r="B75" s="172"/>
      <c r="C75" s="29">
        <f>C72/C74</f>
        <v>31.928858000000002</v>
      </c>
      <c r="D75" s="61">
        <f>D72/D74</f>
        <v>21</v>
      </c>
    </row>
    <row r="76" spans="1:4" x14ac:dyDescent="0.35">
      <c r="A76" s="32"/>
      <c r="B76" s="11"/>
      <c r="D76" s="86"/>
    </row>
    <row r="77" spans="1:4" x14ac:dyDescent="0.35">
      <c r="A77" s="171" t="s">
        <v>62</v>
      </c>
      <c r="B77" s="172"/>
      <c r="C77" s="56"/>
      <c r="D77" s="56"/>
    </row>
    <row r="78" spans="1:4" x14ac:dyDescent="0.35">
      <c r="A78" s="171" t="s">
        <v>67</v>
      </c>
      <c r="B78" s="172"/>
      <c r="C78" s="56"/>
      <c r="D78" s="56"/>
    </row>
    <row r="79" spans="1:4" x14ac:dyDescent="0.35">
      <c r="A79" s="37"/>
      <c r="B79" s="37"/>
      <c r="C79" s="37"/>
      <c r="D79" s="37"/>
    </row>
    <row r="80" spans="1:4" x14ac:dyDescent="0.35">
      <c r="A80" s="37" t="s">
        <v>46</v>
      </c>
      <c r="B80" s="37"/>
      <c r="C80" s="37"/>
      <c r="D80" s="37"/>
    </row>
    <row r="81" spans="1:4" x14ac:dyDescent="0.35">
      <c r="A81" s="37"/>
      <c r="B81" s="37"/>
      <c r="C81" s="37"/>
      <c r="D81" s="37"/>
    </row>
    <row r="82" spans="1:4" x14ac:dyDescent="0.35">
      <c r="A82" s="37" t="s">
        <v>162</v>
      </c>
      <c r="B82" s="38"/>
      <c r="C82" s="37"/>
      <c r="D82" s="37"/>
    </row>
    <row r="83" spans="1:4" x14ac:dyDescent="0.35">
      <c r="A83" s="37"/>
      <c r="B83" s="124"/>
      <c r="C83" s="37"/>
      <c r="D83" s="37"/>
    </row>
    <row r="84" spans="1:4" x14ac:dyDescent="0.35">
      <c r="A84" s="10"/>
      <c r="B84" s="6"/>
    </row>
    <row r="85" spans="1:4" x14ac:dyDescent="0.35">
      <c r="A85" s="10"/>
      <c r="B85" s="6"/>
    </row>
  </sheetData>
  <mergeCells count="8">
    <mergeCell ref="A77:B77"/>
    <mergeCell ref="A78:B78"/>
    <mergeCell ref="B2:D2"/>
    <mergeCell ref="A7:D7"/>
    <mergeCell ref="A9:B9"/>
    <mergeCell ref="A10:B10"/>
    <mergeCell ref="A74:B74"/>
    <mergeCell ref="A75:B75"/>
  </mergeCells>
  <pageMargins left="0.7" right="0.7" top="0.75" bottom="0.75" header="0.3" footer="0.3"/>
  <pageSetup paperSize="9" scale="65" orientation="portrait" verticalDpi="0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D85"/>
  <sheetViews>
    <sheetView topLeftCell="A37" zoomScale="80" zoomScaleNormal="80" workbookViewId="0">
      <selection activeCell="F50" sqref="F50"/>
    </sheetView>
  </sheetViews>
  <sheetFormatPr defaultRowHeight="15.5" x14ac:dyDescent="0.35"/>
  <cols>
    <col min="1" max="1" width="11.7265625" style="130" customWidth="1"/>
    <col min="2" max="2" width="93.7265625" style="130" customWidth="1"/>
    <col min="3" max="3" width="19.1796875" style="10" hidden="1" customWidth="1"/>
    <col min="4" max="4" width="31.81640625" style="10" customWidth="1"/>
  </cols>
  <sheetData>
    <row r="1" spans="1:4" x14ac:dyDescent="0.35">
      <c r="A1" s="10"/>
      <c r="B1" s="6"/>
      <c r="C1" s="7"/>
      <c r="D1" s="6" t="s">
        <v>7</v>
      </c>
    </row>
    <row r="2" spans="1:4" x14ac:dyDescent="0.35">
      <c r="A2" s="10"/>
      <c r="B2" s="163" t="s">
        <v>44</v>
      </c>
      <c r="C2" s="185"/>
      <c r="D2" s="185"/>
    </row>
    <row r="3" spans="1:4" x14ac:dyDescent="0.35">
      <c r="A3" s="10"/>
      <c r="B3" s="7"/>
      <c r="C3" s="48"/>
      <c r="D3" s="36" t="s">
        <v>91</v>
      </c>
    </row>
    <row r="4" spans="1:4" x14ac:dyDescent="0.35">
      <c r="A4" s="10"/>
      <c r="B4" s="6"/>
      <c r="D4" s="6"/>
    </row>
    <row r="5" spans="1:4" x14ac:dyDescent="0.35">
      <c r="A5" s="10"/>
      <c r="B5" s="47"/>
      <c r="C5" s="7"/>
      <c r="D5" s="9" t="s">
        <v>163</v>
      </c>
    </row>
    <row r="6" spans="1:4" x14ac:dyDescent="0.35">
      <c r="A6" s="10"/>
      <c r="B6" s="10"/>
      <c r="C6" s="32"/>
      <c r="D6" s="32"/>
    </row>
    <row r="7" spans="1:4" ht="15" x14ac:dyDescent="0.3">
      <c r="A7" s="179" t="s">
        <v>6</v>
      </c>
      <c r="B7" s="179"/>
      <c r="C7" s="179"/>
      <c r="D7" s="179"/>
    </row>
    <row r="8" spans="1:4" x14ac:dyDescent="0.35">
      <c r="A8" s="10"/>
      <c r="B8" s="57"/>
      <c r="C8" s="32"/>
      <c r="D8" s="32"/>
    </row>
    <row r="9" spans="1:4" x14ac:dyDescent="0.35">
      <c r="A9" s="160" t="s">
        <v>1</v>
      </c>
      <c r="B9" s="160"/>
      <c r="C9" s="32"/>
      <c r="D9" s="32"/>
    </row>
    <row r="10" spans="1:4" x14ac:dyDescent="0.35">
      <c r="A10" s="160" t="s">
        <v>0</v>
      </c>
      <c r="B10" s="160"/>
      <c r="C10" s="32"/>
      <c r="D10" s="32"/>
    </row>
    <row r="11" spans="1:4" x14ac:dyDescent="0.35">
      <c r="A11" s="5"/>
      <c r="B11" s="5" t="s">
        <v>165</v>
      </c>
      <c r="C11" s="130"/>
      <c r="D11" s="130"/>
    </row>
    <row r="12" spans="1:4" x14ac:dyDescent="0.35">
      <c r="A12" s="5"/>
      <c r="B12" s="5" t="s">
        <v>200</v>
      </c>
      <c r="C12" s="32"/>
      <c r="D12" s="32"/>
    </row>
    <row r="13" spans="1:4" x14ac:dyDescent="0.35">
      <c r="A13" s="5"/>
      <c r="B13" s="5" t="s">
        <v>201</v>
      </c>
      <c r="C13" s="32"/>
      <c r="D13" s="32"/>
    </row>
    <row r="14" spans="1:4" x14ac:dyDescent="0.35">
      <c r="A14" s="5"/>
      <c r="B14" s="5" t="s">
        <v>205</v>
      </c>
      <c r="C14" s="32"/>
      <c r="D14" s="32"/>
    </row>
    <row r="15" spans="1:4" x14ac:dyDescent="0.35">
      <c r="A15" s="5" t="s">
        <v>2</v>
      </c>
      <c r="B15" s="5" t="s">
        <v>124</v>
      </c>
      <c r="C15" s="32"/>
      <c r="D15" s="32"/>
    </row>
    <row r="16" spans="1:4" hidden="1" x14ac:dyDescent="0.35">
      <c r="A16" s="5"/>
      <c r="B16" s="5"/>
      <c r="C16" s="32"/>
      <c r="D16" s="32"/>
    </row>
    <row r="17" spans="1:4" ht="64.5" customHeight="1" x14ac:dyDescent="0.25">
      <c r="A17" s="17" t="s">
        <v>3</v>
      </c>
      <c r="B17" s="17" t="s">
        <v>4</v>
      </c>
      <c r="C17" s="34"/>
      <c r="D17" s="17" t="s">
        <v>64</v>
      </c>
    </row>
    <row r="18" spans="1:4" ht="15" x14ac:dyDescent="0.25">
      <c r="A18" s="18">
        <v>1</v>
      </c>
      <c r="B18" s="19">
        <v>2</v>
      </c>
      <c r="C18" s="19"/>
      <c r="D18" s="19">
        <v>3</v>
      </c>
    </row>
    <row r="19" spans="1:4" x14ac:dyDescent="0.35">
      <c r="A19" s="18"/>
      <c r="B19" s="21" t="s">
        <v>5</v>
      </c>
      <c r="C19" s="22"/>
      <c r="D19" s="22"/>
    </row>
    <row r="20" spans="1:4" x14ac:dyDescent="0.25">
      <c r="A20" s="42">
        <v>1100</v>
      </c>
      <c r="B20" s="42" t="s">
        <v>83</v>
      </c>
      <c r="C20" s="41">
        <v>218.9</v>
      </c>
      <c r="D20" s="41">
        <v>62.2</v>
      </c>
    </row>
    <row r="21" spans="1:4" ht="15.75" customHeight="1" x14ac:dyDescent="0.35">
      <c r="A21" s="42">
        <v>1200</v>
      </c>
      <c r="B21" s="22" t="s">
        <v>93</v>
      </c>
      <c r="C21" s="41">
        <f>C20*24.09%</f>
        <v>52.73301</v>
      </c>
      <c r="D21" s="41">
        <v>14.98</v>
      </c>
    </row>
    <row r="22" spans="1:4" ht="15.75" customHeight="1" x14ac:dyDescent="0.35">
      <c r="A22" s="42">
        <v>2311</v>
      </c>
      <c r="B22" s="26" t="s">
        <v>114</v>
      </c>
      <c r="C22" s="41">
        <v>10</v>
      </c>
      <c r="D22" s="41">
        <v>6</v>
      </c>
    </row>
    <row r="23" spans="1:4" ht="15.75" hidden="1" customHeight="1" x14ac:dyDescent="0.35">
      <c r="A23" s="42">
        <v>2312</v>
      </c>
      <c r="B23" s="26" t="s">
        <v>20</v>
      </c>
      <c r="C23" s="41"/>
      <c r="D23" s="41">
        <f>C23/20*5</f>
        <v>0</v>
      </c>
    </row>
    <row r="24" spans="1:4" ht="18.75" hidden="1" customHeight="1" x14ac:dyDescent="0.35">
      <c r="A24" s="45">
        <v>2341</v>
      </c>
      <c r="B24" s="26" t="s">
        <v>23</v>
      </c>
      <c r="C24" s="41">
        <v>0</v>
      </c>
      <c r="D24" s="41">
        <f>C24/20*5</f>
        <v>0</v>
      </c>
    </row>
    <row r="25" spans="1:4" hidden="1" x14ac:dyDescent="0.35">
      <c r="A25" s="42">
        <v>2350</v>
      </c>
      <c r="B25" s="26" t="s">
        <v>25</v>
      </c>
      <c r="C25" s="41">
        <v>0</v>
      </c>
      <c r="D25" s="41">
        <f>C25/20*5</f>
        <v>0</v>
      </c>
    </row>
    <row r="26" spans="1:4" hidden="1" x14ac:dyDescent="0.35">
      <c r="A26" s="42"/>
      <c r="B26" s="24"/>
      <c r="C26" s="41">
        <v>0</v>
      </c>
      <c r="D26" s="41">
        <f>C26/20*5</f>
        <v>0</v>
      </c>
    </row>
    <row r="27" spans="1:4" x14ac:dyDescent="0.3">
      <c r="A27" s="42"/>
      <c r="B27" s="28" t="s">
        <v>69</v>
      </c>
      <c r="C27" s="43">
        <f>SUM(C20:C26)</f>
        <v>281.63301000000001</v>
      </c>
      <c r="D27" s="43">
        <f>SUM(D20:D26)</f>
        <v>83.18</v>
      </c>
    </row>
    <row r="28" spans="1:4" x14ac:dyDescent="0.35">
      <c r="A28" s="44"/>
      <c r="B28" s="24" t="s">
        <v>70</v>
      </c>
      <c r="C28" s="41"/>
      <c r="D28" s="41"/>
    </row>
    <row r="29" spans="1:4" x14ac:dyDescent="0.35">
      <c r="A29" s="42">
        <v>1100</v>
      </c>
      <c r="B29" s="24" t="s">
        <v>83</v>
      </c>
      <c r="C29" s="41">
        <v>93.5</v>
      </c>
      <c r="D29" s="41">
        <v>13.2</v>
      </c>
    </row>
    <row r="30" spans="1:4" ht="14.25" customHeight="1" x14ac:dyDescent="0.25">
      <c r="A30" s="42">
        <v>1200</v>
      </c>
      <c r="B30" s="54" t="s">
        <v>93</v>
      </c>
      <c r="C30" s="41">
        <f>C29*24.09%</f>
        <v>22.524149999999999</v>
      </c>
      <c r="D30" s="41">
        <v>3.18</v>
      </c>
    </row>
    <row r="31" spans="1:4" hidden="1" x14ac:dyDescent="0.25">
      <c r="A31" s="42">
        <v>2100</v>
      </c>
      <c r="B31" s="30" t="s">
        <v>42</v>
      </c>
      <c r="C31" s="41">
        <v>0</v>
      </c>
      <c r="D31" s="41">
        <f>C31/20*5</f>
        <v>0</v>
      </c>
    </row>
    <row r="32" spans="1:4" x14ac:dyDescent="0.35">
      <c r="A32" s="45">
        <v>2210</v>
      </c>
      <c r="B32" s="26" t="s">
        <v>100</v>
      </c>
      <c r="C32" s="41">
        <v>7.5</v>
      </c>
      <c r="D32" s="41">
        <v>1.08</v>
      </c>
    </row>
    <row r="33" spans="1:4" x14ac:dyDescent="0.35">
      <c r="A33" s="42">
        <v>2222</v>
      </c>
      <c r="B33" s="26" t="s">
        <v>101</v>
      </c>
      <c r="C33" s="41">
        <v>13.5</v>
      </c>
      <c r="D33" s="41">
        <v>1.92</v>
      </c>
    </row>
    <row r="34" spans="1:4" x14ac:dyDescent="0.35">
      <c r="A34" s="42">
        <v>2223</v>
      </c>
      <c r="B34" s="26" t="s">
        <v>94</v>
      </c>
      <c r="C34" s="41">
        <v>26.5</v>
      </c>
      <c r="D34" s="41">
        <v>3.72</v>
      </c>
    </row>
    <row r="35" spans="1:4" x14ac:dyDescent="0.35">
      <c r="A35" s="42">
        <v>2235</v>
      </c>
      <c r="B35" s="26" t="s">
        <v>161</v>
      </c>
      <c r="C35" s="41">
        <v>24.85</v>
      </c>
      <c r="D35" s="41">
        <v>3.48</v>
      </c>
    </row>
    <row r="36" spans="1:4" hidden="1" x14ac:dyDescent="0.35">
      <c r="A36" s="42">
        <v>2230</v>
      </c>
      <c r="B36" s="26" t="s">
        <v>41</v>
      </c>
      <c r="C36" s="41"/>
      <c r="D36" s="41">
        <f>C36/20*5</f>
        <v>0</v>
      </c>
    </row>
    <row r="37" spans="1:4" x14ac:dyDescent="0.35">
      <c r="A37" s="42">
        <v>2241</v>
      </c>
      <c r="B37" s="26" t="s">
        <v>106</v>
      </c>
      <c r="C37" s="41">
        <v>12.5</v>
      </c>
      <c r="D37" s="41">
        <v>1.74</v>
      </c>
    </row>
    <row r="38" spans="1:4" x14ac:dyDescent="0.35">
      <c r="A38" s="42">
        <v>2242</v>
      </c>
      <c r="B38" s="26" t="s">
        <v>107</v>
      </c>
      <c r="C38" s="41">
        <v>0.36</v>
      </c>
      <c r="D38" s="41">
        <v>0.06</v>
      </c>
    </row>
    <row r="39" spans="1:4" x14ac:dyDescent="0.35">
      <c r="A39" s="42">
        <v>2243</v>
      </c>
      <c r="B39" s="26" t="s">
        <v>76</v>
      </c>
      <c r="C39" s="41">
        <v>15.1</v>
      </c>
      <c r="D39" s="41">
        <v>2.1</v>
      </c>
    </row>
    <row r="40" spans="1:4" x14ac:dyDescent="0.35">
      <c r="A40" s="42">
        <v>2244</v>
      </c>
      <c r="B40" s="26" t="s">
        <v>108</v>
      </c>
      <c r="C40" s="41">
        <v>17.899999999999999</v>
      </c>
      <c r="D40" s="41">
        <f>2.52+0.55</f>
        <v>3.0700000000000003</v>
      </c>
    </row>
    <row r="41" spans="1:4" x14ac:dyDescent="0.35">
      <c r="A41" s="42">
        <v>2247</v>
      </c>
      <c r="B41" s="21" t="s">
        <v>71</v>
      </c>
      <c r="C41" s="41">
        <v>0.12</v>
      </c>
      <c r="D41" s="41">
        <v>0.03</v>
      </c>
    </row>
    <row r="42" spans="1:4" hidden="1" x14ac:dyDescent="0.35">
      <c r="A42" s="42">
        <v>2249</v>
      </c>
      <c r="B42" s="26" t="s">
        <v>13</v>
      </c>
      <c r="C42" s="41">
        <v>0</v>
      </c>
      <c r="D42" s="41">
        <f>C42/20*5</f>
        <v>0</v>
      </c>
    </row>
    <row r="43" spans="1:4" x14ac:dyDescent="0.35">
      <c r="A43" s="42">
        <v>2250</v>
      </c>
      <c r="B43" s="26" t="s">
        <v>110</v>
      </c>
      <c r="C43" s="41">
        <v>9.8800000000000008</v>
      </c>
      <c r="D43" s="41">
        <v>1.38</v>
      </c>
    </row>
    <row r="44" spans="1:4" hidden="1" x14ac:dyDescent="0.35">
      <c r="A44" s="42">
        <v>2252</v>
      </c>
      <c r="B44" s="26" t="s">
        <v>8</v>
      </c>
      <c r="C44" s="41">
        <v>0</v>
      </c>
      <c r="D44" s="41">
        <f>C44/20*5</f>
        <v>0</v>
      </c>
    </row>
    <row r="45" spans="1:4" hidden="1" x14ac:dyDescent="0.35">
      <c r="A45" s="42">
        <v>2259</v>
      </c>
      <c r="B45" s="26" t="s">
        <v>9</v>
      </c>
      <c r="C45" s="41">
        <v>0</v>
      </c>
      <c r="D45" s="41">
        <f>C45/20*5</f>
        <v>0</v>
      </c>
    </row>
    <row r="46" spans="1:4" hidden="1" x14ac:dyDescent="0.35">
      <c r="A46" s="42">
        <v>2261</v>
      </c>
      <c r="B46" s="26" t="s">
        <v>128</v>
      </c>
      <c r="C46" s="41">
        <v>0.24</v>
      </c>
      <c r="D46" s="41">
        <v>0</v>
      </c>
    </row>
    <row r="47" spans="1:4" x14ac:dyDescent="0.35">
      <c r="A47" s="42">
        <v>2262</v>
      </c>
      <c r="B47" s="26" t="s">
        <v>111</v>
      </c>
      <c r="C47" s="41">
        <v>1.0900000000000001</v>
      </c>
      <c r="D47" s="41">
        <v>0.18</v>
      </c>
    </row>
    <row r="48" spans="1:4" x14ac:dyDescent="0.35">
      <c r="A48" s="42">
        <v>2263</v>
      </c>
      <c r="B48" s="26" t="s">
        <v>112</v>
      </c>
      <c r="C48" s="41">
        <v>5.9</v>
      </c>
      <c r="D48" s="41">
        <v>0.84</v>
      </c>
    </row>
    <row r="49" spans="1:4" hidden="1" x14ac:dyDescent="0.35">
      <c r="A49" s="42">
        <v>2264</v>
      </c>
      <c r="B49" s="26" t="s">
        <v>17</v>
      </c>
      <c r="C49" s="41">
        <v>0</v>
      </c>
      <c r="D49" s="41">
        <f>C49/20*5</f>
        <v>0</v>
      </c>
    </row>
    <row r="50" spans="1:4" x14ac:dyDescent="0.35">
      <c r="A50" s="42">
        <v>2311</v>
      </c>
      <c r="B50" s="26" t="s">
        <v>114</v>
      </c>
      <c r="C50" s="41">
        <v>0.43</v>
      </c>
      <c r="D50" s="41">
        <v>0.06</v>
      </c>
    </row>
    <row r="51" spans="1:4" x14ac:dyDescent="0.35">
      <c r="A51" s="42">
        <v>2312</v>
      </c>
      <c r="B51" s="26" t="s">
        <v>95</v>
      </c>
      <c r="C51" s="41">
        <v>14.88</v>
      </c>
      <c r="D51" s="41">
        <v>2.1</v>
      </c>
    </row>
    <row r="52" spans="1:4" x14ac:dyDescent="0.35">
      <c r="A52" s="42">
        <v>2321</v>
      </c>
      <c r="B52" s="26" t="s">
        <v>96</v>
      </c>
      <c r="C52" s="41">
        <v>25.5</v>
      </c>
      <c r="D52" s="41">
        <v>3.84</v>
      </c>
    </row>
    <row r="53" spans="1:4" x14ac:dyDescent="0.35">
      <c r="A53" s="42">
        <v>2322</v>
      </c>
      <c r="B53" s="26" t="s">
        <v>117</v>
      </c>
      <c r="C53" s="41">
        <v>0.73</v>
      </c>
      <c r="D53" s="41">
        <v>0.12</v>
      </c>
    </row>
    <row r="54" spans="1:4" x14ac:dyDescent="0.35">
      <c r="A54" s="42">
        <v>2341</v>
      </c>
      <c r="B54" s="26" t="s">
        <v>97</v>
      </c>
      <c r="C54" s="41">
        <v>0.12</v>
      </c>
      <c r="D54" s="41">
        <v>0.09</v>
      </c>
    </row>
    <row r="55" spans="1:4" hidden="1" x14ac:dyDescent="0.35">
      <c r="A55" s="42">
        <v>2344</v>
      </c>
      <c r="B55" s="26" t="s">
        <v>24</v>
      </c>
      <c r="C55" s="41">
        <v>0</v>
      </c>
      <c r="D55" s="41">
        <f>C55/20*5</f>
        <v>0</v>
      </c>
    </row>
    <row r="56" spans="1:4" x14ac:dyDescent="0.35">
      <c r="A56" s="42">
        <v>2350</v>
      </c>
      <c r="B56" s="26" t="s">
        <v>98</v>
      </c>
      <c r="C56" s="41">
        <v>3.51</v>
      </c>
      <c r="D56" s="41">
        <v>0.48</v>
      </c>
    </row>
    <row r="57" spans="1:4" x14ac:dyDescent="0.35">
      <c r="A57" s="42">
        <v>2361</v>
      </c>
      <c r="B57" s="26" t="s">
        <v>65</v>
      </c>
      <c r="C57" s="41">
        <v>2.12</v>
      </c>
      <c r="D57" s="41">
        <v>0.3</v>
      </c>
    </row>
    <row r="58" spans="1:4" hidden="1" x14ac:dyDescent="0.35">
      <c r="A58" s="42">
        <v>2362</v>
      </c>
      <c r="B58" s="26" t="s">
        <v>27</v>
      </c>
      <c r="C58" s="41">
        <v>0</v>
      </c>
      <c r="D58" s="41">
        <f>C58/20*5</f>
        <v>0</v>
      </c>
    </row>
    <row r="59" spans="1:4" hidden="1" x14ac:dyDescent="0.35">
      <c r="A59" s="42">
        <v>2363</v>
      </c>
      <c r="B59" s="26" t="s">
        <v>28</v>
      </c>
      <c r="C59" s="41">
        <v>0</v>
      </c>
      <c r="D59" s="41">
        <f>C59/20*5</f>
        <v>0</v>
      </c>
    </row>
    <row r="60" spans="1:4" hidden="1" x14ac:dyDescent="0.35">
      <c r="A60" s="42">
        <v>2370</v>
      </c>
      <c r="B60" s="26" t="s">
        <v>29</v>
      </c>
      <c r="C60" s="41">
        <v>0</v>
      </c>
      <c r="D60" s="41">
        <f>C60/20*5</f>
        <v>0</v>
      </c>
    </row>
    <row r="61" spans="1:4" x14ac:dyDescent="0.35">
      <c r="A61" s="42">
        <v>2400</v>
      </c>
      <c r="B61" s="26" t="s">
        <v>132</v>
      </c>
      <c r="C61" s="41">
        <v>0.18</v>
      </c>
      <c r="D61" s="41">
        <v>0.02</v>
      </c>
    </row>
    <row r="62" spans="1:4" hidden="1" x14ac:dyDescent="0.35">
      <c r="A62" s="42">
        <v>2512</v>
      </c>
      <c r="B62" s="26" t="s">
        <v>30</v>
      </c>
      <c r="C62" s="41">
        <v>0</v>
      </c>
      <c r="D62" s="41">
        <f>C62/20*5</f>
        <v>0</v>
      </c>
    </row>
    <row r="63" spans="1:4" x14ac:dyDescent="0.35">
      <c r="A63" s="42">
        <v>2513</v>
      </c>
      <c r="B63" s="26" t="s">
        <v>140</v>
      </c>
      <c r="C63" s="41">
        <v>2.85</v>
      </c>
      <c r="D63" s="41">
        <v>0.42</v>
      </c>
    </row>
    <row r="64" spans="1:4" x14ac:dyDescent="0.35">
      <c r="A64" s="42">
        <v>2515</v>
      </c>
      <c r="B64" s="26" t="s">
        <v>73</v>
      </c>
      <c r="C64" s="41">
        <v>0.12</v>
      </c>
      <c r="D64" s="41">
        <v>0.03</v>
      </c>
    </row>
    <row r="65" spans="1:4" x14ac:dyDescent="0.35">
      <c r="A65" s="42">
        <v>2519</v>
      </c>
      <c r="B65" s="26" t="s">
        <v>119</v>
      </c>
      <c r="C65" s="41">
        <v>0.73</v>
      </c>
      <c r="D65" s="41">
        <v>0.12</v>
      </c>
    </row>
    <row r="66" spans="1:4" hidden="1" x14ac:dyDescent="0.35">
      <c r="A66" s="42">
        <v>6240</v>
      </c>
      <c r="B66" s="26"/>
      <c r="C66" s="41">
        <v>0</v>
      </c>
      <c r="D66" s="41">
        <f>C66/20*5</f>
        <v>0</v>
      </c>
    </row>
    <row r="67" spans="1:4" hidden="1" x14ac:dyDescent="0.35">
      <c r="A67" s="42">
        <v>6290</v>
      </c>
      <c r="B67" s="26"/>
      <c r="C67" s="41">
        <v>0</v>
      </c>
      <c r="D67" s="41">
        <f>C67/20*5</f>
        <v>0</v>
      </c>
    </row>
    <row r="68" spans="1:4" x14ac:dyDescent="0.35">
      <c r="A68" s="42">
        <v>5238</v>
      </c>
      <c r="B68" s="26" t="s">
        <v>121</v>
      </c>
      <c r="C68" s="41">
        <v>29.5</v>
      </c>
      <c r="D68" s="41">
        <v>4.1399999999999997</v>
      </c>
    </row>
    <row r="69" spans="1:4" x14ac:dyDescent="0.35">
      <c r="A69" s="42">
        <v>5239</v>
      </c>
      <c r="B69" s="10" t="s">
        <v>122</v>
      </c>
      <c r="C69" s="41">
        <v>0</v>
      </c>
      <c r="D69" s="41">
        <v>7.98</v>
      </c>
    </row>
    <row r="70" spans="1:4" x14ac:dyDescent="0.35">
      <c r="A70" s="42">
        <v>5250</v>
      </c>
      <c r="B70" s="26" t="s">
        <v>123</v>
      </c>
      <c r="C70" s="41">
        <v>24.81</v>
      </c>
      <c r="D70" s="41">
        <v>5.14</v>
      </c>
    </row>
    <row r="71" spans="1:4" x14ac:dyDescent="0.3">
      <c r="A71" s="44"/>
      <c r="B71" s="31" t="s">
        <v>74</v>
      </c>
      <c r="C71" s="29">
        <f>SUM(C29:C70)</f>
        <v>356.94415000000009</v>
      </c>
      <c r="D71" s="29">
        <f>SUM(D29:D70)</f>
        <v>60.820000000000007</v>
      </c>
    </row>
    <row r="72" spans="1:4" x14ac:dyDescent="0.35">
      <c r="A72" s="23"/>
      <c r="B72" s="31" t="s">
        <v>75</v>
      </c>
      <c r="C72" s="29">
        <f>C71+C27</f>
        <v>638.57716000000005</v>
      </c>
      <c r="D72" s="29">
        <f>D71+D27</f>
        <v>144</v>
      </c>
    </row>
    <row r="73" spans="1:4" x14ac:dyDescent="0.35">
      <c r="A73" s="9"/>
      <c r="B73" s="32"/>
      <c r="C73" s="33"/>
      <c r="D73" s="33"/>
    </row>
    <row r="74" spans="1:4" x14ac:dyDescent="0.25">
      <c r="A74" s="177" t="s">
        <v>45</v>
      </c>
      <c r="B74" s="178"/>
      <c r="C74" s="34">
        <v>20</v>
      </c>
      <c r="D74" s="59">
        <v>12</v>
      </c>
    </row>
    <row r="75" spans="1:4" x14ac:dyDescent="0.35">
      <c r="A75" s="171" t="s">
        <v>66</v>
      </c>
      <c r="B75" s="172"/>
      <c r="C75" s="29">
        <f>C72/C74</f>
        <v>31.928858000000002</v>
      </c>
      <c r="D75" s="61">
        <f>D72/D74</f>
        <v>12</v>
      </c>
    </row>
    <row r="76" spans="1:4" x14ac:dyDescent="0.35">
      <c r="A76" s="32"/>
      <c r="B76" s="11"/>
      <c r="D76" s="86"/>
    </row>
    <row r="77" spans="1:4" x14ac:dyDescent="0.35">
      <c r="A77" s="171" t="s">
        <v>62</v>
      </c>
      <c r="B77" s="172"/>
      <c r="C77" s="56"/>
      <c r="D77" s="56"/>
    </row>
    <row r="78" spans="1:4" x14ac:dyDescent="0.35">
      <c r="A78" s="171" t="s">
        <v>67</v>
      </c>
      <c r="B78" s="172"/>
      <c r="C78" s="56"/>
      <c r="D78" s="117"/>
    </row>
    <row r="79" spans="1:4" x14ac:dyDescent="0.35">
      <c r="A79" s="37"/>
      <c r="B79" s="37"/>
      <c r="C79" s="37"/>
      <c r="D79" s="37"/>
    </row>
    <row r="80" spans="1:4" x14ac:dyDescent="0.35">
      <c r="A80" s="37" t="s">
        <v>46</v>
      </c>
      <c r="B80" s="37"/>
      <c r="C80" s="37"/>
      <c r="D80" s="37"/>
    </row>
    <row r="81" spans="1:4" x14ac:dyDescent="0.35">
      <c r="A81" s="37"/>
      <c r="B81" s="37"/>
      <c r="C81" s="37"/>
      <c r="D81" s="37"/>
    </row>
    <row r="82" spans="1:4" x14ac:dyDescent="0.35">
      <c r="A82" s="37" t="s">
        <v>162</v>
      </c>
      <c r="B82" s="38"/>
      <c r="C82" s="37"/>
      <c r="D82" s="37"/>
    </row>
    <row r="83" spans="1:4" x14ac:dyDescent="0.35">
      <c r="A83" s="37"/>
      <c r="B83" s="124"/>
      <c r="C83" s="37"/>
      <c r="D83" s="37"/>
    </row>
    <row r="84" spans="1:4" x14ac:dyDescent="0.35">
      <c r="A84" s="10"/>
      <c r="B84" s="6"/>
    </row>
    <row r="85" spans="1:4" x14ac:dyDescent="0.35">
      <c r="A85" s="10"/>
      <c r="B85" s="6"/>
    </row>
  </sheetData>
  <mergeCells count="8">
    <mergeCell ref="A77:B77"/>
    <mergeCell ref="A78:B78"/>
    <mergeCell ref="B2:D2"/>
    <mergeCell ref="A7:D7"/>
    <mergeCell ref="A9:B9"/>
    <mergeCell ref="A10:B10"/>
    <mergeCell ref="A74:B74"/>
    <mergeCell ref="A75:B7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F66"/>
  <sheetViews>
    <sheetView view="pageLayout" topLeftCell="A38" zoomScale="80" zoomScaleNormal="100" zoomScalePageLayoutView="80" workbookViewId="0">
      <selection activeCell="A27" sqref="A27:XFD27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206</v>
      </c>
      <c r="C12" s="5"/>
      <c r="D12" s="10"/>
    </row>
    <row r="13" spans="1:4" ht="15.5" x14ac:dyDescent="0.25">
      <c r="A13" s="5"/>
      <c r="B13" s="160" t="s">
        <v>207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209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49.3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x14ac:dyDescent="0.25">
      <c r="A22" s="45">
        <v>2223</v>
      </c>
      <c r="B22" s="54" t="s">
        <v>94</v>
      </c>
      <c r="C22" s="54"/>
      <c r="D22" s="41">
        <v>3.1</v>
      </c>
    </row>
    <row r="23" spans="1:4" ht="15.5" hidden="1" x14ac:dyDescent="0.35">
      <c r="A23" s="42">
        <v>2243</v>
      </c>
      <c r="B23" s="26" t="s">
        <v>76</v>
      </c>
      <c r="C23" s="26"/>
      <c r="D23" s="41">
        <v>0</v>
      </c>
    </row>
    <row r="24" spans="1:4" ht="15.5" hidden="1" x14ac:dyDescent="0.35">
      <c r="A24" s="42">
        <v>2250</v>
      </c>
      <c r="B24" s="21" t="s">
        <v>110</v>
      </c>
      <c r="C24" s="21"/>
      <c r="D24" s="41">
        <v>0</v>
      </c>
    </row>
    <row r="25" spans="1:4" ht="15.5" hidden="1" x14ac:dyDescent="0.35">
      <c r="A25" s="24">
        <v>2311</v>
      </c>
      <c r="B25" s="26" t="s">
        <v>114</v>
      </c>
      <c r="C25" s="26"/>
      <c r="D25" s="41"/>
    </row>
    <row r="26" spans="1:4" ht="15.5" x14ac:dyDescent="0.35">
      <c r="A26" s="24">
        <v>2321</v>
      </c>
      <c r="B26" s="26" t="s">
        <v>96</v>
      </c>
      <c r="C26" s="26"/>
      <c r="D26" s="41">
        <v>2.88</v>
      </c>
    </row>
    <row r="27" spans="1:4" ht="15.5" hidden="1" x14ac:dyDescent="0.35">
      <c r="A27" s="24">
        <v>2370</v>
      </c>
      <c r="B27" s="22" t="s">
        <v>131</v>
      </c>
      <c r="C27" s="26"/>
      <c r="D27" s="41">
        <v>0</v>
      </c>
    </row>
    <row r="28" spans="1:4" ht="15.5" x14ac:dyDescent="0.3">
      <c r="A28" s="42"/>
      <c r="B28" s="28" t="s">
        <v>69</v>
      </c>
      <c r="C28" s="28"/>
      <c r="D28" s="43">
        <f>SUM(D19:D27)</f>
        <v>264.28000000000003</v>
      </c>
    </row>
    <row r="29" spans="1:4" ht="15.5" x14ac:dyDescent="0.35">
      <c r="A29" s="44"/>
      <c r="B29" s="24" t="s">
        <v>70</v>
      </c>
      <c r="C29" s="24"/>
      <c r="D29" s="41"/>
    </row>
    <row r="30" spans="1:4" ht="15.5" x14ac:dyDescent="0.35">
      <c r="A30" s="42">
        <v>1100</v>
      </c>
      <c r="B30" s="24" t="s">
        <v>83</v>
      </c>
      <c r="C30" s="102">
        <v>0.51439999999999997</v>
      </c>
      <c r="D30" s="41">
        <v>41.01</v>
      </c>
    </row>
    <row r="31" spans="1:4" ht="15.75" customHeight="1" x14ac:dyDescent="0.3">
      <c r="A31" s="42">
        <v>1200</v>
      </c>
      <c r="B31" s="54" t="s">
        <v>93</v>
      </c>
      <c r="C31" s="102">
        <f>C30*0.2359</f>
        <v>0.12134695999999999</v>
      </c>
      <c r="D31" s="41">
        <v>9.67</v>
      </c>
    </row>
    <row r="32" spans="1:4" ht="15.5" x14ac:dyDescent="0.3">
      <c r="A32" s="42">
        <v>2100</v>
      </c>
      <c r="B32" s="30" t="s">
        <v>42</v>
      </c>
      <c r="C32" s="102">
        <v>8.0999999999999996E-4</v>
      </c>
      <c r="D32" s="41">
        <v>0.06</v>
      </c>
    </row>
    <row r="33" spans="1:4" ht="15.5" x14ac:dyDescent="0.35">
      <c r="A33" s="45">
        <v>2210</v>
      </c>
      <c r="B33" s="26" t="s">
        <v>100</v>
      </c>
      <c r="C33" s="102">
        <v>8.0000000000000002E-3</v>
      </c>
      <c r="D33" s="41">
        <v>0.64</v>
      </c>
    </row>
    <row r="34" spans="1:4" ht="15.5" x14ac:dyDescent="0.35">
      <c r="A34" s="42">
        <v>2222</v>
      </c>
      <c r="B34" s="26" t="s">
        <v>101</v>
      </c>
      <c r="C34" s="102">
        <v>4.4400000000000004E-3</v>
      </c>
      <c r="D34" s="41">
        <v>0.35</v>
      </c>
    </row>
    <row r="35" spans="1:4" ht="15.5" x14ac:dyDescent="0.35">
      <c r="A35" s="42">
        <v>2223</v>
      </c>
      <c r="B35" s="26" t="s">
        <v>94</v>
      </c>
      <c r="C35" s="102">
        <v>5.4940000000000003E-2</v>
      </c>
      <c r="D35" s="41">
        <v>4.38</v>
      </c>
    </row>
    <row r="36" spans="1:4" ht="31" x14ac:dyDescent="0.35">
      <c r="A36" s="42">
        <v>2224</v>
      </c>
      <c r="B36" s="26" t="s">
        <v>102</v>
      </c>
      <c r="C36" s="102">
        <v>3.0899999999999999E-3</v>
      </c>
      <c r="D36" s="41">
        <v>0.25</v>
      </c>
    </row>
    <row r="37" spans="1:4" ht="15.5" x14ac:dyDescent="0.35">
      <c r="A37" s="42">
        <v>2241</v>
      </c>
      <c r="B37" s="26" t="s">
        <v>106</v>
      </c>
      <c r="C37" s="102">
        <v>1.6500000000000001E-2</v>
      </c>
      <c r="D37" s="41">
        <v>1.32</v>
      </c>
    </row>
    <row r="38" spans="1:4" ht="15.5" x14ac:dyDescent="0.35">
      <c r="A38" s="42">
        <v>2242</v>
      </c>
      <c r="B38" s="26" t="s">
        <v>107</v>
      </c>
      <c r="C38" s="102">
        <v>8.4999999999999995E-4</v>
      </c>
      <c r="D38" s="41">
        <v>7.0000000000000007E-2</v>
      </c>
    </row>
    <row r="39" spans="1:4" ht="15.5" x14ac:dyDescent="0.35">
      <c r="A39" s="42">
        <v>2243</v>
      </c>
      <c r="B39" s="26" t="s">
        <v>76</v>
      </c>
      <c r="C39" s="102">
        <f>0.0004+0.02029</f>
        <v>2.069E-2</v>
      </c>
      <c r="D39" s="41">
        <v>1.65</v>
      </c>
    </row>
    <row r="40" spans="1:4" ht="15.5" x14ac:dyDescent="0.35">
      <c r="A40" s="23">
        <v>2244</v>
      </c>
      <c r="B40" s="26" t="s">
        <v>108</v>
      </c>
      <c r="C40" s="102">
        <v>6.8070000000000006E-2</v>
      </c>
      <c r="D40" s="41">
        <v>5.43</v>
      </c>
    </row>
    <row r="41" spans="1:4" ht="15.5" x14ac:dyDescent="0.35">
      <c r="A41" s="24">
        <v>2250</v>
      </c>
      <c r="B41" s="26" t="s">
        <v>110</v>
      </c>
      <c r="C41" s="102">
        <v>2.8400000000000002E-2</v>
      </c>
      <c r="D41" s="41">
        <v>2.2599999999999998</v>
      </c>
    </row>
    <row r="42" spans="1:4" ht="15.5" x14ac:dyDescent="0.35">
      <c r="A42" s="24">
        <v>2312</v>
      </c>
      <c r="B42" s="26" t="s">
        <v>95</v>
      </c>
      <c r="C42" s="26">
        <v>2.98E-2</v>
      </c>
      <c r="D42" s="41">
        <v>2.38</v>
      </c>
    </row>
    <row r="43" spans="1:4" ht="15.5" x14ac:dyDescent="0.35">
      <c r="A43" s="24">
        <v>2321</v>
      </c>
      <c r="B43" s="26" t="s">
        <v>96</v>
      </c>
      <c r="C43" s="102">
        <v>6.0220000000000003E-2</v>
      </c>
      <c r="D43" s="41">
        <v>4.8</v>
      </c>
    </row>
    <row r="44" spans="1:4" ht="15.5" x14ac:dyDescent="0.35">
      <c r="A44" s="24">
        <v>2322</v>
      </c>
      <c r="B44" s="26" t="s">
        <v>117</v>
      </c>
      <c r="C44" s="102">
        <v>2.0999999999999999E-3</v>
      </c>
      <c r="D44" s="41">
        <v>0.17</v>
      </c>
    </row>
    <row r="45" spans="1:4" ht="15.5" x14ac:dyDescent="0.35">
      <c r="A45" s="24">
        <v>2350</v>
      </c>
      <c r="B45" s="26" t="s">
        <v>98</v>
      </c>
      <c r="C45" s="26">
        <v>2.5000000000000001E-2</v>
      </c>
      <c r="D45" s="41">
        <v>1.99</v>
      </c>
    </row>
    <row r="46" spans="1:4" ht="15.5" hidden="1" x14ac:dyDescent="0.35">
      <c r="A46" s="24">
        <v>2512</v>
      </c>
      <c r="B46" s="26" t="s">
        <v>30</v>
      </c>
      <c r="C46" s="26"/>
      <c r="D46" s="41">
        <f>C46*79.72</f>
        <v>0</v>
      </c>
    </row>
    <row r="47" spans="1:4" ht="15.5" x14ac:dyDescent="0.35">
      <c r="A47" s="42">
        <v>2513</v>
      </c>
      <c r="B47" s="26" t="s">
        <v>118</v>
      </c>
      <c r="C47" s="102">
        <v>6.3000000000000003E-4</v>
      </c>
      <c r="D47" s="41">
        <v>0.05</v>
      </c>
    </row>
    <row r="48" spans="1:4" ht="15.5" x14ac:dyDescent="0.35">
      <c r="A48" s="42">
        <v>2515</v>
      </c>
      <c r="B48" s="26" t="s">
        <v>73</v>
      </c>
      <c r="C48" s="102">
        <v>2.7499999999999998E-3</v>
      </c>
      <c r="D48" s="41">
        <v>0.22</v>
      </c>
    </row>
    <row r="49" spans="1:6" ht="15.5" x14ac:dyDescent="0.35">
      <c r="A49" s="42">
        <v>2519</v>
      </c>
      <c r="B49" s="26" t="s">
        <v>119</v>
      </c>
      <c r="C49" s="102">
        <v>1.5100000000000001E-3</v>
      </c>
      <c r="D49" s="41">
        <v>0.12</v>
      </c>
    </row>
    <row r="50" spans="1:6" ht="15.5" x14ac:dyDescent="0.35">
      <c r="A50" s="42">
        <v>5238</v>
      </c>
      <c r="B50" s="26" t="s">
        <v>121</v>
      </c>
      <c r="C50" s="102">
        <v>1.65E-3</v>
      </c>
      <c r="D50" s="41">
        <v>0.13</v>
      </c>
    </row>
    <row r="51" spans="1:6" ht="15.5" x14ac:dyDescent="0.35">
      <c r="A51" s="42">
        <v>5239</v>
      </c>
      <c r="B51" s="10" t="s">
        <v>122</v>
      </c>
      <c r="C51" s="102">
        <v>1.9800000000000002E-2</v>
      </c>
      <c r="D51" s="41">
        <v>1.57</v>
      </c>
    </row>
    <row r="52" spans="1:6" ht="15.5" x14ac:dyDescent="0.35">
      <c r="A52" s="42">
        <v>5250</v>
      </c>
      <c r="B52" s="26" t="s">
        <v>123</v>
      </c>
      <c r="C52" s="102">
        <v>1.4999999999999999E-2</v>
      </c>
      <c r="D52" s="41">
        <v>1.2</v>
      </c>
    </row>
    <row r="53" spans="1:6" ht="15.5" x14ac:dyDescent="0.3">
      <c r="A53" s="44"/>
      <c r="B53" s="31" t="s">
        <v>74</v>
      </c>
      <c r="C53" s="31">
        <f>SUM(C30:C52)</f>
        <v>0.99999696000000016</v>
      </c>
      <c r="D53" s="43">
        <f>SUM(D30:D52)</f>
        <v>79.72</v>
      </c>
      <c r="E53" s="104"/>
      <c r="F53" s="105"/>
    </row>
    <row r="54" spans="1:6" ht="15.5" x14ac:dyDescent="0.35">
      <c r="A54" s="23"/>
      <c r="B54" s="31" t="s">
        <v>75</v>
      </c>
      <c r="C54" s="31">
        <f>C53-1</f>
        <v>-3.0399999998431682E-6</v>
      </c>
      <c r="D54" s="43">
        <f>D53+D28</f>
        <v>344</v>
      </c>
    </row>
    <row r="55" spans="1:6" ht="15.5" x14ac:dyDescent="0.35">
      <c r="A55" s="9"/>
      <c r="B55" s="32"/>
      <c r="C55" s="32"/>
      <c r="D55" s="55"/>
    </row>
    <row r="56" spans="1:6" ht="15.5" x14ac:dyDescent="0.35">
      <c r="A56" s="173" t="s">
        <v>45</v>
      </c>
      <c r="B56" s="174"/>
      <c r="C56" s="115"/>
      <c r="D56" s="62">
        <v>20</v>
      </c>
    </row>
    <row r="57" spans="1:6" ht="15.5" x14ac:dyDescent="0.35">
      <c r="A57" s="173" t="s">
        <v>54</v>
      </c>
      <c r="B57" s="174"/>
      <c r="C57" s="115"/>
      <c r="D57" s="60">
        <f>D54/D56</f>
        <v>17.2</v>
      </c>
    </row>
    <row r="58" spans="1:6" ht="15.5" x14ac:dyDescent="0.35">
      <c r="A58" s="63"/>
      <c r="B58" s="66"/>
      <c r="C58" s="66"/>
      <c r="D58" s="66"/>
    </row>
    <row r="59" spans="1:6" ht="15.5" x14ac:dyDescent="0.35">
      <c r="A59" s="171" t="s">
        <v>62</v>
      </c>
      <c r="B59" s="172"/>
      <c r="C59" s="49"/>
      <c r="D59" s="56"/>
    </row>
    <row r="60" spans="1:6" ht="15.5" x14ac:dyDescent="0.35">
      <c r="A60" s="171" t="s">
        <v>63</v>
      </c>
      <c r="B60" s="172"/>
      <c r="C60" s="49"/>
      <c r="D60" s="56"/>
    </row>
    <row r="61" spans="1:6" ht="15.5" x14ac:dyDescent="0.35">
      <c r="A61" s="36"/>
      <c r="B61" s="11"/>
      <c r="C61" s="11"/>
      <c r="D61" s="75"/>
    </row>
    <row r="62" spans="1:6" ht="15.5" x14ac:dyDescent="0.35">
      <c r="A62" s="37" t="s">
        <v>46</v>
      </c>
      <c r="B62" s="37"/>
      <c r="C62" s="37"/>
      <c r="D62" s="95"/>
    </row>
    <row r="63" spans="1:6" ht="15.5" x14ac:dyDescent="0.35">
      <c r="A63" s="37"/>
      <c r="B63" s="37"/>
      <c r="C63" s="37"/>
      <c r="D63" s="106"/>
    </row>
    <row r="64" spans="1:6" ht="15.5" x14ac:dyDescent="0.35">
      <c r="A64" s="37" t="s">
        <v>134</v>
      </c>
      <c r="B64" s="38"/>
      <c r="C64" s="38"/>
      <c r="D64" s="37"/>
    </row>
    <row r="65" spans="1:4" ht="15.5" x14ac:dyDescent="0.35">
      <c r="A65" s="37"/>
      <c r="B65" s="39"/>
      <c r="C65" s="39"/>
      <c r="D65" s="37"/>
    </row>
    <row r="66" spans="1:4" x14ac:dyDescent="0.3">
      <c r="D66" s="1"/>
    </row>
  </sheetData>
  <mergeCells count="8">
    <mergeCell ref="A59:B59"/>
    <mergeCell ref="A60:B60"/>
    <mergeCell ref="A7:B7"/>
    <mergeCell ref="A9:B9"/>
    <mergeCell ref="A10:B10"/>
    <mergeCell ref="B13:D13"/>
    <mergeCell ref="A56:B56"/>
    <mergeCell ref="A57:B57"/>
  </mergeCells>
  <pageMargins left="0.7" right="0.7" top="0.75" bottom="0.75" header="0.3" footer="0.3"/>
  <pageSetup paperSize="9" scale="62" fitToHeight="0" orientation="portrait" r:id="rId1"/>
  <headerFooter>
    <oddFooter>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F66"/>
  <sheetViews>
    <sheetView view="pageLayout" topLeftCell="A16" zoomScale="80" zoomScaleNormal="80" zoomScalePageLayoutView="80" workbookViewId="0">
      <selection activeCell="A23" sqref="A23:XFD2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206</v>
      </c>
      <c r="C12" s="5"/>
      <c r="D12" s="10"/>
    </row>
    <row r="13" spans="1:4" ht="15.5" x14ac:dyDescent="0.25">
      <c r="A13" s="5"/>
      <c r="B13" s="160" t="s">
        <v>208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31.35</v>
      </c>
    </row>
    <row r="20" spans="1:4" ht="18" customHeight="1" x14ac:dyDescent="0.25">
      <c r="A20" s="42">
        <v>1200</v>
      </c>
      <c r="B20" s="54" t="s">
        <v>93</v>
      </c>
      <c r="C20" s="54"/>
      <c r="D20" s="41">
        <v>7.4</v>
      </c>
    </row>
    <row r="21" spans="1:4" ht="18" hidden="1" customHeight="1" x14ac:dyDescent="0.25">
      <c r="A21" s="45">
        <v>2210</v>
      </c>
      <c r="B21" s="54" t="s">
        <v>100</v>
      </c>
      <c r="C21" s="54"/>
      <c r="D21" s="41"/>
    </row>
    <row r="22" spans="1:4" ht="18" customHeight="1" x14ac:dyDescent="0.25">
      <c r="A22" s="45">
        <v>2223</v>
      </c>
      <c r="B22" s="54" t="s">
        <v>94</v>
      </c>
      <c r="C22" s="54"/>
      <c r="D22" s="41">
        <v>0.15</v>
      </c>
    </row>
    <row r="23" spans="1:4" ht="15.5" hidden="1" x14ac:dyDescent="0.35">
      <c r="A23" s="42">
        <v>2243</v>
      </c>
      <c r="B23" s="26" t="s">
        <v>76</v>
      </c>
      <c r="C23" s="26"/>
      <c r="D23" s="41">
        <v>0</v>
      </c>
    </row>
    <row r="24" spans="1:4" ht="15.5" hidden="1" x14ac:dyDescent="0.35">
      <c r="A24" s="42">
        <v>2250</v>
      </c>
      <c r="B24" s="21" t="s">
        <v>110</v>
      </c>
      <c r="C24" s="21"/>
      <c r="D24" s="41">
        <v>0</v>
      </c>
    </row>
    <row r="25" spans="1:4" ht="15.5" hidden="1" x14ac:dyDescent="0.35">
      <c r="A25" s="24">
        <v>2311</v>
      </c>
      <c r="B25" s="26" t="s">
        <v>114</v>
      </c>
      <c r="C25" s="26"/>
      <c r="D25" s="41">
        <v>0</v>
      </c>
    </row>
    <row r="26" spans="1:4" ht="15.5" x14ac:dyDescent="0.35">
      <c r="A26" s="24">
        <v>2321</v>
      </c>
      <c r="B26" s="26" t="s">
        <v>96</v>
      </c>
      <c r="C26" s="26"/>
      <c r="D26" s="41">
        <v>0.14000000000000001</v>
      </c>
    </row>
    <row r="27" spans="1:4" ht="15.5" hidden="1" x14ac:dyDescent="0.35">
      <c r="A27" s="24">
        <v>2370</v>
      </c>
      <c r="B27" s="22" t="s">
        <v>131</v>
      </c>
      <c r="C27" s="26"/>
      <c r="D27" s="41">
        <v>0</v>
      </c>
    </row>
    <row r="28" spans="1:4" ht="15.5" x14ac:dyDescent="0.3">
      <c r="A28" s="42"/>
      <c r="B28" s="28" t="s">
        <v>69</v>
      </c>
      <c r="C28" s="28"/>
      <c r="D28" s="43">
        <f>SUM(D19:D27)</f>
        <v>39.04</v>
      </c>
    </row>
    <row r="29" spans="1:4" ht="15.5" x14ac:dyDescent="0.35">
      <c r="A29" s="44"/>
      <c r="B29" s="24" t="s">
        <v>70</v>
      </c>
      <c r="C29" s="24"/>
      <c r="D29" s="41"/>
    </row>
    <row r="30" spans="1:4" ht="15.5" x14ac:dyDescent="0.35">
      <c r="A30" s="42">
        <v>1100</v>
      </c>
      <c r="B30" s="24" t="s">
        <v>83</v>
      </c>
      <c r="C30" s="102">
        <v>0.51439999999999997</v>
      </c>
      <c r="D30" s="41">
        <v>6.05</v>
      </c>
    </row>
    <row r="31" spans="1:4" ht="15.75" customHeight="1" x14ac:dyDescent="0.3">
      <c r="A31" s="42">
        <v>1200</v>
      </c>
      <c r="B31" s="54" t="s">
        <v>93</v>
      </c>
      <c r="C31" s="102">
        <f>C30*0.2359</f>
        <v>0.12134695999999999</v>
      </c>
      <c r="D31" s="41">
        <v>1.43</v>
      </c>
    </row>
    <row r="32" spans="1:4" ht="15.5" x14ac:dyDescent="0.3">
      <c r="A32" s="42">
        <v>2100</v>
      </c>
      <c r="B32" s="30" t="s">
        <v>42</v>
      </c>
      <c r="C32" s="102">
        <v>8.0999999999999996E-4</v>
      </c>
      <c r="D32" s="41">
        <v>0.01</v>
      </c>
    </row>
    <row r="33" spans="1:4" ht="15.5" x14ac:dyDescent="0.35">
      <c r="A33" s="45">
        <v>2210</v>
      </c>
      <c r="B33" s="26" t="s">
        <v>100</v>
      </c>
      <c r="C33" s="102">
        <v>8.0000000000000002E-3</v>
      </c>
      <c r="D33" s="41">
        <v>0.09</v>
      </c>
    </row>
    <row r="34" spans="1:4" ht="15.5" x14ac:dyDescent="0.35">
      <c r="A34" s="42">
        <v>2222</v>
      </c>
      <c r="B34" s="26" t="s">
        <v>101</v>
      </c>
      <c r="C34" s="102">
        <v>4.4400000000000004E-3</v>
      </c>
      <c r="D34" s="41">
        <v>0.05</v>
      </c>
    </row>
    <row r="35" spans="1:4" ht="15.5" x14ac:dyDescent="0.35">
      <c r="A35" s="42">
        <v>2223</v>
      </c>
      <c r="B35" s="26" t="s">
        <v>94</v>
      </c>
      <c r="C35" s="102">
        <v>5.4940000000000003E-2</v>
      </c>
      <c r="D35" s="41">
        <v>0.65</v>
      </c>
    </row>
    <row r="36" spans="1:4" ht="31" x14ac:dyDescent="0.35">
      <c r="A36" s="42">
        <v>2224</v>
      </c>
      <c r="B36" s="26" t="s">
        <v>102</v>
      </c>
      <c r="C36" s="102">
        <v>3.0899999999999999E-3</v>
      </c>
      <c r="D36" s="41">
        <v>0.04</v>
      </c>
    </row>
    <row r="37" spans="1:4" ht="15.5" x14ac:dyDescent="0.35">
      <c r="A37" s="42">
        <v>2241</v>
      </c>
      <c r="B37" s="26" t="s">
        <v>106</v>
      </c>
      <c r="C37" s="102">
        <v>1.6500000000000001E-2</v>
      </c>
      <c r="D37" s="41">
        <v>0.19</v>
      </c>
    </row>
    <row r="38" spans="1:4" ht="15.5" x14ac:dyDescent="0.35">
      <c r="A38" s="42">
        <v>2242</v>
      </c>
      <c r="B38" s="26" t="s">
        <v>107</v>
      </c>
      <c r="C38" s="102">
        <v>8.4999999999999995E-4</v>
      </c>
      <c r="D38" s="41">
        <v>0.01</v>
      </c>
    </row>
    <row r="39" spans="1:4" ht="15.5" x14ac:dyDescent="0.35">
      <c r="A39" s="42">
        <v>2243</v>
      </c>
      <c r="B39" s="26" t="s">
        <v>76</v>
      </c>
      <c r="C39" s="102">
        <f>0.0004+0.02029</f>
        <v>2.069E-2</v>
      </c>
      <c r="D39" s="41">
        <v>0.24</v>
      </c>
    </row>
    <row r="40" spans="1:4" ht="15.5" x14ac:dyDescent="0.35">
      <c r="A40" s="23">
        <v>2244</v>
      </c>
      <c r="B40" s="26" t="s">
        <v>108</v>
      </c>
      <c r="C40" s="102">
        <v>6.8070000000000006E-2</v>
      </c>
      <c r="D40" s="41">
        <v>0.8</v>
      </c>
    </row>
    <row r="41" spans="1:4" ht="15.5" x14ac:dyDescent="0.35">
      <c r="A41" s="24">
        <v>2250</v>
      </c>
      <c r="B41" s="26" t="s">
        <v>110</v>
      </c>
      <c r="C41" s="102">
        <v>2.8400000000000002E-2</v>
      </c>
      <c r="D41" s="41">
        <v>0.34</v>
      </c>
    </row>
    <row r="42" spans="1:4" ht="15.5" x14ac:dyDescent="0.35">
      <c r="A42" s="24">
        <v>2312</v>
      </c>
      <c r="B42" s="26" t="s">
        <v>95</v>
      </c>
      <c r="C42" s="26">
        <v>2.98E-2</v>
      </c>
      <c r="D42" s="41">
        <v>0.35</v>
      </c>
    </row>
    <row r="43" spans="1:4" ht="15.5" x14ac:dyDescent="0.35">
      <c r="A43" s="24">
        <v>2321</v>
      </c>
      <c r="B43" s="26" t="s">
        <v>96</v>
      </c>
      <c r="C43" s="102">
        <v>6.0220000000000003E-2</v>
      </c>
      <c r="D43" s="41">
        <v>0.71</v>
      </c>
    </row>
    <row r="44" spans="1:4" ht="15.5" x14ac:dyDescent="0.35">
      <c r="A44" s="24">
        <v>2322</v>
      </c>
      <c r="B44" s="26" t="s">
        <v>117</v>
      </c>
      <c r="C44" s="102">
        <v>2.0999999999999999E-3</v>
      </c>
      <c r="D44" s="41">
        <v>0.02</v>
      </c>
    </row>
    <row r="45" spans="1:4" ht="15.5" x14ac:dyDescent="0.35">
      <c r="A45" s="24">
        <v>2350</v>
      </c>
      <c r="B45" s="26" t="s">
        <v>98</v>
      </c>
      <c r="C45" s="26">
        <v>2.5000000000000001E-2</v>
      </c>
      <c r="D45" s="41">
        <v>0.28999999999999998</v>
      </c>
    </row>
    <row r="46" spans="1:4" ht="15.5" hidden="1" x14ac:dyDescent="0.35">
      <c r="A46" s="24">
        <v>2512</v>
      </c>
      <c r="B46" s="26" t="s">
        <v>30</v>
      </c>
      <c r="C46" s="26"/>
      <c r="D46" s="41">
        <f>C46*11.76</f>
        <v>0</v>
      </c>
    </row>
    <row r="47" spans="1:4" ht="15.5" x14ac:dyDescent="0.35">
      <c r="A47" s="42">
        <v>2513</v>
      </c>
      <c r="B47" s="26" t="s">
        <v>118</v>
      </c>
      <c r="C47" s="102">
        <v>6.3000000000000003E-4</v>
      </c>
      <c r="D47" s="41">
        <v>0.01</v>
      </c>
    </row>
    <row r="48" spans="1:4" ht="15.5" x14ac:dyDescent="0.35">
      <c r="A48" s="42">
        <v>2515</v>
      </c>
      <c r="B48" s="26" t="s">
        <v>73</v>
      </c>
      <c r="C48" s="102">
        <v>2.7499999999999998E-3</v>
      </c>
      <c r="D48" s="41">
        <v>0.03</v>
      </c>
    </row>
    <row r="49" spans="1:6" ht="15.5" x14ac:dyDescent="0.35">
      <c r="A49" s="42">
        <v>2519</v>
      </c>
      <c r="B49" s="26" t="s">
        <v>119</v>
      </c>
      <c r="C49" s="102">
        <v>1.5100000000000001E-3</v>
      </c>
      <c r="D49" s="41">
        <v>0.02</v>
      </c>
    </row>
    <row r="50" spans="1:6" ht="15.5" x14ac:dyDescent="0.35">
      <c r="A50" s="42">
        <v>5238</v>
      </c>
      <c r="B50" s="26" t="s">
        <v>121</v>
      </c>
      <c r="C50" s="102">
        <v>1.65E-3</v>
      </c>
      <c r="D50" s="41">
        <v>0.02</v>
      </c>
    </row>
    <row r="51" spans="1:6" ht="15.5" x14ac:dyDescent="0.35">
      <c r="A51" s="42">
        <v>5239</v>
      </c>
      <c r="B51" s="10" t="s">
        <v>122</v>
      </c>
      <c r="C51" s="102">
        <v>1.9800000000000002E-2</v>
      </c>
      <c r="D51" s="41">
        <v>0.23</v>
      </c>
    </row>
    <row r="52" spans="1:6" ht="15.5" x14ac:dyDescent="0.35">
      <c r="A52" s="42">
        <v>5250</v>
      </c>
      <c r="B52" s="26" t="s">
        <v>123</v>
      </c>
      <c r="C52" s="102">
        <v>1.4999999999999999E-2</v>
      </c>
      <c r="D52" s="41">
        <v>0.18</v>
      </c>
    </row>
    <row r="53" spans="1:6" ht="15.5" x14ac:dyDescent="0.3">
      <c r="A53" s="44"/>
      <c r="B53" s="31" t="s">
        <v>74</v>
      </c>
      <c r="C53" s="31">
        <f>SUM(C30:C52)</f>
        <v>0.99999696000000016</v>
      </c>
      <c r="D53" s="43">
        <f>SUM(D30:D52)</f>
        <v>11.759999999999994</v>
      </c>
      <c r="E53" s="104"/>
      <c r="F53" s="105"/>
    </row>
    <row r="54" spans="1:6" ht="15.5" x14ac:dyDescent="0.35">
      <c r="A54" s="23"/>
      <c r="B54" s="31" t="s">
        <v>75</v>
      </c>
      <c r="C54" s="31">
        <f>C53-1</f>
        <v>-3.0399999998431682E-6</v>
      </c>
      <c r="D54" s="43">
        <f>D53+D28</f>
        <v>50.8</v>
      </c>
    </row>
    <row r="55" spans="1:6" ht="15.5" x14ac:dyDescent="0.35">
      <c r="A55" s="9"/>
      <c r="B55" s="32"/>
      <c r="C55" s="32"/>
      <c r="D55" s="55"/>
    </row>
    <row r="56" spans="1:6" ht="15.5" x14ac:dyDescent="0.35">
      <c r="A56" s="186" t="s">
        <v>45</v>
      </c>
      <c r="B56" s="186"/>
      <c r="C56" s="115"/>
      <c r="D56" s="62">
        <v>1</v>
      </c>
    </row>
    <row r="57" spans="1:6" ht="15.5" x14ac:dyDescent="0.35">
      <c r="A57" s="186" t="s">
        <v>54</v>
      </c>
      <c r="B57" s="186"/>
      <c r="C57" s="115"/>
      <c r="D57" s="60">
        <f>D54/D56</f>
        <v>50.8</v>
      </c>
    </row>
    <row r="58" spans="1:6" ht="15.5" x14ac:dyDescent="0.35">
      <c r="A58" s="63"/>
      <c r="B58" s="66"/>
      <c r="C58" s="66"/>
      <c r="D58" s="66"/>
    </row>
    <row r="59" spans="1:6" ht="15.5" x14ac:dyDescent="0.35">
      <c r="A59" s="162" t="s">
        <v>62</v>
      </c>
      <c r="B59" s="162"/>
      <c r="C59" s="49"/>
      <c r="D59" s="56"/>
    </row>
    <row r="60" spans="1:6" ht="15.5" x14ac:dyDescent="0.35">
      <c r="A60" s="162" t="s">
        <v>63</v>
      </c>
      <c r="B60" s="162"/>
      <c r="C60" s="49"/>
      <c r="D60" s="56"/>
    </row>
    <row r="61" spans="1:6" ht="15.5" x14ac:dyDescent="0.35">
      <c r="A61" s="36"/>
      <c r="B61" s="11"/>
      <c r="C61" s="11"/>
      <c r="D61" s="75"/>
    </row>
    <row r="62" spans="1:6" ht="15.5" x14ac:dyDescent="0.35">
      <c r="A62" s="37" t="s">
        <v>46</v>
      </c>
      <c r="B62" s="37"/>
      <c r="C62" s="37"/>
      <c r="D62" s="95"/>
    </row>
    <row r="63" spans="1:6" ht="15.5" x14ac:dyDescent="0.35">
      <c r="A63" s="37"/>
      <c r="B63" s="37"/>
      <c r="C63" s="37"/>
      <c r="D63" s="106"/>
    </row>
    <row r="64" spans="1:6" ht="15.5" x14ac:dyDescent="0.35">
      <c r="A64" s="37" t="s">
        <v>134</v>
      </c>
      <c r="B64" s="38"/>
      <c r="C64" s="38"/>
      <c r="D64" s="37"/>
    </row>
    <row r="65" spans="1:4" ht="15.5" x14ac:dyDescent="0.35">
      <c r="A65" s="37"/>
      <c r="B65" s="39"/>
      <c r="C65" s="39"/>
      <c r="D65" s="37"/>
    </row>
    <row r="66" spans="1:4" x14ac:dyDescent="0.3">
      <c r="D66" s="1"/>
    </row>
  </sheetData>
  <mergeCells count="8">
    <mergeCell ref="A59:B59"/>
    <mergeCell ref="A60:B60"/>
    <mergeCell ref="A7:B7"/>
    <mergeCell ref="A9:B9"/>
    <mergeCell ref="A10:B10"/>
    <mergeCell ref="B13:D13"/>
    <mergeCell ref="A56:B56"/>
    <mergeCell ref="A57:B57"/>
  </mergeCells>
  <pageMargins left="0.7" right="0.7" top="0.75" bottom="0.75" header="0.3" footer="0.3"/>
  <pageSetup paperSize="9" scale="62" orientation="portrait" r:id="rId1"/>
  <headerFooter>
    <oddFooter>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F66"/>
  <sheetViews>
    <sheetView tabSelected="1" view="pageLayout" topLeftCell="A31" zoomScale="80" zoomScaleNormal="80" zoomScalePageLayoutView="80" workbookViewId="0">
      <selection activeCell="A21" sqref="A21:XFD27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206</v>
      </c>
      <c r="C12" s="5"/>
      <c r="D12" s="10"/>
    </row>
    <row r="13" spans="1:4" ht="15.5" x14ac:dyDescent="0.25">
      <c r="A13" s="5"/>
      <c r="B13" s="160" t="s">
        <v>209</v>
      </c>
      <c r="C13" s="160"/>
      <c r="D13" s="160"/>
    </row>
    <row r="14" spans="1:4" ht="15.5" x14ac:dyDescent="0.35">
      <c r="B14" s="2" t="s">
        <v>210</v>
      </c>
      <c r="C14" s="5"/>
      <c r="D14" s="10"/>
    </row>
    <row r="15" spans="1:4" ht="15.5" x14ac:dyDescent="0.35">
      <c r="A15" s="5" t="s">
        <v>2</v>
      </c>
      <c r="B15" s="5" t="s">
        <v>124</v>
      </c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99.69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23.52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hidden="1" x14ac:dyDescent="0.25">
      <c r="A22" s="45">
        <v>2223</v>
      </c>
      <c r="B22" s="54" t="s">
        <v>94</v>
      </c>
      <c r="C22" s="54"/>
      <c r="D22" s="41"/>
    </row>
    <row r="23" spans="1:4" ht="15.5" hidden="1" x14ac:dyDescent="0.35">
      <c r="A23" s="42">
        <v>2243</v>
      </c>
      <c r="B23" s="26" t="s">
        <v>76</v>
      </c>
      <c r="C23" s="26"/>
      <c r="D23" s="41">
        <v>0</v>
      </c>
    </row>
    <row r="24" spans="1:4" ht="15.5" hidden="1" x14ac:dyDescent="0.35">
      <c r="A24" s="42">
        <v>2250</v>
      </c>
      <c r="B24" s="21" t="s">
        <v>110</v>
      </c>
      <c r="C24" s="21"/>
      <c r="D24" s="41">
        <v>0</v>
      </c>
    </row>
    <row r="25" spans="1:4" ht="15.5" hidden="1" x14ac:dyDescent="0.35">
      <c r="A25" s="24">
        <v>2311</v>
      </c>
      <c r="B25" s="26" t="s">
        <v>114</v>
      </c>
      <c r="C25" s="26"/>
      <c r="D25" s="41"/>
    </row>
    <row r="26" spans="1:4" ht="15.5" hidden="1" x14ac:dyDescent="0.35">
      <c r="A26" s="24">
        <v>2321</v>
      </c>
      <c r="B26" s="26" t="s">
        <v>96</v>
      </c>
      <c r="C26" s="26"/>
      <c r="D26" s="41">
        <v>0</v>
      </c>
    </row>
    <row r="27" spans="1:4" ht="15.5" hidden="1" x14ac:dyDescent="0.35">
      <c r="A27" s="24">
        <v>2370</v>
      </c>
      <c r="B27" s="22" t="s">
        <v>131</v>
      </c>
      <c r="C27" s="26"/>
      <c r="D27" s="41">
        <v>0</v>
      </c>
    </row>
    <row r="28" spans="1:4" ht="15.5" x14ac:dyDescent="0.3">
      <c r="A28" s="42"/>
      <c r="B28" s="28" t="s">
        <v>69</v>
      </c>
      <c r="C28" s="28"/>
      <c r="D28" s="43">
        <f>SUM(D19:D27)</f>
        <v>123.21</v>
      </c>
    </row>
    <row r="29" spans="1:4" ht="15.5" x14ac:dyDescent="0.35">
      <c r="A29" s="44"/>
      <c r="B29" s="24" t="s">
        <v>70</v>
      </c>
      <c r="C29" s="24"/>
      <c r="D29" s="41"/>
    </row>
    <row r="30" spans="1:4" ht="15.5" x14ac:dyDescent="0.35">
      <c r="A30" s="42">
        <v>1100</v>
      </c>
      <c r="B30" s="24" t="s">
        <v>83</v>
      </c>
      <c r="C30" s="102">
        <v>0.51439999999999997</v>
      </c>
      <c r="D30" s="41">
        <v>19.03</v>
      </c>
    </row>
    <row r="31" spans="1:4" ht="15.75" customHeight="1" x14ac:dyDescent="0.3">
      <c r="A31" s="42">
        <v>1200</v>
      </c>
      <c r="B31" s="54" t="s">
        <v>93</v>
      </c>
      <c r="C31" s="102">
        <f>C30*0.2359</f>
        <v>0.12134695999999999</v>
      </c>
      <c r="D31" s="41">
        <v>4.49</v>
      </c>
    </row>
    <row r="32" spans="1:4" ht="15.5" x14ac:dyDescent="0.3">
      <c r="A32" s="42">
        <v>2100</v>
      </c>
      <c r="B32" s="30" t="s">
        <v>42</v>
      </c>
      <c r="C32" s="102">
        <v>8.0999999999999996E-4</v>
      </c>
      <c r="D32" s="41">
        <v>0.03</v>
      </c>
    </row>
    <row r="33" spans="1:4" ht="15.5" x14ac:dyDescent="0.35">
      <c r="A33" s="45">
        <v>2210</v>
      </c>
      <c r="B33" s="26" t="s">
        <v>100</v>
      </c>
      <c r="C33" s="102">
        <v>8.0000000000000002E-3</v>
      </c>
      <c r="D33" s="41">
        <v>0.3</v>
      </c>
    </row>
    <row r="34" spans="1:4" ht="15.5" x14ac:dyDescent="0.35">
      <c r="A34" s="42">
        <v>2222</v>
      </c>
      <c r="B34" s="26" t="s">
        <v>101</v>
      </c>
      <c r="C34" s="102">
        <v>4.4400000000000004E-3</v>
      </c>
      <c r="D34" s="41">
        <v>0.16</v>
      </c>
    </row>
    <row r="35" spans="1:4" ht="15.5" x14ac:dyDescent="0.35">
      <c r="A35" s="42">
        <v>2223</v>
      </c>
      <c r="B35" s="26" t="s">
        <v>94</v>
      </c>
      <c r="C35" s="102">
        <v>5.4940000000000003E-2</v>
      </c>
      <c r="D35" s="41">
        <v>2.0299999999999998</v>
      </c>
    </row>
    <row r="36" spans="1:4" ht="31" x14ac:dyDescent="0.35">
      <c r="A36" s="42">
        <v>2224</v>
      </c>
      <c r="B36" s="26" t="s">
        <v>102</v>
      </c>
      <c r="C36" s="102">
        <v>3.0899999999999999E-3</v>
      </c>
      <c r="D36" s="41">
        <v>0.11</v>
      </c>
    </row>
    <row r="37" spans="1:4" ht="15.5" x14ac:dyDescent="0.35">
      <c r="A37" s="42">
        <v>2241</v>
      </c>
      <c r="B37" s="26" t="s">
        <v>106</v>
      </c>
      <c r="C37" s="102">
        <v>1.6500000000000001E-2</v>
      </c>
      <c r="D37" s="41">
        <v>0.61</v>
      </c>
    </row>
    <row r="38" spans="1:4" ht="15.5" x14ac:dyDescent="0.35">
      <c r="A38" s="42">
        <v>2242</v>
      </c>
      <c r="B38" s="26" t="s">
        <v>107</v>
      </c>
      <c r="C38" s="102">
        <v>8.4999999999999995E-4</v>
      </c>
      <c r="D38" s="41">
        <v>0.03</v>
      </c>
    </row>
    <row r="39" spans="1:4" ht="15.5" x14ac:dyDescent="0.35">
      <c r="A39" s="42">
        <v>2243</v>
      </c>
      <c r="B39" s="26" t="s">
        <v>76</v>
      </c>
      <c r="C39" s="102">
        <f>0.0004+0.02029</f>
        <v>2.069E-2</v>
      </c>
      <c r="D39" s="41">
        <v>0.77</v>
      </c>
    </row>
    <row r="40" spans="1:4" ht="15.5" x14ac:dyDescent="0.35">
      <c r="A40" s="23">
        <v>2244</v>
      </c>
      <c r="B40" s="26" t="s">
        <v>108</v>
      </c>
      <c r="C40" s="102">
        <v>6.8070000000000006E-2</v>
      </c>
      <c r="D40" s="41">
        <v>2.52</v>
      </c>
    </row>
    <row r="41" spans="1:4" ht="15.5" x14ac:dyDescent="0.35">
      <c r="A41" s="24">
        <v>2250</v>
      </c>
      <c r="B41" s="26" t="s">
        <v>110</v>
      </c>
      <c r="C41" s="102">
        <v>2.8400000000000002E-2</v>
      </c>
      <c r="D41" s="41">
        <v>1.05</v>
      </c>
    </row>
    <row r="42" spans="1:4" ht="15.5" x14ac:dyDescent="0.35">
      <c r="A42" s="24">
        <v>2312</v>
      </c>
      <c r="B42" s="26" t="s">
        <v>95</v>
      </c>
      <c r="C42" s="26">
        <v>2.98E-2</v>
      </c>
      <c r="D42" s="41">
        <v>1.1000000000000001</v>
      </c>
    </row>
    <row r="43" spans="1:4" ht="15.5" x14ac:dyDescent="0.35">
      <c r="A43" s="24">
        <v>2321</v>
      </c>
      <c r="B43" s="26" t="s">
        <v>96</v>
      </c>
      <c r="C43" s="102">
        <v>6.0220000000000003E-2</v>
      </c>
      <c r="D43" s="41">
        <v>2.23</v>
      </c>
    </row>
    <row r="44" spans="1:4" ht="15.5" x14ac:dyDescent="0.35">
      <c r="A44" s="24">
        <v>2322</v>
      </c>
      <c r="B44" s="26" t="s">
        <v>117</v>
      </c>
      <c r="C44" s="102">
        <v>2.0999999999999999E-3</v>
      </c>
      <c r="D44" s="41">
        <v>0.08</v>
      </c>
    </row>
    <row r="45" spans="1:4" ht="15.5" x14ac:dyDescent="0.35">
      <c r="A45" s="24">
        <v>2350</v>
      </c>
      <c r="B45" s="26" t="s">
        <v>98</v>
      </c>
      <c r="C45" s="26">
        <v>2.5000000000000001E-2</v>
      </c>
      <c r="D45" s="41">
        <v>0.92</v>
      </c>
    </row>
    <row r="46" spans="1:4" ht="15.5" hidden="1" x14ac:dyDescent="0.35">
      <c r="A46" s="24">
        <v>2512</v>
      </c>
      <c r="B46" s="26" t="s">
        <v>30</v>
      </c>
      <c r="C46" s="26"/>
      <c r="D46" s="41">
        <f>C46*36.99</f>
        <v>0</v>
      </c>
    </row>
    <row r="47" spans="1:4" ht="15.5" x14ac:dyDescent="0.35">
      <c r="A47" s="42">
        <v>2513</v>
      </c>
      <c r="B47" s="26" t="s">
        <v>118</v>
      </c>
      <c r="C47" s="102">
        <v>6.3000000000000003E-4</v>
      </c>
      <c r="D47" s="41">
        <v>0.02</v>
      </c>
    </row>
    <row r="48" spans="1:4" ht="15.5" x14ac:dyDescent="0.35">
      <c r="A48" s="42">
        <v>2515</v>
      </c>
      <c r="B48" s="26" t="s">
        <v>73</v>
      </c>
      <c r="C48" s="102">
        <v>2.7499999999999998E-3</v>
      </c>
      <c r="D48" s="41">
        <v>0.1</v>
      </c>
    </row>
    <row r="49" spans="1:6" ht="15.5" x14ac:dyDescent="0.35">
      <c r="A49" s="42">
        <v>2519</v>
      </c>
      <c r="B49" s="26" t="s">
        <v>119</v>
      </c>
      <c r="C49" s="102">
        <v>1.5100000000000001E-3</v>
      </c>
      <c r="D49" s="41">
        <v>0.06</v>
      </c>
    </row>
    <row r="50" spans="1:6" ht="15.5" x14ac:dyDescent="0.35">
      <c r="A50" s="42">
        <v>5238</v>
      </c>
      <c r="B50" s="26" t="s">
        <v>121</v>
      </c>
      <c r="C50" s="102">
        <v>1.65E-3</v>
      </c>
      <c r="D50" s="41">
        <v>0.06</v>
      </c>
    </row>
    <row r="51" spans="1:6" ht="15.5" x14ac:dyDescent="0.35">
      <c r="A51" s="42">
        <v>5239</v>
      </c>
      <c r="B51" s="10" t="s">
        <v>122</v>
      </c>
      <c r="C51" s="102">
        <v>1.9800000000000002E-2</v>
      </c>
      <c r="D51" s="41">
        <v>0.73</v>
      </c>
    </row>
    <row r="52" spans="1:6" ht="15.5" x14ac:dyDescent="0.35">
      <c r="A52" s="42">
        <v>5250</v>
      </c>
      <c r="B52" s="26" t="s">
        <v>123</v>
      </c>
      <c r="C52" s="102">
        <v>1.4999999999999999E-2</v>
      </c>
      <c r="D52" s="41">
        <v>0.56000000000000005</v>
      </c>
    </row>
    <row r="53" spans="1:6" ht="15.5" x14ac:dyDescent="0.3">
      <c r="A53" s="44"/>
      <c r="B53" s="31" t="s">
        <v>74</v>
      </c>
      <c r="C53" s="31">
        <f>SUM(C30:C52)</f>
        <v>0.99999696000000016</v>
      </c>
      <c r="D53" s="43">
        <f>SUM(D30:D52)</f>
        <v>36.990000000000009</v>
      </c>
      <c r="E53" s="104"/>
      <c r="F53" s="105"/>
    </row>
    <row r="54" spans="1:6" ht="15.5" x14ac:dyDescent="0.35">
      <c r="A54" s="23"/>
      <c r="B54" s="31" t="s">
        <v>75</v>
      </c>
      <c r="C54" s="31">
        <f>C53-1</f>
        <v>-3.0399999998431682E-6</v>
      </c>
      <c r="D54" s="43">
        <f>D53+D28</f>
        <v>160.19999999999999</v>
      </c>
    </row>
    <row r="55" spans="1:6" ht="15.5" x14ac:dyDescent="0.35">
      <c r="A55" s="9"/>
      <c r="B55" s="32"/>
      <c r="C55" s="32"/>
      <c r="D55" s="55"/>
    </row>
    <row r="56" spans="1:6" ht="15.5" x14ac:dyDescent="0.35">
      <c r="A56" s="186" t="s">
        <v>45</v>
      </c>
      <c r="B56" s="186"/>
      <c r="C56" s="115"/>
      <c r="D56" s="62">
        <v>1</v>
      </c>
    </row>
    <row r="57" spans="1:6" ht="15.5" x14ac:dyDescent="0.35">
      <c r="A57" s="186" t="s">
        <v>54</v>
      </c>
      <c r="B57" s="186"/>
      <c r="C57" s="115"/>
      <c r="D57" s="60">
        <f>D54/D56</f>
        <v>160.19999999999999</v>
      </c>
    </row>
    <row r="58" spans="1:6" ht="15.5" x14ac:dyDescent="0.35">
      <c r="A58" s="63"/>
      <c r="B58" s="66"/>
      <c r="C58" s="66"/>
      <c r="D58" s="66"/>
    </row>
    <row r="59" spans="1:6" ht="15.5" x14ac:dyDescent="0.35">
      <c r="A59" s="162" t="s">
        <v>62</v>
      </c>
      <c r="B59" s="162"/>
      <c r="C59" s="49"/>
      <c r="D59" s="56"/>
    </row>
    <row r="60" spans="1:6" ht="15.5" x14ac:dyDescent="0.35">
      <c r="A60" s="162" t="s">
        <v>63</v>
      </c>
      <c r="B60" s="162"/>
      <c r="C60" s="49"/>
      <c r="D60" s="56"/>
    </row>
    <row r="61" spans="1:6" ht="15.5" x14ac:dyDescent="0.35">
      <c r="A61" s="36"/>
      <c r="B61" s="11"/>
      <c r="C61" s="11"/>
      <c r="D61" s="75"/>
    </row>
    <row r="62" spans="1:6" ht="15.5" x14ac:dyDescent="0.35">
      <c r="A62" s="37" t="s">
        <v>46</v>
      </c>
      <c r="B62" s="37"/>
      <c r="C62" s="37"/>
      <c r="D62" s="95"/>
    </row>
    <row r="63" spans="1:6" ht="15.5" x14ac:dyDescent="0.35">
      <c r="A63" s="37"/>
      <c r="B63" s="37"/>
      <c r="C63" s="37"/>
      <c r="D63" s="106"/>
    </row>
    <row r="64" spans="1:6" ht="15.5" x14ac:dyDescent="0.35">
      <c r="A64" s="37" t="s">
        <v>134</v>
      </c>
      <c r="B64" s="38"/>
      <c r="C64" s="38"/>
      <c r="D64" s="37"/>
    </row>
    <row r="65" spans="1:4" ht="15.5" x14ac:dyDescent="0.35">
      <c r="A65" s="37"/>
      <c r="B65" s="39"/>
      <c r="C65" s="39"/>
      <c r="D65" s="37"/>
    </row>
    <row r="66" spans="1:4" x14ac:dyDescent="0.3">
      <c r="D66" s="1"/>
    </row>
  </sheetData>
  <mergeCells count="8">
    <mergeCell ref="A59:B59"/>
    <mergeCell ref="A60:B60"/>
    <mergeCell ref="A7:B7"/>
    <mergeCell ref="A9:B9"/>
    <mergeCell ref="A10:B10"/>
    <mergeCell ref="B13:D13"/>
    <mergeCell ref="A56:B56"/>
    <mergeCell ref="A57:B57"/>
  </mergeCells>
  <pageMargins left="0.7" right="0.7" top="0.75" bottom="0.75" header="0.3" footer="0.3"/>
  <pageSetup paperSize="9" scale="62" orientation="portrait" r:id="rId1"/>
  <headerFooter>
    <oddFooter>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F66"/>
  <sheetViews>
    <sheetView view="pageLayout" zoomScale="80" zoomScaleNormal="100" zoomScalePageLayoutView="80" workbookViewId="0">
      <selection activeCell="D5" sqref="D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206</v>
      </c>
      <c r="C12" s="5"/>
      <c r="D12" s="10"/>
    </row>
    <row r="13" spans="1:4" ht="15.5" x14ac:dyDescent="0.25">
      <c r="A13" s="5"/>
      <c r="B13" s="160" t="s">
        <v>209</v>
      </c>
      <c r="C13" s="160"/>
      <c r="D13" s="160"/>
    </row>
    <row r="14" spans="1:4" ht="15.5" x14ac:dyDescent="0.35">
      <c r="B14" s="2" t="s">
        <v>211</v>
      </c>
      <c r="C14" s="5"/>
      <c r="D14" s="10"/>
    </row>
    <row r="15" spans="1:4" ht="15.5" x14ac:dyDescent="0.35">
      <c r="A15" s="5" t="s">
        <v>2</v>
      </c>
      <c r="B15" s="5" t="s">
        <v>124</v>
      </c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31.35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7.4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x14ac:dyDescent="0.25">
      <c r="A22" s="45">
        <v>2223</v>
      </c>
      <c r="B22" s="54" t="s">
        <v>94</v>
      </c>
      <c r="C22" s="54"/>
      <c r="D22" s="41">
        <v>0.32</v>
      </c>
    </row>
    <row r="23" spans="1:4" ht="15.5" x14ac:dyDescent="0.35">
      <c r="A23" s="42">
        <v>2243</v>
      </c>
      <c r="B23" s="26" t="s">
        <v>76</v>
      </c>
      <c r="C23" s="26"/>
      <c r="D23" s="41">
        <v>0.2</v>
      </c>
    </row>
    <row r="24" spans="1:4" ht="15.5" x14ac:dyDescent="0.35">
      <c r="A24" s="42">
        <v>2250</v>
      </c>
      <c r="B24" s="21" t="s">
        <v>110</v>
      </c>
      <c r="C24" s="21"/>
      <c r="D24" s="41">
        <v>0.08</v>
      </c>
    </row>
    <row r="25" spans="1:4" ht="15.5" x14ac:dyDescent="0.35">
      <c r="A25" s="24">
        <v>2311</v>
      </c>
      <c r="B25" s="26" t="s">
        <v>114</v>
      </c>
      <c r="C25" s="26"/>
      <c r="D25" s="41">
        <v>0.26</v>
      </c>
    </row>
    <row r="26" spans="1:4" ht="15.5" x14ac:dyDescent="0.35">
      <c r="A26" s="24">
        <v>2321</v>
      </c>
      <c r="B26" s="26" t="s">
        <v>96</v>
      </c>
      <c r="C26" s="26"/>
      <c r="D26" s="41">
        <v>0.28999999999999998</v>
      </c>
    </row>
    <row r="27" spans="1:4" ht="15.5" x14ac:dyDescent="0.35">
      <c r="A27" s="24">
        <v>2370</v>
      </c>
      <c r="B27" s="22" t="s">
        <v>131</v>
      </c>
      <c r="C27" s="26"/>
      <c r="D27" s="41">
        <v>0.5</v>
      </c>
    </row>
    <row r="28" spans="1:4" ht="15.5" x14ac:dyDescent="0.3">
      <c r="A28" s="42"/>
      <c r="B28" s="28" t="s">
        <v>69</v>
      </c>
      <c r="C28" s="28"/>
      <c r="D28" s="43">
        <f>SUM(D19:D27)</f>
        <v>40.4</v>
      </c>
    </row>
    <row r="29" spans="1:4" ht="15.5" x14ac:dyDescent="0.35">
      <c r="A29" s="44"/>
      <c r="B29" s="24" t="s">
        <v>70</v>
      </c>
      <c r="C29" s="24"/>
      <c r="D29" s="41"/>
    </row>
    <row r="30" spans="1:4" ht="15.5" x14ac:dyDescent="0.35">
      <c r="A30" s="42">
        <v>1100</v>
      </c>
      <c r="B30" s="24" t="s">
        <v>83</v>
      </c>
      <c r="C30" s="102">
        <v>0.51439999999999997</v>
      </c>
      <c r="D30" s="41">
        <v>6.23</v>
      </c>
    </row>
    <row r="31" spans="1:4" ht="15.75" customHeight="1" x14ac:dyDescent="0.3">
      <c r="A31" s="42">
        <v>1200</v>
      </c>
      <c r="B31" s="54" t="s">
        <v>93</v>
      </c>
      <c r="C31" s="102">
        <f>C30*0.2359</f>
        <v>0.12134695999999999</v>
      </c>
      <c r="D31" s="41">
        <v>1.47</v>
      </c>
    </row>
    <row r="32" spans="1:4" ht="15.5" x14ac:dyDescent="0.3">
      <c r="A32" s="42">
        <v>2100</v>
      </c>
      <c r="B32" s="30" t="s">
        <v>42</v>
      </c>
      <c r="C32" s="102">
        <v>8.0999999999999996E-4</v>
      </c>
      <c r="D32" s="41">
        <v>0.01</v>
      </c>
    </row>
    <row r="33" spans="1:4" ht="15.5" x14ac:dyDescent="0.35">
      <c r="A33" s="45">
        <v>2210</v>
      </c>
      <c r="B33" s="26" t="s">
        <v>100</v>
      </c>
      <c r="C33" s="102">
        <v>8.0000000000000002E-3</v>
      </c>
      <c r="D33" s="41">
        <v>0.1</v>
      </c>
    </row>
    <row r="34" spans="1:4" ht="15.5" x14ac:dyDescent="0.35">
      <c r="A34" s="42">
        <v>2222</v>
      </c>
      <c r="B34" s="26" t="s">
        <v>101</v>
      </c>
      <c r="C34" s="102">
        <v>4.4400000000000004E-3</v>
      </c>
      <c r="D34" s="41">
        <v>0.05</v>
      </c>
    </row>
    <row r="35" spans="1:4" ht="15.5" x14ac:dyDescent="0.35">
      <c r="A35" s="42">
        <v>2223</v>
      </c>
      <c r="B35" s="26" t="s">
        <v>94</v>
      </c>
      <c r="C35" s="102">
        <v>5.4940000000000003E-2</v>
      </c>
      <c r="D35" s="41">
        <v>0.67</v>
      </c>
    </row>
    <row r="36" spans="1:4" ht="31" x14ac:dyDescent="0.35">
      <c r="A36" s="42">
        <v>2224</v>
      </c>
      <c r="B36" s="26" t="s">
        <v>102</v>
      </c>
      <c r="C36" s="102">
        <v>3.0899999999999999E-3</v>
      </c>
      <c r="D36" s="41">
        <v>0.04</v>
      </c>
    </row>
    <row r="37" spans="1:4" ht="15.5" x14ac:dyDescent="0.35">
      <c r="A37" s="42">
        <v>2241</v>
      </c>
      <c r="B37" s="26" t="s">
        <v>106</v>
      </c>
      <c r="C37" s="102">
        <v>1.6500000000000001E-2</v>
      </c>
      <c r="D37" s="41">
        <v>0.2</v>
      </c>
    </row>
    <row r="38" spans="1:4" ht="15.5" x14ac:dyDescent="0.35">
      <c r="A38" s="42">
        <v>2242</v>
      </c>
      <c r="B38" s="26" t="s">
        <v>107</v>
      </c>
      <c r="C38" s="102">
        <v>8.4999999999999995E-4</v>
      </c>
      <c r="D38" s="41">
        <v>0.01</v>
      </c>
    </row>
    <row r="39" spans="1:4" ht="15.5" x14ac:dyDescent="0.35">
      <c r="A39" s="42">
        <v>2243</v>
      </c>
      <c r="B39" s="26" t="s">
        <v>76</v>
      </c>
      <c r="C39" s="102">
        <f>0.0004+0.02029</f>
        <v>2.069E-2</v>
      </c>
      <c r="D39" s="41">
        <v>0.25</v>
      </c>
    </row>
    <row r="40" spans="1:4" ht="15.5" x14ac:dyDescent="0.35">
      <c r="A40" s="23">
        <v>2244</v>
      </c>
      <c r="B40" s="26" t="s">
        <v>108</v>
      </c>
      <c r="C40" s="102">
        <v>6.8070000000000006E-2</v>
      </c>
      <c r="D40" s="41">
        <v>0.82</v>
      </c>
    </row>
    <row r="41" spans="1:4" ht="15.5" x14ac:dyDescent="0.35">
      <c r="A41" s="24">
        <v>2250</v>
      </c>
      <c r="B41" s="26" t="s">
        <v>110</v>
      </c>
      <c r="C41" s="102">
        <v>2.8400000000000002E-2</v>
      </c>
      <c r="D41" s="41">
        <v>0.34</v>
      </c>
    </row>
    <row r="42" spans="1:4" ht="15.5" x14ac:dyDescent="0.35">
      <c r="A42" s="24">
        <v>2312</v>
      </c>
      <c r="B42" s="26" t="s">
        <v>95</v>
      </c>
      <c r="C42" s="26">
        <v>2.98E-2</v>
      </c>
      <c r="D42" s="41">
        <v>0.36</v>
      </c>
    </row>
    <row r="43" spans="1:4" ht="15.5" x14ac:dyDescent="0.35">
      <c r="A43" s="24">
        <v>2321</v>
      </c>
      <c r="B43" s="26" t="s">
        <v>96</v>
      </c>
      <c r="C43" s="102">
        <v>6.0220000000000003E-2</v>
      </c>
      <c r="D43" s="41">
        <v>0.73</v>
      </c>
    </row>
    <row r="44" spans="1:4" ht="15.5" x14ac:dyDescent="0.35">
      <c r="A44" s="24">
        <v>2322</v>
      </c>
      <c r="B44" s="26" t="s">
        <v>117</v>
      </c>
      <c r="C44" s="102">
        <v>2.0999999999999999E-3</v>
      </c>
      <c r="D44" s="41">
        <v>0.03</v>
      </c>
    </row>
    <row r="45" spans="1:4" ht="15.5" x14ac:dyDescent="0.35">
      <c r="A45" s="24">
        <v>2350</v>
      </c>
      <c r="B45" s="26" t="s">
        <v>98</v>
      </c>
      <c r="C45" s="26">
        <v>2.5000000000000001E-2</v>
      </c>
      <c r="D45" s="41">
        <v>0.3</v>
      </c>
    </row>
    <row r="46" spans="1:4" ht="15.5" hidden="1" x14ac:dyDescent="0.35">
      <c r="A46" s="24">
        <v>2512</v>
      </c>
      <c r="B46" s="26" t="s">
        <v>30</v>
      </c>
      <c r="C46" s="26"/>
      <c r="D46" s="41">
        <f>C46*12.11</f>
        <v>0</v>
      </c>
    </row>
    <row r="47" spans="1:4" ht="15.5" x14ac:dyDescent="0.35">
      <c r="A47" s="42">
        <v>2513</v>
      </c>
      <c r="B47" s="26" t="s">
        <v>118</v>
      </c>
      <c r="C47" s="102">
        <v>6.3000000000000003E-4</v>
      </c>
      <c r="D47" s="41">
        <v>0.01</v>
      </c>
    </row>
    <row r="48" spans="1:4" ht="15.5" x14ac:dyDescent="0.35">
      <c r="A48" s="42">
        <v>2515</v>
      </c>
      <c r="B48" s="26" t="s">
        <v>73</v>
      </c>
      <c r="C48" s="102">
        <v>2.7499999999999998E-3</v>
      </c>
      <c r="D48" s="41">
        <v>0.03</v>
      </c>
    </row>
    <row r="49" spans="1:6" ht="15.5" x14ac:dyDescent="0.35">
      <c r="A49" s="42">
        <v>2519</v>
      </c>
      <c r="B49" s="26" t="s">
        <v>119</v>
      </c>
      <c r="C49" s="102">
        <v>1.5100000000000001E-3</v>
      </c>
      <c r="D49" s="41">
        <v>0.02</v>
      </c>
    </row>
    <row r="50" spans="1:6" ht="15.5" x14ac:dyDescent="0.35">
      <c r="A50" s="42">
        <v>5238</v>
      </c>
      <c r="B50" s="26" t="s">
        <v>121</v>
      </c>
      <c r="C50" s="102">
        <v>1.65E-3</v>
      </c>
      <c r="D50" s="41">
        <v>0.02</v>
      </c>
    </row>
    <row r="51" spans="1:6" ht="15.5" x14ac:dyDescent="0.35">
      <c r="A51" s="42">
        <v>5239</v>
      </c>
      <c r="B51" s="10" t="s">
        <v>122</v>
      </c>
      <c r="C51" s="102">
        <v>1.9800000000000002E-2</v>
      </c>
      <c r="D51" s="41">
        <v>0.23</v>
      </c>
    </row>
    <row r="52" spans="1:6" ht="15.5" x14ac:dyDescent="0.35">
      <c r="A52" s="42">
        <v>5250</v>
      </c>
      <c r="B52" s="26" t="s">
        <v>123</v>
      </c>
      <c r="C52" s="102">
        <v>1.4999999999999999E-2</v>
      </c>
      <c r="D52" s="41">
        <v>0.18</v>
      </c>
    </row>
    <row r="53" spans="1:6" ht="15.5" x14ac:dyDescent="0.3">
      <c r="A53" s="44"/>
      <c r="B53" s="31" t="s">
        <v>74</v>
      </c>
      <c r="C53" s="31">
        <f>SUM(C30:C52)</f>
        <v>0.99999696000000016</v>
      </c>
      <c r="D53" s="43">
        <f>SUM(D30:D52)</f>
        <v>12.099999999999996</v>
      </c>
      <c r="E53" s="104"/>
      <c r="F53" s="105"/>
    </row>
    <row r="54" spans="1:6" ht="15.5" x14ac:dyDescent="0.35">
      <c r="A54" s="23"/>
      <c r="B54" s="31" t="s">
        <v>75</v>
      </c>
      <c r="C54" s="31">
        <f>C53-1</f>
        <v>-3.0399999998431682E-6</v>
      </c>
      <c r="D54" s="43">
        <f>D53+D28</f>
        <v>52.499999999999993</v>
      </c>
    </row>
    <row r="55" spans="1:6" ht="15.5" x14ac:dyDescent="0.35">
      <c r="A55" s="9"/>
      <c r="B55" s="32"/>
      <c r="C55" s="32"/>
      <c r="D55" s="55"/>
    </row>
    <row r="56" spans="1:6" ht="15.5" x14ac:dyDescent="0.35">
      <c r="A56" s="186" t="s">
        <v>45</v>
      </c>
      <c r="B56" s="186"/>
      <c r="C56" s="115"/>
      <c r="D56" s="62">
        <v>1</v>
      </c>
    </row>
    <row r="57" spans="1:6" ht="15.5" x14ac:dyDescent="0.35">
      <c r="A57" s="186" t="s">
        <v>54</v>
      </c>
      <c r="B57" s="186"/>
      <c r="C57" s="115"/>
      <c r="D57" s="60">
        <f>D54/D56</f>
        <v>52.499999999999993</v>
      </c>
    </row>
    <row r="58" spans="1:6" ht="15.5" x14ac:dyDescent="0.35">
      <c r="A58" s="63"/>
      <c r="B58" s="66"/>
      <c r="C58" s="66"/>
      <c r="D58" s="66"/>
    </row>
    <row r="59" spans="1:6" ht="15.5" x14ac:dyDescent="0.35">
      <c r="A59" s="162" t="s">
        <v>62</v>
      </c>
      <c r="B59" s="162"/>
      <c r="C59" s="49"/>
      <c r="D59" s="56"/>
    </row>
    <row r="60" spans="1:6" ht="15.5" x14ac:dyDescent="0.35">
      <c r="A60" s="162" t="s">
        <v>63</v>
      </c>
      <c r="B60" s="162"/>
      <c r="C60" s="49"/>
      <c r="D60" s="56"/>
    </row>
    <row r="61" spans="1:6" ht="15.5" x14ac:dyDescent="0.35">
      <c r="A61" s="36"/>
      <c r="B61" s="11"/>
      <c r="C61" s="11"/>
      <c r="D61" s="75"/>
    </row>
    <row r="62" spans="1:6" ht="15.5" x14ac:dyDescent="0.35">
      <c r="A62" s="37" t="s">
        <v>46</v>
      </c>
      <c r="B62" s="37"/>
      <c r="C62" s="37"/>
      <c r="D62" s="95"/>
    </row>
    <row r="63" spans="1:6" ht="15.5" x14ac:dyDescent="0.35">
      <c r="A63" s="37"/>
      <c r="B63" s="37"/>
      <c r="C63" s="37"/>
      <c r="D63" s="106"/>
    </row>
    <row r="64" spans="1:6" ht="15.5" x14ac:dyDescent="0.35">
      <c r="A64" s="37" t="s">
        <v>134</v>
      </c>
      <c r="B64" s="38"/>
      <c r="C64" s="38"/>
      <c r="D64" s="37"/>
    </row>
    <row r="65" spans="1:4" ht="15.5" x14ac:dyDescent="0.35">
      <c r="A65" s="37"/>
      <c r="B65" s="39"/>
      <c r="C65" s="39"/>
      <c r="D65" s="37"/>
    </row>
    <row r="66" spans="1:4" x14ac:dyDescent="0.3">
      <c r="D66" s="1"/>
    </row>
  </sheetData>
  <mergeCells count="8">
    <mergeCell ref="A59:B59"/>
    <mergeCell ref="A60:B60"/>
    <mergeCell ref="A7:B7"/>
    <mergeCell ref="A9:B9"/>
    <mergeCell ref="A10:B10"/>
    <mergeCell ref="B13:D13"/>
    <mergeCell ref="A56:B56"/>
    <mergeCell ref="A57:B57"/>
  </mergeCells>
  <pageMargins left="0.7" right="0.7" top="0.75" bottom="0.75" header="0.3" footer="0.3"/>
  <pageSetup paperSize="9" scale="62" fitToHeight="0" orientation="portrait" r:id="rId1"/>
  <headerFooter>
    <oddFooter>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F66"/>
  <sheetViews>
    <sheetView view="pageLayout" zoomScale="80" zoomScaleNormal="100" zoomScalePageLayoutView="80" workbookViewId="0">
      <selection activeCell="D5" sqref="D5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206</v>
      </c>
      <c r="C12" s="5"/>
      <c r="D12" s="10"/>
    </row>
    <row r="13" spans="1:4" ht="15.5" x14ac:dyDescent="0.25">
      <c r="A13" s="5"/>
      <c r="B13" s="160" t="s">
        <v>212</v>
      </c>
      <c r="C13" s="160"/>
      <c r="D13" s="160"/>
    </row>
    <row r="14" spans="1:4" ht="15.5" x14ac:dyDescent="0.35">
      <c r="C14" s="5"/>
      <c r="D14" s="10"/>
    </row>
    <row r="15" spans="1:4" ht="15.5" x14ac:dyDescent="0.35">
      <c r="A15" s="5" t="s">
        <v>2</v>
      </c>
      <c r="B15" s="5" t="s">
        <v>124</v>
      </c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29.95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7.07</v>
      </c>
    </row>
    <row r="21" spans="1:4" ht="15.5" hidden="1" x14ac:dyDescent="0.25">
      <c r="A21" s="45">
        <v>2210</v>
      </c>
      <c r="B21" s="54" t="s">
        <v>100</v>
      </c>
      <c r="C21" s="54"/>
      <c r="D21" s="41"/>
    </row>
    <row r="22" spans="1:4" ht="15.5" hidden="1" x14ac:dyDescent="0.25">
      <c r="A22" s="45">
        <v>2223</v>
      </c>
      <c r="B22" s="54" t="s">
        <v>94</v>
      </c>
      <c r="C22" s="54"/>
      <c r="D22" s="41"/>
    </row>
    <row r="23" spans="1:4" ht="15.5" hidden="1" x14ac:dyDescent="0.35">
      <c r="A23" s="42">
        <v>2243</v>
      </c>
      <c r="B23" s="26" t="s">
        <v>76</v>
      </c>
      <c r="C23" s="26"/>
      <c r="D23" s="41"/>
    </row>
    <row r="24" spans="1:4" ht="15.5" x14ac:dyDescent="0.35">
      <c r="A24" s="42">
        <v>2250</v>
      </c>
      <c r="B24" s="21" t="s">
        <v>110</v>
      </c>
      <c r="C24" s="21"/>
      <c r="D24" s="41">
        <v>16.18</v>
      </c>
    </row>
    <row r="25" spans="1:4" ht="15.5" x14ac:dyDescent="0.35">
      <c r="A25" s="24">
        <v>2311</v>
      </c>
      <c r="B25" s="26" t="s">
        <v>114</v>
      </c>
      <c r="C25" s="26"/>
      <c r="D25" s="41">
        <v>21.42</v>
      </c>
    </row>
    <row r="26" spans="1:4" ht="15.5" hidden="1" x14ac:dyDescent="0.35">
      <c r="A26" s="24">
        <v>2321</v>
      </c>
      <c r="B26" s="26" t="s">
        <v>96</v>
      </c>
      <c r="C26" s="26"/>
      <c r="D26" s="41"/>
    </row>
    <row r="27" spans="1:4" ht="15.5" hidden="1" x14ac:dyDescent="0.35">
      <c r="A27" s="24">
        <v>2370</v>
      </c>
      <c r="B27" s="22" t="s">
        <v>131</v>
      </c>
      <c r="C27" s="26"/>
      <c r="D27" s="41"/>
    </row>
    <row r="28" spans="1:4" ht="15.5" x14ac:dyDescent="0.3">
      <c r="A28" s="42"/>
      <c r="B28" s="28" t="s">
        <v>69</v>
      </c>
      <c r="C28" s="28"/>
      <c r="D28" s="43">
        <f>SUM(D19:D27)</f>
        <v>74.62</v>
      </c>
    </row>
    <row r="29" spans="1:4" ht="15.5" x14ac:dyDescent="0.35">
      <c r="A29" s="44"/>
      <c r="B29" s="24" t="s">
        <v>70</v>
      </c>
      <c r="C29" s="24"/>
      <c r="D29" s="41"/>
    </row>
    <row r="30" spans="1:4" ht="15.5" x14ac:dyDescent="0.35">
      <c r="A30" s="42">
        <v>1100</v>
      </c>
      <c r="B30" s="24" t="s">
        <v>83</v>
      </c>
      <c r="C30" s="102">
        <v>0.51439999999999997</v>
      </c>
      <c r="D30" s="41">
        <v>11.82</v>
      </c>
    </row>
    <row r="31" spans="1:4" ht="15.75" customHeight="1" x14ac:dyDescent="0.3">
      <c r="A31" s="42">
        <v>1200</v>
      </c>
      <c r="B31" s="54" t="s">
        <v>93</v>
      </c>
      <c r="C31" s="102">
        <f>C30*0.2359</f>
        <v>0.12134695999999999</v>
      </c>
      <c r="D31" s="41">
        <v>2.79</v>
      </c>
    </row>
    <row r="32" spans="1:4" ht="15.5" x14ac:dyDescent="0.3">
      <c r="A32" s="42">
        <v>2100</v>
      </c>
      <c r="B32" s="30" t="s">
        <v>42</v>
      </c>
      <c r="C32" s="102">
        <v>8.0999999999999996E-4</v>
      </c>
      <c r="D32" s="41">
        <v>0.02</v>
      </c>
    </row>
    <row r="33" spans="1:4" ht="15.5" x14ac:dyDescent="0.35">
      <c r="A33" s="45">
        <v>2210</v>
      </c>
      <c r="B33" s="26" t="s">
        <v>100</v>
      </c>
      <c r="C33" s="102">
        <v>8.0000000000000002E-3</v>
      </c>
      <c r="D33" s="41">
        <v>0.18</v>
      </c>
    </row>
    <row r="34" spans="1:4" ht="15.5" x14ac:dyDescent="0.35">
      <c r="A34" s="42">
        <v>2222</v>
      </c>
      <c r="B34" s="26" t="s">
        <v>101</v>
      </c>
      <c r="C34" s="102">
        <v>4.4400000000000004E-3</v>
      </c>
      <c r="D34" s="41">
        <v>0.15</v>
      </c>
    </row>
    <row r="35" spans="1:4" ht="15.5" x14ac:dyDescent="0.35">
      <c r="A35" s="42">
        <v>2223</v>
      </c>
      <c r="B35" s="26" t="s">
        <v>94</v>
      </c>
      <c r="C35" s="102">
        <v>5.4940000000000003E-2</v>
      </c>
      <c r="D35" s="41">
        <v>1.26</v>
      </c>
    </row>
    <row r="36" spans="1:4" ht="31" x14ac:dyDescent="0.35">
      <c r="A36" s="42">
        <v>2224</v>
      </c>
      <c r="B36" s="26" t="s">
        <v>102</v>
      </c>
      <c r="C36" s="102">
        <v>3.0899999999999999E-3</v>
      </c>
      <c r="D36" s="41">
        <v>7.0000000000000007E-2</v>
      </c>
    </row>
    <row r="37" spans="1:4" ht="15.5" x14ac:dyDescent="0.35">
      <c r="A37" s="42">
        <v>2241</v>
      </c>
      <c r="B37" s="26" t="s">
        <v>106</v>
      </c>
      <c r="C37" s="102">
        <v>1.6500000000000001E-2</v>
      </c>
      <c r="D37" s="41">
        <v>0.38</v>
      </c>
    </row>
    <row r="38" spans="1:4" ht="15.5" x14ac:dyDescent="0.35">
      <c r="A38" s="42">
        <v>2242</v>
      </c>
      <c r="B38" s="26" t="s">
        <v>107</v>
      </c>
      <c r="C38" s="102">
        <v>8.4999999999999995E-4</v>
      </c>
      <c r="D38" s="41">
        <v>0.02</v>
      </c>
    </row>
    <row r="39" spans="1:4" ht="15.5" x14ac:dyDescent="0.35">
      <c r="A39" s="42">
        <v>2243</v>
      </c>
      <c r="B39" s="26" t="s">
        <v>76</v>
      </c>
      <c r="C39" s="102">
        <f>0.0004+0.02029</f>
        <v>2.069E-2</v>
      </c>
      <c r="D39" s="41">
        <v>0.48</v>
      </c>
    </row>
    <row r="40" spans="1:4" ht="15.5" x14ac:dyDescent="0.35">
      <c r="A40" s="23">
        <v>2244</v>
      </c>
      <c r="B40" s="26" t="s">
        <v>108</v>
      </c>
      <c r="C40" s="102">
        <v>6.8070000000000006E-2</v>
      </c>
      <c r="D40" s="41">
        <v>1.56</v>
      </c>
    </row>
    <row r="41" spans="1:4" ht="15.5" x14ac:dyDescent="0.35">
      <c r="A41" s="24">
        <v>2250</v>
      </c>
      <c r="B41" s="26" t="s">
        <v>110</v>
      </c>
      <c r="C41" s="102">
        <v>2.8400000000000002E-2</v>
      </c>
      <c r="D41" s="41">
        <v>0.65</v>
      </c>
    </row>
    <row r="42" spans="1:4" ht="15.5" x14ac:dyDescent="0.35">
      <c r="A42" s="24">
        <v>2312</v>
      </c>
      <c r="B42" s="26" t="s">
        <v>95</v>
      </c>
      <c r="C42" s="26">
        <v>2.98E-2</v>
      </c>
      <c r="D42" s="41">
        <v>0.68</v>
      </c>
    </row>
    <row r="43" spans="1:4" ht="15.5" x14ac:dyDescent="0.35">
      <c r="A43" s="24">
        <v>2321</v>
      </c>
      <c r="B43" s="26" t="s">
        <v>96</v>
      </c>
      <c r="C43" s="102">
        <v>6.0220000000000003E-2</v>
      </c>
      <c r="D43" s="41">
        <v>1.38</v>
      </c>
    </row>
    <row r="44" spans="1:4" ht="15.5" x14ac:dyDescent="0.35">
      <c r="A44" s="24">
        <v>2322</v>
      </c>
      <c r="B44" s="26" t="s">
        <v>117</v>
      </c>
      <c r="C44" s="102">
        <v>2.0999999999999999E-3</v>
      </c>
      <c r="D44" s="41">
        <v>0.05</v>
      </c>
    </row>
    <row r="45" spans="1:4" ht="15.5" x14ac:dyDescent="0.35">
      <c r="A45" s="24">
        <v>2350</v>
      </c>
      <c r="B45" s="26" t="s">
        <v>98</v>
      </c>
      <c r="C45" s="26">
        <v>2.5000000000000001E-2</v>
      </c>
      <c r="D45" s="41">
        <v>0.56999999999999995</v>
      </c>
    </row>
    <row r="46" spans="1:4" ht="15.5" hidden="1" x14ac:dyDescent="0.35">
      <c r="A46" s="24">
        <v>2512</v>
      </c>
      <c r="B46" s="26" t="s">
        <v>30</v>
      </c>
      <c r="C46" s="26"/>
      <c r="D46" s="41">
        <f>C46*22.97762</f>
        <v>0</v>
      </c>
    </row>
    <row r="47" spans="1:4" ht="15.5" x14ac:dyDescent="0.35">
      <c r="A47" s="42">
        <v>2513</v>
      </c>
      <c r="B47" s="26" t="s">
        <v>118</v>
      </c>
      <c r="C47" s="102">
        <v>6.3000000000000003E-4</v>
      </c>
      <c r="D47" s="41">
        <v>0.04</v>
      </c>
    </row>
    <row r="48" spans="1:4" ht="15.5" x14ac:dyDescent="0.35">
      <c r="A48" s="42">
        <v>2515</v>
      </c>
      <c r="B48" s="26" t="s">
        <v>73</v>
      </c>
      <c r="C48" s="102">
        <v>2.7499999999999998E-3</v>
      </c>
      <c r="D48" s="41">
        <v>0.06</v>
      </c>
    </row>
    <row r="49" spans="1:6" ht="15.5" x14ac:dyDescent="0.35">
      <c r="A49" s="42">
        <v>2519</v>
      </c>
      <c r="B49" s="26" t="s">
        <v>119</v>
      </c>
      <c r="C49" s="102">
        <v>1.5100000000000001E-3</v>
      </c>
      <c r="D49" s="41">
        <v>0.03</v>
      </c>
    </row>
    <row r="50" spans="1:6" ht="15.5" x14ac:dyDescent="0.35">
      <c r="A50" s="42">
        <v>5238</v>
      </c>
      <c r="B50" s="26" t="s">
        <v>121</v>
      </c>
      <c r="C50" s="102">
        <v>1.65E-3</v>
      </c>
      <c r="D50" s="41">
        <v>0.04</v>
      </c>
    </row>
    <row r="51" spans="1:6" ht="15.5" x14ac:dyDescent="0.35">
      <c r="A51" s="42">
        <v>5239</v>
      </c>
      <c r="B51" s="10" t="s">
        <v>122</v>
      </c>
      <c r="C51" s="102">
        <v>1.9800000000000002E-2</v>
      </c>
      <c r="D51" s="41">
        <v>0.41</v>
      </c>
    </row>
    <row r="52" spans="1:6" ht="15.5" x14ac:dyDescent="0.35">
      <c r="A52" s="42">
        <v>5250</v>
      </c>
      <c r="B52" s="26" t="s">
        <v>123</v>
      </c>
      <c r="C52" s="102">
        <v>1.4999999999999999E-2</v>
      </c>
      <c r="D52" s="41">
        <v>0.34</v>
      </c>
    </row>
    <row r="53" spans="1:6" ht="15.5" x14ac:dyDescent="0.3">
      <c r="A53" s="44"/>
      <c r="B53" s="31" t="s">
        <v>74</v>
      </c>
      <c r="C53" s="31">
        <f>SUM(C30:C52)</f>
        <v>0.99999696000000016</v>
      </c>
      <c r="D53" s="43">
        <f>SUM(D30:D52)</f>
        <v>22.979999999999993</v>
      </c>
      <c r="E53" s="104"/>
      <c r="F53" s="105"/>
    </row>
    <row r="54" spans="1:6" ht="15.5" x14ac:dyDescent="0.35">
      <c r="A54" s="23"/>
      <c r="B54" s="31" t="s">
        <v>75</v>
      </c>
      <c r="C54" s="31">
        <f>C53-1</f>
        <v>-3.0399999998431682E-6</v>
      </c>
      <c r="D54" s="43">
        <f>D53+D28</f>
        <v>97.6</v>
      </c>
    </row>
    <row r="55" spans="1:6" ht="15.5" x14ac:dyDescent="0.35">
      <c r="A55" s="9"/>
      <c r="B55" s="32"/>
      <c r="C55" s="32"/>
      <c r="D55" s="55"/>
    </row>
    <row r="56" spans="1:6" ht="15.5" x14ac:dyDescent="0.35">
      <c r="A56" s="186" t="s">
        <v>45</v>
      </c>
      <c r="B56" s="186"/>
      <c r="C56" s="115"/>
      <c r="D56" s="62">
        <v>20</v>
      </c>
    </row>
    <row r="57" spans="1:6" ht="15.5" x14ac:dyDescent="0.35">
      <c r="A57" s="186" t="s">
        <v>54</v>
      </c>
      <c r="B57" s="186"/>
      <c r="C57" s="115"/>
      <c r="D57" s="60">
        <f>D54/D56</f>
        <v>4.88</v>
      </c>
    </row>
    <row r="58" spans="1:6" ht="15.5" x14ac:dyDescent="0.35">
      <c r="A58" s="63"/>
      <c r="B58" s="66"/>
      <c r="C58" s="66"/>
      <c r="D58" s="66"/>
    </row>
    <row r="59" spans="1:6" ht="15.5" x14ac:dyDescent="0.35">
      <c r="A59" s="162" t="s">
        <v>62</v>
      </c>
      <c r="B59" s="162"/>
      <c r="C59" s="49"/>
      <c r="D59" s="56"/>
    </row>
    <row r="60" spans="1:6" ht="15.5" x14ac:dyDescent="0.35">
      <c r="A60" s="162" t="s">
        <v>63</v>
      </c>
      <c r="B60" s="162"/>
      <c r="C60" s="49"/>
      <c r="D60" s="56"/>
    </row>
    <row r="61" spans="1:6" ht="15.5" x14ac:dyDescent="0.35">
      <c r="A61" s="36"/>
      <c r="B61" s="11"/>
      <c r="C61" s="11"/>
      <c r="D61" s="75"/>
    </row>
    <row r="62" spans="1:6" ht="15.5" x14ac:dyDescent="0.35">
      <c r="A62" s="37" t="s">
        <v>46</v>
      </c>
      <c r="B62" s="37"/>
      <c r="C62" s="37"/>
      <c r="D62" s="95"/>
    </row>
    <row r="63" spans="1:6" ht="15.5" x14ac:dyDescent="0.35">
      <c r="A63" s="37"/>
      <c r="B63" s="37"/>
      <c r="C63" s="37"/>
      <c r="D63" s="106"/>
    </row>
    <row r="64" spans="1:6" ht="15.5" x14ac:dyDescent="0.35">
      <c r="A64" s="37" t="s">
        <v>134</v>
      </c>
      <c r="B64" s="38"/>
      <c r="C64" s="38"/>
      <c r="D64" s="37"/>
    </row>
    <row r="65" spans="1:4" ht="15.5" x14ac:dyDescent="0.35">
      <c r="A65" s="37"/>
      <c r="B65" s="39"/>
      <c r="C65" s="39"/>
      <c r="D65" s="37"/>
    </row>
    <row r="66" spans="1:4" x14ac:dyDescent="0.3">
      <c r="D66" s="1"/>
    </row>
  </sheetData>
  <mergeCells count="8">
    <mergeCell ref="A59:B59"/>
    <mergeCell ref="A60:B60"/>
    <mergeCell ref="A7:B7"/>
    <mergeCell ref="A9:B9"/>
    <mergeCell ref="A10:B10"/>
    <mergeCell ref="B13:D13"/>
    <mergeCell ref="A56:B56"/>
    <mergeCell ref="A57:B57"/>
  </mergeCells>
  <pageMargins left="0.7" right="0.7" top="0.75" bottom="0.75" header="0.3" footer="0.3"/>
  <pageSetup paperSize="9" scale="62" fitToHeight="0" orientation="portrait" r:id="rId1"/>
  <headerFooter>
    <oddFooter>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C84"/>
  <sheetViews>
    <sheetView view="pageLayout" zoomScale="80" zoomScaleNormal="100" zoomScalePageLayoutView="80" workbookViewId="0">
      <selection activeCell="B27" sqref="B27"/>
    </sheetView>
  </sheetViews>
  <sheetFormatPr defaultColWidth="9.1796875" defaultRowHeight="15.5" x14ac:dyDescent="0.35"/>
  <cols>
    <col min="1" max="1" width="13.54296875" style="10" customWidth="1"/>
    <col min="2" max="2" width="93.54296875" style="10" customWidth="1"/>
    <col min="3" max="3" width="28.7265625" style="10" customWidth="1"/>
    <col min="4" max="16384" width="9.1796875" style="40"/>
  </cols>
  <sheetData>
    <row r="1" spans="1:3" x14ac:dyDescent="0.35">
      <c r="B1" s="9"/>
      <c r="C1" s="9" t="s">
        <v>7</v>
      </c>
    </row>
    <row r="2" spans="1:3" x14ac:dyDescent="0.35">
      <c r="B2" s="8"/>
      <c r="C2" s="9" t="s">
        <v>44</v>
      </c>
    </row>
    <row r="3" spans="1:3" x14ac:dyDescent="0.35">
      <c r="B3" s="8"/>
      <c r="C3" s="48" t="s">
        <v>91</v>
      </c>
    </row>
    <row r="4" spans="1:3" x14ac:dyDescent="0.35">
      <c r="B4" s="6"/>
      <c r="C4" s="6"/>
    </row>
    <row r="5" spans="1:3" x14ac:dyDescent="0.35">
      <c r="B5" s="47"/>
      <c r="C5" s="9" t="s">
        <v>260</v>
      </c>
    </row>
    <row r="7" spans="1:3" ht="15" x14ac:dyDescent="0.3">
      <c r="A7" s="179" t="s">
        <v>6</v>
      </c>
      <c r="B7" s="179"/>
      <c r="C7" s="179"/>
    </row>
    <row r="8" spans="1:3" x14ac:dyDescent="0.35">
      <c r="B8" s="57"/>
    </row>
    <row r="9" spans="1:3" x14ac:dyDescent="0.35">
      <c r="A9" s="160" t="s">
        <v>1</v>
      </c>
      <c r="B9" s="160"/>
    </row>
    <row r="10" spans="1:3" x14ac:dyDescent="0.35">
      <c r="A10" s="160" t="s">
        <v>0</v>
      </c>
      <c r="B10" s="160"/>
      <c r="C10" s="32"/>
    </row>
    <row r="11" spans="1:3" x14ac:dyDescent="0.35">
      <c r="A11" s="5"/>
      <c r="B11" s="5" t="s">
        <v>165</v>
      </c>
      <c r="C11" s="32"/>
    </row>
    <row r="12" spans="1:3" x14ac:dyDescent="0.35">
      <c r="A12" s="5"/>
      <c r="B12" s="5" t="s">
        <v>213</v>
      </c>
    </row>
    <row r="13" spans="1:3" x14ac:dyDescent="0.35">
      <c r="A13" s="5"/>
      <c r="B13" s="5" t="s">
        <v>263</v>
      </c>
    </row>
    <row r="14" spans="1:3" ht="15.75" hidden="1" customHeight="1" x14ac:dyDescent="0.35">
      <c r="A14" s="5"/>
      <c r="B14" s="5"/>
    </row>
    <row r="15" spans="1:3" x14ac:dyDescent="0.35">
      <c r="A15" s="5" t="s">
        <v>2</v>
      </c>
      <c r="B15" s="5" t="s">
        <v>124</v>
      </c>
    </row>
    <row r="16" spans="1:3" hidden="1" x14ac:dyDescent="0.35">
      <c r="B16" s="16"/>
    </row>
    <row r="17" spans="1:3" ht="67.5" customHeight="1" x14ac:dyDescent="0.25">
      <c r="A17" s="17" t="s">
        <v>3</v>
      </c>
      <c r="B17" s="17" t="s">
        <v>4</v>
      </c>
      <c r="C17" s="17" t="s">
        <v>64</v>
      </c>
    </row>
    <row r="18" spans="1:3" ht="15" x14ac:dyDescent="0.25">
      <c r="A18" s="18">
        <v>1</v>
      </c>
      <c r="B18" s="19">
        <v>2</v>
      </c>
      <c r="C18" s="19"/>
    </row>
    <row r="19" spans="1:3" x14ac:dyDescent="0.35">
      <c r="A19" s="18"/>
      <c r="B19" s="21" t="s">
        <v>5</v>
      </c>
      <c r="C19" s="22"/>
    </row>
    <row r="20" spans="1:3" x14ac:dyDescent="0.25">
      <c r="A20" s="42">
        <v>1100</v>
      </c>
      <c r="B20" s="42" t="s">
        <v>56</v>
      </c>
      <c r="C20" s="41">
        <v>23.68</v>
      </c>
    </row>
    <row r="21" spans="1:3" ht="15.75" customHeight="1" x14ac:dyDescent="0.25">
      <c r="A21" s="42">
        <v>1200</v>
      </c>
      <c r="B21" s="54" t="s">
        <v>135</v>
      </c>
      <c r="C21" s="41">
        <v>5.59</v>
      </c>
    </row>
    <row r="22" spans="1:3" x14ac:dyDescent="0.25">
      <c r="A22" s="42">
        <v>2222</v>
      </c>
      <c r="B22" s="54" t="s">
        <v>143</v>
      </c>
      <c r="C22" s="41">
        <v>0.17</v>
      </c>
    </row>
    <row r="23" spans="1:3" x14ac:dyDescent="0.25">
      <c r="A23" s="42">
        <v>2223</v>
      </c>
      <c r="B23" s="54" t="s">
        <v>40</v>
      </c>
      <c r="C23" s="41">
        <v>0.38</v>
      </c>
    </row>
    <row r="24" spans="1:3" hidden="1" x14ac:dyDescent="0.25">
      <c r="A24" s="42">
        <v>2243</v>
      </c>
      <c r="B24" s="54" t="s">
        <v>12</v>
      </c>
      <c r="C24" s="41"/>
    </row>
    <row r="25" spans="1:3" x14ac:dyDescent="0.25">
      <c r="A25" s="42">
        <v>2244</v>
      </c>
      <c r="B25" s="54" t="s">
        <v>144</v>
      </c>
      <c r="C25" s="41">
        <v>0.64</v>
      </c>
    </row>
    <row r="26" spans="1:3" x14ac:dyDescent="0.35">
      <c r="A26" s="22">
        <v>2250</v>
      </c>
      <c r="B26" s="26" t="s">
        <v>155</v>
      </c>
      <c r="C26" s="41">
        <v>0.84</v>
      </c>
    </row>
    <row r="27" spans="1:3" x14ac:dyDescent="0.25">
      <c r="A27" s="42">
        <v>2311</v>
      </c>
      <c r="B27" s="54" t="s">
        <v>145</v>
      </c>
      <c r="C27" s="41">
        <v>8.9499999999999993</v>
      </c>
    </row>
    <row r="28" spans="1:3" x14ac:dyDescent="0.25">
      <c r="A28" s="42">
        <v>2312</v>
      </c>
      <c r="B28" s="54" t="s">
        <v>20</v>
      </c>
      <c r="C28" s="41">
        <v>0.86</v>
      </c>
    </row>
    <row r="29" spans="1:3" x14ac:dyDescent="0.25">
      <c r="A29" s="42">
        <v>2321</v>
      </c>
      <c r="B29" s="54" t="s">
        <v>21</v>
      </c>
      <c r="C29" s="41">
        <v>0.35</v>
      </c>
    </row>
    <row r="30" spans="1:3" hidden="1" x14ac:dyDescent="0.25">
      <c r="A30" s="42">
        <v>2341</v>
      </c>
      <c r="B30" s="54" t="s">
        <v>146</v>
      </c>
      <c r="C30" s="41"/>
    </row>
    <row r="31" spans="1:3" x14ac:dyDescent="0.25">
      <c r="A31" s="42">
        <v>2350</v>
      </c>
      <c r="B31" s="54" t="s">
        <v>147</v>
      </c>
      <c r="C31" s="41">
        <v>2.23</v>
      </c>
    </row>
    <row r="32" spans="1:3" x14ac:dyDescent="0.25">
      <c r="A32" s="42">
        <v>2369</v>
      </c>
      <c r="B32" s="54" t="s">
        <v>148</v>
      </c>
      <c r="C32" s="41">
        <v>0.9</v>
      </c>
    </row>
    <row r="33" spans="1:3" x14ac:dyDescent="0.25">
      <c r="A33" s="42">
        <v>5238</v>
      </c>
      <c r="B33" s="54" t="s">
        <v>149</v>
      </c>
      <c r="C33" s="41">
        <v>3.4</v>
      </c>
    </row>
    <row r="34" spans="1:3" x14ac:dyDescent="0.25">
      <c r="A34" s="45">
        <v>5239</v>
      </c>
      <c r="B34" s="54" t="s">
        <v>99</v>
      </c>
      <c r="C34" s="41">
        <v>0.96</v>
      </c>
    </row>
    <row r="35" spans="1:3" x14ac:dyDescent="0.25">
      <c r="A35" s="42"/>
      <c r="B35" s="119" t="s">
        <v>69</v>
      </c>
      <c r="C35" s="43">
        <f>SUM(C20:C34)</f>
        <v>48.949999999999996</v>
      </c>
    </row>
    <row r="36" spans="1:3" x14ac:dyDescent="0.25">
      <c r="A36" s="44"/>
      <c r="B36" s="42" t="s">
        <v>70</v>
      </c>
      <c r="C36" s="41"/>
    </row>
    <row r="37" spans="1:3" x14ac:dyDescent="0.25">
      <c r="A37" s="42">
        <v>1100</v>
      </c>
      <c r="B37" s="42" t="s">
        <v>56</v>
      </c>
      <c r="C37" s="41">
        <v>9.1300000000000008</v>
      </c>
    </row>
    <row r="38" spans="1:3" ht="15.75" customHeight="1" x14ac:dyDescent="0.25">
      <c r="A38" s="42">
        <v>1200</v>
      </c>
      <c r="B38" s="54" t="s">
        <v>135</v>
      </c>
      <c r="C38" s="41">
        <v>2.15</v>
      </c>
    </row>
    <row r="39" spans="1:3" hidden="1" x14ac:dyDescent="0.25">
      <c r="A39" s="42">
        <v>2100</v>
      </c>
      <c r="B39" s="30" t="s">
        <v>42</v>
      </c>
      <c r="C39" s="41"/>
    </row>
    <row r="40" spans="1:3" x14ac:dyDescent="0.25">
      <c r="A40" s="45">
        <v>2210</v>
      </c>
      <c r="B40" s="54" t="s">
        <v>150</v>
      </c>
      <c r="C40" s="41">
        <v>0.22</v>
      </c>
    </row>
    <row r="41" spans="1:3" hidden="1" x14ac:dyDescent="0.25">
      <c r="A41" s="42">
        <v>2222</v>
      </c>
      <c r="B41" s="54" t="s">
        <v>143</v>
      </c>
      <c r="C41" s="41"/>
    </row>
    <row r="42" spans="1:3" x14ac:dyDescent="0.25">
      <c r="A42" s="42">
        <v>2223</v>
      </c>
      <c r="B42" s="54" t="s">
        <v>40</v>
      </c>
      <c r="C42" s="41">
        <v>0.88</v>
      </c>
    </row>
    <row r="43" spans="1:3" x14ac:dyDescent="0.25">
      <c r="A43" s="42">
        <v>2224</v>
      </c>
      <c r="B43" s="54" t="s">
        <v>151</v>
      </c>
      <c r="C43" s="41">
        <v>0.22</v>
      </c>
    </row>
    <row r="44" spans="1:3" x14ac:dyDescent="0.25">
      <c r="A44" s="42">
        <v>2231</v>
      </c>
      <c r="B44" s="54" t="s">
        <v>152</v>
      </c>
      <c r="C44" s="41">
        <v>0.17</v>
      </c>
    </row>
    <row r="45" spans="1:3" x14ac:dyDescent="0.25">
      <c r="A45" s="42">
        <v>2239</v>
      </c>
      <c r="B45" s="54" t="s">
        <v>153</v>
      </c>
      <c r="C45" s="41">
        <v>0.13</v>
      </c>
    </row>
    <row r="46" spans="1:3" x14ac:dyDescent="0.35">
      <c r="A46" s="22">
        <v>2241</v>
      </c>
      <c r="B46" s="26" t="s">
        <v>154</v>
      </c>
      <c r="C46" s="41">
        <v>0.32</v>
      </c>
    </row>
    <row r="47" spans="1:3" x14ac:dyDescent="0.35">
      <c r="A47" s="22">
        <v>2242</v>
      </c>
      <c r="B47" s="26" t="s">
        <v>11</v>
      </c>
      <c r="C47" s="41">
        <v>0.11</v>
      </c>
    </row>
    <row r="48" spans="1:3" x14ac:dyDescent="0.35">
      <c r="A48" s="22">
        <v>2243</v>
      </c>
      <c r="B48" s="26" t="s">
        <v>12</v>
      </c>
      <c r="C48" s="41">
        <v>0.34</v>
      </c>
    </row>
    <row r="49" spans="1:3" x14ac:dyDescent="0.35">
      <c r="A49" s="22">
        <v>2244</v>
      </c>
      <c r="B49" s="54" t="s">
        <v>144</v>
      </c>
      <c r="C49" s="41">
        <v>1.51</v>
      </c>
    </row>
    <row r="50" spans="1:3" hidden="1" x14ac:dyDescent="0.35">
      <c r="A50" s="22">
        <v>2247</v>
      </c>
      <c r="B50" s="21" t="s">
        <v>59</v>
      </c>
      <c r="C50" s="41"/>
    </row>
    <row r="51" spans="1:3" hidden="1" x14ac:dyDescent="0.35">
      <c r="A51" s="22">
        <v>2249</v>
      </c>
      <c r="B51" s="26" t="s">
        <v>13</v>
      </c>
      <c r="C51" s="41"/>
    </row>
    <row r="52" spans="1:3" x14ac:dyDescent="0.35">
      <c r="A52" s="22">
        <v>2250</v>
      </c>
      <c r="B52" s="26" t="s">
        <v>155</v>
      </c>
      <c r="C52" s="41">
        <v>0.65</v>
      </c>
    </row>
    <row r="53" spans="1:3" x14ac:dyDescent="0.35">
      <c r="A53" s="22">
        <v>2262</v>
      </c>
      <c r="B53" s="26" t="s">
        <v>15</v>
      </c>
      <c r="C53" s="41">
        <v>0.09</v>
      </c>
    </row>
    <row r="54" spans="1:3" x14ac:dyDescent="0.35">
      <c r="A54" s="22">
        <v>2263</v>
      </c>
      <c r="B54" s="26" t="s">
        <v>16</v>
      </c>
      <c r="C54" s="41">
        <v>0.68</v>
      </c>
    </row>
    <row r="55" spans="1:3" hidden="1" x14ac:dyDescent="0.35">
      <c r="A55" s="22">
        <v>2264</v>
      </c>
      <c r="B55" s="26" t="s">
        <v>17</v>
      </c>
      <c r="C55" s="41"/>
    </row>
    <row r="56" spans="1:3" hidden="1" x14ac:dyDescent="0.35">
      <c r="A56" s="22">
        <v>2311</v>
      </c>
      <c r="B56" s="26" t="s">
        <v>19</v>
      </c>
      <c r="C56" s="41">
        <v>0</v>
      </c>
    </row>
    <row r="57" spans="1:3" hidden="1" x14ac:dyDescent="0.35">
      <c r="A57" s="22">
        <v>2312</v>
      </c>
      <c r="B57" s="26" t="s">
        <v>20</v>
      </c>
      <c r="C57" s="41">
        <v>0</v>
      </c>
    </row>
    <row r="58" spans="1:3" x14ac:dyDescent="0.35">
      <c r="A58" s="22">
        <v>2321</v>
      </c>
      <c r="B58" s="26" t="s">
        <v>21</v>
      </c>
      <c r="C58" s="41">
        <v>0.72</v>
      </c>
    </row>
    <row r="59" spans="1:3" x14ac:dyDescent="0.35">
      <c r="A59" s="22">
        <v>2322</v>
      </c>
      <c r="B59" s="26" t="s">
        <v>22</v>
      </c>
      <c r="C59" s="41">
        <v>0.11</v>
      </c>
    </row>
    <row r="60" spans="1:3" hidden="1" x14ac:dyDescent="0.35">
      <c r="A60" s="22">
        <v>2341</v>
      </c>
      <c r="B60" s="26" t="s">
        <v>23</v>
      </c>
      <c r="C60" s="41"/>
    </row>
    <row r="61" spans="1:3" hidden="1" x14ac:dyDescent="0.35">
      <c r="A61" s="22">
        <v>2344</v>
      </c>
      <c r="B61" s="26" t="s">
        <v>24</v>
      </c>
      <c r="C61" s="41"/>
    </row>
    <row r="62" spans="1:3" x14ac:dyDescent="0.35">
      <c r="A62" s="22">
        <v>2350</v>
      </c>
      <c r="B62" s="26" t="s">
        <v>147</v>
      </c>
      <c r="C62" s="41">
        <v>0.24</v>
      </c>
    </row>
    <row r="63" spans="1:3" hidden="1" x14ac:dyDescent="0.35">
      <c r="A63" s="22">
        <v>2512</v>
      </c>
      <c r="B63" s="26" t="s">
        <v>30</v>
      </c>
      <c r="C63" s="41"/>
    </row>
    <row r="64" spans="1:3" x14ac:dyDescent="0.25">
      <c r="A64" s="42">
        <v>2513</v>
      </c>
      <c r="B64" s="54" t="s">
        <v>142</v>
      </c>
      <c r="C64" s="41">
        <v>0.17</v>
      </c>
    </row>
    <row r="65" spans="1:3" x14ac:dyDescent="0.25">
      <c r="A65" s="42">
        <v>2515</v>
      </c>
      <c r="B65" s="54" t="s">
        <v>55</v>
      </c>
      <c r="C65" s="41">
        <v>0.11</v>
      </c>
    </row>
    <row r="66" spans="1:3" x14ac:dyDescent="0.25">
      <c r="A66" s="42">
        <v>2519</v>
      </c>
      <c r="B66" s="54" t="s">
        <v>34</v>
      </c>
      <c r="C66" s="41">
        <v>0.1</v>
      </c>
    </row>
    <row r="67" spans="1:3" hidden="1" x14ac:dyDescent="0.25">
      <c r="A67" s="42">
        <v>5238</v>
      </c>
      <c r="B67" s="54" t="s">
        <v>35</v>
      </c>
      <c r="C67" s="41">
        <v>0</v>
      </c>
    </row>
    <row r="68" spans="1:3" hidden="1" x14ac:dyDescent="0.25">
      <c r="A68" s="42">
        <v>5239</v>
      </c>
      <c r="B68" s="54" t="s">
        <v>156</v>
      </c>
      <c r="C68" s="41">
        <v>0</v>
      </c>
    </row>
    <row r="69" spans="1:3" hidden="1" x14ac:dyDescent="0.25">
      <c r="A69" s="42">
        <v>5250</v>
      </c>
      <c r="B69" s="54" t="s">
        <v>37</v>
      </c>
      <c r="C69" s="41">
        <v>0</v>
      </c>
    </row>
    <row r="70" spans="1:3" x14ac:dyDescent="0.25">
      <c r="A70" s="44"/>
      <c r="B70" s="120" t="s">
        <v>74</v>
      </c>
      <c r="C70" s="43">
        <f>SUM(C37:C69)</f>
        <v>18.050000000000004</v>
      </c>
    </row>
    <row r="71" spans="1:3" x14ac:dyDescent="0.25">
      <c r="A71" s="44"/>
      <c r="B71" s="120" t="s">
        <v>75</v>
      </c>
      <c r="C71" s="43">
        <f>C70+C35</f>
        <v>67</v>
      </c>
    </row>
    <row r="72" spans="1:3" x14ac:dyDescent="0.35">
      <c r="A72" s="9"/>
      <c r="B72" s="32"/>
      <c r="C72" s="33"/>
    </row>
    <row r="73" spans="1:3" x14ac:dyDescent="0.35">
      <c r="A73" s="171" t="s">
        <v>45</v>
      </c>
      <c r="B73" s="172"/>
      <c r="C73" s="122">
        <v>10</v>
      </c>
    </row>
    <row r="74" spans="1:3" x14ac:dyDescent="0.35">
      <c r="A74" s="171" t="s">
        <v>66</v>
      </c>
      <c r="B74" s="172"/>
      <c r="C74" s="123">
        <f>ROUND(C71/C73,2)</f>
        <v>6.7</v>
      </c>
    </row>
    <row r="75" spans="1:3" x14ac:dyDescent="0.35">
      <c r="A75" s="32"/>
      <c r="B75" s="11"/>
      <c r="C75" s="71"/>
    </row>
    <row r="76" spans="1:3" x14ac:dyDescent="0.35">
      <c r="A76" s="171" t="s">
        <v>62</v>
      </c>
      <c r="B76" s="172"/>
      <c r="C76" s="56"/>
    </row>
    <row r="77" spans="1:3" x14ac:dyDescent="0.35">
      <c r="A77" s="171" t="s">
        <v>63</v>
      </c>
      <c r="B77" s="172"/>
      <c r="C77" s="56"/>
    </row>
    <row r="78" spans="1:3" ht="9.75" customHeight="1" x14ac:dyDescent="0.35">
      <c r="A78" s="37"/>
      <c r="B78" s="37"/>
      <c r="C78" s="37"/>
    </row>
    <row r="79" spans="1:3" x14ac:dyDescent="0.35">
      <c r="A79" s="37" t="s">
        <v>46</v>
      </c>
      <c r="B79" s="37"/>
      <c r="C79" s="37"/>
    </row>
    <row r="80" spans="1:3" ht="9.75" customHeight="1" x14ac:dyDescent="0.35">
      <c r="A80" s="37"/>
      <c r="B80" s="37"/>
      <c r="C80" s="37"/>
    </row>
    <row r="81" spans="1:3" x14ac:dyDescent="0.35">
      <c r="A81" s="37" t="s">
        <v>84</v>
      </c>
      <c r="B81" s="38"/>
      <c r="C81" s="37"/>
    </row>
    <row r="82" spans="1:3" x14ac:dyDescent="0.35">
      <c r="A82" s="37"/>
      <c r="B82" s="124"/>
      <c r="C82" s="37"/>
    </row>
    <row r="83" spans="1:3" x14ac:dyDescent="0.35">
      <c r="B83" s="9"/>
    </row>
    <row r="84" spans="1:3" x14ac:dyDescent="0.35">
      <c r="B84" s="32"/>
    </row>
  </sheetData>
  <mergeCells count="7">
    <mergeCell ref="A73:B73"/>
    <mergeCell ref="A74:B74"/>
    <mergeCell ref="A76:B76"/>
    <mergeCell ref="A77:B77"/>
    <mergeCell ref="A7:C7"/>
    <mergeCell ref="A9:B9"/>
    <mergeCell ref="A10:B10"/>
  </mergeCells>
  <pageMargins left="0.7" right="0.7" top="0.75" bottom="0.75" header="0.3" footer="0.3"/>
  <pageSetup paperSize="9" scale="65" fitToHeight="0" orientation="portrait" r:id="rId1"/>
  <headerFooter>
    <oddFooter>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C79"/>
  <sheetViews>
    <sheetView view="pageLayout" zoomScale="80" zoomScaleNormal="80" zoomScalePageLayoutView="80" workbookViewId="0">
      <selection activeCell="B13" sqref="B13"/>
    </sheetView>
  </sheetViews>
  <sheetFormatPr defaultColWidth="9.1796875" defaultRowHeight="15.5" x14ac:dyDescent="0.35"/>
  <cols>
    <col min="1" max="1" width="13.54296875" style="10" customWidth="1"/>
    <col min="2" max="2" width="93.54296875" style="10" customWidth="1"/>
    <col min="3" max="3" width="28.7265625" style="10" customWidth="1"/>
    <col min="4" max="16384" width="9.1796875" style="40"/>
  </cols>
  <sheetData>
    <row r="1" spans="1:3" x14ac:dyDescent="0.35">
      <c r="B1" s="9"/>
      <c r="C1" s="9" t="s">
        <v>7</v>
      </c>
    </row>
    <row r="2" spans="1:3" x14ac:dyDescent="0.35">
      <c r="B2" s="8"/>
      <c r="C2" s="9" t="s">
        <v>44</v>
      </c>
    </row>
    <row r="3" spans="1:3" x14ac:dyDescent="0.35">
      <c r="B3" s="8"/>
      <c r="C3" s="48" t="s">
        <v>91</v>
      </c>
    </row>
    <row r="4" spans="1:3" x14ac:dyDescent="0.35">
      <c r="B4" s="6"/>
      <c r="C4" s="6"/>
    </row>
    <row r="5" spans="1:3" x14ac:dyDescent="0.35">
      <c r="B5" s="47"/>
      <c r="C5" s="9" t="s">
        <v>260</v>
      </c>
    </row>
    <row r="7" spans="1:3" ht="15" x14ac:dyDescent="0.3">
      <c r="A7" s="179" t="s">
        <v>6</v>
      </c>
      <c r="B7" s="179"/>
      <c r="C7" s="179"/>
    </row>
    <row r="8" spans="1:3" x14ac:dyDescent="0.35">
      <c r="B8" s="57"/>
    </row>
    <row r="9" spans="1:3" x14ac:dyDescent="0.35">
      <c r="A9" s="160" t="s">
        <v>1</v>
      </c>
      <c r="B9" s="160"/>
    </row>
    <row r="10" spans="1:3" x14ac:dyDescent="0.35">
      <c r="A10" s="160" t="s">
        <v>0</v>
      </c>
      <c r="B10" s="160"/>
      <c r="C10" s="32"/>
    </row>
    <row r="11" spans="1:3" x14ac:dyDescent="0.35">
      <c r="A11" s="5"/>
      <c r="B11" s="5" t="s">
        <v>165</v>
      </c>
      <c r="C11" s="32"/>
    </row>
    <row r="12" spans="1:3" x14ac:dyDescent="0.35">
      <c r="A12" s="5"/>
      <c r="B12" s="5" t="s">
        <v>213</v>
      </c>
    </row>
    <row r="13" spans="1:3" x14ac:dyDescent="0.35">
      <c r="A13" s="5"/>
      <c r="B13" s="5" t="s">
        <v>264</v>
      </c>
    </row>
    <row r="14" spans="1:3" ht="15.75" hidden="1" customHeight="1" x14ac:dyDescent="0.35">
      <c r="A14" s="5"/>
      <c r="B14" s="5"/>
    </row>
    <row r="15" spans="1:3" x14ac:dyDescent="0.35">
      <c r="A15" s="5" t="s">
        <v>2</v>
      </c>
      <c r="B15" s="5" t="s">
        <v>124</v>
      </c>
    </row>
    <row r="16" spans="1:3" hidden="1" x14ac:dyDescent="0.35">
      <c r="B16" s="16"/>
    </row>
    <row r="17" spans="1:3" ht="67.5" customHeight="1" x14ac:dyDescent="0.25">
      <c r="A17" s="17" t="s">
        <v>3</v>
      </c>
      <c r="B17" s="17" t="s">
        <v>4</v>
      </c>
      <c r="C17" s="17" t="s">
        <v>64</v>
      </c>
    </row>
    <row r="18" spans="1:3" ht="15" x14ac:dyDescent="0.25">
      <c r="A18" s="18">
        <v>1</v>
      </c>
      <c r="B18" s="19">
        <v>2</v>
      </c>
      <c r="C18" s="19">
        <v>3</v>
      </c>
    </row>
    <row r="19" spans="1:3" x14ac:dyDescent="0.35">
      <c r="A19" s="18"/>
      <c r="B19" s="21" t="s">
        <v>5</v>
      </c>
      <c r="C19" s="22"/>
    </row>
    <row r="20" spans="1:3" x14ac:dyDescent="0.25">
      <c r="A20" s="42">
        <v>1100</v>
      </c>
      <c r="B20" s="42" t="s">
        <v>56</v>
      </c>
      <c r="C20" s="41">
        <v>67.33</v>
      </c>
    </row>
    <row r="21" spans="1:3" ht="15.75" customHeight="1" x14ac:dyDescent="0.25">
      <c r="A21" s="42">
        <v>1200</v>
      </c>
      <c r="B21" s="54" t="s">
        <v>135</v>
      </c>
      <c r="C21" s="41">
        <v>15.88</v>
      </c>
    </row>
    <row r="22" spans="1:3" x14ac:dyDescent="0.25">
      <c r="A22" s="42">
        <v>2222</v>
      </c>
      <c r="B22" s="54" t="s">
        <v>143</v>
      </c>
      <c r="C22" s="41">
        <v>0.2</v>
      </c>
    </row>
    <row r="23" spans="1:3" x14ac:dyDescent="0.25">
      <c r="A23" s="42">
        <v>2223</v>
      </c>
      <c r="B23" s="54" t="s">
        <v>40</v>
      </c>
      <c r="C23" s="41">
        <v>2.2799999999999998</v>
      </c>
    </row>
    <row r="24" spans="1:3" x14ac:dyDescent="0.25">
      <c r="A24" s="42">
        <v>2244</v>
      </c>
      <c r="B24" s="54" t="s">
        <v>144</v>
      </c>
      <c r="C24" s="41">
        <v>1.32</v>
      </c>
    </row>
    <row r="25" spans="1:3" x14ac:dyDescent="0.25">
      <c r="A25" s="42">
        <v>2311</v>
      </c>
      <c r="B25" s="54" t="s">
        <v>145</v>
      </c>
      <c r="C25" s="41">
        <f>6.27</f>
        <v>6.27</v>
      </c>
    </row>
    <row r="26" spans="1:3" x14ac:dyDescent="0.25">
      <c r="A26" s="42">
        <v>2312</v>
      </c>
      <c r="B26" s="54" t="s">
        <v>20</v>
      </c>
      <c r="C26" s="41">
        <v>4.75</v>
      </c>
    </row>
    <row r="27" spans="1:3" x14ac:dyDescent="0.25">
      <c r="A27" s="42">
        <v>2321</v>
      </c>
      <c r="B27" s="54" t="s">
        <v>21</v>
      </c>
      <c r="C27" s="41">
        <v>2.12</v>
      </c>
    </row>
    <row r="28" spans="1:3" hidden="1" x14ac:dyDescent="0.25">
      <c r="A28" s="42">
        <v>2341</v>
      </c>
      <c r="B28" s="54" t="s">
        <v>146</v>
      </c>
      <c r="C28" s="41">
        <v>0</v>
      </c>
    </row>
    <row r="29" spans="1:3" x14ac:dyDescent="0.25">
      <c r="A29" s="42">
        <v>2350</v>
      </c>
      <c r="B29" s="54" t="s">
        <v>147</v>
      </c>
      <c r="C29" s="41">
        <v>0.94</v>
      </c>
    </row>
    <row r="30" spans="1:3" x14ac:dyDescent="0.25">
      <c r="A30" s="42">
        <v>2369</v>
      </c>
      <c r="B30" s="54" t="s">
        <v>148</v>
      </c>
      <c r="C30" s="41">
        <v>0.28999999999999998</v>
      </c>
    </row>
    <row r="31" spans="1:3" x14ac:dyDescent="0.25">
      <c r="A31" s="42">
        <v>5238</v>
      </c>
      <c r="B31" s="54" t="s">
        <v>149</v>
      </c>
      <c r="C31" s="41">
        <f>6.15-5</f>
        <v>1.1500000000000004</v>
      </c>
    </row>
    <row r="32" spans="1:3" x14ac:dyDescent="0.25">
      <c r="A32" s="45">
        <v>5239</v>
      </c>
      <c r="B32" s="54" t="s">
        <v>99</v>
      </c>
      <c r="C32" s="41">
        <v>0.12</v>
      </c>
    </row>
    <row r="33" spans="1:3" x14ac:dyDescent="0.25">
      <c r="A33" s="42"/>
      <c r="B33" s="119" t="s">
        <v>69</v>
      </c>
      <c r="C33" s="43">
        <f>SUM(C20:C32)</f>
        <v>102.65</v>
      </c>
    </row>
    <row r="34" spans="1:3" x14ac:dyDescent="0.25">
      <c r="A34" s="44"/>
      <c r="B34" s="42" t="s">
        <v>70</v>
      </c>
      <c r="C34" s="41"/>
    </row>
    <row r="35" spans="1:3" x14ac:dyDescent="0.25">
      <c r="A35" s="42">
        <v>1100</v>
      </c>
      <c r="B35" s="42" t="s">
        <v>56</v>
      </c>
      <c r="C35" s="41">
        <v>18.09</v>
      </c>
    </row>
    <row r="36" spans="1:3" ht="15.75" customHeight="1" x14ac:dyDescent="0.25">
      <c r="A36" s="42">
        <v>1200</v>
      </c>
      <c r="B36" s="54" t="s">
        <v>135</v>
      </c>
      <c r="C36" s="41">
        <v>4.2699999999999996</v>
      </c>
    </row>
    <row r="37" spans="1:3" hidden="1" x14ac:dyDescent="0.25">
      <c r="A37" s="42">
        <v>2100</v>
      </c>
      <c r="B37" s="30" t="s">
        <v>42</v>
      </c>
      <c r="C37" s="41">
        <v>0</v>
      </c>
    </row>
    <row r="38" spans="1:3" x14ac:dyDescent="0.25">
      <c r="A38" s="45">
        <v>2210</v>
      </c>
      <c r="B38" s="54" t="s">
        <v>150</v>
      </c>
      <c r="C38" s="41">
        <v>0.44</v>
      </c>
    </row>
    <row r="39" spans="1:3" hidden="1" x14ac:dyDescent="0.25">
      <c r="A39" s="42">
        <v>2222</v>
      </c>
      <c r="B39" s="54" t="s">
        <v>143</v>
      </c>
      <c r="C39" s="41">
        <v>0</v>
      </c>
    </row>
    <row r="40" spans="1:3" x14ac:dyDescent="0.25">
      <c r="A40" s="42">
        <v>2223</v>
      </c>
      <c r="B40" s="54" t="s">
        <v>40</v>
      </c>
      <c r="C40" s="41">
        <v>1.94</v>
      </c>
    </row>
    <row r="41" spans="1:3" x14ac:dyDescent="0.25">
      <c r="A41" s="42">
        <v>2224</v>
      </c>
      <c r="B41" s="54" t="s">
        <v>151</v>
      </c>
      <c r="C41" s="41">
        <v>0.64</v>
      </c>
    </row>
    <row r="42" spans="1:3" x14ac:dyDescent="0.25">
      <c r="A42" s="42">
        <v>2231</v>
      </c>
      <c r="B42" s="54" t="s">
        <v>152</v>
      </c>
      <c r="C42" s="41">
        <v>0.2</v>
      </c>
    </row>
    <row r="43" spans="1:3" x14ac:dyDescent="0.25">
      <c r="A43" s="42">
        <v>2239</v>
      </c>
      <c r="B43" s="54" t="s">
        <v>153</v>
      </c>
      <c r="C43" s="41">
        <v>0.33</v>
      </c>
    </row>
    <row r="44" spans="1:3" x14ac:dyDescent="0.35">
      <c r="A44" s="22">
        <v>2241</v>
      </c>
      <c r="B44" s="26" t="s">
        <v>154</v>
      </c>
      <c r="C44" s="41">
        <v>0.82</v>
      </c>
    </row>
    <row r="45" spans="1:3" x14ac:dyDescent="0.35">
      <c r="A45" s="22">
        <v>2242</v>
      </c>
      <c r="B45" s="26" t="s">
        <v>11</v>
      </c>
      <c r="C45" s="41">
        <v>0.33</v>
      </c>
    </row>
    <row r="46" spans="1:3" x14ac:dyDescent="0.35">
      <c r="A46" s="22">
        <v>2243</v>
      </c>
      <c r="B46" s="26" t="s">
        <v>12</v>
      </c>
      <c r="C46" s="41">
        <v>0.96</v>
      </c>
    </row>
    <row r="47" spans="1:3" x14ac:dyDescent="0.35">
      <c r="A47" s="22">
        <v>2244</v>
      </c>
      <c r="B47" s="54" t="s">
        <v>144</v>
      </c>
      <c r="C47" s="41">
        <f>2.58+0.12</f>
        <v>2.7</v>
      </c>
    </row>
    <row r="48" spans="1:3" hidden="1" x14ac:dyDescent="0.35">
      <c r="A48" s="22">
        <v>2247</v>
      </c>
      <c r="B48" s="21" t="s">
        <v>59</v>
      </c>
      <c r="C48" s="41">
        <v>0</v>
      </c>
    </row>
    <row r="49" spans="1:3" hidden="1" x14ac:dyDescent="0.35">
      <c r="A49" s="22">
        <v>2249</v>
      </c>
      <c r="B49" s="26" t="s">
        <v>13</v>
      </c>
      <c r="C49" s="41">
        <v>0</v>
      </c>
    </row>
    <row r="50" spans="1:3" x14ac:dyDescent="0.35">
      <c r="A50" s="22">
        <v>2250</v>
      </c>
      <c r="B50" s="26" t="s">
        <v>155</v>
      </c>
      <c r="C50" s="41">
        <v>1.32</v>
      </c>
    </row>
    <row r="51" spans="1:3" x14ac:dyDescent="0.35">
      <c r="A51" s="22">
        <v>2262</v>
      </c>
      <c r="B51" s="26" t="s">
        <v>15</v>
      </c>
      <c r="C51" s="41">
        <v>0.18</v>
      </c>
    </row>
    <row r="52" spans="1:3" x14ac:dyDescent="0.35">
      <c r="A52" s="22">
        <v>2263</v>
      </c>
      <c r="B52" s="26" t="s">
        <v>16</v>
      </c>
      <c r="C52" s="41">
        <v>1.26</v>
      </c>
    </row>
    <row r="53" spans="1:3" hidden="1" x14ac:dyDescent="0.35">
      <c r="A53" s="22">
        <v>2264</v>
      </c>
      <c r="B53" s="26" t="s">
        <v>17</v>
      </c>
      <c r="C53" s="41">
        <v>0</v>
      </c>
    </row>
    <row r="54" spans="1:3" hidden="1" x14ac:dyDescent="0.35">
      <c r="A54" s="22">
        <v>2311</v>
      </c>
      <c r="B54" s="26" t="s">
        <v>19</v>
      </c>
      <c r="C54" s="41">
        <v>0</v>
      </c>
    </row>
    <row r="55" spans="1:3" hidden="1" x14ac:dyDescent="0.35">
      <c r="A55" s="22">
        <v>2312</v>
      </c>
      <c r="B55" s="26" t="s">
        <v>20</v>
      </c>
      <c r="C55" s="41">
        <v>0</v>
      </c>
    </row>
    <row r="56" spans="1:3" x14ac:dyDescent="0.35">
      <c r="A56" s="22">
        <v>2321</v>
      </c>
      <c r="B56" s="26" t="s">
        <v>21</v>
      </c>
      <c r="C56" s="41">
        <v>1.64</v>
      </c>
    </row>
    <row r="57" spans="1:3" x14ac:dyDescent="0.35">
      <c r="A57" s="22">
        <v>2322</v>
      </c>
      <c r="B57" s="26" t="s">
        <v>22</v>
      </c>
      <c r="C57" s="41">
        <v>0.22</v>
      </c>
    </row>
    <row r="58" spans="1:3" hidden="1" x14ac:dyDescent="0.35">
      <c r="A58" s="22">
        <v>2341</v>
      </c>
      <c r="B58" s="26" t="s">
        <v>23</v>
      </c>
      <c r="C58" s="41">
        <v>0</v>
      </c>
    </row>
    <row r="59" spans="1:3" hidden="1" x14ac:dyDescent="0.35">
      <c r="A59" s="22">
        <v>2344</v>
      </c>
      <c r="B59" s="26" t="s">
        <v>24</v>
      </c>
      <c r="C59" s="41">
        <v>0</v>
      </c>
    </row>
    <row r="60" spans="1:3" x14ac:dyDescent="0.35">
      <c r="A60" s="22">
        <v>2350</v>
      </c>
      <c r="B60" s="26" t="s">
        <v>147</v>
      </c>
      <c r="C60" s="41">
        <v>0.24</v>
      </c>
    </row>
    <row r="61" spans="1:3" hidden="1" x14ac:dyDescent="0.35">
      <c r="A61" s="22">
        <v>2512</v>
      </c>
      <c r="B61" s="26" t="s">
        <v>30</v>
      </c>
      <c r="C61" s="41">
        <v>0</v>
      </c>
    </row>
    <row r="62" spans="1:3" x14ac:dyDescent="0.25">
      <c r="A62" s="42">
        <v>2513</v>
      </c>
      <c r="B62" s="54" t="s">
        <v>142</v>
      </c>
      <c r="C62" s="41">
        <v>0.22</v>
      </c>
    </row>
    <row r="63" spans="1:3" x14ac:dyDescent="0.25">
      <c r="A63" s="42">
        <v>2515</v>
      </c>
      <c r="B63" s="54" t="s">
        <v>55</v>
      </c>
      <c r="C63" s="41">
        <v>0.44</v>
      </c>
    </row>
    <row r="64" spans="1:3" x14ac:dyDescent="0.25">
      <c r="A64" s="42">
        <v>2519</v>
      </c>
      <c r="B64" s="54" t="s">
        <v>34</v>
      </c>
      <c r="C64" s="41">
        <v>0.11</v>
      </c>
    </row>
    <row r="65" spans="1:3" x14ac:dyDescent="0.25">
      <c r="A65" s="44"/>
      <c r="B65" s="120" t="s">
        <v>74</v>
      </c>
      <c r="C65" s="43">
        <f>SUM(C35:C64)</f>
        <v>36.349999999999994</v>
      </c>
    </row>
    <row r="66" spans="1:3" x14ac:dyDescent="0.25">
      <c r="A66" s="44"/>
      <c r="B66" s="120" t="s">
        <v>75</v>
      </c>
      <c r="C66" s="43">
        <f>C65+C33</f>
        <v>139</v>
      </c>
    </row>
    <row r="67" spans="1:3" x14ac:dyDescent="0.35">
      <c r="A67" s="9"/>
      <c r="B67" s="32"/>
      <c r="C67" s="33"/>
    </row>
    <row r="68" spans="1:3" x14ac:dyDescent="0.35">
      <c r="A68" s="171" t="s">
        <v>45</v>
      </c>
      <c r="B68" s="172"/>
      <c r="C68" s="122">
        <v>10</v>
      </c>
    </row>
    <row r="69" spans="1:3" x14ac:dyDescent="0.35">
      <c r="A69" s="171" t="s">
        <v>66</v>
      </c>
      <c r="B69" s="172"/>
      <c r="C69" s="123">
        <f>ROUND(C66/C68,2)</f>
        <v>13.9</v>
      </c>
    </row>
    <row r="70" spans="1:3" x14ac:dyDescent="0.35">
      <c r="A70" s="32"/>
      <c r="B70" s="11"/>
      <c r="C70" s="71"/>
    </row>
    <row r="71" spans="1:3" x14ac:dyDescent="0.35">
      <c r="A71" s="171" t="s">
        <v>62</v>
      </c>
      <c r="B71" s="172"/>
      <c r="C71" s="56"/>
    </row>
    <row r="72" spans="1:3" x14ac:dyDescent="0.35">
      <c r="A72" s="171" t="s">
        <v>63</v>
      </c>
      <c r="B72" s="172"/>
      <c r="C72" s="117"/>
    </row>
    <row r="73" spans="1:3" ht="9.75" customHeight="1" x14ac:dyDescent="0.35">
      <c r="A73" s="37"/>
      <c r="B73" s="37"/>
      <c r="C73" s="37"/>
    </row>
    <row r="74" spans="1:3" x14ac:dyDescent="0.35">
      <c r="A74" s="37" t="s">
        <v>46</v>
      </c>
      <c r="B74" s="37"/>
      <c r="C74" s="37"/>
    </row>
    <row r="75" spans="1:3" ht="9.75" customHeight="1" x14ac:dyDescent="0.35">
      <c r="A75" s="37"/>
      <c r="B75" s="37"/>
      <c r="C75" s="37"/>
    </row>
    <row r="76" spans="1:3" x14ac:dyDescent="0.35">
      <c r="A76" s="37" t="s">
        <v>84</v>
      </c>
      <c r="B76" s="38"/>
      <c r="C76" s="37"/>
    </row>
    <row r="77" spans="1:3" x14ac:dyDescent="0.35">
      <c r="A77" s="37"/>
      <c r="B77" s="124"/>
      <c r="C77" s="37"/>
    </row>
    <row r="78" spans="1:3" x14ac:dyDescent="0.35">
      <c r="B78" s="9"/>
    </row>
    <row r="79" spans="1:3" x14ac:dyDescent="0.35">
      <c r="B79" s="32"/>
    </row>
  </sheetData>
  <mergeCells count="7">
    <mergeCell ref="A71:B71"/>
    <mergeCell ref="A72:B72"/>
    <mergeCell ref="A7:C7"/>
    <mergeCell ref="A9:B9"/>
    <mergeCell ref="A10:B10"/>
    <mergeCell ref="A68:B68"/>
    <mergeCell ref="A69:B69"/>
  </mergeCells>
  <pageMargins left="0.7" right="0.7" top="0.75" bottom="0.75" header="0.3" footer="0.3"/>
  <pageSetup paperSize="9" scale="65" orientation="portrait" r:id="rId1"/>
  <headerFooter>
    <oddFooter>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D68"/>
  <sheetViews>
    <sheetView view="pageLayout" zoomScale="80" zoomScaleNormal="80" zoomScalePageLayoutView="80" workbookViewId="0">
      <selection activeCell="B34" sqref="B34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214</v>
      </c>
      <c r="C12" s="5"/>
      <c r="D12" s="10"/>
    </row>
    <row r="13" spans="1:4" ht="15.5" x14ac:dyDescent="0.25">
      <c r="A13" s="5"/>
      <c r="B13" s="160" t="s">
        <v>215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13.4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3.16</v>
      </c>
    </row>
    <row r="21" spans="1:4" ht="15.5" x14ac:dyDescent="0.35">
      <c r="A21" s="42">
        <v>2222</v>
      </c>
      <c r="B21" s="26" t="s">
        <v>101</v>
      </c>
      <c r="C21" s="54"/>
      <c r="D21" s="41">
        <v>0.78</v>
      </c>
    </row>
    <row r="22" spans="1:4" ht="15.5" x14ac:dyDescent="0.25">
      <c r="A22" s="45">
        <v>2223</v>
      </c>
      <c r="B22" s="54" t="s">
        <v>94</v>
      </c>
      <c r="C22" s="54"/>
      <c r="D22" s="41">
        <v>4.1399999999999997</v>
      </c>
    </row>
    <row r="23" spans="1:4" ht="15.5" hidden="1" x14ac:dyDescent="0.35">
      <c r="A23" s="42">
        <v>2243</v>
      </c>
      <c r="B23" s="26" t="s">
        <v>76</v>
      </c>
      <c r="C23" s="26"/>
      <c r="D23" s="41">
        <v>0</v>
      </c>
    </row>
    <row r="24" spans="1:4" ht="15.5" hidden="1" x14ac:dyDescent="0.35">
      <c r="A24" s="42">
        <v>2250</v>
      </c>
      <c r="B24" s="21" t="s">
        <v>110</v>
      </c>
      <c r="C24" s="21"/>
      <c r="D24" s="41">
        <v>0</v>
      </c>
    </row>
    <row r="25" spans="1:4" ht="15.5" hidden="1" x14ac:dyDescent="0.35">
      <c r="A25" s="24">
        <v>2311</v>
      </c>
      <c r="B25" s="26" t="s">
        <v>114</v>
      </c>
      <c r="C25" s="26"/>
      <c r="D25" s="41"/>
    </row>
    <row r="26" spans="1:4" ht="15.5" x14ac:dyDescent="0.35">
      <c r="A26" s="24">
        <v>2312</v>
      </c>
      <c r="B26" s="26" t="s">
        <v>95</v>
      </c>
      <c r="C26" s="26"/>
      <c r="D26" s="41">
        <v>0.55000000000000004</v>
      </c>
    </row>
    <row r="27" spans="1:4" ht="15.5" x14ac:dyDescent="0.35">
      <c r="A27" s="24">
        <v>2321</v>
      </c>
      <c r="B27" s="26" t="s">
        <v>96</v>
      </c>
      <c r="C27" s="26"/>
      <c r="D27" s="41">
        <v>2.37</v>
      </c>
    </row>
    <row r="28" spans="1:4" ht="15.5" x14ac:dyDescent="0.35">
      <c r="A28" s="24">
        <v>2370</v>
      </c>
      <c r="B28" s="22" t="s">
        <v>131</v>
      </c>
      <c r="C28" s="26"/>
      <c r="D28" s="41">
        <v>5.9</v>
      </c>
    </row>
    <row r="29" spans="1:4" ht="15.5" x14ac:dyDescent="0.35">
      <c r="A29" s="42">
        <v>5239</v>
      </c>
      <c r="B29" s="22" t="s">
        <v>122</v>
      </c>
      <c r="C29" s="26"/>
      <c r="D29" s="41">
        <v>0.85</v>
      </c>
    </row>
    <row r="30" spans="1:4" ht="15.5" x14ac:dyDescent="0.3">
      <c r="A30" s="42"/>
      <c r="B30" s="28" t="s">
        <v>69</v>
      </c>
      <c r="C30" s="28"/>
      <c r="D30" s="43">
        <f>SUM(D19:D29)</f>
        <v>31.150000000000006</v>
      </c>
    </row>
    <row r="31" spans="1:4" ht="15.5" x14ac:dyDescent="0.35">
      <c r="A31" s="44"/>
      <c r="B31" s="24" t="s">
        <v>70</v>
      </c>
      <c r="C31" s="24"/>
      <c r="D31" s="41"/>
    </row>
    <row r="32" spans="1:4" ht="15.5" x14ac:dyDescent="0.35">
      <c r="A32" s="42">
        <v>1100</v>
      </c>
      <c r="B32" s="24" t="s">
        <v>83</v>
      </c>
      <c r="C32" s="102">
        <v>0.51439999999999997</v>
      </c>
      <c r="D32" s="41">
        <v>5.22</v>
      </c>
    </row>
    <row r="33" spans="1:4" ht="15.75" customHeight="1" x14ac:dyDescent="0.3">
      <c r="A33" s="42">
        <v>1200</v>
      </c>
      <c r="B33" s="54" t="s">
        <v>93</v>
      </c>
      <c r="C33" s="102">
        <f>C32*0.2359</f>
        <v>0.12134695999999999</v>
      </c>
      <c r="D33" s="41">
        <v>1.23</v>
      </c>
    </row>
    <row r="34" spans="1:4" ht="15.5" x14ac:dyDescent="0.3">
      <c r="A34" s="42">
        <v>2100</v>
      </c>
      <c r="B34" s="30" t="s">
        <v>42</v>
      </c>
      <c r="C34" s="102">
        <v>8.0999999999999996E-4</v>
      </c>
      <c r="D34" s="41">
        <v>0.01</v>
      </c>
    </row>
    <row r="35" spans="1:4" ht="15.5" x14ac:dyDescent="0.35">
      <c r="A35" s="45">
        <v>2210</v>
      </c>
      <c r="B35" s="26" t="s">
        <v>100</v>
      </c>
      <c r="C35" s="102">
        <v>8.0000000000000002E-3</v>
      </c>
      <c r="D35" s="41">
        <v>0.08</v>
      </c>
    </row>
    <row r="36" spans="1:4" ht="15.5" x14ac:dyDescent="0.35">
      <c r="A36" s="42">
        <v>2222</v>
      </c>
      <c r="B36" s="26" t="s">
        <v>101</v>
      </c>
      <c r="C36" s="102">
        <v>4.4400000000000004E-3</v>
      </c>
      <c r="D36" s="41">
        <v>0.05</v>
      </c>
    </row>
    <row r="37" spans="1:4" ht="15.5" x14ac:dyDescent="0.35">
      <c r="A37" s="42">
        <v>2223</v>
      </c>
      <c r="B37" s="26" t="s">
        <v>94</v>
      </c>
      <c r="C37" s="102">
        <v>5.4940000000000003E-2</v>
      </c>
      <c r="D37" s="41">
        <v>0.56000000000000005</v>
      </c>
    </row>
    <row r="38" spans="1:4" ht="31" x14ac:dyDescent="0.35">
      <c r="A38" s="42">
        <v>2224</v>
      </c>
      <c r="B38" s="26" t="s">
        <v>102</v>
      </c>
      <c r="C38" s="102">
        <v>3.0899999999999999E-3</v>
      </c>
      <c r="D38" s="41">
        <v>0.03</v>
      </c>
    </row>
    <row r="39" spans="1:4" ht="15.5" x14ac:dyDescent="0.35">
      <c r="A39" s="42">
        <v>2241</v>
      </c>
      <c r="B39" s="26" t="s">
        <v>106</v>
      </c>
      <c r="C39" s="102">
        <v>1.6500000000000001E-2</v>
      </c>
      <c r="D39" s="41">
        <v>0.17</v>
      </c>
    </row>
    <row r="40" spans="1:4" ht="15.5" x14ac:dyDescent="0.35">
      <c r="A40" s="42">
        <v>2242</v>
      </c>
      <c r="B40" s="26" t="s">
        <v>107</v>
      </c>
      <c r="C40" s="102">
        <v>8.4999999999999995E-4</v>
      </c>
      <c r="D40" s="41">
        <v>0.01</v>
      </c>
    </row>
    <row r="41" spans="1:4" ht="15.5" x14ac:dyDescent="0.35">
      <c r="A41" s="42">
        <v>2243</v>
      </c>
      <c r="B41" s="26" t="s">
        <v>76</v>
      </c>
      <c r="C41" s="102">
        <f>0.0004+0.02029</f>
        <v>2.069E-2</v>
      </c>
      <c r="D41" s="41">
        <v>0.21</v>
      </c>
    </row>
    <row r="42" spans="1:4" ht="15.5" x14ac:dyDescent="0.35">
      <c r="A42" s="23">
        <v>2244</v>
      </c>
      <c r="B42" s="26" t="s">
        <v>108</v>
      </c>
      <c r="C42" s="102">
        <v>6.8070000000000006E-2</v>
      </c>
      <c r="D42" s="41">
        <v>0.69</v>
      </c>
    </row>
    <row r="43" spans="1:4" ht="15.5" x14ac:dyDescent="0.35">
      <c r="A43" s="24">
        <v>2250</v>
      </c>
      <c r="B43" s="26" t="s">
        <v>110</v>
      </c>
      <c r="C43" s="102">
        <v>2.8400000000000002E-2</v>
      </c>
      <c r="D43" s="41">
        <v>0.28999999999999998</v>
      </c>
    </row>
    <row r="44" spans="1:4" ht="15.5" x14ac:dyDescent="0.35">
      <c r="A44" s="24">
        <v>2312</v>
      </c>
      <c r="B44" s="26" t="s">
        <v>95</v>
      </c>
      <c r="C44" s="26">
        <v>2.98E-2</v>
      </c>
      <c r="D44" s="41">
        <v>0.3</v>
      </c>
    </row>
    <row r="45" spans="1:4" ht="15.5" x14ac:dyDescent="0.35">
      <c r="A45" s="24">
        <v>2321</v>
      </c>
      <c r="B45" s="26" t="s">
        <v>96</v>
      </c>
      <c r="C45" s="102">
        <v>6.0220000000000003E-2</v>
      </c>
      <c r="D45" s="41">
        <v>0.61</v>
      </c>
    </row>
    <row r="46" spans="1:4" ht="15.5" x14ac:dyDescent="0.35">
      <c r="A46" s="24">
        <v>2322</v>
      </c>
      <c r="B46" s="26" t="s">
        <v>117</v>
      </c>
      <c r="C46" s="102">
        <v>2.0999999999999999E-3</v>
      </c>
      <c r="D46" s="41">
        <v>0.02</v>
      </c>
    </row>
    <row r="47" spans="1:4" ht="15.5" x14ac:dyDescent="0.35">
      <c r="A47" s="24">
        <v>2350</v>
      </c>
      <c r="B47" s="26" t="s">
        <v>98</v>
      </c>
      <c r="C47" s="26">
        <v>2.5000000000000001E-2</v>
      </c>
      <c r="D47" s="41">
        <v>0.25</v>
      </c>
    </row>
    <row r="48" spans="1:4" ht="15.5" hidden="1" x14ac:dyDescent="0.35">
      <c r="A48" s="24">
        <v>2512</v>
      </c>
      <c r="B48" s="26" t="s">
        <v>30</v>
      </c>
      <c r="C48" s="26"/>
      <c r="D48" s="41">
        <f>C48*19.34</f>
        <v>0</v>
      </c>
    </row>
    <row r="49" spans="1:4" ht="15.5" x14ac:dyDescent="0.35">
      <c r="A49" s="42">
        <v>2513</v>
      </c>
      <c r="B49" s="26" t="s">
        <v>118</v>
      </c>
      <c r="C49" s="102">
        <v>6.3000000000000003E-4</v>
      </c>
      <c r="D49" s="41">
        <v>0.01</v>
      </c>
    </row>
    <row r="50" spans="1:4" ht="15.5" x14ac:dyDescent="0.35">
      <c r="A50" s="42">
        <v>2515</v>
      </c>
      <c r="B50" s="26" t="s">
        <v>73</v>
      </c>
      <c r="C50" s="102">
        <v>2.7499999999999998E-3</v>
      </c>
      <c r="D50" s="41">
        <v>0.03</v>
      </c>
    </row>
    <row r="51" spans="1:4" ht="15.5" x14ac:dyDescent="0.35">
      <c r="A51" s="42">
        <v>2519</v>
      </c>
      <c r="B51" s="26" t="s">
        <v>119</v>
      </c>
      <c r="C51" s="102">
        <v>1.5100000000000001E-3</v>
      </c>
      <c r="D51" s="41">
        <v>0.02</v>
      </c>
    </row>
    <row r="52" spans="1:4" ht="15.5" x14ac:dyDescent="0.35">
      <c r="A52" s="42">
        <v>5238</v>
      </c>
      <c r="B52" s="26" t="s">
        <v>121</v>
      </c>
      <c r="C52" s="102">
        <v>1.65E-3</v>
      </c>
      <c r="D52" s="41">
        <v>0.02</v>
      </c>
    </row>
    <row r="53" spans="1:4" ht="15.5" x14ac:dyDescent="0.35">
      <c r="A53" s="42">
        <v>5239</v>
      </c>
      <c r="B53" s="10" t="s">
        <v>122</v>
      </c>
      <c r="C53" s="102">
        <v>1.9800000000000002E-2</v>
      </c>
      <c r="D53" s="41">
        <v>0.19</v>
      </c>
    </row>
    <row r="54" spans="1:4" ht="15.5" x14ac:dyDescent="0.35">
      <c r="A54" s="42">
        <v>5250</v>
      </c>
      <c r="B54" s="26" t="s">
        <v>123</v>
      </c>
      <c r="C54" s="102">
        <v>1.4999999999999999E-2</v>
      </c>
      <c r="D54" s="41">
        <v>0.15</v>
      </c>
    </row>
    <row r="55" spans="1:4" ht="15.5" x14ac:dyDescent="0.3">
      <c r="A55" s="44"/>
      <c r="B55" s="31" t="s">
        <v>74</v>
      </c>
      <c r="C55" s="31">
        <f>SUM(C32:C54)</f>
        <v>0.99999696000000016</v>
      </c>
      <c r="D55" s="43">
        <f>SUM(D32:D54)</f>
        <v>10.149999999999995</v>
      </c>
    </row>
    <row r="56" spans="1:4" ht="15.5" x14ac:dyDescent="0.35">
      <c r="A56" s="23"/>
      <c r="B56" s="31" t="s">
        <v>75</v>
      </c>
      <c r="C56" s="31">
        <f>C55-1</f>
        <v>-3.0399999998431682E-6</v>
      </c>
      <c r="D56" s="43">
        <f>D55+D30</f>
        <v>41.3</v>
      </c>
    </row>
    <row r="57" spans="1:4" ht="15.5" x14ac:dyDescent="0.35">
      <c r="A57" s="9"/>
      <c r="B57" s="32"/>
      <c r="C57" s="32"/>
      <c r="D57" s="55"/>
    </row>
    <row r="58" spans="1:4" ht="15.5" x14ac:dyDescent="0.35">
      <c r="A58" s="186" t="s">
        <v>45</v>
      </c>
      <c r="B58" s="186"/>
      <c r="C58" s="118"/>
      <c r="D58" s="62">
        <v>10</v>
      </c>
    </row>
    <row r="59" spans="1:4" ht="15.5" x14ac:dyDescent="0.35">
      <c r="A59" s="186" t="s">
        <v>54</v>
      </c>
      <c r="B59" s="186"/>
      <c r="C59" s="118"/>
      <c r="D59" s="60">
        <f>D56/D58</f>
        <v>4.13</v>
      </c>
    </row>
    <row r="60" spans="1:4" ht="15.5" x14ac:dyDescent="0.35">
      <c r="A60" s="63"/>
      <c r="B60" s="66"/>
      <c r="C60" s="66"/>
      <c r="D60" s="66"/>
    </row>
    <row r="61" spans="1:4" ht="15.5" x14ac:dyDescent="0.35">
      <c r="A61" s="162" t="s">
        <v>62</v>
      </c>
      <c r="B61" s="162"/>
      <c r="C61" s="49"/>
      <c r="D61" s="56"/>
    </row>
    <row r="62" spans="1:4" ht="15.5" x14ac:dyDescent="0.35">
      <c r="A62" s="162" t="s">
        <v>63</v>
      </c>
      <c r="B62" s="162"/>
      <c r="C62" s="49"/>
      <c r="D62" s="56"/>
    </row>
    <row r="63" spans="1:4" ht="15.5" x14ac:dyDescent="0.35">
      <c r="A63" s="36"/>
      <c r="B63" s="11"/>
      <c r="C63" s="11"/>
      <c r="D63" s="75"/>
    </row>
    <row r="64" spans="1:4" ht="15.5" x14ac:dyDescent="0.35">
      <c r="A64" s="37" t="s">
        <v>46</v>
      </c>
      <c r="B64" s="37"/>
      <c r="C64" s="37"/>
      <c r="D64" s="95"/>
    </row>
    <row r="65" spans="1:4" ht="15.5" x14ac:dyDescent="0.35">
      <c r="A65" s="37"/>
      <c r="B65" s="37"/>
      <c r="C65" s="37"/>
      <c r="D65" s="106"/>
    </row>
    <row r="66" spans="1:4" ht="15.5" x14ac:dyDescent="0.35">
      <c r="A66" s="37" t="s">
        <v>134</v>
      </c>
      <c r="B66" s="38"/>
      <c r="C66" s="38"/>
      <c r="D66" s="37"/>
    </row>
    <row r="67" spans="1:4" ht="15.5" x14ac:dyDescent="0.35">
      <c r="A67" s="37"/>
      <c r="B67" s="39"/>
      <c r="C67" s="39"/>
      <c r="D67" s="37"/>
    </row>
    <row r="68" spans="1:4" x14ac:dyDescent="0.3">
      <c r="D68" s="1"/>
    </row>
  </sheetData>
  <mergeCells count="8">
    <mergeCell ref="A61:B61"/>
    <mergeCell ref="A62:B62"/>
    <mergeCell ref="A7:B7"/>
    <mergeCell ref="A9:B9"/>
    <mergeCell ref="A10:B10"/>
    <mergeCell ref="B13:D13"/>
    <mergeCell ref="A58:B58"/>
    <mergeCell ref="A59:B59"/>
  </mergeCells>
  <pageMargins left="0.7" right="0.7" top="0.75" bottom="0.75" header="0.3" footer="0.3"/>
  <pageSetup paperSize="9" scale="66" orientation="portrait" r:id="rId1"/>
  <headerFooter>
    <oddFooter>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D68"/>
  <sheetViews>
    <sheetView view="pageLayout" topLeftCell="A4" zoomScale="80" zoomScaleNormal="80" zoomScalePageLayoutView="80" workbookViewId="0">
      <selection activeCell="D40" sqref="D40"/>
    </sheetView>
  </sheetViews>
  <sheetFormatPr defaultRowHeight="14" x14ac:dyDescent="0.3"/>
  <cols>
    <col min="1" max="1" width="12.26953125" style="2" customWidth="1"/>
    <col min="2" max="2" width="90.81640625" style="2" customWidth="1"/>
    <col min="3" max="3" width="9.81640625" style="2" hidden="1" customWidth="1"/>
    <col min="4" max="4" width="31.7265625" style="2" customWidth="1"/>
  </cols>
  <sheetData>
    <row r="1" spans="1:4" ht="15.5" x14ac:dyDescent="0.35">
      <c r="B1" s="6"/>
      <c r="C1" s="6"/>
      <c r="D1" s="9" t="s">
        <v>7</v>
      </c>
    </row>
    <row r="2" spans="1:4" ht="15.5" x14ac:dyDescent="0.35">
      <c r="B2" s="7"/>
      <c r="C2" s="7"/>
      <c r="D2" s="9" t="s">
        <v>44</v>
      </c>
    </row>
    <row r="3" spans="1:4" ht="15.5" x14ac:dyDescent="0.35">
      <c r="D3" s="48" t="s">
        <v>91</v>
      </c>
    </row>
    <row r="4" spans="1:4" ht="15.5" x14ac:dyDescent="0.35">
      <c r="B4" s="6"/>
      <c r="C4" s="6"/>
      <c r="D4" s="9"/>
    </row>
    <row r="5" spans="1:4" ht="15.5" x14ac:dyDescent="0.35">
      <c r="B5" s="14"/>
      <c r="C5" s="14"/>
      <c r="D5" s="9" t="s">
        <v>260</v>
      </c>
    </row>
    <row r="6" spans="1:4" x14ac:dyDescent="0.3">
      <c r="B6" s="15"/>
      <c r="C6" s="15"/>
      <c r="D6" s="3"/>
    </row>
    <row r="7" spans="1:4" ht="17.5" x14ac:dyDescent="0.35">
      <c r="A7" s="169" t="s">
        <v>6</v>
      </c>
      <c r="B7" s="169"/>
      <c r="C7" s="99"/>
      <c r="D7" s="99"/>
    </row>
    <row r="8" spans="1:4" x14ac:dyDescent="0.3">
      <c r="B8" s="1"/>
      <c r="C8" s="1"/>
    </row>
    <row r="9" spans="1:4" ht="15.5" x14ac:dyDescent="0.35">
      <c r="A9" s="160" t="s">
        <v>1</v>
      </c>
      <c r="B9" s="160"/>
      <c r="C9" s="5"/>
      <c r="D9" s="10"/>
    </row>
    <row r="10" spans="1:4" ht="15.5" x14ac:dyDescent="0.25">
      <c r="A10" s="160" t="s">
        <v>0</v>
      </c>
      <c r="B10" s="160"/>
      <c r="C10" s="5"/>
      <c r="D10" s="5"/>
    </row>
    <row r="11" spans="1:4" ht="15.5" x14ac:dyDescent="0.25">
      <c r="A11" s="5"/>
      <c r="B11" s="5" t="s">
        <v>165</v>
      </c>
      <c r="C11" s="5"/>
      <c r="D11" s="5"/>
    </row>
    <row r="12" spans="1:4" ht="15.5" x14ac:dyDescent="0.35">
      <c r="A12" s="5"/>
      <c r="B12" s="5" t="s">
        <v>214</v>
      </c>
      <c r="C12" s="5"/>
      <c r="D12" s="10"/>
    </row>
    <row r="13" spans="1:4" ht="15.5" x14ac:dyDescent="0.25">
      <c r="A13" s="5"/>
      <c r="B13" s="160" t="s">
        <v>216</v>
      </c>
      <c r="C13" s="160"/>
      <c r="D13" s="160"/>
    </row>
    <row r="14" spans="1:4" ht="15.5" x14ac:dyDescent="0.35">
      <c r="A14" s="5" t="s">
        <v>2</v>
      </c>
      <c r="B14" s="5" t="s">
        <v>124</v>
      </c>
      <c r="C14" s="5"/>
      <c r="D14" s="10"/>
    </row>
    <row r="15" spans="1:4" ht="15.5" hidden="1" x14ac:dyDescent="0.35">
      <c r="A15" s="5"/>
      <c r="B15" s="5"/>
      <c r="C15" s="5"/>
      <c r="D15" s="10"/>
    </row>
    <row r="16" spans="1:4" ht="60.75" customHeight="1" x14ac:dyDescent="0.25">
      <c r="A16" s="17" t="s">
        <v>3</v>
      </c>
      <c r="B16" s="17" t="s">
        <v>4</v>
      </c>
      <c r="C16" s="17"/>
      <c r="D16" s="17" t="s">
        <v>53</v>
      </c>
    </row>
    <row r="17" spans="1:4" ht="15" x14ac:dyDescent="0.25">
      <c r="A17" s="18">
        <v>1</v>
      </c>
      <c r="B17" s="19">
        <v>2</v>
      </c>
      <c r="C17" s="19"/>
      <c r="D17" s="19">
        <v>3</v>
      </c>
    </row>
    <row r="18" spans="1:4" ht="15.5" x14ac:dyDescent="0.35">
      <c r="A18" s="58"/>
      <c r="B18" s="21" t="s">
        <v>5</v>
      </c>
      <c r="C18" s="21"/>
      <c r="D18" s="22"/>
    </row>
    <row r="19" spans="1:4" ht="15.5" x14ac:dyDescent="0.35">
      <c r="A19" s="42">
        <v>1100</v>
      </c>
      <c r="B19" s="24" t="s">
        <v>83</v>
      </c>
      <c r="C19" s="24"/>
      <c r="D19" s="41">
        <v>26.8</v>
      </c>
    </row>
    <row r="20" spans="1:4" ht="15.75" customHeight="1" x14ac:dyDescent="0.25">
      <c r="A20" s="42">
        <v>1200</v>
      </c>
      <c r="B20" s="54" t="s">
        <v>93</v>
      </c>
      <c r="C20" s="54"/>
      <c r="D20" s="41">
        <v>6.32</v>
      </c>
    </row>
    <row r="21" spans="1:4" ht="15.5" x14ac:dyDescent="0.35">
      <c r="A21" s="42">
        <v>2222</v>
      </c>
      <c r="B21" s="26" t="s">
        <v>101</v>
      </c>
      <c r="C21" s="54"/>
      <c r="D21" s="41">
        <v>0.78</v>
      </c>
    </row>
    <row r="22" spans="1:4" ht="15.5" x14ac:dyDescent="0.25">
      <c r="A22" s="45">
        <v>2223</v>
      </c>
      <c r="B22" s="54" t="s">
        <v>94</v>
      </c>
      <c r="C22" s="54"/>
      <c r="D22" s="41">
        <v>2.44</v>
      </c>
    </row>
    <row r="23" spans="1:4" ht="15.5" hidden="1" x14ac:dyDescent="0.35">
      <c r="A23" s="42">
        <v>2243</v>
      </c>
      <c r="B23" s="26" t="s">
        <v>76</v>
      </c>
      <c r="C23" s="26"/>
      <c r="D23" s="41">
        <v>0</v>
      </c>
    </row>
    <row r="24" spans="1:4" ht="15.5" hidden="1" x14ac:dyDescent="0.35">
      <c r="A24" s="42">
        <v>2250</v>
      </c>
      <c r="B24" s="21" t="s">
        <v>110</v>
      </c>
      <c r="C24" s="21"/>
      <c r="D24" s="41">
        <v>0</v>
      </c>
    </row>
    <row r="25" spans="1:4" ht="15.5" hidden="1" x14ac:dyDescent="0.35">
      <c r="A25" s="24">
        <v>2311</v>
      </c>
      <c r="B25" s="26" t="s">
        <v>114</v>
      </c>
      <c r="C25" s="26"/>
      <c r="D25" s="41"/>
    </row>
    <row r="26" spans="1:4" ht="15.5" x14ac:dyDescent="0.35">
      <c r="A26" s="24">
        <v>2312</v>
      </c>
      <c r="B26" s="26" t="s">
        <v>95</v>
      </c>
      <c r="C26" s="26"/>
      <c r="D26" s="41">
        <v>0.55000000000000004</v>
      </c>
    </row>
    <row r="27" spans="1:4" ht="15.5" x14ac:dyDescent="0.35">
      <c r="A27" s="24">
        <v>2321</v>
      </c>
      <c r="B27" s="26" t="s">
        <v>96</v>
      </c>
      <c r="C27" s="26"/>
      <c r="D27" s="41">
        <v>1.4</v>
      </c>
    </row>
    <row r="28" spans="1:4" ht="15.5" x14ac:dyDescent="0.35">
      <c r="A28" s="24">
        <v>2370</v>
      </c>
      <c r="B28" s="22" t="s">
        <v>131</v>
      </c>
      <c r="C28" s="26"/>
      <c r="D28" s="41">
        <v>11.81</v>
      </c>
    </row>
    <row r="29" spans="1:4" ht="15.5" x14ac:dyDescent="0.35">
      <c r="A29" s="42">
        <v>5239</v>
      </c>
      <c r="B29" s="22" t="s">
        <v>122</v>
      </c>
      <c r="C29" s="26"/>
      <c r="D29" s="41">
        <v>0.85</v>
      </c>
    </row>
    <row r="30" spans="1:4" ht="15.5" x14ac:dyDescent="0.3">
      <c r="A30" s="42"/>
      <c r="B30" s="28" t="s">
        <v>69</v>
      </c>
      <c r="C30" s="28"/>
      <c r="D30" s="43">
        <f>SUM(D19:D29)</f>
        <v>50.95</v>
      </c>
    </row>
    <row r="31" spans="1:4" ht="15.5" x14ac:dyDescent="0.35">
      <c r="A31" s="44"/>
      <c r="B31" s="24" t="s">
        <v>70</v>
      </c>
      <c r="C31" s="24"/>
      <c r="D31" s="41"/>
    </row>
    <row r="32" spans="1:4" ht="15.5" x14ac:dyDescent="0.35">
      <c r="A32" s="42">
        <v>1100</v>
      </c>
      <c r="B32" s="24" t="s">
        <v>83</v>
      </c>
      <c r="C32" s="102">
        <v>0.51439999999999997</v>
      </c>
      <c r="D32" s="41">
        <v>9.08</v>
      </c>
    </row>
    <row r="33" spans="1:4" ht="15.75" customHeight="1" x14ac:dyDescent="0.3">
      <c r="A33" s="42">
        <v>1200</v>
      </c>
      <c r="B33" s="54" t="s">
        <v>93</v>
      </c>
      <c r="C33" s="102">
        <f>C32*0.2359</f>
        <v>0.12134695999999999</v>
      </c>
      <c r="D33" s="41">
        <v>2.14</v>
      </c>
    </row>
    <row r="34" spans="1:4" ht="15.5" x14ac:dyDescent="0.3">
      <c r="A34" s="42">
        <v>2100</v>
      </c>
      <c r="B34" s="30" t="s">
        <v>42</v>
      </c>
      <c r="C34" s="102">
        <v>8.0999999999999996E-4</v>
      </c>
      <c r="D34" s="41">
        <v>0.02</v>
      </c>
    </row>
    <row r="35" spans="1:4" ht="15.5" x14ac:dyDescent="0.35">
      <c r="A35" s="45">
        <v>2210</v>
      </c>
      <c r="B35" s="26" t="s">
        <v>100</v>
      </c>
      <c r="C35" s="102">
        <v>8.0000000000000002E-3</v>
      </c>
      <c r="D35" s="41">
        <v>0.14000000000000001</v>
      </c>
    </row>
    <row r="36" spans="1:4" ht="15.5" x14ac:dyDescent="0.35">
      <c r="A36" s="42">
        <v>2222</v>
      </c>
      <c r="B36" s="26" t="s">
        <v>101</v>
      </c>
      <c r="C36" s="102">
        <v>4.4400000000000004E-3</v>
      </c>
      <c r="D36" s="41">
        <v>0.08</v>
      </c>
    </row>
    <row r="37" spans="1:4" ht="15.5" x14ac:dyDescent="0.35">
      <c r="A37" s="42">
        <v>2223</v>
      </c>
      <c r="B37" s="26" t="s">
        <v>94</v>
      </c>
      <c r="C37" s="102">
        <v>5.4940000000000003E-2</v>
      </c>
      <c r="D37" s="41">
        <v>0.97</v>
      </c>
    </row>
    <row r="38" spans="1:4" ht="31" x14ac:dyDescent="0.35">
      <c r="A38" s="42">
        <v>2224</v>
      </c>
      <c r="B38" s="26" t="s">
        <v>102</v>
      </c>
      <c r="C38" s="102">
        <v>3.0899999999999999E-3</v>
      </c>
      <c r="D38" s="41">
        <v>0.05</v>
      </c>
    </row>
    <row r="39" spans="1:4" ht="15.5" x14ac:dyDescent="0.35">
      <c r="A39" s="42">
        <v>2241</v>
      </c>
      <c r="B39" s="26" t="s">
        <v>106</v>
      </c>
      <c r="C39" s="102">
        <v>1.6500000000000001E-2</v>
      </c>
      <c r="D39" s="41">
        <v>0.3</v>
      </c>
    </row>
    <row r="40" spans="1:4" ht="15.5" x14ac:dyDescent="0.35">
      <c r="A40" s="42">
        <v>2242</v>
      </c>
      <c r="B40" s="26" t="s">
        <v>107</v>
      </c>
      <c r="C40" s="102">
        <v>8.4999999999999995E-4</v>
      </c>
      <c r="D40" s="41">
        <v>0.02</v>
      </c>
    </row>
    <row r="41" spans="1:4" ht="15.5" x14ac:dyDescent="0.35">
      <c r="A41" s="42">
        <v>2243</v>
      </c>
      <c r="B41" s="26" t="s">
        <v>76</v>
      </c>
      <c r="C41" s="102">
        <f>0.0004+0.02029</f>
        <v>2.069E-2</v>
      </c>
      <c r="D41" s="41">
        <v>0.36</v>
      </c>
    </row>
    <row r="42" spans="1:4" ht="15.5" x14ac:dyDescent="0.35">
      <c r="A42" s="23">
        <v>2244</v>
      </c>
      <c r="B42" s="26" t="s">
        <v>108</v>
      </c>
      <c r="C42" s="102">
        <v>6.8070000000000006E-2</v>
      </c>
      <c r="D42" s="41">
        <v>1.19</v>
      </c>
    </row>
    <row r="43" spans="1:4" ht="15.5" x14ac:dyDescent="0.35">
      <c r="A43" s="24">
        <v>2250</v>
      </c>
      <c r="B43" s="26" t="s">
        <v>110</v>
      </c>
      <c r="C43" s="102">
        <v>2.8400000000000002E-2</v>
      </c>
      <c r="D43" s="41">
        <v>0.5</v>
      </c>
    </row>
    <row r="44" spans="1:4" ht="15.5" x14ac:dyDescent="0.35">
      <c r="A44" s="24">
        <v>2312</v>
      </c>
      <c r="B44" s="26" t="s">
        <v>95</v>
      </c>
      <c r="C44" s="26">
        <v>2.98E-2</v>
      </c>
      <c r="D44" s="41">
        <v>0.53</v>
      </c>
    </row>
    <row r="45" spans="1:4" ht="15.5" x14ac:dyDescent="0.35">
      <c r="A45" s="24">
        <v>2321</v>
      </c>
      <c r="B45" s="26" t="s">
        <v>96</v>
      </c>
      <c r="C45" s="102">
        <v>6.0220000000000003E-2</v>
      </c>
      <c r="D45" s="41">
        <v>1.06</v>
      </c>
    </row>
    <row r="46" spans="1:4" ht="15.5" x14ac:dyDescent="0.35">
      <c r="A46" s="24">
        <v>2322</v>
      </c>
      <c r="B46" s="26" t="s">
        <v>117</v>
      </c>
      <c r="C46" s="102">
        <v>2.0999999999999999E-3</v>
      </c>
      <c r="D46" s="41">
        <v>0.04</v>
      </c>
    </row>
    <row r="47" spans="1:4" ht="15.5" x14ac:dyDescent="0.35">
      <c r="A47" s="24">
        <v>2350</v>
      </c>
      <c r="B47" s="26" t="s">
        <v>98</v>
      </c>
      <c r="C47" s="26">
        <v>2.5000000000000001E-2</v>
      </c>
      <c r="D47" s="41">
        <v>0.44</v>
      </c>
    </row>
    <row r="48" spans="1:4" ht="15.5" hidden="1" x14ac:dyDescent="0.35">
      <c r="A48" s="24">
        <v>2512</v>
      </c>
      <c r="B48" s="26" t="s">
        <v>30</v>
      </c>
      <c r="C48" s="26"/>
      <c r="D48" s="41">
        <f>C48*19.34</f>
        <v>0</v>
      </c>
    </row>
    <row r="49" spans="1:4" ht="15.5" x14ac:dyDescent="0.35">
      <c r="A49" s="42">
        <v>2513</v>
      </c>
      <c r="B49" s="26" t="s">
        <v>118</v>
      </c>
      <c r="C49" s="102">
        <v>6.3000000000000003E-4</v>
      </c>
      <c r="D49" s="41">
        <v>0.01</v>
      </c>
    </row>
    <row r="50" spans="1:4" ht="15.5" x14ac:dyDescent="0.35">
      <c r="A50" s="42">
        <v>2515</v>
      </c>
      <c r="B50" s="26" t="s">
        <v>73</v>
      </c>
      <c r="C50" s="102">
        <v>2.7499999999999998E-3</v>
      </c>
      <c r="D50" s="41">
        <v>0.05</v>
      </c>
    </row>
    <row r="51" spans="1:4" ht="15.5" x14ac:dyDescent="0.35">
      <c r="A51" s="42">
        <v>2519</v>
      </c>
      <c r="B51" s="26" t="s">
        <v>119</v>
      </c>
      <c r="C51" s="102">
        <v>1.5100000000000001E-3</v>
      </c>
      <c r="D51" s="41">
        <v>0.03</v>
      </c>
    </row>
    <row r="52" spans="1:4" ht="15.5" x14ac:dyDescent="0.35">
      <c r="A52" s="42">
        <v>5238</v>
      </c>
      <c r="B52" s="26" t="s">
        <v>121</v>
      </c>
      <c r="C52" s="102">
        <v>1.65E-3</v>
      </c>
      <c r="D52" s="41">
        <v>0.03</v>
      </c>
    </row>
    <row r="53" spans="1:4" ht="15.5" x14ac:dyDescent="0.35">
      <c r="A53" s="42">
        <v>5239</v>
      </c>
      <c r="B53" s="10" t="s">
        <v>122</v>
      </c>
      <c r="C53" s="102">
        <v>1.9800000000000002E-2</v>
      </c>
      <c r="D53" s="41">
        <v>0.35</v>
      </c>
    </row>
    <row r="54" spans="1:4" ht="15.5" x14ac:dyDescent="0.35">
      <c r="A54" s="42">
        <v>5250</v>
      </c>
      <c r="B54" s="26" t="s">
        <v>123</v>
      </c>
      <c r="C54" s="102">
        <v>1.4999999999999999E-2</v>
      </c>
      <c r="D54" s="41">
        <v>0.26</v>
      </c>
    </row>
    <row r="55" spans="1:4" ht="15.5" x14ac:dyDescent="0.3">
      <c r="A55" s="44"/>
      <c r="B55" s="31" t="s">
        <v>74</v>
      </c>
      <c r="C55" s="31">
        <f>SUM(C32:C54)</f>
        <v>0.99999696000000016</v>
      </c>
      <c r="D55" s="43">
        <f>SUM(D32:D54)</f>
        <v>17.650000000000009</v>
      </c>
    </row>
    <row r="56" spans="1:4" ht="15.5" x14ac:dyDescent="0.35">
      <c r="A56" s="23"/>
      <c r="B56" s="31" t="s">
        <v>75</v>
      </c>
      <c r="C56" s="31">
        <f>C55-1</f>
        <v>-3.0399999998431682E-6</v>
      </c>
      <c r="D56" s="43">
        <f>D55+D30</f>
        <v>68.600000000000009</v>
      </c>
    </row>
    <row r="57" spans="1:4" ht="15.5" x14ac:dyDescent="0.35">
      <c r="A57" s="9"/>
      <c r="B57" s="32"/>
      <c r="C57" s="32"/>
      <c r="D57" s="55"/>
    </row>
    <row r="58" spans="1:4" ht="15.5" x14ac:dyDescent="0.35">
      <c r="A58" s="186" t="s">
        <v>45</v>
      </c>
      <c r="B58" s="186"/>
      <c r="C58" s="118"/>
      <c r="D58" s="62">
        <v>10</v>
      </c>
    </row>
    <row r="59" spans="1:4" ht="15.5" x14ac:dyDescent="0.35">
      <c r="A59" s="186" t="s">
        <v>54</v>
      </c>
      <c r="B59" s="186"/>
      <c r="C59" s="118"/>
      <c r="D59" s="60">
        <f>D56/D58</f>
        <v>6.8600000000000012</v>
      </c>
    </row>
    <row r="60" spans="1:4" ht="15.5" x14ac:dyDescent="0.35">
      <c r="A60" s="63"/>
      <c r="B60" s="66"/>
      <c r="C60" s="66"/>
      <c r="D60" s="66"/>
    </row>
    <row r="61" spans="1:4" ht="15.5" x14ac:dyDescent="0.35">
      <c r="A61" s="162" t="s">
        <v>62</v>
      </c>
      <c r="B61" s="162"/>
      <c r="C61" s="49"/>
      <c r="D61" s="56"/>
    </row>
    <row r="62" spans="1:4" ht="15.5" x14ac:dyDescent="0.35">
      <c r="A62" s="162" t="s">
        <v>63</v>
      </c>
      <c r="B62" s="162"/>
      <c r="C62" s="49"/>
      <c r="D62" s="56"/>
    </row>
    <row r="63" spans="1:4" ht="15.5" x14ac:dyDescent="0.35">
      <c r="A63" s="36"/>
      <c r="B63" s="11"/>
      <c r="C63" s="11"/>
      <c r="D63" s="75"/>
    </row>
    <row r="64" spans="1:4" ht="15.5" x14ac:dyDescent="0.35">
      <c r="A64" s="37" t="s">
        <v>46</v>
      </c>
      <c r="B64" s="37"/>
      <c r="C64" s="37"/>
      <c r="D64" s="95"/>
    </row>
    <row r="65" spans="1:4" ht="15.5" x14ac:dyDescent="0.35">
      <c r="A65" s="37"/>
      <c r="B65" s="37"/>
      <c r="C65" s="37"/>
      <c r="D65" s="106"/>
    </row>
    <row r="66" spans="1:4" ht="15.5" x14ac:dyDescent="0.35">
      <c r="A66" s="37" t="s">
        <v>134</v>
      </c>
      <c r="B66" s="38"/>
      <c r="C66" s="38"/>
      <c r="D66" s="37"/>
    </row>
    <row r="67" spans="1:4" ht="15.5" x14ac:dyDescent="0.35">
      <c r="A67" s="37"/>
      <c r="B67" s="39"/>
      <c r="C67" s="39"/>
      <c r="D67" s="37"/>
    </row>
    <row r="68" spans="1:4" x14ac:dyDescent="0.3">
      <c r="D68" s="1"/>
    </row>
  </sheetData>
  <mergeCells count="8">
    <mergeCell ref="A61:B61"/>
    <mergeCell ref="A62:B62"/>
    <mergeCell ref="A7:B7"/>
    <mergeCell ref="A9:B9"/>
    <mergeCell ref="A10:B10"/>
    <mergeCell ref="B13:D13"/>
    <mergeCell ref="A58:B58"/>
    <mergeCell ref="A59:B59"/>
  </mergeCells>
  <pageMargins left="0.7" right="0.7" top="0.75" bottom="0.75" header="0.3" footer="0.3"/>
  <pageSetup paperSize="9" scale="66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Saturs</vt:lpstr>
      <vt:lpstr>8.1.1.</vt:lpstr>
      <vt:lpstr>8.1.2.</vt:lpstr>
      <vt:lpstr>8.1.3.</vt:lpstr>
      <vt:lpstr>8.1.4.</vt:lpstr>
      <vt:lpstr>8.1.5.</vt:lpstr>
      <vt:lpstr>8.2.1.</vt:lpstr>
      <vt:lpstr>8.2.2.</vt:lpstr>
      <vt:lpstr>8.2.3.</vt:lpstr>
      <vt:lpstr>8.2.4.</vt:lpstr>
      <vt:lpstr>8.2.5.</vt:lpstr>
      <vt:lpstr>8.2.6.</vt:lpstr>
      <vt:lpstr>8.2.7.</vt:lpstr>
      <vt:lpstr>8.3.</vt:lpstr>
      <vt:lpstr>8.4.</vt:lpstr>
      <vt:lpstr>8.5.</vt:lpstr>
      <vt:lpstr>8.6.</vt:lpstr>
      <vt:lpstr>8.7.</vt:lpstr>
      <vt:lpstr>8.8.</vt:lpstr>
      <vt:lpstr>8.9.1.</vt:lpstr>
      <vt:lpstr>8.9.2.</vt:lpstr>
      <vt:lpstr>8.9.3.</vt:lpstr>
      <vt:lpstr>8.9.4.1.</vt:lpstr>
      <vt:lpstr>8.9.4.2.</vt:lpstr>
      <vt:lpstr>8.9.4.3.</vt:lpstr>
      <vt:lpstr>8.10.1.</vt:lpstr>
      <vt:lpstr>8.10.2.</vt:lpstr>
      <vt:lpstr>8.10.3.1.</vt:lpstr>
      <vt:lpstr>8.10.3.2.</vt:lpstr>
      <vt:lpstr>8.10.4.</vt:lpstr>
      <vt:lpstr>8.11.1.</vt:lpstr>
      <vt:lpstr>8.11.2.</vt:lpstr>
      <vt:lpstr>8.12.1.</vt:lpstr>
      <vt:lpstr>8.12.2.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Kīse, 67021651, Inese.Kise@lm.gov.lv,
fakss 67021678</dc:description>
  <cp:lastModifiedBy>Inese Veinberga</cp:lastModifiedBy>
  <cp:lastPrinted>2023-03-29T07:38:20Z</cp:lastPrinted>
  <dcterms:created xsi:type="dcterms:W3CDTF">2008-09-26T08:09:16Z</dcterms:created>
  <dcterms:modified xsi:type="dcterms:W3CDTF">2023-06-27T13:40:28Z</dcterms:modified>
</cp:coreProperties>
</file>