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BB2EF059-0097-4D74-A276-10E9E9DE9190}" xr6:coauthVersionLast="36" xr6:coauthVersionMax="36" xr10:uidLastSave="{00000000-0000-0000-0000-000000000000}"/>
  <bookViews>
    <workbookView xWindow="32770" yWindow="32770" windowWidth="19200" windowHeight="6350"/>
  </bookViews>
  <sheets>
    <sheet name="Tāme" sheetId="14" r:id="rId1"/>
  </sheets>
  <definedNames>
    <definedName name="_xlnm.Print_Titles" localSheetId="0">Tāme!$9:$10</definedName>
  </definedNames>
  <calcPr calcId="191029" fullCalcOnLoad="1"/>
</workbook>
</file>

<file path=xl/calcChain.xml><?xml version="1.0" encoding="utf-8"?>
<calcChain xmlns="http://schemas.openxmlformats.org/spreadsheetml/2006/main">
  <c r="G44" i="14" l="1"/>
  <c r="I21" i="14"/>
  <c r="I13" i="14"/>
  <c r="I61" i="14"/>
  <c r="I41" i="14"/>
  <c r="I31" i="14"/>
  <c r="I58" i="14"/>
  <c r="J58" i="14"/>
  <c r="I56" i="14"/>
  <c r="I36" i="14"/>
  <c r="J36" i="14"/>
  <c r="J56" i="14"/>
  <c r="J51" i="14"/>
  <c r="J47" i="14"/>
  <c r="J43" i="14"/>
  <c r="J39" i="14"/>
  <c r="J35" i="14"/>
  <c r="J33" i="14"/>
  <c r="J27" i="14"/>
  <c r="J25" i="14"/>
  <c r="J21" i="14"/>
  <c r="J20" i="14"/>
  <c r="J19" i="14"/>
  <c r="I22" i="14"/>
  <c r="I57" i="14"/>
  <c r="J57" i="14"/>
  <c r="I54" i="14"/>
  <c r="I50" i="14"/>
  <c r="J50" i="14"/>
  <c r="I49" i="14"/>
  <c r="J49" i="14"/>
  <c r="I40" i="14"/>
  <c r="J40" i="14"/>
  <c r="I44" i="14"/>
  <c r="J44" i="14"/>
  <c r="I29" i="14"/>
  <c r="J29" i="14"/>
  <c r="I51" i="14"/>
  <c r="I37" i="14"/>
  <c r="J37" i="14"/>
  <c r="I14" i="14"/>
  <c r="I12" i="14"/>
  <c r="I48" i="14"/>
  <c r="J48" i="14"/>
  <c r="I46" i="14"/>
  <c r="J46" i="14"/>
  <c r="I45" i="14"/>
  <c r="J45" i="14"/>
  <c r="I23" i="14"/>
  <c r="J23" i="14"/>
  <c r="I42" i="14"/>
  <c r="J42" i="14"/>
  <c r="I52" i="14"/>
  <c r="J52" i="14"/>
  <c r="I27" i="14"/>
  <c r="I25" i="14"/>
  <c r="I26" i="14"/>
  <c r="J26" i="14"/>
  <c r="I18" i="14"/>
  <c r="I53" i="14"/>
  <c r="J53" i="14"/>
  <c r="I43" i="14"/>
  <c r="I38" i="14"/>
  <c r="J38" i="14"/>
  <c r="I34" i="14"/>
  <c r="J34" i="14"/>
  <c r="I33" i="14"/>
  <c r="I32" i="14"/>
  <c r="J32" i="14"/>
  <c r="I30" i="14"/>
  <c r="J30" i="14"/>
  <c r="I28" i="14"/>
  <c r="J28" i="14"/>
  <c r="I24" i="14"/>
  <c r="J24" i="14"/>
  <c r="I19" i="14"/>
  <c r="H61" i="14"/>
  <c r="J61" i="14"/>
  <c r="H51" i="14"/>
  <c r="H13" i="14"/>
  <c r="H48" i="14"/>
  <c r="H46" i="14"/>
  <c r="H45" i="14"/>
  <c r="H44" i="14"/>
  <c r="H41" i="14"/>
  <c r="J41" i="14"/>
  <c r="H40" i="14"/>
  <c r="H37" i="14"/>
  <c r="H34" i="14"/>
  <c r="H31" i="14"/>
  <c r="J31" i="14"/>
  <c r="H30" i="14"/>
  <c r="H28" i="14"/>
  <c r="H23" i="14"/>
  <c r="H22" i="14"/>
  <c r="H17" i="14"/>
  <c r="H21" i="14"/>
  <c r="H19" i="14"/>
  <c r="H55" i="14"/>
  <c r="J55" i="14"/>
  <c r="H54" i="14"/>
  <c r="J54" i="14"/>
  <c r="H24" i="14"/>
  <c r="H14" i="14"/>
  <c r="H12" i="14"/>
  <c r="E13" i="14"/>
  <c r="E12" i="14"/>
  <c r="E14" i="14"/>
  <c r="E34" i="14"/>
  <c r="D34" i="14"/>
  <c r="D17" i="14"/>
  <c r="D11" i="14"/>
  <c r="C34" i="14"/>
  <c r="C17" i="14"/>
  <c r="D12" i="14"/>
  <c r="C12" i="14"/>
  <c r="C11" i="14"/>
  <c r="G61" i="14"/>
  <c r="F61" i="14"/>
  <c r="G55" i="14"/>
  <c r="G54" i="14"/>
  <c r="G17" i="14"/>
  <c r="G34" i="14"/>
  <c r="F34" i="14"/>
  <c r="F17" i="14"/>
  <c r="G24" i="14"/>
  <c r="G22" i="14"/>
  <c r="G21" i="14"/>
  <c r="F14" i="14"/>
  <c r="G13" i="14"/>
  <c r="G12" i="14"/>
  <c r="F13" i="14"/>
  <c r="F12" i="14"/>
  <c r="E17" i="14"/>
  <c r="I17" i="14"/>
  <c r="F11" i="14"/>
  <c r="F8" i="14"/>
  <c r="G11" i="14"/>
  <c r="E8" i="14"/>
  <c r="E11" i="14"/>
  <c r="H11" i="14"/>
  <c r="L61" i="14"/>
  <c r="J17" i="14"/>
  <c r="I11" i="14"/>
  <c r="M12" i="14"/>
  <c r="J12" i="14"/>
  <c r="M17" i="14"/>
  <c r="J22" i="14"/>
  <c r="L12" i="14"/>
  <c r="L17" i="14"/>
  <c r="J9" i="14"/>
  <c r="M61" i="14"/>
</calcChain>
</file>

<file path=xl/comments1.xml><?xml version="1.0" encoding="utf-8"?>
<comments xmlns="http://schemas.openxmlformats.org/spreadsheetml/2006/main">
  <authors>
    <author>Anita Ozolina</author>
  </authors>
  <commentList>
    <comment ref="F12" authorId="0" shapeId="0">
      <text>
        <r>
          <rPr>
            <b/>
            <sz val="9"/>
            <color indexed="81"/>
            <rFont val="Tahoma"/>
            <family val="2"/>
            <charset val="186"/>
          </rPr>
          <t>Anita Ozolina:</t>
        </r>
        <r>
          <rPr>
            <sz val="9"/>
            <color indexed="81"/>
            <rFont val="Tahoma"/>
            <family val="2"/>
            <charset val="186"/>
          </rPr>
          <t xml:space="preserve">
LM atskaitēs</t>
        </r>
      </text>
    </comment>
  </commentList>
</comments>
</file>

<file path=xl/sharedStrings.xml><?xml version="1.0" encoding="utf-8"?>
<sst xmlns="http://schemas.openxmlformats.org/spreadsheetml/2006/main" count="66" uniqueCount="66">
  <si>
    <t>Atlīdzība</t>
  </si>
  <si>
    <t> Transportlīdzekļu uzturēšana un remonts</t>
  </si>
  <si>
    <t> Iekārtas, inventāra un aparatūras remonts, tehniskā apkalpošana</t>
  </si>
  <si>
    <t> Pārējie remonta darbu un iestāžu uzturēšanas pakalpojumi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</si>
  <si>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</si>
  <si>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</si>
  <si>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</si>
  <si>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</si>
  <si>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</si>
  <si>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</si>
  <si>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</si>
  <si>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</si>
  <si>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</si>
  <si>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</si>
  <si>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</si>
  <si>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</si>
  <si>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</si>
  <si>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</si>
  <si>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</si>
  <si>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</si>
  <si>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 Pārējie budžeta iestāžu pārskaitītie nodokļi un nodevas</t>
  </si>
  <si>
    <t> Izdevumi par elektroenerģiju</t>
  </si>
  <si>
    <t>Mācību, darba un dienesta komandējumi, dienesta, darba braucieni</t>
  </si>
  <si>
    <t> Izdevumi periodikas iegādei</t>
  </si>
  <si>
    <t>Ekonomiskās klasifikācijas kods</t>
  </si>
  <si>
    <t>Koda nosaukums</t>
  </si>
  <si>
    <t>1000-9000</t>
  </si>
  <si>
    <t xml:space="preserve">Izdevumi </t>
  </si>
  <si>
    <t>Atalgojums</t>
  </si>
  <si>
    <t>Darba devēja valsts sociālās apdrošināšanas obligātās iemaksas, sociāla rakstura pabalsti un kompensācijas</t>
  </si>
  <si>
    <t>Preces un pakalpojumi</t>
  </si>
  <si>
    <t>Pamatkapitāla veidošana</t>
  </si>
  <si>
    <t>sākotnējās ietekmes novērtējuma ziņojumam (anotācijai)</t>
  </si>
  <si>
    <t xml:space="preserve">Finanšu nodaļas vadītāja </t>
  </si>
  <si>
    <t>Anita.Ozolina@siva.gov.lv</t>
  </si>
  <si>
    <t xml:space="preserve">2013.gada 24.septembra noteikumos Nr.1002 "Sociālās </t>
  </si>
  <si>
    <t xml:space="preserve">integrācijas valstas aģentūras sniegto maksas  pakalpojumu cenrādis"" </t>
  </si>
  <si>
    <t xml:space="preserve"> Izdevumi par precēm iestādes administratīvās darbības nodrošināšanai</t>
  </si>
  <si>
    <t xml:space="preserve"> Budžeta iestāžu dabas resursu nodokļa maksājumi</t>
  </si>
  <si>
    <t xml:space="preserve"> Apdrošināšanas izdevumi</t>
  </si>
  <si>
    <t xml:space="preserve"> Izdevumi par atkritumu savākšanu, izvešanu no apdzīvotām un ārpus apdzīvotām teritorijām, un to utilizāciju</t>
  </si>
  <si>
    <t>Ministru kabineta noteikumu projekta "Grozījumi Ministru kabineta</t>
  </si>
  <si>
    <t>2017.gads (EUR)</t>
  </si>
  <si>
    <t xml:space="preserve">2018.gads un turpmāk ik gadu kopā (EUR) bez Atlīdzības pieauguma saistībā ar mediķu atlīdzības plānotām izmaiņām 2018.gadā (euro) </t>
  </si>
  <si>
    <t>A.Krivāne</t>
  </si>
  <si>
    <t xml:space="preserve">2021.gads un turpmāk ik gadu kopā (EUR) </t>
  </si>
  <si>
    <t xml:space="preserve">2022.gads un turpmāk ik gadu kopā (EUR) </t>
  </si>
  <si>
    <t>Plānotie izdevumi no ieņēmumiem no maksas pakalpojumiem un citiem pašu ieņēmumiem 2023.gadā un turpmākajos gados</t>
  </si>
  <si>
    <t xml:space="preserve">2018.gads un turpmāk ik gadu kopā (EUR) ar Atlīdzības pieauguma saistībā ar mediķu atlīdzības plānotām izmaiņām 2018.gadā (euro) </t>
  </si>
  <si>
    <t xml:space="preserve">2023.gads un turpmāk ik gadu kopā (EUR) </t>
  </si>
  <si>
    <t xml:space="preserve">2023.gads un turpmāk ik gadu kopā (EUR)  samazinājumsuz  585 000 euro (VSSA)  VSSA transferts • 15000 euro atlīdzībai 8 505 euro ,  precēm un pakalpojumiem 5805 euro ,  pamatkapitāla veidošanai 690 euro </t>
  </si>
  <si>
    <t>Ozoliņa, 28391546</t>
  </si>
  <si>
    <t>12.pielikums</t>
  </si>
  <si>
    <t xml:space="preserve"> Izdevumi par sakaru pakalpojumiem</t>
  </si>
  <si>
    <t> Izdevumi par ūdensapgādi un kanalizāciju</t>
  </si>
  <si>
    <t xml:space="preserve"> Izdevumi iestādes sabiedrisko aktivitāšu īstenošanai</t>
  </si>
  <si>
    <t xml:space="preserve"> Ēku, būvju un telpu būvdarbi</t>
  </si>
  <si>
    <t xml:space="preserve"> Nekustamā īpašuma uzturēšana</t>
  </si>
  <si>
    <t xml:space="preserve"> Informācijas tehnoloģiju pakalpojumi</t>
  </si>
  <si>
    <t xml:space="preserve"> Iestāžu uzturēšanas materiāli un preces</t>
  </si>
  <si>
    <t xml:space="preserve"> Mācību, darba un dienesta komandējumi, dienesta, darba braucieni</t>
  </si>
  <si>
    <t xml:space="preserve"> Izdevumi par saņemtajiem mācību pakalpojumiem</t>
  </si>
  <si>
    <t xml:space="preserve"> Pārējie neklasificētie pakalpojumi</t>
  </si>
  <si>
    <t xml:space="preserve"> Izdevumi par profesionālās darbības pakalpojumiem</t>
  </si>
  <si>
    <t>Pārējie valsts un pašvaldību aprūpē, apgādē un dienestā (amatā) esošo personu uzturēšanas
izdevumi, kuri nav minēti citos koda 2360 apakškodos</t>
  </si>
  <si>
    <t xml:space="preserve"> Darba aizsardzības līdzekļi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</si>
</sst>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u/>
      <sz val="10"/>
      <color indexed="12"/>
      <name val="Arial"/>
      <family val="2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Arial"/>
      <family val="2"/>
      <charset val="186"/>
    </font>
    <font>
      <sz val="10"/>
      <name val="Times New Roman"/>
      <family val="1"/>
      <charset val="186"/>
    </font>
    <font>
      <sz val="16"/>
      <name val="Times New Roman"/>
      <family val="1"/>
      <charset val="186"/>
    </font>
    <font>
      <sz val="10"/>
      <name val="Times New Roman"/>
      <family val="1"/>
      <charset val="204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14"/>
      <name val="Times New Roman"/>
      <family val="1"/>
      <charset val="186"/>
    </font>
    <font>
      <u/>
      <sz val="1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  <charset val="186"/>
    </font>
    <font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6"/>
      <color rgb="FFFF0000"/>
      <name val="Times New Roman"/>
      <family val="1"/>
      <charset val="186"/>
    </font>
    <font>
      <sz val="11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6" fillId="0" borderId="0"/>
  </cellStyleXfs>
  <cellXfs count="76">
    <xf numFmtId="0" fontId="0" fillId="0" borderId="0" xfId="0"/>
    <xf numFmtId="0" fontId="17" fillId="0" borderId="0" xfId="0" applyFont="1"/>
    <xf numFmtId="0" fontId="18" fillId="0" borderId="0" xfId="0" applyFont="1" applyAlignment="1">
      <alignment horizontal="left"/>
    </xf>
    <xf numFmtId="0" fontId="17" fillId="2" borderId="0" xfId="0" applyFont="1" applyFill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7" fillId="0" borderId="0" xfId="0" applyFont="1" applyAlignment="1">
      <alignment horizontal="left"/>
    </xf>
    <xf numFmtId="0" fontId="21" fillId="0" borderId="0" xfId="0" applyFont="1" applyAlignment="1"/>
    <xf numFmtId="0" fontId="20" fillId="0" borderId="0" xfId="0" applyFont="1" applyAlignment="1">
      <alignment horizontal="left"/>
    </xf>
    <xf numFmtId="0" fontId="22" fillId="0" borderId="0" xfId="0" applyFont="1"/>
    <xf numFmtId="0" fontId="20" fillId="0" borderId="0" xfId="0" applyFont="1" applyAlignment="1">
      <alignment horizontal="left"/>
    </xf>
    <xf numFmtId="0" fontId="20" fillId="0" borderId="0" xfId="1" applyFont="1" applyAlignment="1" applyProtection="1">
      <alignment horizontal="left"/>
    </xf>
    <xf numFmtId="2" fontId="17" fillId="0" borderId="0" xfId="0" applyNumberFormat="1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2" fontId="6" fillId="2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vertical="top"/>
    </xf>
    <xf numFmtId="2" fontId="6" fillId="2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2" fontId="5" fillId="2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2" fontId="7" fillId="2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wrapText="1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2" fontId="4" fillId="2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/>
    <xf numFmtId="2" fontId="2" fillId="0" borderId="0" xfId="0" applyNumberFormat="1" applyFont="1"/>
    <xf numFmtId="0" fontId="5" fillId="0" borderId="0" xfId="0" applyFont="1" applyFill="1" applyBorder="1" applyAlignment="1">
      <alignment horizontal="center" wrapText="1"/>
    </xf>
    <xf numFmtId="0" fontId="2" fillId="2" borderId="0" xfId="0" applyFont="1" applyFill="1"/>
    <xf numFmtId="0" fontId="5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8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right" vertical="top"/>
    </xf>
    <xf numFmtId="0" fontId="4" fillId="2" borderId="1" xfId="0" applyFont="1" applyFill="1" applyBorder="1" applyAlignment="1">
      <alignment horizontal="right" vertical="top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>
      <alignment horizontal="left" wrapText="1"/>
    </xf>
    <xf numFmtId="0" fontId="4" fillId="0" borderId="0" xfId="0" applyFont="1"/>
    <xf numFmtId="0" fontId="9" fillId="0" borderId="0" xfId="0" applyFont="1"/>
    <xf numFmtId="0" fontId="15" fillId="0" borderId="0" xfId="1" applyFont="1" applyAlignment="1" applyProtection="1"/>
    <xf numFmtId="2" fontId="23" fillId="0" borderId="0" xfId="0" applyNumberFormat="1" applyFont="1"/>
    <xf numFmtId="0" fontId="5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2" fontId="5" fillId="2" borderId="0" xfId="0" applyNumberFormat="1" applyFont="1" applyFill="1"/>
    <xf numFmtId="2" fontId="2" fillId="2" borderId="0" xfId="0" applyNumberFormat="1" applyFont="1" applyFill="1"/>
    <xf numFmtId="0" fontId="24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8" fillId="0" borderId="3" xfId="0" applyFont="1" applyBorder="1" applyAlignment="1">
      <alignment horizontal="left"/>
    </xf>
    <xf numFmtId="4" fontId="4" fillId="0" borderId="0" xfId="0" applyNumberFormat="1" applyFont="1" applyAlignment="1">
      <alignment horizontal="right"/>
    </xf>
    <xf numFmtId="0" fontId="18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ita.Ozolina@siva.gov.lv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M80"/>
  <sheetViews>
    <sheetView tabSelected="1" view="pageLayout" zoomScale="70" zoomScaleNormal="100" zoomScalePageLayoutView="70" workbookViewId="0">
      <selection activeCell="A7" sqref="A7:I7"/>
    </sheetView>
  </sheetViews>
  <sheetFormatPr defaultColWidth="9.1796875" defaultRowHeight="12.5" x14ac:dyDescent="0.25"/>
  <cols>
    <col min="1" max="1" width="15.7265625" style="7" customWidth="1"/>
    <col min="2" max="2" width="67.453125" style="1" customWidth="1"/>
    <col min="3" max="3" width="22.81640625" style="48" hidden="1" customWidth="1"/>
    <col min="4" max="5" width="22.81640625" style="38" hidden="1" customWidth="1"/>
    <col min="6" max="6" width="22.81640625" style="1" hidden="1" customWidth="1"/>
    <col min="7" max="8" width="26.453125" style="1" customWidth="1"/>
    <col min="9" max="9" width="27.26953125" style="38" customWidth="1"/>
    <col min="10" max="10" width="11.7265625" style="1" hidden="1" customWidth="1"/>
    <col min="11" max="11" width="7.26953125" style="1" hidden="1" customWidth="1"/>
    <col min="12" max="12" width="9.7265625" style="1" hidden="1" customWidth="1"/>
    <col min="13" max="13" width="9.1796875" style="1" hidden="1" customWidth="1"/>
    <col min="14" max="16384" width="9.1796875" style="1"/>
  </cols>
  <sheetData>
    <row r="1" spans="1:13" ht="14" x14ac:dyDescent="0.3">
      <c r="A1" s="49"/>
      <c r="B1" s="49"/>
      <c r="C1" s="35"/>
      <c r="D1" s="36"/>
      <c r="E1" s="36"/>
      <c r="F1" s="36"/>
      <c r="G1" s="36"/>
      <c r="H1" s="36"/>
      <c r="I1" s="36" t="s">
        <v>52</v>
      </c>
    </row>
    <row r="2" spans="1:13" ht="14" x14ac:dyDescent="0.3">
      <c r="A2" s="49"/>
      <c r="B2" s="73" t="s">
        <v>41</v>
      </c>
      <c r="C2" s="73"/>
      <c r="D2" s="73"/>
      <c r="E2" s="73"/>
      <c r="F2" s="73"/>
      <c r="G2" s="73"/>
      <c r="H2" s="73"/>
      <c r="I2" s="73"/>
    </row>
    <row r="3" spans="1:13" ht="14" x14ac:dyDescent="0.3">
      <c r="A3" s="73" t="s">
        <v>35</v>
      </c>
      <c r="B3" s="73"/>
      <c r="C3" s="73"/>
      <c r="D3" s="73"/>
      <c r="E3" s="73"/>
      <c r="F3" s="73"/>
      <c r="G3" s="73"/>
      <c r="H3" s="73"/>
      <c r="I3" s="73"/>
    </row>
    <row r="4" spans="1:13" ht="14" x14ac:dyDescent="0.3">
      <c r="A4" s="49"/>
      <c r="B4" s="73" t="s">
        <v>36</v>
      </c>
      <c r="C4" s="73"/>
      <c r="D4" s="73"/>
      <c r="E4" s="73"/>
      <c r="F4" s="73"/>
      <c r="G4" s="73"/>
      <c r="H4" s="73"/>
      <c r="I4" s="73"/>
    </row>
    <row r="5" spans="1:13" ht="14" x14ac:dyDescent="0.3">
      <c r="A5" s="73" t="s">
        <v>32</v>
      </c>
      <c r="B5" s="73"/>
      <c r="C5" s="73"/>
      <c r="D5" s="73"/>
      <c r="E5" s="73"/>
      <c r="F5" s="73"/>
      <c r="G5" s="73"/>
      <c r="H5" s="73"/>
      <c r="I5" s="73"/>
    </row>
    <row r="6" spans="1:13" ht="15.5" x14ac:dyDescent="0.35">
      <c r="A6" s="74"/>
      <c r="B6" s="74"/>
      <c r="C6" s="37"/>
      <c r="H6" s="13"/>
    </row>
    <row r="7" spans="1:13" ht="35.25" customHeight="1" x14ac:dyDescent="0.25">
      <c r="A7" s="75" t="s">
        <v>47</v>
      </c>
      <c r="B7" s="75"/>
      <c r="C7" s="75"/>
      <c r="D7" s="75"/>
      <c r="E7" s="75"/>
      <c r="F7" s="75"/>
      <c r="G7" s="75"/>
      <c r="H7" s="75"/>
      <c r="I7" s="75"/>
    </row>
    <row r="8" spans="1:13" ht="15" customHeight="1" x14ac:dyDescent="0.35">
      <c r="A8" s="2"/>
      <c r="B8" s="72"/>
      <c r="C8" s="72"/>
      <c r="E8" s="39">
        <f>E12-D12</f>
        <v>7645.9999999999709</v>
      </c>
      <c r="F8" s="39">
        <f>F12-E12</f>
        <v>18207</v>
      </c>
      <c r="G8" s="61"/>
      <c r="H8" s="13"/>
    </row>
    <row r="9" spans="1:13" ht="158.25" customHeight="1" x14ac:dyDescent="0.25">
      <c r="A9" s="14" t="s">
        <v>24</v>
      </c>
      <c r="B9" s="14" t="s">
        <v>25</v>
      </c>
      <c r="C9" s="14" t="s">
        <v>42</v>
      </c>
      <c r="D9" s="14" t="s">
        <v>43</v>
      </c>
      <c r="E9" s="14" t="s">
        <v>48</v>
      </c>
      <c r="F9" s="14" t="s">
        <v>45</v>
      </c>
      <c r="G9" s="14" t="s">
        <v>46</v>
      </c>
      <c r="H9" s="14" t="s">
        <v>50</v>
      </c>
      <c r="I9" s="14" t="s">
        <v>49</v>
      </c>
      <c r="J9" s="13">
        <f>I11-H11</f>
        <v>-2.6030000299215317E-3</v>
      </c>
    </row>
    <row r="10" spans="1:13" ht="15" x14ac:dyDescent="0.25">
      <c r="A10" s="15">
        <v>1</v>
      </c>
      <c r="B10" s="16">
        <v>2</v>
      </c>
      <c r="C10" s="16"/>
      <c r="D10" s="15"/>
      <c r="E10" s="15"/>
      <c r="F10" s="15"/>
      <c r="G10" s="15">
        <v>3</v>
      </c>
      <c r="H10" s="15">
        <v>4</v>
      </c>
      <c r="I10" s="15">
        <v>5</v>
      </c>
    </row>
    <row r="11" spans="1:13" ht="16.5" customHeight="1" x14ac:dyDescent="0.25">
      <c r="A11" s="50" t="s">
        <v>26</v>
      </c>
      <c r="B11" s="17" t="s">
        <v>27</v>
      </c>
      <c r="C11" s="18">
        <f>C12+C17+C61+C59</f>
        <v>463000</v>
      </c>
      <c r="D11" s="18">
        <f>D12+D17+D61+D59</f>
        <v>300000</v>
      </c>
      <c r="E11" s="18">
        <f>E12+E17+E61+E59</f>
        <v>307646</v>
      </c>
      <c r="F11" s="18">
        <f>F12+F17+F61</f>
        <v>600000</v>
      </c>
      <c r="G11" s="18">
        <f>G12+G17+G61</f>
        <v>600000</v>
      </c>
      <c r="H11" s="18">
        <f>H12+H17+H61</f>
        <v>585000</v>
      </c>
      <c r="I11" s="18">
        <f>I12+I17+I61</f>
        <v>584999.99739699997</v>
      </c>
    </row>
    <row r="12" spans="1:13" ht="16.5" customHeight="1" x14ac:dyDescent="0.25">
      <c r="A12" s="51">
        <v>1000</v>
      </c>
      <c r="B12" s="19" t="s">
        <v>0</v>
      </c>
      <c r="C12" s="20">
        <f t="shared" ref="C12:H12" si="0">C13+C14</f>
        <v>162180.1</v>
      </c>
      <c r="D12" s="20">
        <f t="shared" si="0"/>
        <v>162180.1</v>
      </c>
      <c r="E12" s="20">
        <f t="shared" si="0"/>
        <v>169826.09999999998</v>
      </c>
      <c r="F12" s="20">
        <f t="shared" si="0"/>
        <v>188033.09999999998</v>
      </c>
      <c r="G12" s="20">
        <f t="shared" si="0"/>
        <v>198412.68</v>
      </c>
      <c r="H12" s="20">
        <f t="shared" si="0"/>
        <v>189907.68</v>
      </c>
      <c r="I12" s="20">
        <f>I13+I14</f>
        <v>235963.99739700003</v>
      </c>
      <c r="J12" s="1">
        <f>I12/H12*100</f>
        <v>124.25195094637564</v>
      </c>
      <c r="L12" s="1">
        <f>H12/H11*100</f>
        <v>32.462851282051282</v>
      </c>
      <c r="M12" s="1">
        <f>I12/I11*100</f>
        <v>40.335726230245982</v>
      </c>
    </row>
    <row r="13" spans="1:13" ht="15" customHeight="1" x14ac:dyDescent="0.25">
      <c r="A13" s="52">
        <v>1100</v>
      </c>
      <c r="B13" s="21" t="s">
        <v>28</v>
      </c>
      <c r="C13" s="22">
        <v>131224.29</v>
      </c>
      <c r="D13" s="22">
        <v>130695.54</v>
      </c>
      <c r="E13" s="22">
        <f>130695.54+6162</f>
        <v>136857.53999999998</v>
      </c>
      <c r="F13" s="22">
        <f>130695.54+6162+14672</f>
        <v>151529.53999999998</v>
      </c>
      <c r="G13" s="22">
        <f>160541.05</f>
        <v>160541.04999999999</v>
      </c>
      <c r="H13" s="22">
        <f>160541.05-6881.62</f>
        <v>153659.43</v>
      </c>
      <c r="I13" s="22">
        <f>84520.52+65022.31+2222.99+6513.5+47253.69+18742.59+888.17+3508.54+4015.72+1271.8-43035</f>
        <v>190924.83000000002</v>
      </c>
    </row>
    <row r="14" spans="1:13" ht="28" x14ac:dyDescent="0.25">
      <c r="A14" s="52">
        <v>1200</v>
      </c>
      <c r="B14" s="23" t="s">
        <v>29</v>
      </c>
      <c r="C14" s="22">
        <v>30955.81</v>
      </c>
      <c r="D14" s="22">
        <v>31484.560000000001</v>
      </c>
      <c r="E14" s="22">
        <f>31484.56+1484</f>
        <v>32968.559999999998</v>
      </c>
      <c r="F14" s="22">
        <f>31484.56+1484+3535</f>
        <v>36503.56</v>
      </c>
      <c r="G14" s="22">
        <v>37871.629999999997</v>
      </c>
      <c r="H14" s="22">
        <f>37871.63-1623.38</f>
        <v>36248.25</v>
      </c>
      <c r="I14" s="22">
        <f>I13*23.59%</f>
        <v>45039.167397000005</v>
      </c>
    </row>
    <row r="15" spans="1:13" ht="33" hidden="1" customHeight="1" x14ac:dyDescent="0.25">
      <c r="A15" s="53"/>
      <c r="B15" s="24"/>
      <c r="C15" s="22"/>
      <c r="D15" s="22"/>
      <c r="E15" s="22"/>
      <c r="F15" s="22"/>
      <c r="G15" s="22"/>
      <c r="H15" s="22"/>
      <c r="I15" s="22"/>
    </row>
    <row r="16" spans="1:13" ht="33" hidden="1" customHeight="1" x14ac:dyDescent="0.25">
      <c r="A16" s="53"/>
      <c r="B16" s="25"/>
      <c r="C16" s="22"/>
      <c r="D16" s="22"/>
      <c r="E16" s="22"/>
      <c r="F16" s="22"/>
      <c r="G16" s="22"/>
      <c r="H16" s="22"/>
      <c r="I16" s="22"/>
    </row>
    <row r="17" spans="1:13" ht="16.5" customHeight="1" x14ac:dyDescent="0.25">
      <c r="A17" s="54">
        <v>2000</v>
      </c>
      <c r="B17" s="26" t="s">
        <v>30</v>
      </c>
      <c r="C17" s="27">
        <f t="shared" ref="C17:I17" si="1">SUM(C18:C58)</f>
        <v>244753.97</v>
      </c>
      <c r="D17" s="27">
        <f t="shared" si="1"/>
        <v>81753.970000000016</v>
      </c>
      <c r="E17" s="27">
        <f t="shared" si="1"/>
        <v>81753.970000000016</v>
      </c>
      <c r="F17" s="27">
        <f t="shared" si="1"/>
        <v>264269.76999999996</v>
      </c>
      <c r="G17" s="27">
        <f t="shared" si="1"/>
        <v>259379.98</v>
      </c>
      <c r="H17" s="27">
        <f t="shared" si="1"/>
        <v>253574.98</v>
      </c>
      <c r="I17" s="27">
        <f t="shared" si="1"/>
        <v>259481.92</v>
      </c>
      <c r="J17" s="1">
        <f>I17/H17*100</f>
        <v>102.32946483915724</v>
      </c>
      <c r="L17" s="1">
        <f>H17/H11*100</f>
        <v>43.34615042735043</v>
      </c>
      <c r="M17" s="1">
        <f>I17/I11*100</f>
        <v>44.355883958048494</v>
      </c>
    </row>
    <row r="18" spans="1:13" ht="15.5" x14ac:dyDescent="0.25">
      <c r="A18" s="52">
        <v>2100</v>
      </c>
      <c r="B18" s="65" t="s">
        <v>60</v>
      </c>
      <c r="C18" s="22"/>
      <c r="D18" s="27"/>
      <c r="E18" s="27"/>
      <c r="F18" s="22"/>
      <c r="G18" s="22">
        <v>0</v>
      </c>
      <c r="H18" s="22">
        <v>0</v>
      </c>
      <c r="I18" s="22">
        <f>33.11+50.56+1.45+40.2+19.73+0.45</f>
        <v>145.5</v>
      </c>
    </row>
    <row r="19" spans="1:13" ht="15" customHeight="1" x14ac:dyDescent="0.35">
      <c r="A19" s="52">
        <v>2210</v>
      </c>
      <c r="B19" s="62" t="s">
        <v>53</v>
      </c>
      <c r="C19" s="22">
        <v>2396</v>
      </c>
      <c r="D19" s="22">
        <v>299.5</v>
      </c>
      <c r="E19" s="22">
        <v>299.5</v>
      </c>
      <c r="F19" s="22">
        <v>788.5</v>
      </c>
      <c r="G19" s="22">
        <v>788.5</v>
      </c>
      <c r="H19" s="22">
        <f>788.5-44</f>
        <v>744.5</v>
      </c>
      <c r="I19" s="22">
        <f>359.41+261.92+7.86+1.75+615.52+103.14+1.66+23.32</f>
        <v>1374.5800000000002</v>
      </c>
      <c r="J19" s="1">
        <f t="shared" ref="J19:J58" si="2">I19/H19*100</f>
        <v>184.63129617192749</v>
      </c>
    </row>
    <row r="20" spans="1:13" ht="33" hidden="1" customHeight="1" x14ac:dyDescent="0.25">
      <c r="A20" s="52">
        <v>2100</v>
      </c>
      <c r="B20" s="28" t="s">
        <v>22</v>
      </c>
      <c r="C20" s="22"/>
      <c r="D20" s="22"/>
      <c r="E20" s="22"/>
      <c r="F20" s="22"/>
      <c r="G20" s="22"/>
      <c r="H20" s="22"/>
      <c r="I20" s="22"/>
      <c r="J20" s="1" t="e">
        <f t="shared" si="2"/>
        <v>#DIV/0!</v>
      </c>
    </row>
    <row r="21" spans="1:13" ht="15" customHeight="1" x14ac:dyDescent="0.25">
      <c r="A21" s="52">
        <v>2222</v>
      </c>
      <c r="B21" s="29" t="s">
        <v>54</v>
      </c>
      <c r="C21" s="22">
        <v>16390.16</v>
      </c>
      <c r="D21" s="22">
        <v>7347.54</v>
      </c>
      <c r="E21" s="22">
        <v>7347.54</v>
      </c>
      <c r="F21" s="22">
        <v>22042.62</v>
      </c>
      <c r="G21" s="22">
        <f>22042.62-899.09</f>
        <v>21143.53</v>
      </c>
      <c r="H21" s="22">
        <f>22042.62-899.09-264</f>
        <v>20879.53</v>
      </c>
      <c r="I21" s="22">
        <f>5000+3795.04+3793.76+9.98+11.8+6888.02+338.05+129+23.8+1.13</f>
        <v>19990.579999999998</v>
      </c>
      <c r="J21" s="1">
        <f t="shared" si="2"/>
        <v>95.742480793389504</v>
      </c>
    </row>
    <row r="22" spans="1:13" ht="15" customHeight="1" x14ac:dyDescent="0.25">
      <c r="A22" s="52">
        <v>2223</v>
      </c>
      <c r="B22" s="29" t="s">
        <v>21</v>
      </c>
      <c r="C22" s="22">
        <v>28330.67</v>
      </c>
      <c r="D22" s="22">
        <v>11800.75</v>
      </c>
      <c r="E22" s="22">
        <v>11800.75</v>
      </c>
      <c r="F22" s="22">
        <v>35402.25</v>
      </c>
      <c r="G22" s="22">
        <f>35402.25-640.7</f>
        <v>34761.550000000003</v>
      </c>
      <c r="H22" s="22">
        <f>35402.25-640.7-443</f>
        <v>34318.550000000003</v>
      </c>
      <c r="I22" s="22">
        <f>4000+11046.59+5272.2+104.96+799.85+12129.42+913.44+428.55+107.61+47.98</f>
        <v>34850.600000000006</v>
      </c>
      <c r="J22" s="1">
        <f t="shared" si="2"/>
        <v>101.55032773820574</v>
      </c>
    </row>
    <row r="23" spans="1:13" ht="15" customHeight="1" x14ac:dyDescent="0.3">
      <c r="A23" s="52">
        <v>2224</v>
      </c>
      <c r="B23" s="30" t="s">
        <v>40</v>
      </c>
      <c r="C23" s="22">
        <v>1980.56</v>
      </c>
      <c r="D23" s="22">
        <v>1246.76</v>
      </c>
      <c r="E23" s="22">
        <v>1246.76</v>
      </c>
      <c r="F23" s="22">
        <v>3740.25</v>
      </c>
      <c r="G23" s="22">
        <v>3740.25</v>
      </c>
      <c r="H23" s="22">
        <f>3740.25-80</f>
        <v>3660.25</v>
      </c>
      <c r="I23" s="22">
        <f>205.69+138.24+4.08+430.62+48.89+10.1+1.7</f>
        <v>839.32</v>
      </c>
      <c r="J23" s="1">
        <f t="shared" si="2"/>
        <v>22.930674134280444</v>
      </c>
    </row>
    <row r="24" spans="1:13" ht="15.5" x14ac:dyDescent="0.35">
      <c r="A24" s="52">
        <v>2231</v>
      </c>
      <c r="B24" s="63" t="s">
        <v>55</v>
      </c>
      <c r="C24" s="22">
        <v>1072.8499999999999</v>
      </c>
      <c r="D24" s="22">
        <v>715.23</v>
      </c>
      <c r="E24" s="22">
        <v>715.23</v>
      </c>
      <c r="F24" s="22">
        <v>1955.69</v>
      </c>
      <c r="G24" s="22">
        <f>1955.69+933.87</f>
        <v>2889.56</v>
      </c>
      <c r="H24" s="22">
        <f>1955.69+933.87</f>
        <v>2889.56</v>
      </c>
      <c r="I24" s="22">
        <f>169.89+33.96+1.09+53.61+13.29+5.4+0.84</f>
        <v>278.08</v>
      </c>
      <c r="J24" s="1">
        <f t="shared" si="2"/>
        <v>9.6236105150957236</v>
      </c>
    </row>
    <row r="25" spans="1:13" ht="15.5" x14ac:dyDescent="0.35">
      <c r="A25" s="21">
        <v>2232</v>
      </c>
      <c r="B25" s="63" t="s">
        <v>63</v>
      </c>
      <c r="C25" s="22"/>
      <c r="D25" s="22"/>
      <c r="E25" s="22"/>
      <c r="F25" s="22"/>
      <c r="G25" s="22">
        <v>0</v>
      </c>
      <c r="H25" s="22">
        <v>0</v>
      </c>
      <c r="I25" s="22">
        <f>453.49+12.39+165.62</f>
        <v>631.5</v>
      </c>
      <c r="J25" s="1" t="e">
        <f t="shared" si="2"/>
        <v>#DIV/0!</v>
      </c>
    </row>
    <row r="26" spans="1:13" ht="15.5" x14ac:dyDescent="0.25">
      <c r="A26" s="21">
        <v>2235</v>
      </c>
      <c r="B26" s="66" t="s">
        <v>61</v>
      </c>
      <c r="C26" s="22"/>
      <c r="D26" s="22"/>
      <c r="E26" s="22"/>
      <c r="F26" s="22"/>
      <c r="G26" s="22">
        <v>0</v>
      </c>
      <c r="H26" s="22">
        <v>0</v>
      </c>
      <c r="I26" s="22">
        <f>102.36+49.83+1.92+56.91+19.73+1.41</f>
        <v>232.15999999999997</v>
      </c>
      <c r="J26" s="1" t="e">
        <f t="shared" si="2"/>
        <v>#DIV/0!</v>
      </c>
    </row>
    <row r="27" spans="1:13" ht="15.5" x14ac:dyDescent="0.35">
      <c r="A27" s="21">
        <v>2239</v>
      </c>
      <c r="B27" s="63" t="s">
        <v>62</v>
      </c>
      <c r="C27" s="22"/>
      <c r="D27" s="22"/>
      <c r="E27" s="22"/>
      <c r="F27" s="22"/>
      <c r="G27" s="22">
        <v>0</v>
      </c>
      <c r="H27" s="22">
        <v>0</v>
      </c>
      <c r="I27" s="22">
        <f>155.75+32.56+3.1+3.5+202.08+11.8+5.97</f>
        <v>414.76000000000005</v>
      </c>
      <c r="J27" s="1" t="e">
        <f t="shared" si="2"/>
        <v>#DIV/0!</v>
      </c>
    </row>
    <row r="28" spans="1:13" ht="15.5" x14ac:dyDescent="0.35">
      <c r="A28" s="52">
        <v>2241</v>
      </c>
      <c r="B28" s="63" t="s">
        <v>56</v>
      </c>
      <c r="C28" s="22">
        <v>10073.43</v>
      </c>
      <c r="D28" s="22">
        <v>474.43</v>
      </c>
      <c r="E28" s="22">
        <v>474.43</v>
      </c>
      <c r="F28" s="22">
        <v>1423.69</v>
      </c>
      <c r="G28" s="22">
        <v>1423.69</v>
      </c>
      <c r="H28" s="22">
        <f>1423.69-180</f>
        <v>1243.69</v>
      </c>
      <c r="I28" s="22">
        <f>810.81+214.74+5.33+1031.34+76.43+3.11+9.18</f>
        <v>2150.9399999999996</v>
      </c>
      <c r="J28" s="1">
        <f t="shared" si="2"/>
        <v>172.94824272929745</v>
      </c>
    </row>
    <row r="29" spans="1:13" ht="15" customHeight="1" x14ac:dyDescent="0.25">
      <c r="A29" s="52">
        <v>2242</v>
      </c>
      <c r="B29" s="29" t="s">
        <v>1</v>
      </c>
      <c r="C29" s="22">
        <v>1455.54</v>
      </c>
      <c r="D29" s="22">
        <v>485.18</v>
      </c>
      <c r="E29" s="22">
        <v>485.18</v>
      </c>
      <c r="F29" s="22">
        <v>1455.54</v>
      </c>
      <c r="G29" s="22">
        <v>1455.54</v>
      </c>
      <c r="H29" s="22">
        <v>1455.54</v>
      </c>
      <c r="I29" s="22">
        <f>200+40.75+69.68+6.43+25.65+130.15+27.23+0.83+50.6</f>
        <v>551.31999999999994</v>
      </c>
      <c r="J29" s="1">
        <f t="shared" si="2"/>
        <v>37.877351361006909</v>
      </c>
    </row>
    <row r="30" spans="1:13" ht="15" customHeight="1" x14ac:dyDescent="0.25">
      <c r="A30" s="52">
        <v>2243</v>
      </c>
      <c r="B30" s="29" t="s">
        <v>2</v>
      </c>
      <c r="C30" s="22">
        <v>16825.2</v>
      </c>
      <c r="D30" s="22">
        <v>1400</v>
      </c>
      <c r="E30" s="22">
        <v>1400</v>
      </c>
      <c r="F30" s="22">
        <v>4200</v>
      </c>
      <c r="G30" s="22">
        <v>4200</v>
      </c>
      <c r="H30" s="22">
        <f>4200-210</f>
        <v>3990</v>
      </c>
      <c r="I30" s="22">
        <f>268+2516.43+50.85+1545.22+271.5+55.07+103.29</f>
        <v>4810.3599999999997</v>
      </c>
      <c r="J30" s="1">
        <f t="shared" si="2"/>
        <v>120.56040100250627</v>
      </c>
    </row>
    <row r="31" spans="1:13" ht="15" customHeight="1" x14ac:dyDescent="0.35">
      <c r="A31" s="52">
        <v>2244</v>
      </c>
      <c r="B31" s="63" t="s">
        <v>57</v>
      </c>
      <c r="C31" s="22">
        <v>45480.3</v>
      </c>
      <c r="D31" s="22">
        <v>13032.02</v>
      </c>
      <c r="E31" s="22">
        <v>13032.02</v>
      </c>
      <c r="F31" s="22">
        <v>52779.68</v>
      </c>
      <c r="G31" s="22">
        <v>52779.68</v>
      </c>
      <c r="H31" s="22">
        <f>52779.68-1456</f>
        <v>51323.68</v>
      </c>
      <c r="I31" s="22">
        <f>22000+11322.26+4627.9+94.9+651.7+12310.89+1245.87+334.76+91.21</f>
        <v>52679.490000000005</v>
      </c>
      <c r="J31" s="1">
        <f t="shared" si="2"/>
        <v>102.64168508571483</v>
      </c>
    </row>
    <row r="32" spans="1:13" ht="15" customHeight="1" x14ac:dyDescent="0.25">
      <c r="A32" s="52">
        <v>2247</v>
      </c>
      <c r="B32" s="31" t="s">
        <v>39</v>
      </c>
      <c r="C32" s="22">
        <v>52.59</v>
      </c>
      <c r="D32" s="22">
        <v>17.53</v>
      </c>
      <c r="E32" s="22">
        <v>17.53</v>
      </c>
      <c r="F32" s="22">
        <v>52.59</v>
      </c>
      <c r="G32" s="22">
        <v>52.59</v>
      </c>
      <c r="H32" s="22">
        <v>52.59</v>
      </c>
      <c r="I32" s="22">
        <f>10.61+7.24+0.22+23.91+0.22</f>
        <v>42.2</v>
      </c>
      <c r="J32" s="1">
        <f t="shared" si="2"/>
        <v>80.24339227990113</v>
      </c>
    </row>
    <row r="33" spans="1:10" s="3" customFormat="1" ht="15.5" x14ac:dyDescent="0.25">
      <c r="A33" s="55">
        <v>2249</v>
      </c>
      <c r="B33" s="32" t="s">
        <v>3</v>
      </c>
      <c r="C33" s="22">
        <v>819.59</v>
      </c>
      <c r="D33" s="22">
        <v>546.39</v>
      </c>
      <c r="E33" s="22">
        <v>546.39</v>
      </c>
      <c r="F33" s="22">
        <v>1378.03</v>
      </c>
      <c r="G33" s="22">
        <v>1378.03</v>
      </c>
      <c r="H33" s="22">
        <v>1378.03</v>
      </c>
      <c r="I33" s="22">
        <f>17.8+5.63+3.56+45.63+1.93+0.15</f>
        <v>74.700000000000017</v>
      </c>
      <c r="J33" s="1">
        <f t="shared" si="2"/>
        <v>5.4207818407436719</v>
      </c>
    </row>
    <row r="34" spans="1:10" s="3" customFormat="1" ht="15.5" x14ac:dyDescent="0.35">
      <c r="A34" s="55">
        <v>2250</v>
      </c>
      <c r="B34" s="63" t="s">
        <v>58</v>
      </c>
      <c r="C34" s="22">
        <f>1347.54+149.4+22.35</f>
        <v>1519.29</v>
      </c>
      <c r="D34" s="22">
        <f>1449.18+9.96+7.45</f>
        <v>1466.5900000000001</v>
      </c>
      <c r="E34" s="22">
        <f>1449.18+9.96+7.45</f>
        <v>1466.5900000000001</v>
      </c>
      <c r="F34" s="22">
        <f>4347.54+29.88+22.35+45.36</f>
        <v>4445.13</v>
      </c>
      <c r="G34" s="22">
        <f>4347.54+29.88+22.35+45.36</f>
        <v>4445.13</v>
      </c>
      <c r="H34" s="22">
        <f>4347.54+29.88+22.35+45.36-110</f>
        <v>4335.13</v>
      </c>
      <c r="I34" s="22">
        <f>1819.18+886.81+23.21+2.75+1072.56+344.3+50.86+15.74</f>
        <v>4215.4099999999989</v>
      </c>
      <c r="J34" s="1">
        <f t="shared" si="2"/>
        <v>97.238375781118407</v>
      </c>
    </row>
    <row r="35" spans="1:10" s="3" customFormat="1" ht="15.5" hidden="1" x14ac:dyDescent="0.25">
      <c r="A35" s="55">
        <v>2261</v>
      </c>
      <c r="B35" s="32"/>
      <c r="C35" s="22">
        <v>45.36</v>
      </c>
      <c r="D35" s="22">
        <v>15.12</v>
      </c>
      <c r="E35" s="22">
        <v>15.12</v>
      </c>
      <c r="F35" s="22"/>
      <c r="G35" s="22"/>
      <c r="H35" s="22"/>
      <c r="I35" s="22"/>
      <c r="J35" s="1" t="e">
        <f t="shared" si="2"/>
        <v>#DIV/0!</v>
      </c>
    </row>
    <row r="36" spans="1:10" ht="15" customHeight="1" x14ac:dyDescent="0.25">
      <c r="A36" s="52">
        <v>2262</v>
      </c>
      <c r="B36" s="29" t="s">
        <v>4</v>
      </c>
      <c r="C36" s="22">
        <v>42.33</v>
      </c>
      <c r="D36" s="22">
        <v>14.11</v>
      </c>
      <c r="E36" s="22">
        <v>14.11</v>
      </c>
      <c r="F36" s="22">
        <v>70.55</v>
      </c>
      <c r="G36" s="22">
        <v>70.55</v>
      </c>
      <c r="H36" s="22">
        <v>70.55</v>
      </c>
      <c r="I36" s="22">
        <f>481.97+266.99+12.07+340.48+106.71+0.21+6.29-500</f>
        <v>714.72000000000025</v>
      </c>
      <c r="J36" s="1">
        <f t="shared" si="2"/>
        <v>1013.0687455705179</v>
      </c>
    </row>
    <row r="37" spans="1:10" ht="15" customHeight="1" x14ac:dyDescent="0.25">
      <c r="A37" s="52">
        <v>2263</v>
      </c>
      <c r="B37" s="29" t="s">
        <v>5</v>
      </c>
      <c r="C37" s="22">
        <v>1514.31</v>
      </c>
      <c r="D37" s="22">
        <v>1009.54</v>
      </c>
      <c r="E37" s="22">
        <v>1009.54</v>
      </c>
      <c r="F37" s="22">
        <v>3392.05</v>
      </c>
      <c r="G37" s="22">
        <v>3392.05</v>
      </c>
      <c r="H37" s="22">
        <f>3392.05-110</f>
        <v>3282.05</v>
      </c>
      <c r="I37" s="22">
        <f>1924.27+107.07+3.49+4486.56+25.85+12.83+1516.34-4000</f>
        <v>4076.4100000000008</v>
      </c>
      <c r="J37" s="1">
        <f t="shared" si="2"/>
        <v>124.20316570436162</v>
      </c>
    </row>
    <row r="38" spans="1:10" ht="15" customHeight="1" x14ac:dyDescent="0.25">
      <c r="A38" s="52">
        <v>2264</v>
      </c>
      <c r="B38" s="29" t="s">
        <v>6</v>
      </c>
      <c r="C38" s="22">
        <v>26.34</v>
      </c>
      <c r="D38" s="22">
        <v>8.7799999999999994</v>
      </c>
      <c r="E38" s="22">
        <v>8.7799999999999994</v>
      </c>
      <c r="F38" s="22">
        <v>26.34</v>
      </c>
      <c r="G38" s="22">
        <v>26.34</v>
      </c>
      <c r="H38" s="22">
        <v>26.34</v>
      </c>
      <c r="I38" s="22">
        <f>10.06+8.53+0.72+52.79+2.45+0.14</f>
        <v>74.69</v>
      </c>
      <c r="J38" s="1">
        <f t="shared" si="2"/>
        <v>283.56112376613515</v>
      </c>
    </row>
    <row r="39" spans="1:10" s="3" customFormat="1" ht="14.25" customHeight="1" x14ac:dyDescent="0.25">
      <c r="A39" s="55">
        <v>2279</v>
      </c>
      <c r="B39" s="32" t="s">
        <v>7</v>
      </c>
      <c r="C39" s="22">
        <v>2490.3200000000002</v>
      </c>
      <c r="D39" s="22">
        <v>311.29000000000002</v>
      </c>
      <c r="E39" s="22">
        <v>311.29000000000002</v>
      </c>
      <c r="F39" s="22">
        <v>933.87</v>
      </c>
      <c r="G39" s="22">
        <v>0</v>
      </c>
      <c r="H39" s="22">
        <v>0</v>
      </c>
      <c r="I39" s="22"/>
      <c r="J39" s="1" t="e">
        <f t="shared" si="2"/>
        <v>#DIV/0!</v>
      </c>
    </row>
    <row r="40" spans="1:10" ht="15" customHeight="1" x14ac:dyDescent="0.25">
      <c r="A40" s="52">
        <v>2311</v>
      </c>
      <c r="B40" s="29" t="s">
        <v>8</v>
      </c>
      <c r="C40" s="22">
        <v>1352.91</v>
      </c>
      <c r="D40" s="22">
        <v>450.97</v>
      </c>
      <c r="E40" s="22">
        <v>450.97</v>
      </c>
      <c r="F40" s="22">
        <v>1252.9100000000001</v>
      </c>
      <c r="G40" s="22">
        <v>1252.9100000000001</v>
      </c>
      <c r="H40" s="22">
        <f>1252.91-20</f>
        <v>1232.9100000000001</v>
      </c>
      <c r="I40" s="22">
        <f>5684.77+122.03+3.69+8+3058.09+44.82+13.73+13.64-7000</f>
        <v>1948.7699999999986</v>
      </c>
      <c r="J40" s="1">
        <f t="shared" si="2"/>
        <v>158.06263230892753</v>
      </c>
    </row>
    <row r="41" spans="1:10" ht="15" customHeight="1" x14ac:dyDescent="0.25">
      <c r="A41" s="52">
        <v>2312</v>
      </c>
      <c r="B41" s="29" t="s">
        <v>9</v>
      </c>
      <c r="C41" s="22">
        <v>25097.88</v>
      </c>
      <c r="D41" s="22">
        <v>97.88</v>
      </c>
      <c r="E41" s="22">
        <v>97.88</v>
      </c>
      <c r="F41" s="22">
        <v>293.64</v>
      </c>
      <c r="G41" s="22">
        <v>293.64</v>
      </c>
      <c r="H41" s="22">
        <f>293.64-127</f>
        <v>166.64</v>
      </c>
      <c r="I41" s="22">
        <f>2967.77+462.26+24.51+618.46+1914.6+324.69+83.06+64.56-4000</f>
        <v>2459.9100000000008</v>
      </c>
      <c r="J41" s="1">
        <f t="shared" si="2"/>
        <v>1476.1821891502645</v>
      </c>
    </row>
    <row r="42" spans="1:10" ht="15" customHeight="1" x14ac:dyDescent="0.35">
      <c r="A42" s="21">
        <v>2313</v>
      </c>
      <c r="B42" s="62" t="s">
        <v>65</v>
      </c>
      <c r="C42" s="22"/>
      <c r="D42" s="22"/>
      <c r="E42" s="22"/>
      <c r="F42" s="22"/>
      <c r="G42" s="22">
        <v>0</v>
      </c>
      <c r="H42" s="22">
        <v>0</v>
      </c>
      <c r="I42" s="22">
        <f>82.37+2.67+33.78</f>
        <v>118.82000000000001</v>
      </c>
      <c r="J42" s="1" t="e">
        <f t="shared" si="2"/>
        <v>#DIV/0!</v>
      </c>
    </row>
    <row r="43" spans="1:10" ht="15" customHeight="1" x14ac:dyDescent="0.3">
      <c r="A43" s="52">
        <v>2314</v>
      </c>
      <c r="B43" s="30" t="s">
        <v>37</v>
      </c>
      <c r="C43" s="22">
        <v>2094.6</v>
      </c>
      <c r="D43" s="22">
        <v>174.55</v>
      </c>
      <c r="E43" s="22">
        <v>174.55</v>
      </c>
      <c r="F43" s="22">
        <v>523.65</v>
      </c>
      <c r="G43" s="22">
        <v>523.65</v>
      </c>
      <c r="H43" s="22">
        <v>523.65</v>
      </c>
      <c r="I43" s="22">
        <f>28.3+21.54+1.82+76.55+7.83+0.26</f>
        <v>136.30000000000001</v>
      </c>
      <c r="J43" s="1">
        <f t="shared" si="2"/>
        <v>26.02883605461664</v>
      </c>
    </row>
    <row r="44" spans="1:10" ht="15" customHeight="1" x14ac:dyDescent="0.25">
      <c r="A44" s="52">
        <v>2321</v>
      </c>
      <c r="B44" s="29" t="s">
        <v>10</v>
      </c>
      <c r="C44" s="22">
        <v>33248.01</v>
      </c>
      <c r="D44" s="22">
        <v>14900.75</v>
      </c>
      <c r="E44" s="22">
        <v>14900.75</v>
      </c>
      <c r="F44" s="22">
        <v>44702.25</v>
      </c>
      <c r="G44" s="22">
        <f>44702.25-2100</f>
        <v>42602.25</v>
      </c>
      <c r="H44" s="22">
        <f>44702.25-2100-630</f>
        <v>41972.25</v>
      </c>
      <c r="I44" s="22">
        <f>15000+9834.04+3682.73+75.6+766.03+11650.29+927.72+274.24+96.71</f>
        <v>42307.360000000001</v>
      </c>
      <c r="J44" s="1">
        <f t="shared" si="2"/>
        <v>100.79840847226443</v>
      </c>
    </row>
    <row r="45" spans="1:10" ht="15" customHeight="1" x14ac:dyDescent="0.25">
      <c r="A45" s="52">
        <v>2322</v>
      </c>
      <c r="B45" s="29" t="s">
        <v>11</v>
      </c>
      <c r="C45" s="22">
        <v>385.05</v>
      </c>
      <c r="D45" s="22">
        <v>128.35</v>
      </c>
      <c r="E45" s="22">
        <v>128.35</v>
      </c>
      <c r="F45" s="22">
        <v>385.05</v>
      </c>
      <c r="G45" s="22">
        <v>385.05</v>
      </c>
      <c r="H45" s="22">
        <f>385.05-21</f>
        <v>364.05</v>
      </c>
      <c r="I45" s="22">
        <f>225.11+74.33+1.85+4.5+485.85+28.27+0.72+2616.59-2000</f>
        <v>1437.2200000000003</v>
      </c>
      <c r="J45" s="1">
        <f t="shared" si="2"/>
        <v>394.78643043537983</v>
      </c>
    </row>
    <row r="46" spans="1:10" ht="15" customHeight="1" x14ac:dyDescent="0.25">
      <c r="A46" s="52">
        <v>2341</v>
      </c>
      <c r="B46" s="29" t="s">
        <v>12</v>
      </c>
      <c r="C46" s="22">
        <v>3298.68</v>
      </c>
      <c r="D46" s="22">
        <v>822.42</v>
      </c>
      <c r="E46" s="22">
        <v>822.42</v>
      </c>
      <c r="F46" s="22">
        <v>2467.2600000000002</v>
      </c>
      <c r="G46" s="22">
        <v>2467.2600000000002</v>
      </c>
      <c r="H46" s="22">
        <f>2467.26-323</f>
        <v>2144.2600000000002</v>
      </c>
      <c r="I46" s="22">
        <f>1028.24+8622.67+95.43+4.14+3.6-6000</f>
        <v>3754.08</v>
      </c>
      <c r="J46" s="1">
        <f t="shared" si="2"/>
        <v>175.07578372025779</v>
      </c>
    </row>
    <row r="47" spans="1:10" ht="15.5" x14ac:dyDescent="0.25">
      <c r="A47" s="52">
        <v>2344</v>
      </c>
      <c r="B47" s="29" t="s">
        <v>13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1" t="e">
        <f t="shared" si="2"/>
        <v>#DIV/0!</v>
      </c>
    </row>
    <row r="48" spans="1:10" ht="15.5" x14ac:dyDescent="0.35">
      <c r="A48" s="52">
        <v>2350</v>
      </c>
      <c r="B48" s="64" t="s">
        <v>59</v>
      </c>
      <c r="C48" s="22">
        <v>4479.75</v>
      </c>
      <c r="D48" s="22">
        <v>2493.25</v>
      </c>
      <c r="E48" s="22">
        <v>2493.25</v>
      </c>
      <c r="F48" s="22">
        <v>7479.75</v>
      </c>
      <c r="G48" s="22">
        <v>7479.75</v>
      </c>
      <c r="H48" s="22">
        <f>7479.75-95</f>
        <v>7384.75</v>
      </c>
      <c r="I48" s="22">
        <f>1000+1968.16+2844.37+29.22+840.1+1605.47+422.64+3.2+261.08+29.22</f>
        <v>9003.4599999999991</v>
      </c>
      <c r="J48" s="1">
        <f t="shared" si="2"/>
        <v>121.91963167338093</v>
      </c>
    </row>
    <row r="49" spans="1:13" ht="15.5" x14ac:dyDescent="0.25">
      <c r="A49" s="52">
        <v>2361</v>
      </c>
      <c r="B49" s="29" t="s">
        <v>14</v>
      </c>
      <c r="C49" s="22">
        <v>751.32</v>
      </c>
      <c r="D49" s="22">
        <v>850.44</v>
      </c>
      <c r="E49" s="22">
        <v>850.44</v>
      </c>
      <c r="F49" s="22">
        <v>2551.3200000000002</v>
      </c>
      <c r="G49" s="22">
        <v>2551.3200000000002</v>
      </c>
      <c r="H49" s="22">
        <v>2551.3200000000002</v>
      </c>
      <c r="I49" s="22">
        <f>900+850.12+128.75+737.91</f>
        <v>2616.7799999999997</v>
      </c>
      <c r="J49" s="1">
        <f t="shared" si="2"/>
        <v>102.56573068058886</v>
      </c>
    </row>
    <row r="50" spans="1:13" ht="15.5" x14ac:dyDescent="0.25">
      <c r="A50" s="52">
        <v>2362</v>
      </c>
      <c r="B50" s="29" t="s">
        <v>15</v>
      </c>
      <c r="C50" s="22">
        <v>1869.33</v>
      </c>
      <c r="D50" s="22">
        <v>1223.1099999999999</v>
      </c>
      <c r="E50" s="22">
        <v>1223.1099999999999</v>
      </c>
      <c r="F50" s="22">
        <v>3669.33</v>
      </c>
      <c r="G50" s="22">
        <v>3669.33</v>
      </c>
      <c r="H50" s="22">
        <v>3669.33</v>
      </c>
      <c r="I50" s="22">
        <f>3000+72.31+56.57+98.38</f>
        <v>3227.26</v>
      </c>
      <c r="J50" s="1">
        <f t="shared" si="2"/>
        <v>87.952296468292573</v>
      </c>
    </row>
    <row r="51" spans="1:13" ht="15" customHeight="1" x14ac:dyDescent="0.25">
      <c r="A51" s="52">
        <v>2363</v>
      </c>
      <c r="B51" s="29" t="s">
        <v>16</v>
      </c>
      <c r="C51" s="22">
        <v>31611.360000000001</v>
      </c>
      <c r="D51" s="22">
        <v>15537.12</v>
      </c>
      <c r="E51" s="22">
        <v>15537.12</v>
      </c>
      <c r="F51" s="22">
        <v>52204.72</v>
      </c>
      <c r="G51" s="22">
        <v>52204.72</v>
      </c>
      <c r="H51" s="22">
        <f>52204.72-1692</f>
        <v>50512.72</v>
      </c>
      <c r="I51" s="22">
        <f>5000+16272.75+10662.3+21917.06</f>
        <v>53852.11</v>
      </c>
      <c r="J51" s="1">
        <f t="shared" si="2"/>
        <v>106.61098828176347</v>
      </c>
    </row>
    <row r="52" spans="1:13" ht="15" customHeight="1" x14ac:dyDescent="0.35">
      <c r="A52" s="21">
        <v>2369</v>
      </c>
      <c r="B52" s="62" t="s">
        <v>64</v>
      </c>
      <c r="C52" s="22"/>
      <c r="D52" s="22"/>
      <c r="E52" s="22"/>
      <c r="F52" s="22"/>
      <c r="G52" s="22">
        <v>0</v>
      </c>
      <c r="H52" s="22">
        <v>0</v>
      </c>
      <c r="I52" s="22">
        <f>1+41.7+1.19</f>
        <v>43.89</v>
      </c>
      <c r="J52" s="1" t="e">
        <f t="shared" si="2"/>
        <v>#DIV/0!</v>
      </c>
    </row>
    <row r="53" spans="1:13" ht="15" customHeight="1" x14ac:dyDescent="0.25">
      <c r="A53" s="52">
        <v>2370</v>
      </c>
      <c r="B53" s="29" t="s">
        <v>17</v>
      </c>
      <c r="C53" s="22">
        <v>295.98</v>
      </c>
      <c r="D53" s="22">
        <v>98.66</v>
      </c>
      <c r="E53" s="22">
        <v>98.66</v>
      </c>
      <c r="F53" s="22">
        <v>295.98</v>
      </c>
      <c r="G53" s="22">
        <v>295.98</v>
      </c>
      <c r="H53" s="22">
        <v>295.98</v>
      </c>
      <c r="I53" s="22">
        <f>22.59+47.06</f>
        <v>69.650000000000006</v>
      </c>
      <c r="J53" s="1">
        <f t="shared" si="2"/>
        <v>23.531995405094939</v>
      </c>
    </row>
    <row r="54" spans="1:13" ht="15" customHeight="1" x14ac:dyDescent="0.25">
      <c r="A54" s="52">
        <v>2400</v>
      </c>
      <c r="B54" s="29" t="s">
        <v>23</v>
      </c>
      <c r="C54" s="22">
        <v>369.6</v>
      </c>
      <c r="D54" s="22">
        <v>123.2</v>
      </c>
      <c r="E54" s="22">
        <v>123.2</v>
      </c>
      <c r="F54" s="22">
        <v>369.6</v>
      </c>
      <c r="G54" s="22">
        <f>369.6-50</f>
        <v>319.60000000000002</v>
      </c>
      <c r="H54" s="22">
        <f>369.6-50</f>
        <v>319.60000000000002</v>
      </c>
      <c r="I54" s="22">
        <f>100+12.06+0.53+5.07</f>
        <v>117.66</v>
      </c>
      <c r="J54" s="1">
        <f t="shared" si="2"/>
        <v>36.814768460575714</v>
      </c>
    </row>
    <row r="55" spans="1:13" ht="15" customHeight="1" x14ac:dyDescent="0.25">
      <c r="A55" s="52">
        <v>2512</v>
      </c>
      <c r="B55" s="29" t="s">
        <v>18</v>
      </c>
      <c r="C55" s="22">
        <v>8014.38</v>
      </c>
      <c r="D55" s="22">
        <v>4205.75</v>
      </c>
      <c r="E55" s="22">
        <v>4205.75</v>
      </c>
      <c r="F55" s="22">
        <v>12617.25</v>
      </c>
      <c r="G55" s="22">
        <f>12617.25-1200</f>
        <v>11417.25</v>
      </c>
      <c r="H55" s="22">
        <f>12617.25-1200</f>
        <v>11417.25</v>
      </c>
      <c r="I55" s="22">
        <v>8500</v>
      </c>
      <c r="J55" s="1">
        <f t="shared" si="2"/>
        <v>74.448750793755053</v>
      </c>
    </row>
    <row r="56" spans="1:13" ht="15" customHeight="1" x14ac:dyDescent="0.25">
      <c r="A56" s="52">
        <v>2513</v>
      </c>
      <c r="B56" s="29" t="s">
        <v>19</v>
      </c>
      <c r="C56" s="22">
        <v>849.3</v>
      </c>
      <c r="D56" s="22">
        <v>283.10000000000002</v>
      </c>
      <c r="E56" s="22">
        <v>283.10000000000002</v>
      </c>
      <c r="F56" s="22">
        <v>849.3</v>
      </c>
      <c r="G56" s="22">
        <v>849.3</v>
      </c>
      <c r="H56" s="22">
        <v>849.3</v>
      </c>
      <c r="I56" s="22">
        <f>76.1+157.87+4.41+1001.73+64.25+8.18+0.35-400</f>
        <v>912.8900000000001</v>
      </c>
      <c r="J56" s="1">
        <f t="shared" si="2"/>
        <v>107.48734251736727</v>
      </c>
    </row>
    <row r="57" spans="1:13" ht="15" customHeight="1" x14ac:dyDescent="0.25">
      <c r="A57" s="52">
        <v>2515</v>
      </c>
      <c r="B57" s="29" t="s">
        <v>38</v>
      </c>
      <c r="C57" s="22">
        <v>174.75</v>
      </c>
      <c r="D57" s="22">
        <v>58.25</v>
      </c>
      <c r="E57" s="22">
        <v>58.25</v>
      </c>
      <c r="F57" s="22">
        <v>174.75</v>
      </c>
      <c r="G57" s="22">
        <v>174.75</v>
      </c>
      <c r="H57" s="22">
        <v>174.75</v>
      </c>
      <c r="I57" s="22">
        <f>112.71+181.82+5.93+65.54+73.25+0.41+48.45-300</f>
        <v>188.11</v>
      </c>
      <c r="J57" s="1">
        <f t="shared" si="2"/>
        <v>107.64520743919886</v>
      </c>
    </row>
    <row r="58" spans="1:13" ht="16.5" customHeight="1" x14ac:dyDescent="0.25">
      <c r="A58" s="52">
        <v>2519</v>
      </c>
      <c r="B58" s="29" t="s">
        <v>20</v>
      </c>
      <c r="C58" s="33">
        <v>346.23</v>
      </c>
      <c r="D58" s="33">
        <v>115.41</v>
      </c>
      <c r="E58" s="33">
        <v>115.41</v>
      </c>
      <c r="F58" s="22">
        <v>346.23</v>
      </c>
      <c r="G58" s="22">
        <v>346.23</v>
      </c>
      <c r="H58" s="22">
        <v>346.23</v>
      </c>
      <c r="I58" s="22">
        <f>74.53+19.87+0.7+737.12+7.27+0.84-200</f>
        <v>640.33000000000004</v>
      </c>
      <c r="J58" s="1">
        <f t="shared" si="2"/>
        <v>184.94353464460039</v>
      </c>
    </row>
    <row r="59" spans="1:13" ht="16.5" hidden="1" customHeight="1" x14ac:dyDescent="0.25">
      <c r="A59" s="52">
        <v>6000</v>
      </c>
      <c r="B59" s="29"/>
      <c r="C59" s="27">
        <v>8368.7999999999993</v>
      </c>
      <c r="D59" s="27">
        <v>8368.7999999999993</v>
      </c>
      <c r="E59" s="27">
        <v>8368.7999999999993</v>
      </c>
      <c r="F59" s="27">
        <v>8368.7999999999993</v>
      </c>
      <c r="G59" s="22">
        <v>0</v>
      </c>
      <c r="H59" s="22">
        <v>0</v>
      </c>
      <c r="I59" s="22"/>
    </row>
    <row r="60" spans="1:13" ht="16.5" hidden="1" customHeight="1" x14ac:dyDescent="0.25">
      <c r="A60" s="52">
        <v>6290</v>
      </c>
      <c r="B60" s="29"/>
      <c r="C60" s="33">
        <v>8368.7999999999993</v>
      </c>
      <c r="D60" s="33">
        <v>8368.7999999999993</v>
      </c>
      <c r="E60" s="33">
        <v>8368.7999999999993</v>
      </c>
      <c r="F60" s="33">
        <v>8368.7999999999993</v>
      </c>
      <c r="G60" s="22">
        <v>0</v>
      </c>
      <c r="H60" s="22">
        <v>0</v>
      </c>
      <c r="I60" s="22"/>
    </row>
    <row r="61" spans="1:13" ht="15" x14ac:dyDescent="0.25">
      <c r="A61" s="51">
        <v>5000</v>
      </c>
      <c r="B61" s="34" t="s">
        <v>31</v>
      </c>
      <c r="C61" s="20">
        <v>47697.13</v>
      </c>
      <c r="D61" s="20">
        <v>47697.13</v>
      </c>
      <c r="E61" s="20">
        <v>47697.13</v>
      </c>
      <c r="F61" s="20">
        <f>47697.13+100000</f>
        <v>147697.13</v>
      </c>
      <c r="G61" s="20">
        <f>47697.13+100000-5489.79</f>
        <v>142207.34</v>
      </c>
      <c r="H61" s="20">
        <f>47697.13+100000-5489.79-690</f>
        <v>141517.34</v>
      </c>
      <c r="I61" s="20">
        <f>74000+403.32+86.18+4556.9+615.59+1832.57+76.04+853.32+719.25+14.9+4.11+28.52+132.57+198.33+365.49+253.65+2706.42+955.55+29.7+447.5+254.35+135.61+5.87+191.91+0.98+5.4+8.2+671.85</f>
        <v>89554.08</v>
      </c>
      <c r="J61" s="1">
        <f>I61/H61*100</f>
        <v>63.281347713290828</v>
      </c>
      <c r="L61" s="1">
        <f>H61/H11*100</f>
        <v>24.190998290598291</v>
      </c>
      <c r="M61" s="1">
        <f>I61/I11*100</f>
        <v>15.308389811705537</v>
      </c>
    </row>
    <row r="62" spans="1:13" ht="13.5" customHeight="1" x14ac:dyDescent="0.35">
      <c r="A62" s="56"/>
      <c r="B62" s="57"/>
      <c r="C62" s="40"/>
      <c r="D62" s="41"/>
      <c r="E62" s="41"/>
      <c r="F62" s="3"/>
      <c r="G62" s="3"/>
      <c r="H62" s="3"/>
      <c r="I62" s="41"/>
    </row>
    <row r="63" spans="1:13" ht="15.5" x14ac:dyDescent="0.35">
      <c r="A63" s="42" t="s">
        <v>33</v>
      </c>
      <c r="B63" s="42"/>
      <c r="C63" s="37"/>
      <c r="D63" s="42"/>
      <c r="E63" s="42"/>
      <c r="F63" s="4"/>
      <c r="G63" s="42" t="s">
        <v>44</v>
      </c>
      <c r="H63" s="4"/>
      <c r="I63" s="67"/>
    </row>
    <row r="64" spans="1:13" ht="15.5" x14ac:dyDescent="0.35">
      <c r="A64" s="4"/>
      <c r="B64" s="4"/>
      <c r="C64" s="37"/>
      <c r="D64" s="42"/>
      <c r="E64" s="42"/>
      <c r="F64" s="4"/>
      <c r="G64" s="4"/>
      <c r="H64" s="4"/>
      <c r="I64" s="67"/>
    </row>
    <row r="65" spans="1:9" ht="15.5" x14ac:dyDescent="0.35">
      <c r="A65" s="4"/>
      <c r="B65" s="4"/>
      <c r="C65" s="37"/>
      <c r="D65" s="42"/>
      <c r="E65" s="42"/>
      <c r="F65" s="4"/>
      <c r="G65" s="4"/>
      <c r="H65" s="4"/>
      <c r="I65" s="67"/>
    </row>
    <row r="66" spans="1:9" ht="9.75" customHeight="1" x14ac:dyDescent="0.3">
      <c r="A66" s="5"/>
      <c r="B66" s="6"/>
      <c r="C66" s="43"/>
      <c r="I66" s="41"/>
    </row>
    <row r="67" spans="1:9" ht="14" x14ac:dyDescent="0.3">
      <c r="A67" s="58" t="s">
        <v>51</v>
      </c>
      <c r="B67" s="59"/>
      <c r="C67" s="43"/>
      <c r="I67" s="41"/>
    </row>
    <row r="68" spans="1:9" ht="13" x14ac:dyDescent="0.3">
      <c r="A68" s="60" t="s">
        <v>34</v>
      </c>
      <c r="B68" s="59"/>
      <c r="C68" s="43"/>
      <c r="I68" s="41"/>
    </row>
    <row r="69" spans="1:9" ht="14" x14ac:dyDescent="0.3">
      <c r="A69" s="58"/>
      <c r="B69" s="59"/>
      <c r="C69" s="43"/>
      <c r="I69" s="68"/>
    </row>
    <row r="71" spans="1:9" x14ac:dyDescent="0.25">
      <c r="C71" s="38"/>
    </row>
    <row r="72" spans="1:9" x14ac:dyDescent="0.25">
      <c r="C72" s="38"/>
    </row>
    <row r="73" spans="1:9" ht="20.5" x14ac:dyDescent="0.45">
      <c r="A73" s="70"/>
      <c r="B73" s="70"/>
      <c r="C73" s="44"/>
      <c r="D73" s="45"/>
      <c r="E73" s="45"/>
      <c r="F73" s="8"/>
      <c r="G73" s="8"/>
      <c r="H73" s="8"/>
      <c r="I73" s="45"/>
    </row>
    <row r="74" spans="1:9" ht="14" x14ac:dyDescent="0.3">
      <c r="A74" s="9"/>
      <c r="B74" s="9"/>
      <c r="C74" s="43"/>
      <c r="D74" s="46"/>
      <c r="E74" s="46"/>
      <c r="F74" s="10"/>
      <c r="G74" s="10"/>
      <c r="H74" s="10"/>
      <c r="I74" s="46"/>
    </row>
    <row r="75" spans="1:9" ht="14" x14ac:dyDescent="0.3">
      <c r="A75" s="9"/>
      <c r="B75" s="9"/>
      <c r="C75" s="43"/>
      <c r="D75" s="46"/>
      <c r="E75" s="46"/>
      <c r="F75" s="10"/>
      <c r="G75" s="10"/>
      <c r="H75" s="10"/>
      <c r="I75" s="46"/>
    </row>
    <row r="76" spans="1:9" ht="14" x14ac:dyDescent="0.3">
      <c r="A76" s="71"/>
      <c r="B76" s="71"/>
      <c r="C76" s="43"/>
      <c r="D76" s="46"/>
      <c r="E76" s="46"/>
      <c r="F76" s="10"/>
      <c r="G76" s="10"/>
      <c r="H76" s="10"/>
      <c r="I76" s="46"/>
    </row>
    <row r="77" spans="1:9" ht="14" x14ac:dyDescent="0.3">
      <c r="A77" s="9"/>
      <c r="B77" s="9"/>
      <c r="C77" s="43"/>
      <c r="D77" s="46"/>
      <c r="E77" s="46"/>
      <c r="F77" s="10"/>
      <c r="G77" s="10"/>
      <c r="H77" s="10"/>
      <c r="I77" s="46"/>
    </row>
    <row r="78" spans="1:9" ht="14" x14ac:dyDescent="0.3">
      <c r="A78" s="69"/>
      <c r="B78" s="69"/>
      <c r="C78" s="47"/>
      <c r="D78" s="46"/>
      <c r="E78" s="46"/>
      <c r="F78" s="10"/>
      <c r="G78" s="10"/>
      <c r="H78" s="10"/>
      <c r="I78" s="46"/>
    </row>
    <row r="79" spans="1:9" ht="14" x14ac:dyDescent="0.3">
      <c r="A79" s="12"/>
      <c r="B79" s="11"/>
      <c r="C79" s="43"/>
      <c r="D79" s="46"/>
      <c r="E79" s="46"/>
      <c r="F79" s="10"/>
      <c r="G79" s="10"/>
      <c r="H79" s="10"/>
      <c r="I79" s="46"/>
    </row>
    <row r="80" spans="1:9" ht="14" x14ac:dyDescent="0.3">
      <c r="A80" s="71"/>
      <c r="B80" s="71"/>
      <c r="C80" s="43"/>
      <c r="D80" s="46"/>
      <c r="E80" s="46"/>
      <c r="F80" s="10"/>
      <c r="G80" s="10"/>
      <c r="H80" s="10"/>
      <c r="I80" s="46"/>
    </row>
  </sheetData>
  <mergeCells count="11">
    <mergeCell ref="A7:I7"/>
    <mergeCell ref="A78:B78"/>
    <mergeCell ref="A73:B73"/>
    <mergeCell ref="A76:B76"/>
    <mergeCell ref="B8:C8"/>
    <mergeCell ref="A80:B80"/>
    <mergeCell ref="B2:I2"/>
    <mergeCell ref="B4:I4"/>
    <mergeCell ref="A5:I5"/>
    <mergeCell ref="A3:I3"/>
    <mergeCell ref="A6:B6"/>
  </mergeCells>
  <phoneticPr fontId="1" type="noConversion"/>
  <hyperlinks>
    <hyperlink ref="A68" r:id="rId1"/>
  </hyperlinks>
  <pageMargins left="0.70866141732283472" right="0.39370078740157483" top="0" bottom="0.78740157480314965" header="0.51181102362204722" footer="0.51181102362204722"/>
  <pageSetup paperSize="9" scale="57" fitToHeight="0" orientation="portrait" r:id="rId2"/>
  <headerFooter differentFirst="1" alignWithMargins="0">
    <oddHeader>&amp;C&amp;P</oddHeader>
    <oddFooter>&amp;C&amp;"Times New Roman,Regular"&amp;11&amp;F; „Noteikumi par Sociālās integrācijas valsts aģentūras sniegto publisko maksas pakalpojumu cenrādi”</oddFooter>
    <firstFooter>&amp;C&amp;"Times New Roman,Regular"&amp;11&amp;F;  Grozījumi Ministru kabineta 2013.gada 24.septembra noteikumos Nr.1002 „Sociālās integrācijas valsts aģentūras sniegto maksas pakalpojumu cenrādis”</first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Tāme</vt:lpstr>
      <vt:lpstr>Tāme!Print_Titles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Sociālās integrācijas valsts aģentūras sniegto publisko maksas pakalpojumu cenrādis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2023-03-28T06:37:24Z</cp:lastPrinted>
  <dcterms:created xsi:type="dcterms:W3CDTF">2008-09-26T08:09:16Z</dcterms:created>
  <dcterms:modified xsi:type="dcterms:W3CDTF">2023-06-19T08:45:05Z</dcterms:modified>
</cp:coreProperties>
</file>