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F610B3FB-E308-4B01-98F3-E356EE5206D2}" xr6:coauthVersionLast="36" xr6:coauthVersionMax="36" xr10:uidLastSave="{00000000-0000-0000-0000-000000000000}"/>
  <bookViews>
    <workbookView xWindow="32770" yWindow="32770" windowWidth="19200" windowHeight="6350"/>
  </bookViews>
  <sheets>
    <sheet name="Saturs" sheetId="22" r:id="rId1"/>
    <sheet name="4.1.1." sheetId="24" r:id="rId2"/>
    <sheet name="4.1.2." sheetId="23" r:id="rId3"/>
    <sheet name="4.2.1." sheetId="26" r:id="rId4"/>
    <sheet name="4.2.2." sheetId="25" r:id="rId5"/>
    <sheet name="4.2.3." sheetId="33" r:id="rId6"/>
    <sheet name="4.2.4." sheetId="34" r:id="rId7"/>
    <sheet name="4.2.5." sheetId="35" r:id="rId8"/>
    <sheet name="7.3.1." sheetId="28" state="hidden" r:id="rId9"/>
    <sheet name="7.3.2." sheetId="27" state="hidden" r:id="rId10"/>
    <sheet name="7.4.1." sheetId="30" state="hidden" r:id="rId11"/>
    <sheet name="7.4.2." sheetId="29" state="hidden" r:id="rId12"/>
    <sheet name="7.4.3." sheetId="36" state="hidden" r:id="rId13"/>
    <sheet name="4.3.1." sheetId="32" r:id="rId14"/>
    <sheet name="4.3.2." sheetId="31" r:id="rId15"/>
    <sheet name="7.5.3." sheetId="38" state="hidden" r:id="rId16"/>
    <sheet name="7.5.4." sheetId="39" state="hidden" r:id="rId17"/>
    <sheet name="4.3.3." sheetId="37" r:id="rId18"/>
    <sheet name="7.5.7." sheetId="41" state="hidden" r:id="rId19"/>
    <sheet name="7.5.8." sheetId="42" state="hidden" r:id="rId20"/>
    <sheet name="4.3.4." sheetId="40" r:id="rId21"/>
    <sheet name="4.4.1." sheetId="43" r:id="rId22"/>
    <sheet name="4.4.2." sheetId="53" r:id="rId23"/>
    <sheet name="4.5.1." sheetId="44" r:id="rId24"/>
    <sheet name="4.5.2." sheetId="54" r:id="rId25"/>
    <sheet name="4.6.1." sheetId="45" r:id="rId26"/>
    <sheet name="4.6.2." sheetId="55" r:id="rId27"/>
    <sheet name="4.7." sheetId="46" r:id="rId28"/>
    <sheet name="4.8." sheetId="47" r:id="rId29"/>
    <sheet name="4.9." sheetId="51" r:id="rId30"/>
    <sheet name="4.10." sheetId="48" r:id="rId31"/>
    <sheet name="4.11." sheetId="49" r:id="rId32"/>
    <sheet name="4.12." sheetId="52" r:id="rId33"/>
    <sheet name="4.13." sheetId="50" r:id="rId34"/>
  </sheets>
  <externalReferences>
    <externalReference r:id="rId35"/>
  </externalReferences>
  <calcPr calcId="191029"/>
</workbook>
</file>

<file path=xl/calcChain.xml><?xml version="1.0" encoding="utf-8"?>
<calcChain xmlns="http://schemas.openxmlformats.org/spreadsheetml/2006/main">
  <c r="D56" i="51" l="1"/>
  <c r="C54" i="47"/>
  <c r="D54" i="47"/>
  <c r="D37" i="51"/>
  <c r="C35" i="47"/>
  <c r="D35" i="47"/>
  <c r="D52" i="51"/>
  <c r="C50" i="47"/>
  <c r="D50" i="47"/>
  <c r="D57" i="51"/>
  <c r="C55" i="47"/>
  <c r="D55" i="47"/>
  <c r="D39" i="51"/>
  <c r="C37" i="47"/>
  <c r="D37" i="47"/>
  <c r="D45" i="51"/>
  <c r="C43" i="47"/>
  <c r="D43" i="47"/>
  <c r="D43" i="51"/>
  <c r="C41" i="47"/>
  <c r="D41" i="47"/>
  <c r="D49" i="51"/>
  <c r="C47" i="47"/>
  <c r="D47" i="47"/>
  <c r="D40" i="51"/>
  <c r="D38" i="51"/>
  <c r="C36" i="47"/>
  <c r="E36" i="46"/>
  <c r="E37" i="46"/>
  <c r="E38" i="46"/>
  <c r="E39" i="46"/>
  <c r="E40" i="46"/>
  <c r="E41" i="46"/>
  <c r="E42" i="46"/>
  <c r="E44" i="46"/>
  <c r="E45" i="46"/>
  <c r="E46" i="46"/>
  <c r="E47" i="46"/>
  <c r="E48" i="46"/>
  <c r="E49" i="46"/>
  <c r="E50" i="46"/>
  <c r="E51" i="46"/>
  <c r="E52" i="46"/>
  <c r="E53" i="46"/>
  <c r="E54" i="46"/>
  <c r="E55" i="46"/>
  <c r="E56" i="46"/>
  <c r="E57" i="46"/>
  <c r="E35" i="46"/>
  <c r="E19" i="46"/>
  <c r="E20" i="46"/>
  <c r="E22" i="46"/>
  <c r="E23" i="46"/>
  <c r="E24" i="46"/>
  <c r="E26" i="46"/>
  <c r="E27" i="46"/>
  <c r="E28" i="46"/>
  <c r="E29" i="46"/>
  <c r="E30" i="46"/>
  <c r="E31" i="46"/>
  <c r="E32" i="46"/>
  <c r="E18" i="46"/>
  <c r="E37" i="45"/>
  <c r="E38" i="45"/>
  <c r="E39" i="45"/>
  <c r="E40" i="45"/>
  <c r="E41" i="45"/>
  <c r="E42" i="45"/>
  <c r="E43" i="45"/>
  <c r="E45" i="45"/>
  <c r="E46" i="45"/>
  <c r="E47" i="45"/>
  <c r="E48" i="45"/>
  <c r="E49" i="45"/>
  <c r="E50" i="45"/>
  <c r="E51" i="45"/>
  <c r="E52" i="45"/>
  <c r="E53" i="45"/>
  <c r="E54" i="45"/>
  <c r="E55" i="45"/>
  <c r="E56" i="45"/>
  <c r="E57" i="45"/>
  <c r="E58" i="45"/>
  <c r="E36" i="45"/>
  <c r="E20" i="45"/>
  <c r="E21" i="45"/>
  <c r="E22" i="45"/>
  <c r="E23" i="45"/>
  <c r="E24" i="45"/>
  <c r="E25" i="45"/>
  <c r="E27" i="45"/>
  <c r="E28" i="45"/>
  <c r="E29" i="45"/>
  <c r="E30" i="45"/>
  <c r="E31" i="45"/>
  <c r="E32" i="45"/>
  <c r="E33" i="45"/>
  <c r="E19" i="45"/>
  <c r="E36" i="44"/>
  <c r="E37" i="44"/>
  <c r="E38" i="44"/>
  <c r="E39" i="44"/>
  <c r="E40" i="44"/>
  <c r="E41" i="44"/>
  <c r="E43" i="44"/>
  <c r="E44" i="44"/>
  <c r="E45" i="44"/>
  <c r="E46" i="44"/>
  <c r="E47" i="44"/>
  <c r="E48" i="44"/>
  <c r="E49" i="44"/>
  <c r="E50" i="44"/>
  <c r="E51" i="44"/>
  <c r="E52" i="44"/>
  <c r="E53" i="44"/>
  <c r="E54" i="44"/>
  <c r="E55" i="44"/>
  <c r="E56" i="44"/>
  <c r="E35" i="44"/>
  <c r="E20" i="44"/>
  <c r="E21" i="44"/>
  <c r="E22" i="44"/>
  <c r="E23" i="44"/>
  <c r="E24" i="44"/>
  <c r="E26" i="44"/>
  <c r="E27" i="44"/>
  <c r="E28" i="44"/>
  <c r="E29" i="44"/>
  <c r="E30" i="44"/>
  <c r="E31" i="44"/>
  <c r="E32" i="44"/>
  <c r="E19" i="44"/>
  <c r="F38" i="43"/>
  <c r="F39" i="43"/>
  <c r="F40" i="43"/>
  <c r="F41" i="43"/>
  <c r="F43" i="43"/>
  <c r="F48" i="43"/>
  <c r="F49" i="43"/>
  <c r="F50" i="43"/>
  <c r="F51" i="43"/>
  <c r="F52" i="43"/>
  <c r="F54" i="43"/>
  <c r="F55" i="43"/>
  <c r="F56" i="43"/>
  <c r="F57" i="43"/>
  <c r="F58" i="43"/>
  <c r="F37" i="43"/>
  <c r="F20" i="43"/>
  <c r="F21" i="43"/>
  <c r="F22" i="43"/>
  <c r="F23" i="43"/>
  <c r="F24" i="43"/>
  <c r="F26" i="43"/>
  <c r="F28" i="43"/>
  <c r="F29" i="43"/>
  <c r="F30" i="43"/>
  <c r="F31" i="43"/>
  <c r="F32" i="43"/>
  <c r="F33" i="43"/>
  <c r="F34" i="43"/>
  <c r="F19" i="43"/>
  <c r="F36" i="25"/>
  <c r="F37" i="25"/>
  <c r="F38" i="25"/>
  <c r="F39" i="25"/>
  <c r="F40" i="25"/>
  <c r="F41" i="25"/>
  <c r="F42" i="25"/>
  <c r="F43" i="25"/>
  <c r="F44" i="25"/>
  <c r="F46" i="25"/>
  <c r="F47" i="25"/>
  <c r="F48" i="25"/>
  <c r="F49" i="25"/>
  <c r="F50" i="25"/>
  <c r="F51" i="25"/>
  <c r="F53" i="25"/>
  <c r="F54" i="25"/>
  <c r="F55" i="25"/>
  <c r="F56" i="25"/>
  <c r="F57" i="25"/>
  <c r="F58" i="25"/>
  <c r="F59" i="25"/>
  <c r="F60" i="25"/>
  <c r="F62" i="25"/>
  <c r="F64" i="25"/>
  <c r="F65" i="25"/>
  <c r="F66" i="25"/>
  <c r="F67" i="25"/>
  <c r="F68" i="25"/>
  <c r="F69" i="25"/>
  <c r="F70" i="25"/>
  <c r="F35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2" i="25"/>
  <c r="F18" i="25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3" i="26"/>
  <c r="F54" i="26"/>
  <c r="F55" i="26"/>
  <c r="F56" i="26"/>
  <c r="F57" i="26"/>
  <c r="F58" i="26"/>
  <c r="F59" i="26"/>
  <c r="F60" i="26"/>
  <c r="F62" i="26"/>
  <c r="F64" i="26"/>
  <c r="F65" i="26"/>
  <c r="F66" i="26"/>
  <c r="F67" i="26"/>
  <c r="F68" i="26"/>
  <c r="F69" i="26"/>
  <c r="F70" i="26"/>
  <c r="F35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18" i="26"/>
  <c r="F33" i="26"/>
  <c r="E44" i="52"/>
  <c r="E59" i="52"/>
  <c r="E51" i="52"/>
  <c r="E60" i="52"/>
  <c r="E62" i="52"/>
  <c r="E30" i="52"/>
  <c r="C43" i="50"/>
  <c r="C42" i="50"/>
  <c r="C60" i="50"/>
  <c r="C61" i="50"/>
  <c r="C64" i="50"/>
  <c r="C30" i="50"/>
  <c r="C42" i="49"/>
  <c r="C42" i="48"/>
  <c r="C37" i="49"/>
  <c r="C36" i="49"/>
  <c r="C44" i="49"/>
  <c r="C39" i="49"/>
  <c r="C32" i="49"/>
  <c r="C40" i="48"/>
  <c r="C48" i="48"/>
  <c r="C38" i="48"/>
  <c r="C33" i="48"/>
  <c r="C59" i="48"/>
  <c r="C62" i="48"/>
  <c r="D44" i="51"/>
  <c r="C42" i="47"/>
  <c r="D42" i="47"/>
  <c r="E42" i="47"/>
  <c r="E37" i="47"/>
  <c r="E32" i="47"/>
  <c r="D43" i="46"/>
  <c r="E43" i="46"/>
  <c r="E58" i="46"/>
  <c r="C50" i="55"/>
  <c r="C45" i="55"/>
  <c r="C60" i="55"/>
  <c r="C61" i="55"/>
  <c r="C64" i="55"/>
  <c r="C35" i="55"/>
  <c r="C43" i="54"/>
  <c r="D44" i="45"/>
  <c r="E44" i="45"/>
  <c r="E59" i="45"/>
  <c r="D42" i="44"/>
  <c r="D57" i="44"/>
  <c r="D43" i="53"/>
  <c r="D57" i="53"/>
  <c r="D58" i="53"/>
  <c r="D61" i="53"/>
  <c r="D33" i="53"/>
  <c r="E45" i="43"/>
  <c r="F45" i="43"/>
  <c r="E31" i="31"/>
  <c r="E45" i="25"/>
  <c r="F45" i="25"/>
  <c r="E45" i="26"/>
  <c r="E33" i="26"/>
  <c r="D59" i="52"/>
  <c r="D58" i="52"/>
  <c r="D50" i="52"/>
  <c r="D47" i="52"/>
  <c r="D40" i="52"/>
  <c r="D39" i="52"/>
  <c r="D38" i="52"/>
  <c r="D35" i="52"/>
  <c r="C31" i="52"/>
  <c r="C29" i="52"/>
  <c r="C28" i="52"/>
  <c r="C27" i="52"/>
  <c r="C26" i="52"/>
  <c r="C25" i="52"/>
  <c r="C24" i="52"/>
  <c r="C22" i="52"/>
  <c r="C23" i="52"/>
  <c r="C21" i="52"/>
  <c r="C20" i="52"/>
  <c r="C18" i="52"/>
  <c r="C32" i="52"/>
  <c r="C19" i="52"/>
  <c r="C32" i="40"/>
  <c r="C30" i="40"/>
  <c r="C29" i="40"/>
  <c r="C28" i="40"/>
  <c r="C27" i="40"/>
  <c r="C26" i="40"/>
  <c r="C25" i="40"/>
  <c r="C24" i="40"/>
  <c r="C23" i="40"/>
  <c r="C22" i="40"/>
  <c r="C21" i="40"/>
  <c r="C20" i="40"/>
  <c r="C18" i="40"/>
  <c r="C19" i="40"/>
  <c r="C33" i="40"/>
  <c r="E52" i="37"/>
  <c r="E61" i="37"/>
  <c r="E63" i="37"/>
  <c r="C32" i="37"/>
  <c r="C30" i="37"/>
  <c r="C29" i="37"/>
  <c r="C28" i="37"/>
  <c r="C27" i="37"/>
  <c r="C26" i="37"/>
  <c r="C25" i="37"/>
  <c r="C24" i="37"/>
  <c r="C23" i="37"/>
  <c r="C22" i="37"/>
  <c r="C21" i="37"/>
  <c r="C20" i="37"/>
  <c r="C18" i="37"/>
  <c r="E52" i="31"/>
  <c r="E61" i="31"/>
  <c r="E63" i="31"/>
  <c r="C32" i="31"/>
  <c r="E70" i="52"/>
  <c r="E71" i="40"/>
  <c r="E72" i="40"/>
  <c r="E75" i="40"/>
  <c r="E52" i="32"/>
  <c r="E61" i="32"/>
  <c r="E63" i="32"/>
  <c r="E71" i="35"/>
  <c r="E28" i="35"/>
  <c r="C32" i="35"/>
  <c r="C30" i="35"/>
  <c r="C29" i="35"/>
  <c r="C27" i="35"/>
  <c r="C26" i="35"/>
  <c r="C25" i="35"/>
  <c r="C24" i="35"/>
  <c r="C23" i="35"/>
  <c r="C22" i="35"/>
  <c r="C20" i="35"/>
  <c r="C21" i="35"/>
  <c r="C18" i="35"/>
  <c r="C19" i="35"/>
  <c r="E30" i="34"/>
  <c r="D28" i="34"/>
  <c r="D24" i="34"/>
  <c r="D23" i="34"/>
  <c r="D20" i="34"/>
  <c r="D19" i="34"/>
  <c r="D17" i="34"/>
  <c r="D18" i="34"/>
  <c r="E52" i="33"/>
  <c r="E61" i="33"/>
  <c r="E63" i="33"/>
  <c r="E31" i="33"/>
  <c r="D32" i="33"/>
  <c r="D30" i="33"/>
  <c r="D29" i="33"/>
  <c r="D28" i="33"/>
  <c r="D27" i="33"/>
  <c r="D26" i="33"/>
  <c r="D25" i="33"/>
  <c r="D24" i="33"/>
  <c r="D23" i="33"/>
  <c r="D22" i="33"/>
  <c r="D21" i="33"/>
  <c r="D20" i="33"/>
  <c r="D18" i="33"/>
  <c r="D19" i="33"/>
  <c r="E52" i="25"/>
  <c r="F52" i="25"/>
  <c r="E61" i="25"/>
  <c r="F61" i="25"/>
  <c r="E63" i="25"/>
  <c r="F63" i="25"/>
  <c r="E31" i="25"/>
  <c r="F31" i="25"/>
  <c r="D29" i="25"/>
  <c r="D25" i="25"/>
  <c r="D24" i="25"/>
  <c r="D21" i="25"/>
  <c r="D20" i="25"/>
  <c r="D18" i="25"/>
  <c r="D19" i="25"/>
  <c r="D33" i="25"/>
  <c r="E52" i="26"/>
  <c r="F52" i="26"/>
  <c r="E61" i="26"/>
  <c r="F61" i="26"/>
  <c r="E63" i="26"/>
  <c r="F63" i="26"/>
  <c r="D32" i="26"/>
  <c r="D30" i="26"/>
  <c r="D29" i="26"/>
  <c r="D28" i="26"/>
  <c r="D27" i="26"/>
  <c r="D26" i="26"/>
  <c r="D25" i="26"/>
  <c r="D24" i="26"/>
  <c r="D23" i="26"/>
  <c r="D22" i="26"/>
  <c r="D21" i="26"/>
  <c r="D20" i="26"/>
  <c r="D18" i="26"/>
  <c r="D19" i="26"/>
  <c r="D33" i="26"/>
  <c r="E52" i="23"/>
  <c r="E61" i="23"/>
  <c r="E63" i="23"/>
  <c r="E31" i="23"/>
  <c r="D29" i="23"/>
  <c r="D25" i="23"/>
  <c r="D24" i="23"/>
  <c r="D21" i="23"/>
  <c r="D20" i="23"/>
  <c r="D18" i="23"/>
  <c r="D18" i="24"/>
  <c r="E52" i="24"/>
  <c r="E61" i="24"/>
  <c r="E63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28" i="23"/>
  <c r="D32" i="23"/>
  <c r="D30" i="23"/>
  <c r="D27" i="23"/>
  <c r="D26" i="23"/>
  <c r="D23" i="23"/>
  <c r="D22" i="23"/>
  <c r="D19" i="24"/>
  <c r="C26" i="31"/>
  <c r="C26" i="32"/>
  <c r="C24" i="31"/>
  <c r="C28" i="31"/>
  <c r="C28" i="32"/>
  <c r="C21" i="31"/>
  <c r="C21" i="32"/>
  <c r="C22" i="31"/>
  <c r="C22" i="32"/>
  <c r="C29" i="31"/>
  <c r="C27" i="31"/>
  <c r="C27" i="32"/>
  <c r="C25" i="31"/>
  <c r="C23" i="31"/>
  <c r="C23" i="32"/>
  <c r="C20" i="31"/>
  <c r="C20" i="32"/>
  <c r="C32" i="32"/>
  <c r="C30" i="31"/>
  <c r="C30" i="32"/>
  <c r="D22" i="34"/>
  <c r="D31" i="34"/>
  <c r="D27" i="34"/>
  <c r="D25" i="34"/>
  <c r="D26" i="34"/>
  <c r="D29" i="34"/>
  <c r="D21" i="34"/>
  <c r="D28" i="25"/>
  <c r="D32" i="25"/>
  <c r="D30" i="25"/>
  <c r="D26" i="25"/>
  <c r="D27" i="25"/>
  <c r="D22" i="25"/>
  <c r="D23" i="25"/>
  <c r="C18" i="32"/>
  <c r="C19" i="32"/>
  <c r="C18" i="31"/>
  <c r="C25" i="32"/>
  <c r="C29" i="32"/>
  <c r="C24" i="32"/>
  <c r="D16" i="47"/>
  <c r="D36" i="47"/>
  <c r="D41" i="51"/>
  <c r="C39" i="47"/>
  <c r="D39" i="47"/>
  <c r="D42" i="51"/>
  <c r="C40" i="47"/>
  <c r="D40" i="47"/>
  <c r="D46" i="51"/>
  <c r="C44" i="47"/>
  <c r="D44" i="47"/>
  <c r="D47" i="51"/>
  <c r="C45" i="47"/>
  <c r="D45" i="47"/>
  <c r="D48" i="51"/>
  <c r="C46" i="47"/>
  <c r="D46" i="47"/>
  <c r="D50" i="51"/>
  <c r="C48" i="47"/>
  <c r="D48" i="47"/>
  <c r="D51" i="51"/>
  <c r="C49" i="47"/>
  <c r="D49" i="47"/>
  <c r="D53" i="51"/>
  <c r="C51" i="47"/>
  <c r="D51" i="47"/>
  <c r="D54" i="51"/>
  <c r="C52" i="47"/>
  <c r="D52" i="47"/>
  <c r="D55" i="51"/>
  <c r="C53" i="47"/>
  <c r="D53" i="47"/>
  <c r="D58" i="51"/>
  <c r="C56" i="47"/>
  <c r="D56" i="47"/>
  <c r="D19" i="51"/>
  <c r="D20" i="51"/>
  <c r="D20" i="47"/>
  <c r="D21" i="51"/>
  <c r="D21" i="47"/>
  <c r="D22" i="51"/>
  <c r="D22" i="47"/>
  <c r="D23" i="51"/>
  <c r="D23" i="47"/>
  <c r="D24" i="51"/>
  <c r="D24" i="47"/>
  <c r="D27" i="51"/>
  <c r="D25" i="47"/>
  <c r="D28" i="51"/>
  <c r="D26" i="47"/>
  <c r="D29" i="51"/>
  <c r="D27" i="47"/>
  <c r="D30" i="51"/>
  <c r="D28" i="47"/>
  <c r="D31" i="51"/>
  <c r="D29" i="47"/>
  <c r="D32" i="51"/>
  <c r="D30" i="47"/>
  <c r="D33" i="51"/>
  <c r="D31" i="47"/>
  <c r="D18" i="51"/>
  <c r="D18" i="47"/>
  <c r="D21" i="46"/>
  <c r="E21" i="46"/>
  <c r="C50" i="54"/>
  <c r="C45" i="54"/>
  <c r="C30" i="54"/>
  <c r="C33" i="54"/>
  <c r="C59" i="54"/>
  <c r="C62" i="54"/>
  <c r="C42" i="54"/>
  <c r="E32" i="34"/>
  <c r="E33" i="23"/>
  <c r="C42" i="53"/>
  <c r="C36" i="53"/>
  <c r="C57" i="53"/>
  <c r="E44" i="43"/>
  <c r="F44" i="43"/>
  <c r="E42" i="43"/>
  <c r="F42" i="43"/>
  <c r="E46" i="43"/>
  <c r="F46" i="43"/>
  <c r="E25" i="43"/>
  <c r="E35" i="43"/>
  <c r="E47" i="43"/>
  <c r="F47" i="43"/>
  <c r="E53" i="43"/>
  <c r="F53" i="43"/>
  <c r="D60" i="40"/>
  <c r="D59" i="40"/>
  <c r="D51" i="40"/>
  <c r="D48" i="40"/>
  <c r="D41" i="40"/>
  <c r="D40" i="40"/>
  <c r="D39" i="40"/>
  <c r="D71" i="40"/>
  <c r="D36" i="40"/>
  <c r="E33" i="40"/>
  <c r="E33" i="31"/>
  <c r="D60" i="37"/>
  <c r="D59" i="37"/>
  <c r="D51" i="37"/>
  <c r="D48" i="37"/>
  <c r="D41" i="37"/>
  <c r="D40" i="37"/>
  <c r="D39" i="37"/>
  <c r="E71" i="37"/>
  <c r="D36" i="37"/>
  <c r="D71" i="37"/>
  <c r="E33" i="37"/>
  <c r="D60" i="31"/>
  <c r="D59" i="31"/>
  <c r="D51" i="31"/>
  <c r="D48" i="31"/>
  <c r="D41" i="31"/>
  <c r="D40" i="31"/>
  <c r="E71" i="31"/>
  <c r="D39" i="31"/>
  <c r="D36" i="31"/>
  <c r="D71" i="31"/>
  <c r="E71" i="32"/>
  <c r="E72" i="32"/>
  <c r="E75" i="32"/>
  <c r="E33" i="32"/>
  <c r="D60" i="32"/>
  <c r="D59" i="32"/>
  <c r="D51" i="32"/>
  <c r="D48" i="32"/>
  <c r="D41" i="32"/>
  <c r="D40" i="32"/>
  <c r="D39" i="32"/>
  <c r="D36" i="32"/>
  <c r="D71" i="32"/>
  <c r="D60" i="35"/>
  <c r="D59" i="35"/>
  <c r="D51" i="35"/>
  <c r="D48" i="35"/>
  <c r="D41" i="35"/>
  <c r="D40" i="35"/>
  <c r="D39" i="35"/>
  <c r="D36" i="35"/>
  <c r="D71" i="35"/>
  <c r="C59" i="34"/>
  <c r="C58" i="34"/>
  <c r="C50" i="34"/>
  <c r="C47" i="34"/>
  <c r="C40" i="34"/>
  <c r="C39" i="34"/>
  <c r="C38" i="34"/>
  <c r="E70" i="34"/>
  <c r="E71" i="34"/>
  <c r="E74" i="34"/>
  <c r="C35" i="34"/>
  <c r="C70" i="34"/>
  <c r="C60" i="33"/>
  <c r="C59" i="33"/>
  <c r="C51" i="33"/>
  <c r="C48" i="33"/>
  <c r="C41" i="33"/>
  <c r="C40" i="33"/>
  <c r="C39" i="33"/>
  <c r="C71" i="33"/>
  <c r="C36" i="33"/>
  <c r="C60" i="24"/>
  <c r="C59" i="24"/>
  <c r="C51" i="24"/>
  <c r="C48" i="24"/>
  <c r="C41" i="24"/>
  <c r="C40" i="24"/>
  <c r="C39" i="24"/>
  <c r="C36" i="24"/>
  <c r="C60" i="25"/>
  <c r="C59" i="25"/>
  <c r="C51" i="25"/>
  <c r="C48" i="25"/>
  <c r="C41" i="25"/>
  <c r="C40" i="25"/>
  <c r="C39" i="25"/>
  <c r="C36" i="25"/>
  <c r="C71" i="25"/>
  <c r="C60" i="26"/>
  <c r="C59" i="26"/>
  <c r="C51" i="26"/>
  <c r="C48" i="26"/>
  <c r="C41" i="26"/>
  <c r="C40" i="26"/>
  <c r="C39" i="26"/>
  <c r="C36" i="26"/>
  <c r="C71" i="26"/>
  <c r="C59" i="23"/>
  <c r="C51" i="23"/>
  <c r="C48" i="23"/>
  <c r="C60" i="23"/>
  <c r="C41" i="23"/>
  <c r="C39" i="23"/>
  <c r="C40" i="23"/>
  <c r="C54" i="54"/>
  <c r="E71" i="33"/>
  <c r="E33" i="33"/>
  <c r="E72" i="33"/>
  <c r="E75" i="33"/>
  <c r="E71" i="25"/>
  <c r="C36" i="23"/>
  <c r="D19" i="23"/>
  <c r="D33" i="23"/>
  <c r="E53" i="29"/>
  <c r="E62" i="29"/>
  <c r="E64" i="29"/>
  <c r="E20" i="29"/>
  <c r="E23" i="29"/>
  <c r="E25" i="29"/>
  <c r="E26" i="29"/>
  <c r="E27" i="29"/>
  <c r="E29" i="29"/>
  <c r="E30" i="29"/>
  <c r="E31" i="29"/>
  <c r="E32" i="29"/>
  <c r="C36" i="29"/>
  <c r="C37" i="29"/>
  <c r="C72" i="29"/>
  <c r="D18" i="29"/>
  <c r="E53" i="30"/>
  <c r="E62" i="30"/>
  <c r="E20" i="30"/>
  <c r="E21" i="30"/>
  <c r="E23" i="30"/>
  <c r="E25" i="30"/>
  <c r="E26" i="30"/>
  <c r="E27" i="30"/>
  <c r="E29" i="30"/>
  <c r="E30" i="30"/>
  <c r="E31" i="30"/>
  <c r="E32" i="30"/>
  <c r="E72" i="29"/>
  <c r="E34" i="29"/>
  <c r="E73" i="29"/>
  <c r="E76" i="29"/>
  <c r="E72" i="30"/>
  <c r="C36" i="30"/>
  <c r="C37" i="30"/>
  <c r="C72" i="30"/>
  <c r="D19" i="30"/>
  <c r="D34" i="30"/>
  <c r="D18" i="30"/>
  <c r="E20" i="27"/>
  <c r="E26" i="27"/>
  <c r="E27" i="27"/>
  <c r="E29" i="27"/>
  <c r="E30" i="27"/>
  <c r="E31" i="27"/>
  <c r="E32" i="27"/>
  <c r="D18" i="27"/>
  <c r="E53" i="28"/>
  <c r="E62" i="28"/>
  <c r="E20" i="28"/>
  <c r="E21" i="28"/>
  <c r="E23" i="28"/>
  <c r="E25" i="28"/>
  <c r="E26" i="28"/>
  <c r="E27" i="28"/>
  <c r="E29" i="28"/>
  <c r="E30" i="28"/>
  <c r="E31" i="28"/>
  <c r="E32" i="28"/>
  <c r="E33" i="28"/>
  <c r="D18" i="28"/>
  <c r="E34" i="30"/>
  <c r="E73" i="30"/>
  <c r="E76" i="30"/>
  <c r="E34" i="27"/>
  <c r="E73" i="27"/>
  <c r="E76" i="27"/>
  <c r="E72" i="27"/>
  <c r="C36" i="27"/>
  <c r="C37" i="27"/>
  <c r="E34" i="28"/>
  <c r="E73" i="28"/>
  <c r="E76" i="28"/>
  <c r="C36" i="28"/>
  <c r="C37" i="28"/>
  <c r="C72" i="28"/>
  <c r="E72" i="28"/>
  <c r="B13" i="52"/>
  <c r="D25" i="44"/>
  <c r="E25" i="44"/>
  <c r="D86" i="36"/>
  <c r="D42" i="36"/>
  <c r="D43" i="36"/>
  <c r="D44" i="36"/>
  <c r="D45" i="36"/>
  <c r="D46" i="36"/>
  <c r="D47" i="36"/>
  <c r="D48" i="36"/>
  <c r="D49" i="36"/>
  <c r="D50" i="36"/>
  <c r="D51" i="36"/>
  <c r="D52" i="36"/>
  <c r="D53" i="36"/>
  <c r="D54" i="36"/>
  <c r="D55" i="36"/>
  <c r="D56" i="36"/>
  <c r="D57" i="36"/>
  <c r="D58" i="36"/>
  <c r="D59" i="36"/>
  <c r="D60" i="36"/>
  <c r="D61" i="36"/>
  <c r="D62" i="36"/>
  <c r="D63" i="36"/>
  <c r="D64" i="36"/>
  <c r="D65" i="36"/>
  <c r="D66" i="36"/>
  <c r="D67" i="36"/>
  <c r="D68" i="36"/>
  <c r="D69" i="36"/>
  <c r="D70" i="36"/>
  <c r="D71" i="36"/>
  <c r="D72" i="36"/>
  <c r="D73" i="36"/>
  <c r="D74" i="36"/>
  <c r="D75" i="36"/>
  <c r="D77" i="36"/>
  <c r="D78" i="36"/>
  <c r="D79" i="36"/>
  <c r="D80" i="36"/>
  <c r="D81" i="36"/>
  <c r="D82" i="36"/>
  <c r="D83" i="36"/>
  <c r="D84" i="36"/>
  <c r="D85" i="36"/>
  <c r="D41" i="36"/>
  <c r="D87" i="36"/>
  <c r="D19" i="36"/>
  <c r="D20" i="36"/>
  <c r="D21" i="36"/>
  <c r="D22" i="36"/>
  <c r="D23" i="36"/>
  <c r="D24" i="36"/>
  <c r="D26" i="36"/>
  <c r="D27" i="36"/>
  <c r="D28" i="36"/>
  <c r="D29" i="36"/>
  <c r="D30" i="36"/>
  <c r="D31" i="36"/>
  <c r="D32" i="36"/>
  <c r="D33" i="36"/>
  <c r="D34" i="36"/>
  <c r="D35" i="36"/>
  <c r="D36" i="36"/>
  <c r="D37" i="36"/>
  <c r="D18" i="36"/>
  <c r="D39" i="36"/>
  <c r="B14" i="35"/>
  <c r="B14" i="36"/>
  <c r="B14" i="38"/>
  <c r="B14" i="39"/>
  <c r="B14" i="41"/>
  <c r="B14" i="42"/>
  <c r="B14" i="43"/>
  <c r="C33" i="38"/>
  <c r="E25" i="51"/>
  <c r="D25" i="51"/>
  <c r="D34" i="51"/>
  <c r="E26" i="51"/>
  <c r="D26" i="51"/>
  <c r="D25" i="46"/>
  <c r="E25" i="46"/>
  <c r="D26" i="45"/>
  <c r="E26" i="45"/>
  <c r="E27" i="43"/>
  <c r="F27" i="43"/>
  <c r="D37" i="42"/>
  <c r="D38" i="42"/>
  <c r="D39" i="42"/>
  <c r="D41" i="42"/>
  <c r="D44" i="42"/>
  <c r="D45" i="42"/>
  <c r="D47" i="42"/>
  <c r="D48" i="42"/>
  <c r="D49" i="42"/>
  <c r="D50" i="42"/>
  <c r="D51" i="42"/>
  <c r="D63" i="42"/>
  <c r="D52" i="42"/>
  <c r="D53" i="42"/>
  <c r="D54" i="42"/>
  <c r="D55" i="42"/>
  <c r="D56" i="42"/>
  <c r="D58" i="42"/>
  <c r="D59" i="42"/>
  <c r="D60" i="42"/>
  <c r="D61" i="42"/>
  <c r="D20" i="42"/>
  <c r="D33" i="42"/>
  <c r="D21" i="42"/>
  <c r="D22" i="42"/>
  <c r="D23" i="42"/>
  <c r="D24" i="42"/>
  <c r="D25" i="42"/>
  <c r="D26" i="42"/>
  <c r="D27" i="42"/>
  <c r="D28" i="42"/>
  <c r="D29" i="42"/>
  <c r="D31" i="42"/>
  <c r="D32" i="42"/>
  <c r="C34" i="51"/>
  <c r="C60" i="51"/>
  <c r="C63" i="51"/>
  <c r="C33" i="46"/>
  <c r="C59" i="51"/>
  <c r="C58" i="46"/>
  <c r="C59" i="46"/>
  <c r="C62" i="46"/>
  <c r="C59" i="45"/>
  <c r="C60" i="45"/>
  <c r="C63" i="45"/>
  <c r="C34" i="45"/>
  <c r="C57" i="44"/>
  <c r="C58" i="44"/>
  <c r="C61" i="44"/>
  <c r="C33" i="44"/>
  <c r="C59" i="43"/>
  <c r="C60" i="43"/>
  <c r="C63" i="43"/>
  <c r="C35" i="43"/>
  <c r="C63" i="42"/>
  <c r="C64" i="42"/>
  <c r="C67" i="42"/>
  <c r="C33" i="42"/>
  <c r="C63" i="41"/>
  <c r="C64" i="41"/>
  <c r="C67" i="41"/>
  <c r="C33" i="41"/>
  <c r="C63" i="39"/>
  <c r="C33" i="39"/>
  <c r="C64" i="39"/>
  <c r="C67" i="39"/>
  <c r="C63" i="38"/>
  <c r="C64" i="38"/>
  <c r="C67" i="38"/>
  <c r="C87" i="36"/>
  <c r="C88" i="36"/>
  <c r="C91" i="36"/>
  <c r="C39" i="36"/>
  <c r="B13" i="46"/>
  <c r="B13" i="47"/>
  <c r="B13" i="51"/>
  <c r="B14" i="44"/>
  <c r="B14" i="45"/>
  <c r="C72" i="27"/>
  <c r="E33" i="25"/>
  <c r="E72" i="25"/>
  <c r="E75" i="25"/>
  <c r="E59" i="43"/>
  <c r="E60" i="43"/>
  <c r="E63" i="43"/>
  <c r="D58" i="46"/>
  <c r="D59" i="45"/>
  <c r="E71" i="23"/>
  <c r="E72" i="23"/>
  <c r="E75" i="23"/>
  <c r="C71" i="23"/>
  <c r="E32" i="52"/>
  <c r="E72" i="37"/>
  <c r="E75" i="37"/>
  <c r="E72" i="31"/>
  <c r="E75" i="31"/>
  <c r="E33" i="35"/>
  <c r="E72" i="35"/>
  <c r="E75" i="35"/>
  <c r="E71" i="24"/>
  <c r="C71" i="24"/>
  <c r="E33" i="24"/>
  <c r="E72" i="24"/>
  <c r="E75" i="24"/>
  <c r="C57" i="49"/>
  <c r="C58" i="49"/>
  <c r="C58" i="48"/>
  <c r="E57" i="47"/>
  <c r="C57" i="47"/>
  <c r="C58" i="54"/>
  <c r="C61" i="49"/>
  <c r="E71" i="52"/>
  <c r="E74" i="52"/>
  <c r="D32" i="34"/>
  <c r="C33" i="35"/>
  <c r="C33" i="32"/>
  <c r="D33" i="24"/>
  <c r="C19" i="31"/>
  <c r="C33" i="31"/>
  <c r="C19" i="37"/>
  <c r="C33" i="37"/>
  <c r="D33" i="33"/>
  <c r="E59" i="51"/>
  <c r="E60" i="51"/>
  <c r="E63" i="51"/>
  <c r="D36" i="51"/>
  <c r="D59" i="51"/>
  <c r="C34" i="47"/>
  <c r="D34" i="47"/>
  <c r="C38" i="47"/>
  <c r="D38" i="47"/>
  <c r="E34" i="51"/>
  <c r="E33" i="44"/>
  <c r="F71" i="26"/>
  <c r="F72" i="26"/>
  <c r="F75" i="26"/>
  <c r="F59" i="43"/>
  <c r="F71" i="25"/>
  <c r="F33" i="25"/>
  <c r="F72" i="25"/>
  <c r="F75" i="25"/>
  <c r="D64" i="42"/>
  <c r="D67" i="42"/>
  <c r="D88" i="36"/>
  <c r="D91" i="36"/>
  <c r="E33" i="46"/>
  <c r="E59" i="46"/>
  <c r="E62" i="46"/>
  <c r="E34" i="45"/>
  <c r="D19" i="47"/>
  <c r="D32" i="47"/>
  <c r="D57" i="47"/>
  <c r="E60" i="45"/>
  <c r="E63" i="45"/>
  <c r="E57" i="44"/>
  <c r="E58" i="44"/>
  <c r="E61" i="44"/>
  <c r="D34" i="45"/>
  <c r="D60" i="45"/>
  <c r="D63" i="45"/>
  <c r="D19" i="29"/>
  <c r="D34" i="29"/>
  <c r="E42" i="44"/>
  <c r="D33" i="44"/>
  <c r="D58" i="44"/>
  <c r="D61" i="44"/>
  <c r="E71" i="26"/>
  <c r="E72" i="26"/>
  <c r="E75" i="26"/>
  <c r="D33" i="46"/>
  <c r="D59" i="46"/>
  <c r="D62" i="46"/>
  <c r="F25" i="43"/>
  <c r="F35" i="43"/>
  <c r="E58" i="47"/>
  <c r="E61" i="47"/>
  <c r="D19" i="28"/>
  <c r="D34" i="28"/>
  <c r="D19" i="27"/>
  <c r="D34" i="27"/>
  <c r="F60" i="43"/>
  <c r="F63" i="43"/>
</calcChain>
</file>

<file path=xl/sharedStrings.xml><?xml version="1.0" encoding="utf-8"?>
<sst xmlns="http://schemas.openxmlformats.org/spreadsheetml/2006/main" count="2464" uniqueCount="251">
  <si>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</si>
  <si>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</si>
  <si>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</si>
  <si>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</si>
  <si>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</si>
  <si>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 xml:space="preserve">Tiešās izmaksas </t>
  </si>
  <si>
    <t>Tiešās izmaksas kopā</t>
  </si>
  <si>
    <t xml:space="preserve">Netiešās izmaksas </t>
  </si>
  <si>
    <t>Netiešās izmaksas kopā</t>
  </si>
  <si>
    <t>Maksas pakalpojuma izcenojuma aprēķins</t>
  </si>
  <si>
    <t>SASKAŅOTS</t>
  </si>
  <si>
    <t>Informācijas sistēmas uzturēšana</t>
  </si>
  <si>
    <t> Transportlīdzekļu uzturēšana un remonts</t>
  </si>
  <si>
    <t> Iekārtas, inventāra un aparatūras remonts, tehniskā apkalpošana</t>
  </si>
  <si>
    <t> Ēku, būvju un telpu uzturēšana</t>
  </si>
  <si>
    <t> Transportlīdzekļu noma</t>
  </si>
  <si>
    <t> Pārējie iepriekš neklasificētie pakalpojumu veidi</t>
  </si>
  <si>
    <t> Biroja preces</t>
  </si>
  <si>
    <t> Inventārs</t>
  </si>
  <si>
    <t> Kurināmais</t>
  </si>
  <si>
    <t> Degviela</t>
  </si>
  <si>
    <t> Kārtējā remonta un iestāžu uzturēšanas materiāli</t>
  </si>
  <si>
    <t> Mīkstais inventārs</t>
  </si>
  <si>
    <t> Budžeta iestāžu nekustamā īpašuma nodokļa (t.sk. zemes nodokļa parāda) maksājumi budžetā</t>
  </si>
  <si>
    <t xml:space="preserve"> Saimniecības pamatlīdzekļi</t>
  </si>
  <si>
    <t> Pārējie budžeta iestāžu pārskaitītie nodokļi un nodevas</t>
  </si>
  <si>
    <t> Izdevumi par ūdeni un kanalizāciju</t>
  </si>
  <si>
    <t> Izdevumi par elektroenerģiju</t>
  </si>
  <si>
    <t> Izdevumi periodikas iegādei</t>
  </si>
  <si>
    <t>Pakalpojumu izmaksas kopā</t>
  </si>
  <si>
    <t xml:space="preserve"> Budžeta iestāžu pievienotās vērtības nodokļa maksājumi </t>
  </si>
  <si>
    <t>7. Viesu izmitināšana</t>
  </si>
  <si>
    <t>Sociālās integrācijas valsts aģentūras</t>
  </si>
  <si>
    <t>Prognozētais maksas pakalpojumu skaits gadā (gab.)*</t>
  </si>
  <si>
    <t>Piezīme. *Ailes neaizpilda, ja izvēlētais laikposms ir viens gads.</t>
  </si>
  <si>
    <t>sākotnējās ietekmes novērtējuma ziņojumam (anotācijai)</t>
  </si>
  <si>
    <t>Satura rādītājs</t>
  </si>
  <si>
    <t> Pasta, telefona un citu sakaru pakalpojumi</t>
  </si>
  <si>
    <t> Iestādes administratīvie izdevumi un ar iestādes darbības nodrošināšanu saistītie izdevumi</t>
  </si>
  <si>
    <t> Pārējie remonta darbu un iestāžu uzturēšanas pakalpojumi</t>
  </si>
  <si>
    <t> Zemes noma</t>
  </si>
  <si>
    <t> Iekārtu un inventāra īre un noma</t>
  </si>
  <si>
    <t> Zāles, ķimikālijas, laboratorijas preces</t>
  </si>
  <si>
    <t> Virtuves inventārs, trauki un galda piederumi</t>
  </si>
  <si>
    <t> Ēdināšanas izdevumi</t>
  </si>
  <si>
    <t>Mācību, darba un dienesta komandējumi, dienesta, darba braucieni</t>
  </si>
  <si>
    <t> Ēku, būvju un telpu kārtējais remonts</t>
  </si>
  <si>
    <t>Informācijas sistēmas licenču nomas izdevumi</t>
  </si>
  <si>
    <t> Ēku, telpu īre un noma</t>
  </si>
  <si>
    <t> Medicīnas instrumenti, laboratorijas dzīvnieki un to uzturēšana</t>
  </si>
  <si>
    <t> Mācību līdzekļi un materiāli</t>
  </si>
  <si>
    <t xml:space="preserve">Bezdarbnieku stipendijas </t>
  </si>
  <si>
    <t>Stipendijas</t>
  </si>
  <si>
    <t> Datorprogrammas</t>
  </si>
  <si>
    <t> Datortehnika, sakaru un cita biroja tehnika</t>
  </si>
  <si>
    <t> Pamatlīdzekļu izveidošana un nepabeigtā būvniecība</t>
  </si>
  <si>
    <t> Kapitālais remonts un rekonstrukcija</t>
  </si>
  <si>
    <t xml:space="preserve">Maksas pakalpojuma vienību skaits noteiktā laikposmā </t>
  </si>
  <si>
    <t>Maksas pakalpojuma izcenojums (euro)</t>
  </si>
  <si>
    <t>Aprēķinu sastādīja:SIVA Finanšu nodaļas vecākā finanšu ekonomiste Anita Ozoliņa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</si>
  <si>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</si>
  <si>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</si>
  <si>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</si>
  <si>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 xml:space="preserve">Izmaksu apjoms noteiktā laikposmā viena maksas pakalpojuma veida nodrošināšanai </t>
  </si>
  <si>
    <t>Prognozētie ieņēmumi gadā (euro)*</t>
  </si>
  <si>
    <t>7.4. Viesu izmitināšana Dubultu prospektā 71, 1.korpusā  Jūrmalā (viena vieta divvietīgā numurā)</t>
  </si>
  <si>
    <t>direktore I.Jurševska</t>
  </si>
  <si>
    <t>2017. gada    .novembrī</t>
  </si>
  <si>
    <t xml:space="preserve"> Atalgojums</t>
  </si>
  <si>
    <t xml:space="preserve"> Darba devēja valsts sociālās apdrošināšanas obligātās iemaksas, sociāla rakstura pabalsti un kompensācijas</t>
  </si>
  <si>
    <t xml:space="preserve"> Informācijas sistēmas uzturēšana</t>
  </si>
  <si>
    <t xml:space="preserve"> Apdrošināšanas izdevumi</t>
  </si>
  <si>
    <t xml:space="preserve"> Pārējie informācijas tehnoloģiju pakalpojumi</t>
  </si>
  <si>
    <t xml:space="preserve"> Budžeta iestāžu dabas resursu nodokļa maksājumi</t>
  </si>
  <si>
    <t xml:space="preserve"> Normatīvajos aktos noteiktie darba devēja veselības izdevumi darba ņēmējiem</t>
  </si>
  <si>
    <t xml:space="preserve"> Pārējie iestādes administratīvie izdevumi un ar iestādes darbības nodrošināšanu saistītie pakalpojumi</t>
  </si>
  <si>
    <t xml:space="preserve">Piemaksa par uzturēšanos vienai personai divvietīgā numurā, Dubultu prospektā 71, 2.korpusā, Jūrmalā </t>
  </si>
  <si>
    <t xml:space="preserve"> Pārējie sakaru pakalpojumi</t>
  </si>
  <si>
    <t xml:space="preserve"> Iekārtas, inventāra un aparatūras remonts, tehniskā apkalpošana</t>
  </si>
  <si>
    <t xml:space="preserve"> Pārējie remontdarbu un iestāžu uzturēšanas pakalpojumi</t>
  </si>
  <si>
    <t xml:space="preserve"> Zemes noma</t>
  </si>
  <si>
    <t xml:space="preserve"> Iekārtu un inventāra īre un noma</t>
  </si>
  <si>
    <t xml:space="preserve"> Ēdināšanas izdevumi</t>
  </si>
  <si>
    <t xml:space="preserve"> Ēku, būvju un telpu remonts</t>
  </si>
  <si>
    <t xml:space="preserve"> Pamatlīdzekļu izveidošana un nepabeigtā būvniecība</t>
  </si>
  <si>
    <t xml:space="preserve"> Kapitālais remonts un rekonstrukcija</t>
  </si>
  <si>
    <t>7.4.3. Piemaksa par uzturēšanos vienai personai divvietīgā numurā</t>
  </si>
  <si>
    <t>Papildu vieta bērnam no 2 līdz 14 gadu vecumam  Dubultu prospektā 71, 2 korpuss, Jūrmalā (ar brokastīm)</t>
  </si>
  <si>
    <t>Papildu vieta bērnam no 2 līdz 14 gadu vecumam  Dubultu prospektā 71, 2 korpuss, Jūrmalā (ar trīsreizēju ēdināšanu)</t>
  </si>
  <si>
    <t>7.5.3. Papildu vieta bērnam no 2 līdz 14 gadu vecumam  Dubultu prospektā 71, 1 korpuss, Jūrmalā (ar brokastīm)</t>
  </si>
  <si>
    <t>7.5.4. Papildu vieta bērnam no 2 līdz 14 gadu vecumam  Dubultu prospektā 71, 1 korpuss, Jūrmalā (ar trīsreizēju ēdināšanu)</t>
  </si>
  <si>
    <t>Papildu vieta vienai personai Dubultu prospektā 71, 2 korpuss, Jūrmalā (ar brokastīm)</t>
  </si>
  <si>
    <t>Papildu vieta vienai personai Dubultu prospektā 71, 2 korpuss, Jūrmalā (ar trīsreizēju ēdināšanu)</t>
  </si>
  <si>
    <t>7.5.7. Papildu vieta vienai personai Dubultu prospektā 71, 1 korpuss, Jūrmalā (ar brokastīm)</t>
  </si>
  <si>
    <t xml:space="preserve"> Tiešās izmaksas </t>
  </si>
  <si>
    <t xml:space="preserve"> Tiešās izmaksas kopā</t>
  </si>
  <si>
    <t xml:space="preserve"> Netiešās izmaksas </t>
  </si>
  <si>
    <t xml:space="preserve"> Netiešās izmaksas kopā</t>
  </si>
  <si>
    <t xml:space="preserve"> Pakalpojumu izmaksas kopā</t>
  </si>
  <si>
    <t>Ēku, telpu īre un noma</t>
  </si>
  <si>
    <t xml:space="preserve"> Ēku, telpu īre un noma</t>
  </si>
  <si>
    <t>Papildu vieta vienai personai Dubultu prospektā 59, Jūrmala</t>
  </si>
  <si>
    <t xml:space="preserve">Viesu izmitināšana  Dubultu prospektā 59, Jūrmalā viena ēka - 34 vietas </t>
  </si>
  <si>
    <t xml:space="preserve">Viesu izmitināšana  Dubultu prospektā 59, Jūrmalā viena ēka - 20 vietas </t>
  </si>
  <si>
    <t>7.5.8. Papildu vieta vienai personai Dubultu prospektā 71, 1 korpuss, Jūrmalā (ar trīsreizēju ēdināšanu)</t>
  </si>
  <si>
    <t xml:space="preserve"> Viesu izmitināšana Dubultu prospektā 71, 2.korpusā, Jūrmalā (viena vieta vienvietīgā numurā)</t>
  </si>
  <si>
    <t>7.1.</t>
  </si>
  <si>
    <t>Maksas pakalpojuma vienību skaits noteiktā laikposmā (gab.)</t>
  </si>
  <si>
    <t xml:space="preserve">Maksas pakalpojuma izcenojums (euro) </t>
  </si>
  <si>
    <t>Aprēķinu sastādīja: SIVA Finanšu nodaļas vecākā finanšu ekonomiste Anita Ozoliņa</t>
  </si>
  <si>
    <t>Viesu izmitināšana  Dubultu prospektā 59, Jūrmala,  1.stāvs, četrvietīgs numurs</t>
  </si>
  <si>
    <t xml:space="preserve">Viesu izmitināšana  Dubultu prospektā 59, Jūrmalā,  2.stāvs, četrvietīgs numurs </t>
  </si>
  <si>
    <t>Viesu izmitināšana  Dubultu prospektā 59, Jūrmala,  1.stāvs, astoņvietīgs numurs</t>
  </si>
  <si>
    <t xml:space="preserve">Viesu izmitināšana  Dubultu prospektā 59, Jūrmalā,  2.stāvs, sešvietīgs numurs </t>
  </si>
  <si>
    <t xml:space="preserve">Viesu izmitināšana  Dubultu prospektā 59, Jūrmalā,  3.stāvs, divvietīgs numurs </t>
  </si>
  <si>
    <t xml:space="preserve">Viesu izmitināšana  Dubultu prospektā 59, Jūrmalā,  3.stāvs, trīsvietīgs numurs </t>
  </si>
  <si>
    <t>7.5. Viesu izmitināšana Dubultu prospektā 71, Jūrmalā, papildus vieta</t>
  </si>
  <si>
    <t>Inventārs</t>
  </si>
  <si>
    <t>direktores p.i.  G.Apele</t>
  </si>
  <si>
    <t>2019. gada  15.martā</t>
  </si>
  <si>
    <t xml:space="preserve"> Informācijas tehnoloģiju pakalpojumi </t>
  </si>
  <si>
    <t>Izdevumi par sakaru pakalpojumiem</t>
  </si>
  <si>
    <t>Budžeta iestāžu nekustamā īpašuma nodokļa maksājumi</t>
  </si>
  <si>
    <t>Pārējie budžeta iestāžu pārskaitītie nodokļi un nodevas</t>
  </si>
  <si>
    <t>Ēku, būvju un telpu būvdarbi</t>
  </si>
  <si>
    <t>Informācijas tehnoloģiju pakalpojumi</t>
  </si>
  <si>
    <t>Iestāžu uzturēšanas materiāli un preces</t>
  </si>
  <si>
    <t>Izdevumi iestādes sabiedrisko aktivitāšu īstenošanai</t>
  </si>
  <si>
    <t>Izdevumi par saņemtajiem mācību pakalpojumiem</t>
  </si>
  <si>
    <t>Tehnoloģiskās iekārtas un mašīnas</t>
  </si>
  <si>
    <t>Datortehnika, sakaru un cita biroja tehnika</t>
  </si>
  <si>
    <t>Pārējie iepriekš neklasificētie pamatlīdzekļi un ieguldījuma īpašumi</t>
  </si>
  <si>
    <t>Kapitālais remonts un rekonstrukcija</t>
  </si>
  <si>
    <t>Atalgojums</t>
  </si>
  <si>
    <t>Darba devēja valsts sociālās apdrošināšanas obligātās iemaksas, pabalsti un kompensācijas</t>
  </si>
  <si>
    <t>Izmaksu apjoms noteiktā laikposmā viena maksas pakalpojuma veida nodrošināšanai</t>
  </si>
  <si>
    <t>Izdevumi par ūdensapgādi un kanalizāciju</t>
  </si>
  <si>
    <t>Izdevumi par elektroenerģiju</t>
  </si>
  <si>
    <t>Iekārtas, inventāra un aparatūras remonts, tehniskā apkalpošana</t>
  </si>
  <si>
    <t>Nekustamā īpašuma uzturēšana</t>
  </si>
  <si>
    <t>Kurināmais</t>
  </si>
  <si>
    <t>Zāles, ķimikālijas, laboratorijas preces</t>
  </si>
  <si>
    <t>Mīkstais inventārs</t>
  </si>
  <si>
    <t>Ēdināšanas izdevumi</t>
  </si>
  <si>
    <t>Izdevumi par atkritumu savākšanu, izvešanu no apdzīvotām vietām un teritorijām ārpus apdzīvotām vietām un atkritumu utilizāciju</t>
  </si>
  <si>
    <t>Pārējie neklasificētie pakalpojumi</t>
  </si>
  <si>
    <t>Transportlīdzekļu uzturēšana un remonts</t>
  </si>
  <si>
    <t>Apdrošināšanas izdevumi</t>
  </si>
  <si>
    <t>Pārējie remontdarbu un iestāžu uzturēšanas pakalpojum</t>
  </si>
  <si>
    <t>Transportlīdzekļu noma</t>
  </si>
  <si>
    <t>Zemes noma</t>
  </si>
  <si>
    <t>Iekārtu, aparatūras un inventāra īre un noma</t>
  </si>
  <si>
    <t>Biroja preces</t>
  </si>
  <si>
    <t>Izdevumi par precēm iestādes sabiedrisko aktivitāšu īstenošanai</t>
  </si>
  <si>
    <t>Degviela</t>
  </si>
  <si>
    <t>Budžeta iestāžu pievienotās vērtības nodokļa maksājumi</t>
  </si>
  <si>
    <t>Budžeta iestāžu dabas resursu nodokļa maksājumi</t>
  </si>
  <si>
    <t xml:space="preserve">Virtuves inventārs, trauki un galda piederumi
</t>
  </si>
  <si>
    <t>7.3. Viesu izmitināšana - Dubultu prospekts 71, 1.korpuss, Jūrmala (viena vieta vienvietīgā numurā)</t>
  </si>
  <si>
    <t>7.3.1. Viesu izmitināšana - Dubultu prospekts 71, 1.korpuss, Jūrmala (viena vieta vienvietīgā numurā, ar brokastīm)</t>
  </si>
  <si>
    <t>7.3. Viesu izmitināšana - Dubultu prospekts 71, 2.korpuss, Jūrmala (viena vieta vienvietīgā numurā)</t>
  </si>
  <si>
    <t>7.3.2. Viesu izmitināšana - Dubultu prospekts 71, 1.korpuss, Jūrmala (viena vieta vienvietīgā numurā, ar trīsreizēju ēdināšanu)</t>
  </si>
  <si>
    <t>7.4. Viesu izmitināšana - Dubultu prospekts 71, 1.korpuss, Jūrmala (viena vieta divvietīgā numurā)</t>
  </si>
  <si>
    <t>7.4.1. Viesu izmitināšana - Dubultu prospekts 71, 1.korpuss, Jūrmala (viena vieta divvietīgā numurā, ar brokastīm)</t>
  </si>
  <si>
    <t>7.4. Viesu izmitināšana - Dubultu prospekts 71, 2.korpuss, Jūrmala (viena vieta divvietīgā numurā)</t>
  </si>
  <si>
    <t>7.4.2. Viesu izmitināšana - Dubultu prospekts 71, 1.korpuss, Jūrmala (viena vieta divvietīgā numurā, ar trīsreizēju ēdināšanu)</t>
  </si>
  <si>
    <t>5.pielikums</t>
  </si>
  <si>
    <t>2022.gadā un turpmāk</t>
  </si>
  <si>
    <t>2021. gada  30. augustā</t>
  </si>
  <si>
    <t xml:space="preserve">2022. gada  </t>
  </si>
  <si>
    <t>2023.gadā un turpmāk</t>
  </si>
  <si>
    <t>Virtuves inventārs, trauki un galda piederumi</t>
  </si>
  <si>
    <t>Pārējie remontdarbu un iestāžu uzturēšanas pakalpojumi</t>
  </si>
  <si>
    <t xml:space="preserve">Pārējie neklasificētie pakalpojumi
</t>
  </si>
  <si>
    <t>Iekārtu un inventāra īre un noma</t>
  </si>
  <si>
    <t>Izdevumi par atkritumu savākšanu, izvešanu no apdzīvotām vietām un teritorijām ārpus
apdzīvotām vietām un atkritumu utilizāciju</t>
  </si>
  <si>
    <t>0.243 - 4vv</t>
  </si>
  <si>
    <t xml:space="preserve">Izdevumi par atkritumu savākšanu, izvešanu no apdzīvotām vietām un teritorijām ārpus apdzīvotām vietām un atkritumu utilizāciju </t>
  </si>
  <si>
    <t xml:space="preserve">Budžeta iestāžu pievienotās vērtības nodokļa maksājumi </t>
  </si>
  <si>
    <t>Aprēķinu sastādīja: SIVA Finanšu nodaļas finanšu ekonomiste E.Lipiņa</t>
  </si>
  <si>
    <t xml:space="preserve">2023. gada  </t>
  </si>
  <si>
    <t>4. Viesu izmitināšana</t>
  </si>
  <si>
    <t>4.1. Viesu izmitināšana - Dubultu prospekts 71, 2.korpuss, Jūrmala (viena vieta vienvietīgā numurā)</t>
  </si>
  <si>
    <t>4.1.1. Viesu izmitināšana - Dubultu prospekts 71, 2.korpuss, Jūrmala (viena vieta vienvietīgā numurā, ar brokastīm)</t>
  </si>
  <si>
    <t xml:space="preserve">4.1.1. </t>
  </si>
  <si>
    <t xml:space="preserve">4.1.2. </t>
  </si>
  <si>
    <t xml:space="preserve">4.2.1. </t>
  </si>
  <si>
    <t xml:space="preserve">4.2.2. </t>
  </si>
  <si>
    <t xml:space="preserve">4.2.3. </t>
  </si>
  <si>
    <t xml:space="preserve">4.2.4. </t>
  </si>
  <si>
    <t>4.6.2.</t>
  </si>
  <si>
    <t xml:space="preserve">Viesu izmitināšana Dubultu prospektā 71, 2.korpusā, Jūrmalā, viena vieta vienvietīgā numurā (ar brokastīm), </t>
  </si>
  <si>
    <t xml:space="preserve">Viesu izmitināšana Dubultu prospektā 71, 2.korpusā, Jūrmalā, viena vieta vienvietīgā numurā (ar trīsreizēju ēdināšanu), </t>
  </si>
  <si>
    <t>Viesu izmitināšana Dubultu prospektā 71, 2.korpusā, Jūrmalā viena vieta divvietīgā numurā(ar brokastīm)</t>
  </si>
  <si>
    <t>Viesu izmitināšana Dubultu prospektā 71, 2.korpusā, Jūrmalā  viena vieta divvietīgā numurā (ar trīsreizēju ēdināšanu)</t>
  </si>
  <si>
    <t>4.2.5.</t>
  </si>
  <si>
    <t>4.3.1.</t>
  </si>
  <si>
    <t>4.3.2.</t>
  </si>
  <si>
    <t>4.3.3.</t>
  </si>
  <si>
    <t>4.3.4.</t>
  </si>
  <si>
    <t>4.1.2. Viesu izmitināšana - Dubultu prospekts 71, 2.korpuss, Jūrmala (viena vieta vienvietīgā numurā, ar trīsreizēju ēdināšanu)</t>
  </si>
  <si>
    <t>4.2. Viesu izmitināšana - Dubultu prospekts 71, 2.korpuss, Jūrmala (viena vieta divvietīgā numurā)</t>
  </si>
  <si>
    <t>4.2.1. Viesu izmitināšana - Dubultu prospekts 71, 2.korpuss, Jūrmala (viena vieta divvietīgā numurā, ar brokastīm)</t>
  </si>
  <si>
    <t>4.2.2. Viesu izmitināšana - Dubultu prospekts 71, 2.korpuss, Jūrmala (viena vieta divvietīgā numurā, ar trīsreizēju ēdināsanu)</t>
  </si>
  <si>
    <t>4.2.3. Viesu izmitināšana - Dubultu prospekts 71, 2.korpuss, Jūrmala (viena vieta divvietīgā pielāgotā numurā, ar brokastīm)</t>
  </si>
  <si>
    <t>4.2.4. Viesu izmitināšana - Dubultu prospekts 71, 2.korpuss, Jūrmala (viena vieta divvietīgā pielāgotā numurā, ar trīsreizēju ēdināšanu)</t>
  </si>
  <si>
    <t>4.2. Viesu izmitināšana Dubultu prospektā 71, 2.korpusā,  Jūrmalā (viena vieta divvietīgā numurā)</t>
  </si>
  <si>
    <t>4.3. Viesu izmitināšana Dubultu prospektā 71, Jūrmalā, papildus vieta</t>
  </si>
  <si>
    <t>4.3.1. Papildu vieta bērnam no 2 līdz 14 gadu vecumam  Dubultu prospektā 71, 2 korpuss, Jūrmalā (ar brokastīm)</t>
  </si>
  <si>
    <t>4.3.2. Papildu vieta bērnam no 2 līdz 14 gadu vecumam  Dubultu prospektā 71, 2 korpuss, Jūrmalā (ar trīsreizēju ēdināšanu)</t>
  </si>
  <si>
    <t>4.3.3. Papildu vieta vienai personai Dubultu prospektā 71, 2. korp., Jūrmalā (ar brokastīm)</t>
  </si>
  <si>
    <t>4.3.4. Papildu vieta vienai personai Dubultu prospektā 71, 2. korp., Jūrmalā (ar ar trīsreizēju ēdināšanu)</t>
  </si>
  <si>
    <t>4.4.  Viesu izmitināšana Dubultu prospektā 59, Jūrmalā, 1. stāvs</t>
  </si>
  <si>
    <t>4.4.1.</t>
  </si>
  <si>
    <t>4.4.2.</t>
  </si>
  <si>
    <t>4.5.1.</t>
  </si>
  <si>
    <t>4.5.2.</t>
  </si>
  <si>
    <t>4.6.1.</t>
  </si>
  <si>
    <t>4.7.</t>
  </si>
  <si>
    <t>4.8.</t>
  </si>
  <si>
    <t>4.9.</t>
  </si>
  <si>
    <t>4.10.</t>
  </si>
  <si>
    <t>4.11.</t>
  </si>
  <si>
    <t>4.12.</t>
  </si>
  <si>
    <t>4.13.</t>
  </si>
  <si>
    <t>4.7. Papildu vieta vienai personai Dubultu prospektā 59, Jūrmalā</t>
  </si>
  <si>
    <t xml:space="preserve">4.11. Dubultu prospektā 59, Jūrmalā viena ēka 34 vietas </t>
  </si>
  <si>
    <t>Viesu izmitināšana pielāgotā numurā Dubultu prospektā 71, 2.korpusā, Jūrmalā, viena vieta divvietīgā pielāgotā numurā (ar brokastīm)</t>
  </si>
  <si>
    <t>Viesu izmitināšana pielāgotā numurā Dubultu prospektā 71, 2.korpusā, Jūrmalā, viena vieta divvietīgā pielāgotā numurā (ar trīsreizēju ēdināšanu)</t>
  </si>
  <si>
    <t xml:space="preserve">Viesu izmitināšana Slokas ielā 68, Jūrmalā </t>
  </si>
  <si>
    <t>2023. gada  29. martā</t>
  </si>
  <si>
    <t>4.2.5. Piemaksa par uzturēšanos vienai personai divvietīgā numurā</t>
  </si>
  <si>
    <t>4.4.1. Dubultu prospektā 59, Jūrmalā,  četrvietīgs numurs</t>
  </si>
  <si>
    <t>4.4.2. Dubultu prospektā 59, Jūrmalā,  astoņvietīgs numurs</t>
  </si>
  <si>
    <t>4.5.1. Dubultu prospektā 59, Jūrmalā,  četrvietīgs numurs</t>
  </si>
  <si>
    <t>4.5.2. Dubultu prospektā 59, Jūrmalā,  sešvietīgs numurs</t>
  </si>
  <si>
    <t>4.6.1. Dubultu prospektā 59, Jūrmalā,  divvietīgs numurs</t>
  </si>
  <si>
    <t>4.5.. Viesu izmitināšana - Dubultu prospekts 59, Jūrmala,  2. stāvs</t>
  </si>
  <si>
    <t>4.5. Viesu izmitināšana - Dubultu prospekts 59, Jūrmala,  2. stāvs</t>
  </si>
  <si>
    <t>4.4. Viesu izmitināšana - Dubultu prospekts 59, Jūrmala, 1. stāvs</t>
  </si>
  <si>
    <t>4.6  Viesu izmitināšana - Dubultu prospekts 59, Jūrmala,  3. stāvs</t>
  </si>
  <si>
    <t>4.6. Viesu izmitināšana - Dubultu prospekts 59, Jūrmala, 3. stāvs</t>
  </si>
  <si>
    <t>4.6.2. Dubultu prospektā 59, Jūrmalā,  trīsvietīgs numurs</t>
  </si>
  <si>
    <t>4.10. Dubultu prospektā 59, Jūrmalā viena ēka 20 vietas</t>
  </si>
  <si>
    <t>4.13. Slokas ielā 68, Jūrmalā, 1 diennakts</t>
  </si>
  <si>
    <t>4.12. Pavadošās personas izmitināšana Dubultu prospektā 71, Dubultu prospektā 59, Slokas ielā 68, Jūrmalā ar trīsreizējo ēdināšanu (pavada valsts budžeta klientu)</t>
  </si>
  <si>
    <t>4.9. Aģentūras izglītojamo un Ukrainas civiliedzīvotāju izmitināšana dienesta viesnīcā Dubultu prospektā 59, Slokas ielā 68, Jūrmalā, (diennaktī)</t>
  </si>
  <si>
    <t>4.8. Aģentūras izglītojamo izmitināšana dienesta viesnīcā Dubultu prospektā 59 , Slokas ielā 68, Jūrmalā (mēnesī)</t>
  </si>
  <si>
    <t>Aģentūras izglītojamo izmitināšana dienesta viesnīcā Dubultu prospektā 59, Slokas ielā 68,  Jūrmalā (mēnesī)</t>
  </si>
  <si>
    <t>Aģentūras izglītojamo un Ukrainas civiliedzīvotāju izmitināšana dienesta viesnīcā  Dubultu prospektā 59, Slokas ielā 68, Jūrmalā (diennaktī)</t>
  </si>
  <si>
    <t>Pavadošās personas izmitināšana Dubultu prospektā 71, Dubultu prospektā 59, Slokas ielā 68 , Jūrmalā ar trīsreizējo ēdināšanu (pavada valsts budžeta klientu)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</si>
</sst>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9" formatCode="0.0000"/>
    <numFmt numFmtId="190" formatCode="0.000"/>
    <numFmt numFmtId="197" formatCode="0.0000000000000"/>
  </numFmts>
  <fonts count="22" x14ac:knownFonts="1">
    <font>
      <sz val="10"/>
      <name val="Arial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name val="Arial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Arial"/>
      <family val="2"/>
      <charset val="186"/>
    </font>
    <font>
      <sz val="14"/>
      <name val="Times New Roman"/>
      <family val="1"/>
      <charset val="186"/>
    </font>
    <font>
      <sz val="11"/>
      <name val="Arial"/>
      <family val="2"/>
      <charset val="186"/>
    </font>
    <font>
      <sz val="12"/>
      <name val="Times New Roman"/>
      <family val="1"/>
      <charset val="204"/>
    </font>
    <font>
      <u/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name val="Arial"/>
      <family val="2"/>
      <charset val="186"/>
    </font>
    <font>
      <sz val="8"/>
      <name val="Times New Roman"/>
      <family val="1"/>
      <charset val="204"/>
    </font>
    <font>
      <u/>
      <sz val="10"/>
      <color theme="10"/>
      <name val="Arial"/>
      <family val="2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9" fillId="0" borderId="0" applyNumberFormat="0" applyFill="0" applyBorder="0" applyAlignment="0" applyProtection="0"/>
    <xf numFmtId="0" fontId="2" fillId="0" borderId="0"/>
  </cellStyleXfs>
  <cellXfs count="347">
    <xf numFmtId="0" fontId="0" fillId="0" borderId="0" xfId="0"/>
    <xf numFmtId="0" fontId="3" fillId="0" borderId="0" xfId="0" applyFont="1" applyAlignment="1">
      <alignment horizontal="right"/>
    </xf>
    <xf numFmtId="0" fontId="3" fillId="0" borderId="0" xfId="2" applyFont="1"/>
    <xf numFmtId="0" fontId="3" fillId="0" borderId="0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 wrapText="1"/>
    </xf>
    <xf numFmtId="0" fontId="3" fillId="0" borderId="0" xfId="0" applyFont="1" applyBorder="1"/>
    <xf numFmtId="0" fontId="2" fillId="0" borderId="0" xfId="0" applyFont="1"/>
    <xf numFmtId="4" fontId="1" fillId="0" borderId="0" xfId="0" applyNumberFormat="1" applyFont="1" applyAlignment="1"/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right"/>
    </xf>
    <xf numFmtId="0" fontId="5" fillId="0" borderId="0" xfId="0" applyFont="1"/>
    <xf numFmtId="0" fontId="1" fillId="0" borderId="0" xfId="0" applyFont="1" applyAlignment="1">
      <alignment horizontal="right" wrapText="1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2" fontId="6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2" applyFont="1" applyBorder="1"/>
    <xf numFmtId="0" fontId="1" fillId="0" borderId="0" xfId="2" applyFont="1"/>
    <xf numFmtId="0" fontId="1" fillId="0" borderId="0" xfId="2" applyFont="1" applyBorder="1"/>
    <xf numFmtId="0" fontId="1" fillId="0" borderId="0" xfId="2" applyFont="1" applyAlignment="1">
      <alignment horizontal="center"/>
    </xf>
    <xf numFmtId="0" fontId="1" fillId="0" borderId="1" xfId="0" applyFont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2" fontId="6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vertical="top"/>
    </xf>
    <xf numFmtId="2" fontId="1" fillId="0" borderId="0" xfId="0" applyNumberFormat="1" applyFont="1" applyBorder="1" applyAlignment="1">
      <alignment horizontal="center" vertical="top"/>
    </xf>
    <xf numFmtId="0" fontId="1" fillId="0" borderId="0" xfId="2" applyFont="1" applyAlignment="1">
      <alignment vertical="top"/>
    </xf>
    <xf numFmtId="0" fontId="1" fillId="0" borderId="0" xfId="2" applyFont="1" applyBorder="1" applyAlignment="1">
      <alignment vertical="top"/>
    </xf>
    <xf numFmtId="0" fontId="1" fillId="0" borderId="0" xfId="0" applyFont="1" applyAlignment="1">
      <alignment vertical="top"/>
    </xf>
    <xf numFmtId="0" fontId="6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" xfId="2" applyFont="1" applyBorder="1" applyAlignment="1">
      <alignment vertical="top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0" xfId="2" applyFont="1" applyAlignment="1">
      <alignment horizontal="right"/>
    </xf>
    <xf numFmtId="0" fontId="1" fillId="0" borderId="0" xfId="2" applyFont="1" applyBorder="1" applyAlignment="1">
      <alignment horizontal="right"/>
    </xf>
    <xf numFmtId="0" fontId="1" fillId="0" borderId="0" xfId="2" applyFont="1" applyBorder="1" applyAlignment="1">
      <alignment horizontal="left" wrapText="1"/>
    </xf>
    <xf numFmtId="2" fontId="0" fillId="0" borderId="0" xfId="0" applyNumberFormat="1"/>
    <xf numFmtId="2" fontId="1" fillId="0" borderId="0" xfId="0" applyNumberFormat="1" applyFont="1" applyAlignment="1">
      <alignment vertical="top"/>
    </xf>
    <xf numFmtId="2" fontId="1" fillId="0" borderId="0" xfId="0" applyNumberFormat="1" applyFont="1"/>
    <xf numFmtId="2" fontId="1" fillId="0" borderId="0" xfId="0" applyNumberFormat="1" applyFont="1" applyBorder="1" applyAlignment="1">
      <alignment horizontal="center"/>
    </xf>
    <xf numFmtId="0" fontId="1" fillId="0" borderId="0" xfId="0" applyFont="1" applyAlignment="1"/>
    <xf numFmtId="0" fontId="1" fillId="0" borderId="1" xfId="0" applyFont="1" applyBorder="1"/>
    <xf numFmtId="0" fontId="1" fillId="0" borderId="1" xfId="0" applyFont="1" applyFill="1" applyBorder="1" applyAlignment="1">
      <alignment horizontal="left" wrapText="1"/>
    </xf>
    <xf numFmtId="0" fontId="3" fillId="0" borderId="0" xfId="2" applyFont="1" applyBorder="1" applyAlignment="1">
      <alignment horizontal="right"/>
    </xf>
    <xf numFmtId="0" fontId="3" fillId="0" borderId="0" xfId="2" applyFont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/>
    </xf>
    <xf numFmtId="0" fontId="8" fillId="0" borderId="0" xfId="0" applyFont="1"/>
    <xf numFmtId="4" fontId="8" fillId="0" borderId="0" xfId="0" applyNumberFormat="1" applyFont="1" applyAlignment="1"/>
    <xf numFmtId="4" fontId="8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2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8" fillId="0" borderId="0" xfId="0" applyFont="1" applyAlignment="1"/>
    <xf numFmtId="0" fontId="1" fillId="0" borderId="0" xfId="0" applyFont="1" applyBorder="1" applyAlignment="1">
      <alignment horizontal="right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/>
    <xf numFmtId="0" fontId="1" fillId="0" borderId="0" xfId="2" applyFont="1" applyBorder="1" applyAlignment="1">
      <alignment wrapText="1"/>
    </xf>
    <xf numFmtId="2" fontId="1" fillId="0" borderId="0" xfId="2" applyNumberFormat="1" applyFont="1"/>
    <xf numFmtId="190" fontId="1" fillId="0" borderId="0" xfId="0" applyNumberFormat="1" applyFont="1"/>
    <xf numFmtId="0" fontId="1" fillId="0" borderId="1" xfId="0" applyFont="1" applyFill="1" applyBorder="1" applyAlignment="1">
      <alignment horizontal="left"/>
    </xf>
    <xf numFmtId="0" fontId="1" fillId="0" borderId="0" xfId="0" applyFont="1" applyBorder="1" applyAlignment="1">
      <alignment vertical="center"/>
    </xf>
    <xf numFmtId="2" fontId="1" fillId="0" borderId="1" xfId="2" applyNumberFormat="1" applyFont="1" applyBorder="1"/>
    <xf numFmtId="2" fontId="6" fillId="0" borderId="1" xfId="0" applyNumberFormat="1" applyFont="1" applyBorder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right"/>
    </xf>
    <xf numFmtId="0" fontId="20" fillId="0" borderId="0" xfId="0" applyFont="1" applyAlignment="1">
      <alignment horizontal="right" wrapText="1"/>
    </xf>
    <xf numFmtId="0" fontId="20" fillId="0" borderId="0" xfId="0" applyFont="1" applyAlignment="1">
      <alignment wrapText="1"/>
    </xf>
    <xf numFmtId="0" fontId="20" fillId="0" borderId="0" xfId="0" applyFont="1" applyAlignment="1"/>
    <xf numFmtId="0" fontId="20" fillId="0" borderId="0" xfId="0" applyFont="1" applyBorder="1" applyAlignment="1">
      <alignment horizontal="right" wrapText="1"/>
    </xf>
    <xf numFmtId="0" fontId="20" fillId="0" borderId="0" xfId="0" applyFont="1" applyBorder="1" applyAlignment="1">
      <alignment horizontal="right"/>
    </xf>
    <xf numFmtId="0" fontId="20" fillId="0" borderId="0" xfId="0" applyFont="1" applyBorder="1"/>
    <xf numFmtId="0" fontId="21" fillId="0" borderId="0" xfId="0" applyFont="1" applyAlignment="1">
      <alignment horizontal="center"/>
    </xf>
    <xf numFmtId="0" fontId="20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vertical="top"/>
    </xf>
    <xf numFmtId="0" fontId="20" fillId="0" borderId="0" xfId="0" applyFont="1" applyBorder="1" applyAlignment="1">
      <alignment vertical="top" wrapText="1"/>
    </xf>
    <xf numFmtId="0" fontId="20" fillId="0" borderId="0" xfId="0" applyFont="1" applyBorder="1" applyAlignment="1">
      <alignment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/>
    <xf numFmtId="0" fontId="20" fillId="0" borderId="1" xfId="0" applyFont="1" applyBorder="1" applyAlignment="1">
      <alignment vertical="top"/>
    </xf>
    <xf numFmtId="2" fontId="20" fillId="0" borderId="1" xfId="0" applyNumberFormat="1" applyFont="1" applyBorder="1" applyAlignment="1">
      <alignment horizontal="center" vertical="top"/>
    </xf>
    <xf numFmtId="0" fontId="20" fillId="0" borderId="1" xfId="0" applyFont="1" applyFill="1" applyBorder="1" applyAlignment="1">
      <alignment horizontal="left" wrapText="1"/>
    </xf>
    <xf numFmtId="0" fontId="20" fillId="0" borderId="1" xfId="0" applyFont="1" applyFill="1" applyBorder="1" applyAlignment="1">
      <alignment horizontal="left"/>
    </xf>
    <xf numFmtId="0" fontId="21" fillId="0" borderId="1" xfId="0" applyFont="1" applyBorder="1" applyAlignment="1">
      <alignment horizontal="left"/>
    </xf>
    <xf numFmtId="2" fontId="21" fillId="0" borderId="1" xfId="0" applyNumberFormat="1" applyFont="1" applyBorder="1" applyAlignment="1">
      <alignment horizontal="center" vertical="top"/>
    </xf>
    <xf numFmtId="2" fontId="20" fillId="0" borderId="0" xfId="0" applyNumberFormat="1" applyFont="1"/>
    <xf numFmtId="0" fontId="20" fillId="0" borderId="1" xfId="0" applyFont="1" applyBorder="1" applyAlignment="1">
      <alignment horizontal="right" vertical="top"/>
    </xf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right" vertical="top" wrapText="1"/>
    </xf>
    <xf numFmtId="0" fontId="20" fillId="0" borderId="1" xfId="0" applyFont="1" applyFill="1" applyBorder="1" applyAlignment="1">
      <alignment vertical="top" wrapText="1"/>
    </xf>
    <xf numFmtId="0" fontId="21" fillId="0" borderId="1" xfId="0" applyFont="1" applyBorder="1" applyAlignment="1"/>
    <xf numFmtId="2" fontId="20" fillId="0" borderId="0" xfId="0" applyNumberFormat="1" applyFont="1" applyBorder="1" applyAlignment="1">
      <alignment horizontal="center"/>
    </xf>
    <xf numFmtId="0" fontId="20" fillId="0" borderId="0" xfId="2" applyFont="1" applyBorder="1" applyAlignment="1">
      <alignment wrapText="1"/>
    </xf>
    <xf numFmtId="0" fontId="20" fillId="0" borderId="1" xfId="0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0" borderId="0" xfId="2" applyFont="1" applyBorder="1" applyAlignment="1">
      <alignment vertical="top" wrapText="1"/>
    </xf>
    <xf numFmtId="0" fontId="20" fillId="0" borderId="1" xfId="2" applyFont="1" applyBorder="1"/>
    <xf numFmtId="0" fontId="20" fillId="0" borderId="0" xfId="2" applyFont="1"/>
    <xf numFmtId="2" fontId="20" fillId="0" borderId="0" xfId="2" applyNumberFormat="1" applyFont="1"/>
    <xf numFmtId="0" fontId="20" fillId="0" borderId="0" xfId="2" applyFont="1" applyBorder="1"/>
    <xf numFmtId="0" fontId="20" fillId="0" borderId="0" xfId="0" applyFont="1" applyAlignment="1">
      <alignment horizontal="left"/>
    </xf>
    <xf numFmtId="190" fontId="20" fillId="0" borderId="0" xfId="0" applyNumberFormat="1" applyFont="1"/>
    <xf numFmtId="197" fontId="20" fillId="0" borderId="0" xfId="0" applyNumberFormat="1" applyFont="1"/>
    <xf numFmtId="2" fontId="20" fillId="0" borderId="1" xfId="2" applyNumberFormat="1" applyFont="1" applyBorder="1"/>
    <xf numFmtId="2" fontId="20" fillId="0" borderId="1" xfId="0" applyNumberFormat="1" applyFont="1" applyBorder="1"/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2" fontId="6" fillId="3" borderId="1" xfId="0" applyNumberFormat="1" applyFont="1" applyFill="1" applyBorder="1" applyAlignment="1">
      <alignment horizontal="center" vertical="top"/>
    </xf>
    <xf numFmtId="0" fontId="1" fillId="0" borderId="1" xfId="2" applyFont="1" applyBorder="1" applyAlignment="1">
      <alignment horizontal="center"/>
    </xf>
    <xf numFmtId="0" fontId="5" fillId="0" borderId="0" xfId="0" applyFont="1" applyAlignment="1">
      <alignment horizontal="center"/>
    </xf>
    <xf numFmtId="10" fontId="1" fillId="0" borderId="0" xfId="0" applyNumberFormat="1" applyFont="1"/>
    <xf numFmtId="0" fontId="10" fillId="0" borderId="0" xfId="0" applyFont="1"/>
    <xf numFmtId="0" fontId="1" fillId="0" borderId="2" xfId="0" applyFont="1" applyBorder="1" applyAlignment="1">
      <alignment vertical="top"/>
    </xf>
    <xf numFmtId="0" fontId="1" fillId="0" borderId="3" xfId="2" applyFont="1" applyBorder="1" applyAlignment="1">
      <alignment wrapText="1"/>
    </xf>
    <xf numFmtId="197" fontId="1" fillId="0" borderId="0" xfId="0" applyNumberFormat="1" applyFont="1"/>
    <xf numFmtId="0" fontId="1" fillId="0" borderId="0" xfId="0" applyFont="1" applyAlignment="1">
      <alignment horizontal="right" vertical="center"/>
    </xf>
    <xf numFmtId="2" fontId="1" fillId="0" borderId="0" xfId="2" applyNumberFormat="1" applyFont="1" applyAlignment="1">
      <alignment vertical="top"/>
    </xf>
    <xf numFmtId="0" fontId="2" fillId="0" borderId="0" xfId="0" applyFont="1" applyBorder="1"/>
    <xf numFmtId="2" fontId="2" fillId="0" borderId="0" xfId="0" applyNumberFormat="1" applyFont="1"/>
    <xf numFmtId="2" fontId="2" fillId="0" borderId="0" xfId="0" applyNumberFormat="1" applyFont="1" applyBorder="1"/>
    <xf numFmtId="2" fontId="3" fillId="0" borderId="0" xfId="2" applyNumberFormat="1" applyFont="1"/>
    <xf numFmtId="0" fontId="1" fillId="0" borderId="1" xfId="0" applyFont="1" applyFill="1" applyBorder="1" applyAlignment="1">
      <alignment horizontal="left" vertical="top"/>
    </xf>
    <xf numFmtId="189" fontId="1" fillId="0" borderId="1" xfId="0" applyNumberFormat="1" applyFont="1" applyBorder="1" applyAlignment="1">
      <alignment vertical="top"/>
    </xf>
    <xf numFmtId="0" fontId="2" fillId="0" borderId="0" xfId="0" applyFont="1" applyAlignment="1">
      <alignment horizontal="center"/>
    </xf>
    <xf numFmtId="2" fontId="1" fillId="0" borderId="0" xfId="2" applyNumberFormat="1" applyFont="1" applyAlignment="1">
      <alignment horizontal="center"/>
    </xf>
    <xf numFmtId="189" fontId="6" fillId="0" borderId="1" xfId="0" applyNumberFormat="1" applyFont="1" applyBorder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89" fontId="1" fillId="0" borderId="1" xfId="2" applyNumberFormat="1" applyFont="1" applyBorder="1"/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0" xfId="2" applyFont="1" applyBorder="1" applyAlignment="1">
      <alignment horizontal="center"/>
    </xf>
    <xf numFmtId="2" fontId="1" fillId="0" borderId="1" xfId="2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2" fontId="3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2" fontId="4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2" fontId="3" fillId="0" borderId="0" xfId="0" applyNumberFormat="1" applyFont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2" fontId="5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/>
    </xf>
    <xf numFmtId="0" fontId="1" fillId="0" borderId="6" xfId="0" applyFont="1" applyBorder="1" applyAlignment="1">
      <alignment vertical="top"/>
    </xf>
    <xf numFmtId="0" fontId="1" fillId="0" borderId="6" xfId="0" applyFont="1" applyBorder="1"/>
    <xf numFmtId="0" fontId="1" fillId="0" borderId="6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/>
    </xf>
    <xf numFmtId="0" fontId="6" fillId="0" borderId="6" xfId="0" applyFont="1" applyBorder="1" applyAlignment="1">
      <alignment horizontal="left" vertical="top"/>
    </xf>
    <xf numFmtId="0" fontId="6" fillId="0" borderId="6" xfId="0" applyFont="1" applyBorder="1" applyAlignment="1">
      <alignment vertical="top"/>
    </xf>
    <xf numFmtId="0" fontId="1" fillId="2" borderId="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top"/>
    </xf>
    <xf numFmtId="0" fontId="5" fillId="0" borderId="0" xfId="0" applyFont="1" applyBorder="1"/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2" fontId="5" fillId="0" borderId="0" xfId="0" applyNumberFormat="1" applyFont="1" applyBorder="1"/>
    <xf numFmtId="0" fontId="6" fillId="0" borderId="0" xfId="0" applyFont="1" applyBorder="1" applyAlignment="1">
      <alignment vertical="top"/>
    </xf>
    <xf numFmtId="0" fontId="1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top"/>
    </xf>
    <xf numFmtId="2" fontId="1" fillId="0" borderId="0" xfId="0" applyNumberFormat="1" applyFont="1" applyAlignment="1">
      <alignment horizontal="center"/>
    </xf>
    <xf numFmtId="0" fontId="12" fillId="0" borderId="0" xfId="0" applyFont="1"/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top"/>
    </xf>
    <xf numFmtId="0" fontId="8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vertical="top"/>
    </xf>
    <xf numFmtId="2" fontId="8" fillId="0" borderId="1" xfId="0" applyNumberFormat="1" applyFont="1" applyBorder="1" applyAlignment="1">
      <alignment vertical="top"/>
    </xf>
    <xf numFmtId="0" fontId="8" fillId="0" borderId="1" xfId="0" applyFont="1" applyBorder="1"/>
    <xf numFmtId="2" fontId="8" fillId="0" borderId="1" xfId="0" applyNumberFormat="1" applyFont="1" applyBorder="1"/>
    <xf numFmtId="0" fontId="9" fillId="0" borderId="1" xfId="0" applyFont="1" applyBorder="1" applyAlignment="1">
      <alignment horizontal="left"/>
    </xf>
    <xf numFmtId="2" fontId="9" fillId="0" borderId="1" xfId="0" applyNumberFormat="1" applyFont="1" applyBorder="1" applyAlignment="1">
      <alignment horizontal="left"/>
    </xf>
    <xf numFmtId="0" fontId="9" fillId="0" borderId="1" xfId="0" applyFont="1" applyBorder="1" applyAlignment="1"/>
    <xf numFmtId="0" fontId="8" fillId="0" borderId="0" xfId="0" applyFont="1" applyBorder="1"/>
    <xf numFmtId="0" fontId="8" fillId="0" borderId="0" xfId="2" applyFont="1" applyBorder="1" applyAlignment="1">
      <alignment wrapText="1"/>
    </xf>
    <xf numFmtId="0" fontId="8" fillId="0" borderId="0" xfId="0" applyFont="1" applyBorder="1" applyAlignment="1">
      <alignment horizontal="center" vertical="top"/>
    </xf>
    <xf numFmtId="0" fontId="8" fillId="0" borderId="0" xfId="2" applyFont="1" applyBorder="1" applyAlignment="1">
      <alignment vertical="top" wrapText="1"/>
    </xf>
    <xf numFmtId="0" fontId="8" fillId="0" borderId="0" xfId="2" applyFont="1"/>
    <xf numFmtId="0" fontId="8" fillId="0" borderId="0" xfId="2" applyFont="1" applyBorder="1"/>
    <xf numFmtId="0" fontId="15" fillId="0" borderId="0" xfId="0" applyFont="1" applyAlignment="1">
      <alignment horizontal="right"/>
    </xf>
    <xf numFmtId="0" fontId="15" fillId="0" borderId="0" xfId="0" applyFont="1" applyAlignment="1">
      <alignment wrapText="1"/>
    </xf>
    <xf numFmtId="0" fontId="15" fillId="0" borderId="0" xfId="0" applyFont="1" applyAlignment="1"/>
    <xf numFmtId="0" fontId="15" fillId="0" borderId="0" xfId="0" applyFont="1"/>
    <xf numFmtId="0" fontId="16" fillId="0" borderId="0" xfId="0" applyFont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vertical="top" wrapText="1"/>
    </xf>
    <xf numFmtId="0" fontId="15" fillId="0" borderId="0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/>
    </xf>
    <xf numFmtId="0" fontId="15" fillId="0" borderId="1" xfId="0" applyFont="1" applyBorder="1" applyAlignment="1">
      <alignment vertical="top"/>
    </xf>
    <xf numFmtId="2" fontId="15" fillId="0" borderId="1" xfId="0" applyNumberFormat="1" applyFont="1" applyBorder="1" applyAlignment="1">
      <alignment vertical="top"/>
    </xf>
    <xf numFmtId="0" fontId="15" fillId="0" borderId="1" xfId="0" applyFont="1" applyBorder="1"/>
    <xf numFmtId="2" fontId="15" fillId="0" borderId="1" xfId="0" applyNumberFormat="1" applyFont="1" applyBorder="1"/>
    <xf numFmtId="0" fontId="16" fillId="0" borderId="1" xfId="0" applyFont="1" applyBorder="1" applyAlignment="1">
      <alignment horizontal="left"/>
    </xf>
    <xf numFmtId="2" fontId="16" fillId="0" borderId="1" xfId="0" applyNumberFormat="1" applyFont="1" applyBorder="1" applyAlignment="1">
      <alignment horizontal="left"/>
    </xf>
    <xf numFmtId="0" fontId="16" fillId="0" borderId="1" xfId="0" applyFont="1" applyBorder="1" applyAlignment="1"/>
    <xf numFmtId="0" fontId="15" fillId="0" borderId="0" xfId="0" applyFont="1" applyBorder="1"/>
    <xf numFmtId="0" fontId="15" fillId="0" borderId="0" xfId="2" applyFont="1" applyBorder="1" applyAlignment="1">
      <alignment wrapText="1"/>
    </xf>
    <xf numFmtId="0" fontId="15" fillId="0" borderId="0" xfId="0" applyFont="1" applyBorder="1" applyAlignment="1">
      <alignment horizontal="center" vertical="top"/>
    </xf>
    <xf numFmtId="0" fontId="15" fillId="0" borderId="0" xfId="2" applyFont="1" applyBorder="1" applyAlignment="1">
      <alignment vertical="top" wrapText="1"/>
    </xf>
    <xf numFmtId="0" fontId="15" fillId="0" borderId="0" xfId="2" applyFont="1"/>
    <xf numFmtId="0" fontId="15" fillId="0" borderId="0" xfId="2" applyFont="1" applyBorder="1"/>
    <xf numFmtId="0" fontId="15" fillId="0" borderId="0" xfId="0" applyFont="1" applyAlignment="1">
      <alignment horizontal="left"/>
    </xf>
    <xf numFmtId="190" fontId="15" fillId="0" borderId="1" xfId="0" applyNumberFormat="1" applyFont="1" applyBorder="1"/>
    <xf numFmtId="0" fontId="15" fillId="0" borderId="0" xfId="0" applyFont="1" applyAlignment="1">
      <alignment horizontal="right" wrapText="1"/>
    </xf>
    <xf numFmtId="0" fontId="15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0" xfId="0" applyFont="1" applyBorder="1" applyAlignment="1">
      <alignment horizontal="left" vertical="top" wrapText="1"/>
    </xf>
    <xf numFmtId="0" fontId="15" fillId="0" borderId="0" xfId="0" applyFont="1" applyAlignment="1">
      <alignment vertical="top"/>
    </xf>
    <xf numFmtId="0" fontId="15" fillId="0" borderId="0" xfId="2" applyFont="1" applyAlignment="1">
      <alignment vertical="top"/>
    </xf>
    <xf numFmtId="0" fontId="15" fillId="0" borderId="0" xfId="2" applyFont="1" applyBorder="1" applyAlignment="1">
      <alignment vertical="top"/>
    </xf>
    <xf numFmtId="0" fontId="15" fillId="0" borderId="0" xfId="2" applyFont="1" applyAlignment="1">
      <alignment horizontal="center"/>
    </xf>
    <xf numFmtId="0" fontId="16" fillId="0" borderId="1" xfId="0" applyFont="1" applyBorder="1" applyAlignment="1">
      <alignment horizontal="center" vertical="top"/>
    </xf>
    <xf numFmtId="0" fontId="15" fillId="0" borderId="1" xfId="0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Fill="1" applyBorder="1" applyAlignment="1">
      <alignment vertical="top" wrapText="1"/>
    </xf>
    <xf numFmtId="0" fontId="15" fillId="0" borderId="0" xfId="0" applyFont="1" applyBorder="1" applyAlignment="1">
      <alignment horizontal="center"/>
    </xf>
    <xf numFmtId="0" fontId="15" fillId="0" borderId="3" xfId="2" applyFont="1" applyBorder="1" applyAlignment="1">
      <alignment wrapText="1"/>
    </xf>
    <xf numFmtId="190" fontId="1" fillId="0" borderId="1" xfId="2" applyNumberFormat="1" applyFont="1" applyBorder="1"/>
    <xf numFmtId="190" fontId="1" fillId="0" borderId="0" xfId="2" applyNumberFormat="1" applyFont="1"/>
    <xf numFmtId="0" fontId="15" fillId="0" borderId="0" xfId="0" applyFont="1" applyBorder="1" applyAlignment="1">
      <alignment horizontal="right" wrapText="1"/>
    </xf>
    <xf numFmtId="0" fontId="15" fillId="0" borderId="0" xfId="2" applyFont="1" applyBorder="1" applyAlignment="1">
      <alignment horizontal="right"/>
    </xf>
    <xf numFmtId="0" fontId="15" fillId="0" borderId="0" xfId="0" applyFont="1" applyBorder="1" applyAlignment="1">
      <alignment horizontal="right"/>
    </xf>
    <xf numFmtId="0" fontId="17" fillId="0" borderId="0" xfId="0" applyFont="1"/>
    <xf numFmtId="0" fontId="15" fillId="0" borderId="1" xfId="0" applyFont="1" applyBorder="1" applyAlignment="1">
      <alignment horizontal="center" vertical="top"/>
    </xf>
    <xf numFmtId="2" fontId="15" fillId="0" borderId="1" xfId="0" applyNumberFormat="1" applyFont="1" applyBorder="1" applyAlignment="1">
      <alignment horizontal="center" vertical="top"/>
    </xf>
    <xf numFmtId="2" fontId="16" fillId="0" borderId="1" xfId="0" applyNumberFormat="1" applyFont="1" applyBorder="1" applyAlignment="1">
      <alignment horizontal="center" vertical="top"/>
    </xf>
    <xf numFmtId="0" fontId="15" fillId="0" borderId="0" xfId="0" applyFont="1" applyBorder="1" applyAlignment="1">
      <alignment horizontal="center" vertical="center" wrapText="1"/>
    </xf>
    <xf numFmtId="2" fontId="15" fillId="0" borderId="0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2" fontId="16" fillId="0" borderId="1" xfId="0" applyNumberFormat="1" applyFont="1" applyFill="1" applyBorder="1" applyAlignment="1">
      <alignment horizontal="center" vertical="top"/>
    </xf>
    <xf numFmtId="0" fontId="15" fillId="0" borderId="1" xfId="2" applyFont="1" applyBorder="1"/>
    <xf numFmtId="0" fontId="15" fillId="0" borderId="0" xfId="1" applyFont="1" applyAlignment="1">
      <alignment horizontal="left"/>
    </xf>
    <xf numFmtId="2" fontId="17" fillId="0" borderId="0" xfId="0" applyNumberFormat="1" applyFont="1"/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 applyAlignment="1">
      <alignment vertical="top"/>
    </xf>
    <xf numFmtId="0" fontId="1" fillId="3" borderId="0" xfId="0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center" vertical="top" wrapText="1"/>
    </xf>
    <xf numFmtId="2" fontId="12" fillId="0" borderId="0" xfId="0" applyNumberFormat="1" applyFont="1"/>
    <xf numFmtId="2" fontId="1" fillId="0" borderId="1" xfId="2" applyNumberFormat="1" applyFont="1" applyBorder="1" applyAlignment="1">
      <alignment vertical="top"/>
    </xf>
    <xf numFmtId="0" fontId="3" fillId="0" borderId="0" xfId="0" applyFont="1" applyBorder="1" applyAlignment="1"/>
    <xf numFmtId="0" fontId="3" fillId="0" borderId="0" xfId="0" applyFont="1" applyAlignment="1"/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0" fontId="3" fillId="0" borderId="0" xfId="2" applyFont="1" applyBorder="1" applyAlignment="1">
      <alignment horizontal="right" wrapText="1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1" fillId="0" borderId="0" xfId="2" applyFont="1" applyBorder="1" applyAlignment="1">
      <alignment wrapText="1"/>
    </xf>
    <xf numFmtId="0" fontId="1" fillId="0" borderId="0" xfId="2" applyFont="1" applyBorder="1" applyAlignment="1">
      <alignment vertical="top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20" fillId="0" borderId="0" xfId="2" applyFont="1" applyBorder="1" applyAlignment="1">
      <alignment vertical="top" wrapText="1"/>
    </xf>
    <xf numFmtId="0" fontId="20" fillId="0" borderId="0" xfId="0" applyFont="1" applyBorder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20" fillId="0" borderId="0" xfId="2" applyFont="1" applyBorder="1" applyAlignment="1">
      <alignment wrapText="1"/>
    </xf>
    <xf numFmtId="0" fontId="1" fillId="0" borderId="0" xfId="2" applyFont="1" applyAlignment="1">
      <alignment vertical="top" wrapText="1"/>
    </xf>
    <xf numFmtId="0" fontId="1" fillId="0" borderId="3" xfId="2" applyFont="1" applyBorder="1" applyAlignment="1">
      <alignment vertical="top" wrapText="1"/>
    </xf>
    <xf numFmtId="0" fontId="1" fillId="0" borderId="0" xfId="2" applyFont="1" applyAlignment="1">
      <alignment wrapText="1"/>
    </xf>
    <xf numFmtId="0" fontId="1" fillId="0" borderId="3" xfId="2" applyFont="1" applyBorder="1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1" applyFont="1" applyAlignment="1" applyProtection="1">
      <alignment horizontal="left"/>
    </xf>
    <xf numFmtId="0" fontId="8" fillId="0" borderId="0" xfId="1" applyFont="1" applyAlignment="1" applyProtection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14" fillId="0" borderId="0" xfId="1" applyFont="1" applyAlignment="1" applyProtection="1">
      <alignment horizontal="left"/>
    </xf>
    <xf numFmtId="0" fontId="1" fillId="0" borderId="0" xfId="1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center" vertical="top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837D5\4.reh.kursi._7.izmitin.D71_veca%20cena-jauna%20cena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., 6., 11._2021"/>
      <sheetName val="4. - Reh.kursi_pieaugums"/>
      <sheetName val="7.izmitināšana_4.reh,kursi"/>
      <sheetName val="4._kursi"/>
      <sheetName val="7._izmitināšana_GALA mpc"/>
      <sheetName val="Sheet2"/>
      <sheetName val="Sheet1"/>
      <sheetName val="cenu starpib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P6">
            <v>11.803999999999998</v>
          </cell>
          <cell r="Q6">
            <v>15.693999999999999</v>
          </cell>
          <cell r="R6">
            <v>9.6161298052920614</v>
          </cell>
          <cell r="S6">
            <v>13.506129805292062</v>
          </cell>
          <cell r="T6">
            <v>9.8060808786819766</v>
          </cell>
          <cell r="U6">
            <v>13.696080878681975</v>
          </cell>
          <cell r="V6">
            <v>2.187870194707938</v>
          </cell>
          <cell r="W6">
            <v>5.3220006906220405</v>
          </cell>
          <cell r="X6">
            <v>7.8366012721862255</v>
          </cell>
          <cell r="Y6">
            <v>8.6068716924613078</v>
          </cell>
          <cell r="Z6">
            <v>12.496871692461308</v>
          </cell>
          <cell r="AA6">
            <v>8.3168716924613069</v>
          </cell>
        </row>
        <row r="8">
          <cell r="P8">
            <v>0.53</v>
          </cell>
          <cell r="Q8">
            <v>0.6</v>
          </cell>
          <cell r="R8">
            <v>0.30567648527209185</v>
          </cell>
          <cell r="S8">
            <v>0.37567648527209185</v>
          </cell>
          <cell r="T8">
            <v>0.32515227159261106</v>
          </cell>
          <cell r="U8">
            <v>0.39515227159261107</v>
          </cell>
          <cell r="V8">
            <v>0.22432351472790812</v>
          </cell>
          <cell r="W8">
            <v>0.17744429718686239</v>
          </cell>
          <cell r="X8">
            <v>0.2254808388295044</v>
          </cell>
          <cell r="Y8">
            <v>0.2021967049425861</v>
          </cell>
          <cell r="Z8">
            <v>0.27219670494258608</v>
          </cell>
          <cell r="AA8">
            <v>0.27219670494258608</v>
          </cell>
        </row>
        <row r="9">
          <cell r="P9">
            <v>1.59</v>
          </cell>
          <cell r="Q9">
            <v>1.6600000000000001</v>
          </cell>
          <cell r="R9">
            <v>0.91225661507738398</v>
          </cell>
          <cell r="S9">
            <v>0.98225661507738393</v>
          </cell>
          <cell r="T9">
            <v>0.97109835247129317</v>
          </cell>
          <cell r="U9">
            <v>1.0410983524712931</v>
          </cell>
          <cell r="V9">
            <v>0.67774338492261599</v>
          </cell>
          <cell r="W9">
            <v>0.52153523662332557</v>
          </cell>
          <cell r="X9">
            <v>0.56503636616487274</v>
          </cell>
          <cell r="Y9">
            <v>0.5996155766350475</v>
          </cell>
          <cell r="Z9">
            <v>0.66961557663504745</v>
          </cell>
          <cell r="AA9">
            <v>0.54961557663504745</v>
          </cell>
        </row>
        <row r="11">
          <cell r="P11">
            <v>7.0000000000000007E-2</v>
          </cell>
          <cell r="Q11">
            <v>8.2990839332847399E-2</v>
          </cell>
          <cell r="R11">
            <v>4.6135796305541696E-2</v>
          </cell>
          <cell r="S11">
            <v>5.9126635638389081E-2</v>
          </cell>
          <cell r="T11">
            <v>4.8207688467299059E-2</v>
          </cell>
          <cell r="U11">
            <v>6.1198527800146445E-2</v>
          </cell>
          <cell r="V11">
            <v>2.3864203694458311E-2</v>
          </cell>
          <cell r="W11">
            <v>2.4067272692588633E-2</v>
          </cell>
          <cell r="X11">
            <v>3.6250939976182152E-2</v>
          </cell>
          <cell r="Y11">
            <v>3.5127309036445328E-2</v>
          </cell>
          <cell r="Z11">
            <v>4.8118148369292721E-2</v>
          </cell>
          <cell r="AA11">
            <v>4.8118148369292721E-2</v>
          </cell>
        </row>
        <row r="12">
          <cell r="P12">
            <v>1.8900000000000001</v>
          </cell>
          <cell r="Q12">
            <v>1.9878511199593216</v>
          </cell>
          <cell r="R12">
            <v>1.1167998002995507</v>
          </cell>
          <cell r="S12">
            <v>1.2146509202588722</v>
          </cell>
          <cell r="T12">
            <v>1.1839291063404893</v>
          </cell>
          <cell r="U12">
            <v>1.2817802262998108</v>
          </cell>
          <cell r="V12">
            <v>0.7732001997004494</v>
          </cell>
          <cell r="W12">
            <v>0.63560964864510527</v>
          </cell>
          <cell r="X12">
            <v>0.69759783203535841</v>
          </cell>
          <cell r="Y12">
            <v>0.76012481278082866</v>
          </cell>
          <cell r="Z12">
            <v>0.85797593274015027</v>
          </cell>
          <cell r="AA12">
            <v>0.6579759327401502</v>
          </cell>
        </row>
        <row r="13">
          <cell r="P13">
            <v>0.19</v>
          </cell>
          <cell r="Q13">
            <v>0.19</v>
          </cell>
          <cell r="R13">
            <v>0.19</v>
          </cell>
          <cell r="S13">
            <v>0.19</v>
          </cell>
          <cell r="T13">
            <v>0.19</v>
          </cell>
          <cell r="U13">
            <v>0.19</v>
          </cell>
          <cell r="V13">
            <v>0</v>
          </cell>
          <cell r="W13">
            <v>9.5000000000000015E-2</v>
          </cell>
          <cell r="X13">
            <v>9.5000000000000015E-2</v>
          </cell>
          <cell r="Y13">
            <v>0.19</v>
          </cell>
          <cell r="Z13">
            <v>0.19</v>
          </cell>
        </row>
        <row r="14">
          <cell r="P14">
            <v>2.4699999999999998</v>
          </cell>
          <cell r="Q14">
            <v>2.4699999999999998</v>
          </cell>
          <cell r="R14">
            <v>1.987943085371942</v>
          </cell>
          <cell r="S14">
            <v>1.987943085371942</v>
          </cell>
          <cell r="T14">
            <v>2.029795307039441</v>
          </cell>
          <cell r="U14">
            <v>2.029795307039441</v>
          </cell>
          <cell r="V14">
            <v>0.48205691462805789</v>
          </cell>
          <cell r="W14">
            <v>1.0355716425361956</v>
          </cell>
          <cell r="X14">
            <v>1.0355716425361956</v>
          </cell>
          <cell r="Y14">
            <v>1.7655716425361956</v>
          </cell>
          <cell r="Z14">
            <v>1.7655716425361956</v>
          </cell>
          <cell r="AA14">
            <v>0.30557164253619568</v>
          </cell>
        </row>
        <row r="15">
          <cell r="P15">
            <v>0.79999999999999993</v>
          </cell>
          <cell r="Q15">
            <v>0.9193918807861664</v>
          </cell>
          <cell r="R15">
            <v>0.57567648527209181</v>
          </cell>
          <cell r="S15">
            <v>0.69506836605825828</v>
          </cell>
          <cell r="T15">
            <v>0.59515227159261108</v>
          </cell>
          <cell r="U15">
            <v>0.71454415237877755</v>
          </cell>
          <cell r="V15">
            <v>0.22432351472790812</v>
          </cell>
          <cell r="W15">
            <v>0.31664822179830987</v>
          </cell>
          <cell r="X15">
            <v>0.39767064299991572</v>
          </cell>
          <cell r="Y15">
            <v>0.47219670494258614</v>
          </cell>
          <cell r="Z15">
            <v>0.59158858572875261</v>
          </cell>
          <cell r="AA15">
            <v>0.36158858572875252</v>
          </cell>
        </row>
        <row r="16">
          <cell r="P16">
            <v>1.0900000000000001</v>
          </cell>
          <cell r="Q16">
            <v>1.1514593952990406</v>
          </cell>
          <cell r="R16">
            <v>0.64135297054418372</v>
          </cell>
          <cell r="S16">
            <v>0.70281236584322426</v>
          </cell>
          <cell r="T16">
            <v>0.68030454318522215</v>
          </cell>
          <cell r="U16">
            <v>0.7417639384842627</v>
          </cell>
          <cell r="V16">
            <v>0.44864702945581625</v>
          </cell>
          <cell r="W16">
            <v>0.36688720285589543</v>
          </cell>
          <cell r="X16">
            <v>0.40435661982484566</v>
          </cell>
          <cell r="Y16">
            <v>0.43439340988517217</v>
          </cell>
          <cell r="Z16">
            <v>0.49585280518421282</v>
          </cell>
          <cell r="AA16">
            <v>0.38585280518421283</v>
          </cell>
        </row>
        <row r="17">
          <cell r="P17">
            <v>0.36</v>
          </cell>
          <cell r="Q17">
            <v>0.41019891782727091</v>
          </cell>
          <cell r="R17">
            <v>0.20726909635546678</v>
          </cell>
          <cell r="S17">
            <v>0.25746801418273768</v>
          </cell>
          <cell r="T17">
            <v>0.22052920619071392</v>
          </cell>
          <cell r="U17">
            <v>0.27072812401798485</v>
          </cell>
          <cell r="V17">
            <v>0.15273090364453323</v>
          </cell>
          <cell r="W17">
            <v>0.12125717043392543</v>
          </cell>
          <cell r="X17">
            <v>0.15456804176581926</v>
          </cell>
          <cell r="Y17">
            <v>0.13681477783325011</v>
          </cell>
          <cell r="Z17">
            <v>0.18701369566052103</v>
          </cell>
          <cell r="AA17">
            <v>0.18701369566052103</v>
          </cell>
        </row>
        <row r="18">
          <cell r="P18">
            <v>0.18</v>
          </cell>
          <cell r="Q18">
            <v>0.18</v>
          </cell>
          <cell r="R18">
            <v>9.4088866699950063E-2</v>
          </cell>
          <cell r="S18">
            <v>9.4088866699950063E-2</v>
          </cell>
          <cell r="T18">
            <v>0.10154767848227658</v>
          </cell>
          <cell r="U18">
            <v>0.10154767848227658</v>
          </cell>
          <cell r="V18">
            <v>8.591113330004993E-2</v>
          </cell>
          <cell r="W18">
            <v>5.4458312531203187E-2</v>
          </cell>
          <cell r="X18">
            <v>5.4458312531203187E-2</v>
          </cell>
          <cell r="Y18">
            <v>5.4458312531203187E-2</v>
          </cell>
          <cell r="Z18">
            <v>5.4458312531203187E-2</v>
          </cell>
          <cell r="AA18">
            <v>5.4458312531203187E-2</v>
          </cell>
        </row>
        <row r="19">
          <cell r="P19">
            <v>0.02</v>
          </cell>
          <cell r="Q19">
            <v>4.8496533819285675E-2</v>
          </cell>
          <cell r="R19">
            <v>0.02</v>
          </cell>
          <cell r="S19">
            <v>4.8496533819285675E-2</v>
          </cell>
          <cell r="T19">
            <v>0.02</v>
          </cell>
          <cell r="U19">
            <v>4.8496533819285675E-2</v>
          </cell>
          <cell r="W19">
            <v>1.3141746574530652E-2</v>
          </cell>
          <cell r="X19">
            <v>3.1051737481413131E-2</v>
          </cell>
          <cell r="Y19">
            <v>0.02</v>
          </cell>
          <cell r="Z19">
            <v>4.8496533819285675E-2</v>
          </cell>
          <cell r="AA19">
            <v>4.8496533819285675E-2</v>
          </cell>
        </row>
        <row r="20">
          <cell r="P20">
            <v>3.87</v>
          </cell>
        </row>
        <row r="21">
          <cell r="P21">
            <v>1.27</v>
          </cell>
          <cell r="Q21">
            <v>1.3731893746979051</v>
          </cell>
          <cell r="R21">
            <v>0.85953569645531702</v>
          </cell>
          <cell r="S21">
            <v>0.96272507115322226</v>
          </cell>
          <cell r="T21">
            <v>0.89517224163754372</v>
          </cell>
          <cell r="U21">
            <v>0.99836161633544895</v>
          </cell>
          <cell r="V21">
            <v>0.410464303544683</v>
          </cell>
          <cell r="W21">
            <v>0.47254079298288676</v>
          </cell>
          <cell r="X21">
            <v>0.54388650929818028</v>
          </cell>
          <cell r="Y21">
            <v>0.67018971542685957</v>
          </cell>
          <cell r="Z21">
            <v>0.7733790901247648</v>
          </cell>
          <cell r="AA21">
            <v>0.45337909012476479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mailto:Inese.Kise@lm.gov.lv,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mailto:Inese.Kise@lm.gov.lv,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mailto:Inese.Kise@lm.gov.lv,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mailto:Inese.Kise@lm.gov.lv,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mailto:Inese.Kise@lm.gov.lv,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mailto:Inese.Kise@lm.gov.lv,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mailto:Inese.Kise@lm.gov.lv,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view="pageLayout" topLeftCell="A22" zoomScale="80" zoomScaleNormal="100" zoomScalePageLayoutView="80" workbookViewId="0">
      <selection activeCell="B39" sqref="B39"/>
    </sheetView>
  </sheetViews>
  <sheetFormatPr defaultRowHeight="13" x14ac:dyDescent="0.3"/>
  <cols>
    <col min="1" max="1" width="10.54296875" style="75" customWidth="1"/>
    <col min="2" max="10" width="9.1796875" style="70" customWidth="1"/>
    <col min="11" max="11" width="25.81640625" style="70" customWidth="1"/>
  </cols>
  <sheetData>
    <row r="1" spans="1:13" ht="15.75" customHeight="1" x14ac:dyDescent="0.3">
      <c r="A1" s="72"/>
      <c r="B1" s="71"/>
      <c r="C1" s="71"/>
      <c r="D1" s="71"/>
      <c r="E1" s="71"/>
      <c r="F1" s="71"/>
      <c r="G1" s="75"/>
      <c r="I1" s="71"/>
      <c r="J1" s="71"/>
      <c r="K1" s="71"/>
      <c r="M1" s="71" t="s">
        <v>166</v>
      </c>
    </row>
    <row r="2" spans="1:13" ht="15.75" customHeight="1" x14ac:dyDescent="0.35">
      <c r="A2" s="72"/>
      <c r="B2" s="71"/>
      <c r="C2" s="71"/>
      <c r="D2" s="71"/>
      <c r="F2" s="71"/>
      <c r="G2" s="71"/>
      <c r="H2" s="71"/>
      <c r="I2" s="71"/>
      <c r="J2" s="71"/>
      <c r="K2" s="71"/>
      <c r="L2" s="8"/>
      <c r="M2" s="72" t="s">
        <v>60</v>
      </c>
    </row>
    <row r="3" spans="1:13" ht="15.75" customHeight="1" x14ac:dyDescent="0.3">
      <c r="A3" s="72"/>
      <c r="B3" s="71"/>
      <c r="C3" s="71"/>
      <c r="E3" s="71"/>
      <c r="F3" s="71"/>
      <c r="G3" s="71"/>
      <c r="H3" s="71"/>
      <c r="I3" s="71"/>
      <c r="J3" s="71"/>
      <c r="K3" s="71"/>
      <c r="M3" s="72" t="s">
        <v>61</v>
      </c>
    </row>
    <row r="4" spans="1:13" ht="15.75" customHeight="1" x14ac:dyDescent="0.3">
      <c r="A4" s="72"/>
      <c r="B4" s="71"/>
      <c r="D4" s="71"/>
      <c r="E4" s="71"/>
      <c r="F4" s="71"/>
      <c r="G4" s="71"/>
      <c r="H4" s="71"/>
      <c r="I4" s="71"/>
      <c r="J4" s="71"/>
      <c r="K4" s="71"/>
      <c r="M4" s="72" t="s">
        <v>62</v>
      </c>
    </row>
    <row r="5" spans="1:13" x14ac:dyDescent="0.3">
      <c r="E5" s="71"/>
      <c r="F5" s="71"/>
      <c r="G5" s="71"/>
      <c r="H5" s="71"/>
      <c r="I5" s="71"/>
      <c r="J5" s="71"/>
      <c r="K5" s="71"/>
      <c r="M5" s="72" t="s">
        <v>35</v>
      </c>
    </row>
    <row r="13" spans="1:13" ht="14" x14ac:dyDescent="0.3">
      <c r="A13" s="315" t="s">
        <v>36</v>
      </c>
      <c r="B13" s="315"/>
      <c r="C13" s="315"/>
      <c r="D13" s="315"/>
      <c r="E13" s="315"/>
      <c r="F13" s="315"/>
      <c r="G13" s="315"/>
      <c r="H13" s="315"/>
      <c r="I13" s="315"/>
      <c r="J13" s="315"/>
      <c r="K13" s="315"/>
    </row>
    <row r="14" spans="1:13" ht="14" x14ac:dyDescent="0.3">
      <c r="A14" s="1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7.25" hidden="1" customHeight="1" x14ac:dyDescent="0.3">
      <c r="A15" s="1" t="s">
        <v>106</v>
      </c>
      <c r="B15" s="316" t="s">
        <v>105</v>
      </c>
      <c r="C15" s="317"/>
      <c r="D15" s="317"/>
      <c r="E15" s="317"/>
      <c r="F15" s="317"/>
      <c r="G15" s="317"/>
      <c r="H15" s="317"/>
      <c r="I15" s="317"/>
      <c r="J15" s="317"/>
      <c r="K15" s="317"/>
    </row>
    <row r="16" spans="1:13" ht="18" customHeight="1" x14ac:dyDescent="0.3">
      <c r="A16" s="1" t="s">
        <v>184</v>
      </c>
      <c r="B16" s="310" t="s">
        <v>191</v>
      </c>
      <c r="C16" s="310"/>
      <c r="D16" s="313"/>
      <c r="E16" s="313"/>
      <c r="F16" s="313"/>
      <c r="G16" s="313"/>
      <c r="H16" s="313"/>
      <c r="I16" s="313"/>
      <c r="J16" s="313"/>
      <c r="K16" s="313"/>
    </row>
    <row r="17" spans="1:11" ht="18" customHeight="1" x14ac:dyDescent="0.3">
      <c r="A17" s="1" t="s">
        <v>185</v>
      </c>
      <c r="B17" s="310" t="s">
        <v>192</v>
      </c>
      <c r="C17" s="310"/>
      <c r="D17" s="313"/>
      <c r="E17" s="313"/>
      <c r="F17" s="313"/>
      <c r="G17" s="313"/>
      <c r="H17" s="313"/>
      <c r="I17" s="313"/>
      <c r="J17" s="313"/>
      <c r="K17" s="313"/>
    </row>
    <row r="18" spans="1:11" ht="18" customHeight="1" x14ac:dyDescent="0.3">
      <c r="A18" s="1" t="s">
        <v>186</v>
      </c>
      <c r="B18" s="310" t="s">
        <v>193</v>
      </c>
      <c r="C18" s="310"/>
      <c r="D18" s="310"/>
      <c r="E18" s="310"/>
      <c r="F18" s="310"/>
      <c r="G18" s="310"/>
      <c r="H18" s="310"/>
      <c r="I18" s="310"/>
      <c r="J18" s="310"/>
      <c r="K18" s="310"/>
    </row>
    <row r="19" spans="1:11" ht="18" customHeight="1" x14ac:dyDescent="0.3">
      <c r="A19" s="1" t="s">
        <v>187</v>
      </c>
      <c r="B19" s="310" t="s">
        <v>194</v>
      </c>
      <c r="C19" s="310"/>
      <c r="D19" s="310"/>
      <c r="E19" s="310"/>
      <c r="F19" s="310"/>
      <c r="G19" s="310"/>
      <c r="H19" s="310"/>
      <c r="I19" s="310"/>
      <c r="J19" s="310"/>
      <c r="K19" s="310"/>
    </row>
    <row r="20" spans="1:11" ht="18" customHeight="1" x14ac:dyDescent="0.3">
      <c r="A20" s="1" t="s">
        <v>188</v>
      </c>
      <c r="B20" s="310" t="s">
        <v>227</v>
      </c>
      <c r="C20" s="310"/>
      <c r="D20" s="310"/>
      <c r="E20" s="310"/>
      <c r="F20" s="310"/>
      <c r="G20" s="310"/>
      <c r="H20" s="310"/>
      <c r="I20" s="310"/>
      <c r="J20" s="310"/>
      <c r="K20" s="310"/>
    </row>
    <row r="21" spans="1:11" ht="18" customHeight="1" x14ac:dyDescent="0.3">
      <c r="A21" s="1" t="s">
        <v>189</v>
      </c>
      <c r="B21" s="310" t="s">
        <v>228</v>
      </c>
      <c r="C21" s="310"/>
      <c r="D21" s="310"/>
      <c r="E21" s="310"/>
      <c r="F21" s="310"/>
      <c r="G21" s="310"/>
      <c r="H21" s="310"/>
      <c r="I21" s="310"/>
      <c r="J21" s="310"/>
      <c r="K21" s="310"/>
    </row>
    <row r="22" spans="1:11" ht="18" customHeight="1" x14ac:dyDescent="0.3">
      <c r="A22" s="1" t="s">
        <v>195</v>
      </c>
      <c r="B22" s="310" t="s">
        <v>76</v>
      </c>
      <c r="C22" s="310"/>
      <c r="D22" s="310"/>
      <c r="E22" s="310"/>
      <c r="F22" s="310"/>
      <c r="G22" s="310"/>
      <c r="H22" s="310"/>
      <c r="I22" s="310"/>
      <c r="J22" s="310"/>
      <c r="K22" s="310"/>
    </row>
    <row r="23" spans="1:11" ht="18" customHeight="1" x14ac:dyDescent="0.3">
      <c r="A23" s="1" t="s">
        <v>196</v>
      </c>
      <c r="B23" s="310" t="s">
        <v>87</v>
      </c>
      <c r="C23" s="310"/>
      <c r="D23" s="310"/>
      <c r="E23" s="310"/>
      <c r="F23" s="310"/>
      <c r="G23" s="310"/>
      <c r="H23" s="310"/>
      <c r="I23" s="310"/>
      <c r="J23" s="310"/>
      <c r="K23" s="310"/>
    </row>
    <row r="24" spans="1:11" ht="18" customHeight="1" x14ac:dyDescent="0.3">
      <c r="A24" s="1" t="s">
        <v>197</v>
      </c>
      <c r="B24" s="310" t="s">
        <v>88</v>
      </c>
      <c r="C24" s="310"/>
      <c r="D24" s="310"/>
      <c r="E24" s="310"/>
      <c r="F24" s="310"/>
      <c r="G24" s="310"/>
      <c r="H24" s="310"/>
      <c r="I24" s="310"/>
      <c r="J24" s="310"/>
      <c r="K24" s="310"/>
    </row>
    <row r="25" spans="1:11" ht="18" customHeight="1" x14ac:dyDescent="0.3">
      <c r="A25" s="1" t="s">
        <v>198</v>
      </c>
      <c r="B25" s="310" t="s">
        <v>91</v>
      </c>
      <c r="C25" s="310"/>
      <c r="D25" s="310"/>
      <c r="E25" s="310"/>
      <c r="F25" s="310"/>
      <c r="G25" s="310"/>
      <c r="H25" s="310"/>
      <c r="I25" s="310"/>
      <c r="J25" s="310"/>
      <c r="K25" s="310"/>
    </row>
    <row r="26" spans="1:11" ht="18" customHeight="1" x14ac:dyDescent="0.3">
      <c r="A26" s="1" t="s">
        <v>199</v>
      </c>
      <c r="B26" s="310" t="s">
        <v>92</v>
      </c>
      <c r="C26" s="310"/>
      <c r="D26" s="310"/>
      <c r="E26" s="310"/>
      <c r="F26" s="310"/>
      <c r="G26" s="310"/>
      <c r="H26" s="310"/>
      <c r="I26" s="310"/>
      <c r="J26" s="310"/>
      <c r="K26" s="310"/>
    </row>
    <row r="27" spans="1:11" ht="18" customHeight="1" x14ac:dyDescent="0.3">
      <c r="A27" s="1" t="s">
        <v>213</v>
      </c>
      <c r="B27" s="310" t="s">
        <v>110</v>
      </c>
      <c r="C27" s="310"/>
      <c r="D27" s="310"/>
      <c r="E27" s="310"/>
      <c r="F27" s="310"/>
      <c r="G27" s="310"/>
      <c r="H27" s="310"/>
      <c r="I27" s="310"/>
      <c r="J27" s="310"/>
      <c r="K27" s="310"/>
    </row>
    <row r="28" spans="1:11" ht="18" customHeight="1" x14ac:dyDescent="0.3">
      <c r="A28" s="1" t="s">
        <v>214</v>
      </c>
      <c r="B28" s="310" t="s">
        <v>112</v>
      </c>
      <c r="C28" s="310"/>
      <c r="D28" s="310"/>
      <c r="E28" s="310"/>
      <c r="F28" s="310"/>
      <c r="G28" s="310"/>
      <c r="H28" s="310"/>
      <c r="I28" s="310"/>
      <c r="J28" s="310"/>
      <c r="K28" s="310"/>
    </row>
    <row r="29" spans="1:11" ht="18" customHeight="1" x14ac:dyDescent="0.3">
      <c r="A29" s="1" t="s">
        <v>215</v>
      </c>
      <c r="B29" s="310" t="s">
        <v>111</v>
      </c>
      <c r="C29" s="310"/>
      <c r="D29" s="310"/>
      <c r="E29" s="310"/>
      <c r="F29" s="310"/>
      <c r="G29" s="310"/>
      <c r="H29" s="310"/>
      <c r="I29" s="310"/>
      <c r="J29" s="310"/>
      <c r="K29" s="310"/>
    </row>
    <row r="30" spans="1:11" ht="18" customHeight="1" x14ac:dyDescent="0.3">
      <c r="A30" s="1" t="s">
        <v>216</v>
      </c>
      <c r="B30" s="310" t="s">
        <v>113</v>
      </c>
      <c r="C30" s="310"/>
      <c r="D30" s="310"/>
      <c r="E30" s="310"/>
      <c r="F30" s="310"/>
      <c r="G30" s="310"/>
      <c r="H30" s="310"/>
      <c r="I30" s="310"/>
      <c r="J30" s="310"/>
      <c r="K30" s="310"/>
    </row>
    <row r="31" spans="1:11" ht="18" customHeight="1" x14ac:dyDescent="0.3">
      <c r="A31" s="1" t="s">
        <v>217</v>
      </c>
      <c r="B31" s="310" t="s">
        <v>114</v>
      </c>
      <c r="C31" s="310"/>
      <c r="D31" s="310"/>
      <c r="E31" s="310"/>
      <c r="F31" s="310"/>
      <c r="G31" s="310"/>
      <c r="H31" s="310"/>
      <c r="I31" s="310"/>
      <c r="J31" s="310"/>
      <c r="K31" s="310"/>
    </row>
    <row r="32" spans="1:11" ht="18" customHeight="1" x14ac:dyDescent="0.3">
      <c r="A32" s="1" t="s">
        <v>190</v>
      </c>
      <c r="B32" s="310" t="s">
        <v>115</v>
      </c>
      <c r="C32" s="310"/>
      <c r="D32" s="310"/>
      <c r="E32" s="310"/>
      <c r="F32" s="310"/>
      <c r="G32" s="310"/>
      <c r="H32" s="310"/>
      <c r="I32" s="310"/>
      <c r="J32" s="310"/>
      <c r="K32" s="310"/>
    </row>
    <row r="33" spans="1:11" ht="18" customHeight="1" x14ac:dyDescent="0.3">
      <c r="A33" s="1" t="s">
        <v>218</v>
      </c>
      <c r="B33" s="310" t="s">
        <v>101</v>
      </c>
      <c r="C33" s="310"/>
      <c r="D33" s="310"/>
      <c r="E33" s="310"/>
      <c r="F33" s="310"/>
      <c r="G33" s="310"/>
      <c r="H33" s="310"/>
      <c r="I33" s="310"/>
      <c r="J33" s="310"/>
      <c r="K33" s="310"/>
    </row>
    <row r="34" spans="1:11" ht="18" customHeight="1" x14ac:dyDescent="0.3">
      <c r="A34" s="1" t="s">
        <v>219</v>
      </c>
      <c r="B34" s="310" t="s">
        <v>248</v>
      </c>
      <c r="C34" s="311"/>
      <c r="D34" s="311"/>
      <c r="E34" s="311"/>
      <c r="F34" s="311"/>
      <c r="G34" s="311"/>
      <c r="H34" s="311"/>
      <c r="I34" s="311"/>
      <c r="J34" s="311"/>
      <c r="K34" s="311"/>
    </row>
    <row r="35" spans="1:11" ht="18" customHeight="1" x14ac:dyDescent="0.3">
      <c r="A35" s="1" t="s">
        <v>220</v>
      </c>
      <c r="B35" s="310" t="s">
        <v>249</v>
      </c>
      <c r="C35" s="311"/>
      <c r="D35" s="311"/>
      <c r="E35" s="311"/>
      <c r="F35" s="311"/>
      <c r="G35" s="311"/>
      <c r="H35" s="311"/>
      <c r="I35" s="311"/>
      <c r="J35" s="311"/>
      <c r="K35" s="311"/>
    </row>
    <row r="36" spans="1:11" s="7" customFormat="1" ht="18" customHeight="1" x14ac:dyDescent="0.3">
      <c r="A36" s="1" t="s">
        <v>221</v>
      </c>
      <c r="B36" s="310" t="s">
        <v>103</v>
      </c>
      <c r="C36" s="310"/>
      <c r="D36" s="310"/>
      <c r="E36" s="310"/>
      <c r="F36" s="310"/>
      <c r="G36" s="310"/>
      <c r="H36" s="310"/>
      <c r="I36" s="310"/>
      <c r="J36" s="310"/>
      <c r="K36" s="310"/>
    </row>
    <row r="37" spans="1:11" s="7" customFormat="1" ht="18" customHeight="1" x14ac:dyDescent="0.3">
      <c r="A37" s="1" t="s">
        <v>222</v>
      </c>
      <c r="B37" s="310" t="s">
        <v>102</v>
      </c>
      <c r="C37" s="310"/>
      <c r="D37" s="313"/>
      <c r="E37" s="313"/>
      <c r="F37" s="313"/>
      <c r="G37" s="313"/>
      <c r="H37" s="313"/>
      <c r="I37" s="313"/>
      <c r="J37" s="313"/>
      <c r="K37" s="313"/>
    </row>
    <row r="38" spans="1:11" ht="18" customHeight="1" x14ac:dyDescent="0.3">
      <c r="A38" s="1" t="s">
        <v>223</v>
      </c>
      <c r="B38" s="311" t="s">
        <v>250</v>
      </c>
      <c r="C38" s="311"/>
      <c r="D38" s="4"/>
      <c r="E38" s="4"/>
      <c r="F38" s="4"/>
      <c r="G38" s="4"/>
      <c r="H38" s="4"/>
      <c r="I38" s="4"/>
      <c r="J38" s="4"/>
      <c r="K38" s="4"/>
    </row>
    <row r="39" spans="1:11" s="7" customFormat="1" ht="18" customHeight="1" x14ac:dyDescent="0.3">
      <c r="A39" s="1" t="s">
        <v>224</v>
      </c>
      <c r="B39" s="310" t="s">
        <v>229</v>
      </c>
      <c r="C39" s="310"/>
      <c r="D39" s="313"/>
      <c r="E39" s="313"/>
      <c r="F39" s="313"/>
      <c r="G39" s="313"/>
      <c r="H39" s="313"/>
      <c r="I39" s="313"/>
      <c r="J39" s="313"/>
      <c r="K39" s="313"/>
    </row>
  </sheetData>
  <mergeCells count="2">
    <mergeCell ref="A13:K13"/>
    <mergeCell ref="B15:K15"/>
  </mergeCells>
  <pageMargins left="0.88749999999999996" right="1.33671875" top="0.74803149606299213" bottom="0.74803149606299213" header="0.31496062992125984" footer="0.31496062992125984"/>
  <pageSetup paperSize="9" scale="57" fitToHeight="0" orientation="portrait" r:id="rId1"/>
  <headerFooter>
    <oddFooter>&amp;C&amp;"Times New Roman,Regular"&amp;F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5"/>
  <sheetViews>
    <sheetView view="pageLayout" topLeftCell="A4" zoomScale="80" zoomScaleNormal="100" zoomScalePageLayoutView="80" workbookViewId="0">
      <selection activeCell="E76" sqref="E76"/>
    </sheetView>
  </sheetViews>
  <sheetFormatPr defaultColWidth="9.1796875" defaultRowHeight="15.5" x14ac:dyDescent="0.35"/>
  <cols>
    <col min="1" max="1" width="18.453125" style="14" customWidth="1"/>
    <col min="2" max="2" width="86.1796875" style="14" customWidth="1"/>
    <col min="3" max="4" width="8.81640625" style="70" hidden="1" customWidth="1"/>
    <col min="5" max="5" width="26.453125" style="14" customWidth="1"/>
    <col min="6" max="16384" width="9.1796875" style="14"/>
  </cols>
  <sheetData>
    <row r="1" spans="1:5" ht="15.75" customHeight="1" x14ac:dyDescent="0.35">
      <c r="B1" s="15"/>
      <c r="C1" s="75"/>
      <c r="D1" s="75"/>
      <c r="E1" s="18" t="s">
        <v>10</v>
      </c>
    </row>
    <row r="2" spans="1:5" x14ac:dyDescent="0.35">
      <c r="C2" s="215"/>
      <c r="D2" s="215"/>
      <c r="E2" s="15" t="s">
        <v>32</v>
      </c>
    </row>
    <row r="3" spans="1:5" x14ac:dyDescent="0.35">
      <c r="B3" s="61"/>
      <c r="C3" s="79"/>
      <c r="D3" s="79"/>
      <c r="E3" s="80" t="s">
        <v>66</v>
      </c>
    </row>
    <row r="4" spans="1:5" x14ac:dyDescent="0.35">
      <c r="B4" s="15"/>
      <c r="C4" s="75"/>
      <c r="D4" s="75"/>
      <c r="E4" s="16"/>
    </row>
    <row r="5" spans="1:5" x14ac:dyDescent="0.35">
      <c r="B5" s="74"/>
      <c r="C5" s="215"/>
      <c r="D5" s="215"/>
      <c r="E5" s="16" t="s">
        <v>230</v>
      </c>
    </row>
    <row r="6" spans="1:5" x14ac:dyDescent="0.35">
      <c r="E6" s="26"/>
    </row>
    <row r="7" spans="1:5" x14ac:dyDescent="0.35">
      <c r="A7" s="318" t="s">
        <v>9</v>
      </c>
      <c r="B7" s="318"/>
      <c r="C7" s="318"/>
      <c r="D7" s="216"/>
    </row>
    <row r="8" spans="1:5" x14ac:dyDescent="0.35">
      <c r="B8" s="19"/>
      <c r="C8" s="217"/>
      <c r="D8" s="217"/>
      <c r="E8" s="26"/>
    </row>
    <row r="9" spans="1:5" x14ac:dyDescent="0.35">
      <c r="A9" s="321" t="s">
        <v>1</v>
      </c>
      <c r="B9" s="321"/>
      <c r="C9" s="218"/>
      <c r="D9" s="218"/>
      <c r="E9" s="26"/>
    </row>
    <row r="10" spans="1:5" x14ac:dyDescent="0.35">
      <c r="A10" s="321" t="s">
        <v>0</v>
      </c>
      <c r="B10" s="321"/>
      <c r="C10" s="218"/>
      <c r="D10" s="218"/>
      <c r="E10" s="26"/>
    </row>
    <row r="11" spans="1:5" x14ac:dyDescent="0.35">
      <c r="A11" s="12"/>
      <c r="B11" s="12" t="s">
        <v>181</v>
      </c>
      <c r="C11" s="218"/>
      <c r="D11" s="218"/>
      <c r="E11" s="26"/>
    </row>
    <row r="12" spans="1:5" x14ac:dyDescent="0.35">
      <c r="A12" s="12"/>
      <c r="B12" s="44" t="s">
        <v>182</v>
      </c>
      <c r="C12" s="219"/>
      <c r="D12" s="219"/>
      <c r="E12" s="26"/>
    </row>
    <row r="13" spans="1:5" x14ac:dyDescent="0.35">
      <c r="A13" s="12"/>
      <c r="B13" s="87" t="s">
        <v>183</v>
      </c>
      <c r="C13" s="220"/>
      <c r="D13" s="220"/>
      <c r="E13" s="26"/>
    </row>
    <row r="14" spans="1:5" x14ac:dyDescent="0.35">
      <c r="A14" s="12" t="s">
        <v>2</v>
      </c>
      <c r="B14" s="12" t="s">
        <v>170</v>
      </c>
      <c r="C14" s="218"/>
      <c r="D14" s="218"/>
      <c r="E14" s="26"/>
    </row>
    <row r="15" spans="1:5" ht="69.75" customHeight="1" x14ac:dyDescent="0.35">
      <c r="A15" s="52" t="s">
        <v>3</v>
      </c>
      <c r="B15" s="52" t="s">
        <v>4</v>
      </c>
      <c r="C15" s="221"/>
      <c r="D15" s="221"/>
      <c r="E15" s="52" t="s">
        <v>135</v>
      </c>
    </row>
    <row r="16" spans="1:5" x14ac:dyDescent="0.35">
      <c r="A16" s="21">
        <v>1</v>
      </c>
      <c r="B16" s="22">
        <v>2</v>
      </c>
      <c r="C16" s="222"/>
      <c r="D16" s="222"/>
      <c r="E16" s="22">
        <v>3</v>
      </c>
    </row>
    <row r="17" spans="1:11" x14ac:dyDescent="0.35">
      <c r="A17" s="21"/>
      <c r="B17" s="23" t="s">
        <v>5</v>
      </c>
      <c r="C17" s="223"/>
      <c r="D17" s="223"/>
      <c r="E17" s="62"/>
    </row>
    <row r="18" spans="1:11" x14ac:dyDescent="0.35">
      <c r="A18" s="32">
        <v>1100</v>
      </c>
      <c r="B18" s="32" t="s">
        <v>133</v>
      </c>
      <c r="C18" s="224"/>
      <c r="D18" s="225">
        <f>'[1]7._izmitināšana_GALA mpc'!$P$6</f>
        <v>11.803999999999998</v>
      </c>
      <c r="E18" s="34">
        <v>266.77</v>
      </c>
      <c r="K18" s="143"/>
    </row>
    <row r="19" spans="1:11" x14ac:dyDescent="0.35">
      <c r="A19" s="32">
        <v>1200</v>
      </c>
      <c r="B19" s="62" t="s">
        <v>134</v>
      </c>
      <c r="C19" s="226"/>
      <c r="D19" s="227">
        <f>D18*0.2359</f>
        <v>2.7845635999999998</v>
      </c>
      <c r="E19" s="34">
        <v>62.93</v>
      </c>
    </row>
    <row r="20" spans="1:11" x14ac:dyDescent="0.35">
      <c r="A20" s="32">
        <v>2222</v>
      </c>
      <c r="B20" s="63" t="s">
        <v>136</v>
      </c>
      <c r="C20" s="226"/>
      <c r="D20" s="227">
        <f>'[1]7._izmitināšana_GALA mpc'!$P$8</f>
        <v>0.53</v>
      </c>
      <c r="E20" s="34">
        <v>10.6</v>
      </c>
    </row>
    <row r="21" spans="1:11" x14ac:dyDescent="0.35">
      <c r="A21" s="32">
        <v>2223</v>
      </c>
      <c r="B21" s="63" t="s">
        <v>137</v>
      </c>
      <c r="C21" s="226"/>
      <c r="D21" s="227">
        <f>'[1]7._izmitināšana_GALA mpc'!$P$9</f>
        <v>1.59</v>
      </c>
      <c r="E21" s="34">
        <v>31.8</v>
      </c>
    </row>
    <row r="22" spans="1:11" x14ac:dyDescent="0.35">
      <c r="A22" s="32">
        <v>2243</v>
      </c>
      <c r="B22" s="23" t="s">
        <v>138</v>
      </c>
      <c r="C22" s="226"/>
      <c r="D22" s="227">
        <f>'[1]7._izmitināšana_GALA mpc'!$P$11</f>
        <v>7.0000000000000007E-2</v>
      </c>
      <c r="E22" s="34">
        <v>1.4</v>
      </c>
    </row>
    <row r="23" spans="1:11" x14ac:dyDescent="0.35">
      <c r="A23" s="32">
        <v>2244</v>
      </c>
      <c r="B23" s="23" t="s">
        <v>139</v>
      </c>
      <c r="C23" s="226"/>
      <c r="D23" s="227">
        <f>'[1]7._izmitināšana_GALA mpc'!$P$12</f>
        <v>1.8900000000000001</v>
      </c>
      <c r="E23" s="34">
        <v>37.799999999999997</v>
      </c>
    </row>
    <row r="24" spans="1:11" x14ac:dyDescent="0.35">
      <c r="A24" s="32">
        <v>2250</v>
      </c>
      <c r="B24" s="23" t="s">
        <v>125</v>
      </c>
      <c r="C24" s="226"/>
      <c r="D24" s="227">
        <f>'[1]7._izmitināšana_GALA mpc'!$P$13</f>
        <v>0.19</v>
      </c>
      <c r="E24" s="34">
        <v>3.8</v>
      </c>
    </row>
    <row r="25" spans="1:11" x14ac:dyDescent="0.35">
      <c r="A25" s="32">
        <v>2311</v>
      </c>
      <c r="B25" s="63" t="s">
        <v>152</v>
      </c>
      <c r="C25" s="226"/>
      <c r="D25" s="227">
        <f>'[1]7._izmitināšana_GALA mpc'!$P$14</f>
        <v>2.4699999999999998</v>
      </c>
      <c r="E25" s="34">
        <v>49.4</v>
      </c>
    </row>
    <row r="26" spans="1:11" x14ac:dyDescent="0.35">
      <c r="A26" s="32">
        <v>2312</v>
      </c>
      <c r="B26" s="23" t="s">
        <v>117</v>
      </c>
      <c r="C26" s="226"/>
      <c r="D26" s="227">
        <f>'[1]7._izmitināšana_GALA mpc'!$P$15</f>
        <v>0.79999999999999993</v>
      </c>
      <c r="E26" s="34">
        <v>16</v>
      </c>
    </row>
    <row r="27" spans="1:11" x14ac:dyDescent="0.35">
      <c r="A27" s="32">
        <v>2321</v>
      </c>
      <c r="B27" s="63" t="s">
        <v>140</v>
      </c>
      <c r="C27" s="226"/>
      <c r="D27" s="227">
        <f>'[1]7._izmitināšana_GALA mpc'!$P$16</f>
        <v>1.0900000000000001</v>
      </c>
      <c r="E27" s="34">
        <v>21.8</v>
      </c>
    </row>
    <row r="28" spans="1:11" x14ac:dyDescent="0.35">
      <c r="A28" s="32">
        <v>2350</v>
      </c>
      <c r="B28" s="62" t="s">
        <v>126</v>
      </c>
      <c r="C28" s="226"/>
      <c r="D28" s="227">
        <f>'[1]7._izmitināšana_GALA mpc'!$P$17</f>
        <v>0.36</v>
      </c>
      <c r="E28" s="34">
        <v>7.2</v>
      </c>
    </row>
    <row r="29" spans="1:11" x14ac:dyDescent="0.35">
      <c r="A29" s="32">
        <v>2361</v>
      </c>
      <c r="B29" s="63" t="s">
        <v>142</v>
      </c>
      <c r="C29" s="226"/>
      <c r="D29" s="227">
        <f>'[1]7._izmitināšana_GALA mpc'!$P$18</f>
        <v>0.18</v>
      </c>
      <c r="E29" s="34">
        <v>3.6</v>
      </c>
    </row>
    <row r="30" spans="1:11" x14ac:dyDescent="0.35">
      <c r="A30" s="32">
        <v>2362</v>
      </c>
      <c r="B30" s="86" t="s">
        <v>157</v>
      </c>
      <c r="C30" s="226"/>
      <c r="D30" s="227">
        <f>'[1]7._izmitināšana_GALA mpc'!$P$19</f>
        <v>0.02</v>
      </c>
      <c r="E30" s="34">
        <v>0.4</v>
      </c>
    </row>
    <row r="31" spans="1:11" x14ac:dyDescent="0.35">
      <c r="A31" s="32">
        <v>2363</v>
      </c>
      <c r="B31" s="63" t="s">
        <v>143</v>
      </c>
      <c r="C31" s="226"/>
      <c r="D31" s="227">
        <f>'[1]7._izmitināšana_GALA mpc'!$P$20</f>
        <v>3.87</v>
      </c>
      <c r="E31" s="34">
        <v>77.400000000000006</v>
      </c>
    </row>
    <row r="32" spans="1:11" x14ac:dyDescent="0.35">
      <c r="A32" s="32">
        <v>5239</v>
      </c>
      <c r="B32" s="62" t="s">
        <v>131</v>
      </c>
      <c r="C32" s="226"/>
      <c r="D32" s="227">
        <f>'[1]7._izmitināšana_GALA mpc'!$P$21</f>
        <v>1.27</v>
      </c>
      <c r="E32" s="34">
        <v>25.4</v>
      </c>
    </row>
    <row r="33" spans="1:10" x14ac:dyDescent="0.35">
      <c r="A33" s="32"/>
      <c r="B33" s="81" t="s">
        <v>6</v>
      </c>
      <c r="C33" s="228"/>
      <c r="D33" s="229">
        <f>SUM(D18:D32)</f>
        <v>28.918563599999999</v>
      </c>
      <c r="E33" s="38">
        <f>SUM(E18:E32)</f>
        <v>616.29999999999995</v>
      </c>
      <c r="F33" s="59"/>
    </row>
    <row r="34" spans="1:10" x14ac:dyDescent="0.35">
      <c r="A34" s="39"/>
      <c r="B34" s="81" t="s">
        <v>7</v>
      </c>
      <c r="C34" s="228"/>
      <c r="D34" s="228"/>
      <c r="E34" s="34"/>
    </row>
    <row r="35" spans="1:10" x14ac:dyDescent="0.35">
      <c r="A35" s="32">
        <v>1100</v>
      </c>
      <c r="B35" s="23" t="s">
        <v>133</v>
      </c>
      <c r="C35" s="226">
        <v>0.48549999999999999</v>
      </c>
      <c r="D35" s="226"/>
      <c r="E35" s="34">
        <v>285.05</v>
      </c>
      <c r="F35" s="59"/>
      <c r="J35" s="143"/>
    </row>
    <row r="36" spans="1:10" ht="16.5" customHeight="1" x14ac:dyDescent="0.35">
      <c r="A36" s="32">
        <v>1200</v>
      </c>
      <c r="B36" s="23" t="s">
        <v>134</v>
      </c>
      <c r="C36" s="226">
        <f>C35*0.2359</f>
        <v>0.11452944999999999</v>
      </c>
      <c r="D36" s="226"/>
      <c r="E36" s="34">
        <v>67.239999999999995</v>
      </c>
    </row>
    <row r="37" spans="1:10" ht="16.5" customHeight="1" x14ac:dyDescent="0.35">
      <c r="A37" s="32">
        <v>2100</v>
      </c>
      <c r="B37" s="25" t="s">
        <v>45</v>
      </c>
      <c r="C37" s="226">
        <v>1.1659999999999999E-3</v>
      </c>
      <c r="D37" s="226"/>
      <c r="E37" s="34">
        <v>0.76</v>
      </c>
    </row>
    <row r="38" spans="1:10" x14ac:dyDescent="0.35">
      <c r="A38" s="35">
        <v>2210</v>
      </c>
      <c r="B38" s="63" t="s">
        <v>121</v>
      </c>
      <c r="C38" s="226">
        <v>7.6E-3</v>
      </c>
      <c r="D38" s="226"/>
      <c r="E38" s="34">
        <v>4.95</v>
      </c>
    </row>
    <row r="39" spans="1:10" x14ac:dyDescent="0.35">
      <c r="A39" s="32">
        <v>2222</v>
      </c>
      <c r="B39" s="63" t="s">
        <v>136</v>
      </c>
      <c r="C39" s="226">
        <f>0.0095*1.15</f>
        <v>1.0924999999999999E-2</v>
      </c>
      <c r="D39" s="226"/>
      <c r="E39" s="34">
        <v>7.11</v>
      </c>
    </row>
    <row r="40" spans="1:10" x14ac:dyDescent="0.35">
      <c r="A40" s="32">
        <v>2223</v>
      </c>
      <c r="B40" s="63" t="s">
        <v>137</v>
      </c>
      <c r="C40" s="226">
        <f>0.01902*2.13</f>
        <v>4.0512599999999996E-2</v>
      </c>
      <c r="D40" s="226"/>
      <c r="E40" s="34">
        <v>26.37</v>
      </c>
    </row>
    <row r="41" spans="1:10" ht="31" x14ac:dyDescent="0.35">
      <c r="A41" s="32">
        <v>2224</v>
      </c>
      <c r="B41" s="63" t="s">
        <v>144</v>
      </c>
      <c r="C41" s="226">
        <f>0.00495*1.15</f>
        <v>5.6924999999999996E-3</v>
      </c>
      <c r="D41" s="226"/>
      <c r="E41" s="34">
        <v>3.7</v>
      </c>
    </row>
    <row r="42" spans="1:10" ht="15.75" customHeight="1" x14ac:dyDescent="0.35">
      <c r="A42" s="32">
        <v>2231</v>
      </c>
      <c r="B42" s="23" t="s">
        <v>127</v>
      </c>
      <c r="C42" s="226">
        <v>1.5499999999999999E-3</v>
      </c>
      <c r="D42" s="226"/>
      <c r="E42" s="34">
        <v>1.01</v>
      </c>
    </row>
    <row r="43" spans="1:10" ht="15.75" customHeight="1" x14ac:dyDescent="0.35">
      <c r="A43" s="32">
        <v>2235</v>
      </c>
      <c r="B43" s="78" t="s">
        <v>128</v>
      </c>
      <c r="C43" s="226">
        <v>1.65E-3</v>
      </c>
      <c r="D43" s="226"/>
      <c r="E43" s="34">
        <v>1.07</v>
      </c>
    </row>
    <row r="44" spans="1:10" x14ac:dyDescent="0.35">
      <c r="A44" s="32">
        <v>2239</v>
      </c>
      <c r="B44" s="23" t="s">
        <v>145</v>
      </c>
      <c r="C44" s="226">
        <v>4.4099999999999999E-3</v>
      </c>
      <c r="D44" s="226"/>
      <c r="E44" s="34">
        <v>2.87</v>
      </c>
    </row>
    <row r="45" spans="1:10" x14ac:dyDescent="0.35">
      <c r="A45" s="32">
        <v>2241</v>
      </c>
      <c r="B45" s="23" t="s">
        <v>124</v>
      </c>
      <c r="C45" s="226">
        <v>1.6500000000000001E-2</v>
      </c>
      <c r="D45" s="226"/>
      <c r="E45" s="34">
        <v>10.74</v>
      </c>
    </row>
    <row r="46" spans="1:10" x14ac:dyDescent="0.35">
      <c r="A46" s="32">
        <v>2242</v>
      </c>
      <c r="B46" s="63" t="s">
        <v>146</v>
      </c>
      <c r="C46" s="226">
        <v>2.2599999999999999E-3</v>
      </c>
      <c r="D46" s="226"/>
      <c r="E46" s="34">
        <v>1.47</v>
      </c>
    </row>
    <row r="47" spans="1:10" ht="15.75" customHeight="1" x14ac:dyDescent="0.35">
      <c r="A47" s="32">
        <v>2243</v>
      </c>
      <c r="B47" s="23" t="s">
        <v>138</v>
      </c>
      <c r="C47" s="226">
        <v>3.2599999999999997E-2</v>
      </c>
      <c r="D47" s="226"/>
      <c r="E47" s="34">
        <v>21.22</v>
      </c>
    </row>
    <row r="48" spans="1:10" x14ac:dyDescent="0.35">
      <c r="A48" s="32">
        <v>2244</v>
      </c>
      <c r="B48" s="23" t="s">
        <v>139</v>
      </c>
      <c r="C48" s="226">
        <f>0.20397-0.09084</f>
        <v>0.11313000000000001</v>
      </c>
      <c r="D48" s="226"/>
      <c r="E48" s="34">
        <v>73.63</v>
      </c>
    </row>
    <row r="49" spans="1:5" x14ac:dyDescent="0.35">
      <c r="A49" s="32">
        <v>2247</v>
      </c>
      <c r="B49" s="23" t="s">
        <v>147</v>
      </c>
      <c r="C49" s="226">
        <v>7.1900000000000002E-4</v>
      </c>
      <c r="D49" s="226"/>
      <c r="E49" s="34">
        <v>0.47</v>
      </c>
    </row>
    <row r="50" spans="1:5" x14ac:dyDescent="0.35">
      <c r="A50" s="32">
        <v>2249</v>
      </c>
      <c r="B50" s="23" t="s">
        <v>172</v>
      </c>
      <c r="C50" s="226">
        <v>2.32E-4</v>
      </c>
      <c r="D50" s="226"/>
      <c r="E50" s="34">
        <v>0.15</v>
      </c>
    </row>
    <row r="51" spans="1:5" x14ac:dyDescent="0.35">
      <c r="A51" s="32">
        <v>2250</v>
      </c>
      <c r="B51" s="23" t="s">
        <v>125</v>
      </c>
      <c r="C51" s="226">
        <f>0.024026-0.005</f>
        <v>1.9025999999999998E-2</v>
      </c>
      <c r="D51" s="226"/>
      <c r="E51" s="34">
        <v>12.38</v>
      </c>
    </row>
    <row r="52" spans="1:5" hidden="1" x14ac:dyDescent="0.35">
      <c r="A52" s="32">
        <v>2261</v>
      </c>
      <c r="B52" s="63" t="s">
        <v>99</v>
      </c>
      <c r="C52" s="226">
        <v>0</v>
      </c>
      <c r="D52" s="226"/>
      <c r="E52" s="34">
        <f>C52*650.83</f>
        <v>0</v>
      </c>
    </row>
    <row r="53" spans="1:5" x14ac:dyDescent="0.35">
      <c r="A53" s="32">
        <v>2262</v>
      </c>
      <c r="B53" s="63" t="s">
        <v>149</v>
      </c>
      <c r="C53" s="226">
        <v>6.2599999999999999E-3</v>
      </c>
      <c r="D53" s="226"/>
      <c r="E53" s="34">
        <v>4.07</v>
      </c>
    </row>
    <row r="54" spans="1:5" x14ac:dyDescent="0.35">
      <c r="A54" s="32">
        <v>2263</v>
      </c>
      <c r="B54" s="63" t="s">
        <v>150</v>
      </c>
      <c r="C54" s="226">
        <v>4.58E-2</v>
      </c>
      <c r="D54" s="226"/>
      <c r="E54" s="34">
        <v>29.81</v>
      </c>
    </row>
    <row r="55" spans="1:5" x14ac:dyDescent="0.35">
      <c r="A55" s="32">
        <v>2264</v>
      </c>
      <c r="B55" s="23" t="s">
        <v>151</v>
      </c>
      <c r="C55" s="226">
        <v>1.49E-3</v>
      </c>
      <c r="D55" s="226"/>
      <c r="E55" s="34">
        <v>0.97</v>
      </c>
    </row>
    <row r="56" spans="1:5" x14ac:dyDescent="0.35">
      <c r="A56" s="32">
        <v>2311</v>
      </c>
      <c r="B56" s="63" t="s">
        <v>152</v>
      </c>
      <c r="C56" s="226">
        <v>4.7699999999999999E-3</v>
      </c>
      <c r="D56" s="226"/>
      <c r="E56" s="34">
        <v>3.1</v>
      </c>
    </row>
    <row r="57" spans="1:5" x14ac:dyDescent="0.35">
      <c r="A57" s="32">
        <v>2312</v>
      </c>
      <c r="B57" s="63" t="s">
        <v>117</v>
      </c>
      <c r="C57" s="226">
        <v>5.79E-3</v>
      </c>
      <c r="D57" s="226"/>
      <c r="E57" s="34">
        <v>3.77</v>
      </c>
    </row>
    <row r="58" spans="1:5" x14ac:dyDescent="0.35">
      <c r="A58" s="32">
        <v>2314</v>
      </c>
      <c r="B58" s="78" t="s">
        <v>153</v>
      </c>
      <c r="C58" s="226">
        <v>2.2200000000000002E-3</v>
      </c>
      <c r="D58" s="226"/>
      <c r="E58" s="34">
        <v>1.44</v>
      </c>
    </row>
    <row r="59" spans="1:5" x14ac:dyDescent="0.35">
      <c r="A59" s="32">
        <v>2321</v>
      </c>
      <c r="B59" s="63" t="s">
        <v>140</v>
      </c>
      <c r="C59" s="226">
        <f>0.0198*1.2+0.005</f>
        <v>2.8760000000000001E-2</v>
      </c>
      <c r="D59" s="226"/>
      <c r="E59" s="34">
        <v>18.72</v>
      </c>
    </row>
    <row r="60" spans="1:5" x14ac:dyDescent="0.35">
      <c r="A60" s="32">
        <v>2322</v>
      </c>
      <c r="B60" s="63" t="s">
        <v>154</v>
      </c>
      <c r="C60" s="226">
        <f>0.0035*1.2</f>
        <v>4.1999999999999997E-3</v>
      </c>
      <c r="D60" s="226"/>
      <c r="E60" s="34">
        <v>2.73</v>
      </c>
    </row>
    <row r="61" spans="1:5" hidden="1" x14ac:dyDescent="0.35">
      <c r="A61" s="32">
        <v>2341</v>
      </c>
      <c r="B61" s="63" t="s">
        <v>141</v>
      </c>
      <c r="C61" s="226"/>
      <c r="D61" s="226"/>
      <c r="E61" s="34">
        <f>C61*650.83</f>
        <v>0</v>
      </c>
    </row>
    <row r="62" spans="1:5" x14ac:dyDescent="0.35">
      <c r="A62" s="32">
        <v>2350</v>
      </c>
      <c r="B62" s="62" t="s">
        <v>126</v>
      </c>
      <c r="C62" s="226">
        <v>8.5000000000000006E-3</v>
      </c>
      <c r="D62" s="226"/>
      <c r="E62" s="34">
        <v>5.53</v>
      </c>
    </row>
    <row r="63" spans="1:5" hidden="1" x14ac:dyDescent="0.35">
      <c r="A63" s="32">
        <v>2512</v>
      </c>
      <c r="B63" s="63" t="s">
        <v>155</v>
      </c>
      <c r="C63" s="226">
        <v>0</v>
      </c>
      <c r="D63" s="226"/>
      <c r="E63" s="34">
        <f>C63*650.83</f>
        <v>0</v>
      </c>
    </row>
    <row r="64" spans="1:5" ht="15.75" customHeight="1" x14ac:dyDescent="0.35">
      <c r="A64" s="32">
        <v>2513</v>
      </c>
      <c r="B64" s="62" t="s">
        <v>122</v>
      </c>
      <c r="C64" s="226">
        <v>1.4599999999999999E-3</v>
      </c>
      <c r="D64" s="226"/>
      <c r="E64" s="34">
        <v>0.95</v>
      </c>
    </row>
    <row r="65" spans="1:6" x14ac:dyDescent="0.35">
      <c r="A65" s="32">
        <v>2515</v>
      </c>
      <c r="B65" s="63" t="s">
        <v>156</v>
      </c>
      <c r="C65" s="226">
        <v>1.9E-3</v>
      </c>
      <c r="D65" s="226"/>
      <c r="E65" s="34">
        <v>1.24</v>
      </c>
    </row>
    <row r="66" spans="1:6" x14ac:dyDescent="0.35">
      <c r="A66" s="32">
        <v>2519</v>
      </c>
      <c r="B66" s="63" t="s">
        <v>123</v>
      </c>
      <c r="C66" s="226">
        <v>2E-3</v>
      </c>
      <c r="D66" s="226"/>
      <c r="E66" s="34">
        <v>1.3</v>
      </c>
    </row>
    <row r="67" spans="1:6" x14ac:dyDescent="0.35">
      <c r="A67" s="32">
        <v>5220</v>
      </c>
      <c r="B67" s="63" t="s">
        <v>129</v>
      </c>
      <c r="C67" s="226">
        <v>1.06E-2</v>
      </c>
      <c r="D67" s="226"/>
      <c r="E67" s="34">
        <v>6.9</v>
      </c>
    </row>
    <row r="68" spans="1:6" x14ac:dyDescent="0.35">
      <c r="A68" s="32">
        <v>5238</v>
      </c>
      <c r="B68" s="62" t="s">
        <v>130</v>
      </c>
      <c r="C68" s="226">
        <v>1.65E-3</v>
      </c>
      <c r="D68" s="226"/>
      <c r="E68" s="34">
        <v>1.07</v>
      </c>
      <c r="F68" s="59"/>
    </row>
    <row r="69" spans="1:6" x14ac:dyDescent="0.35">
      <c r="A69" s="32">
        <v>5239</v>
      </c>
      <c r="B69" s="62" t="s">
        <v>131</v>
      </c>
      <c r="C69" s="226">
        <v>9.5399999999999999E-3</v>
      </c>
      <c r="D69" s="226"/>
      <c r="E69" s="34">
        <v>6.4</v>
      </c>
    </row>
    <row r="70" spans="1:6" x14ac:dyDescent="0.35">
      <c r="A70" s="32">
        <v>5250</v>
      </c>
      <c r="B70" s="63" t="s">
        <v>132</v>
      </c>
      <c r="C70" s="226">
        <v>7.0600000000000003E-3</v>
      </c>
      <c r="D70" s="226"/>
      <c r="E70" s="34">
        <v>4.51</v>
      </c>
    </row>
    <row r="71" spans="1:6" x14ac:dyDescent="0.35">
      <c r="A71" s="39"/>
      <c r="B71" s="82" t="s">
        <v>97</v>
      </c>
      <c r="C71" s="226">
        <f>SUM(C35:C70)</f>
        <v>1.00000255</v>
      </c>
      <c r="D71" s="226"/>
      <c r="E71" s="38">
        <f>SUM(E35:E70)</f>
        <v>612.70000000000016</v>
      </c>
    </row>
    <row r="72" spans="1:6" x14ac:dyDescent="0.35">
      <c r="A72" s="39"/>
      <c r="B72" s="82" t="s">
        <v>98</v>
      </c>
      <c r="C72" s="230"/>
      <c r="D72" s="230"/>
      <c r="E72" s="38">
        <f>E33+E71</f>
        <v>1229</v>
      </c>
    </row>
    <row r="73" spans="1:6" ht="12.75" customHeight="1" x14ac:dyDescent="0.35">
      <c r="A73" s="16"/>
      <c r="B73" s="26"/>
      <c r="C73" s="231"/>
      <c r="D73" s="231"/>
      <c r="E73" s="60"/>
    </row>
    <row r="74" spans="1:6" x14ac:dyDescent="0.35">
      <c r="A74" s="319" t="s">
        <v>107</v>
      </c>
      <c r="B74" s="319"/>
      <c r="C74" s="232"/>
      <c r="D74" s="232"/>
      <c r="E74" s="68">
        <v>20</v>
      </c>
    </row>
    <row r="75" spans="1:6" x14ac:dyDescent="0.35">
      <c r="A75" s="319" t="s">
        <v>58</v>
      </c>
      <c r="B75" s="319"/>
      <c r="C75" s="232"/>
      <c r="D75" s="232"/>
      <c r="E75" s="69">
        <f>E72/E74</f>
        <v>61.45</v>
      </c>
    </row>
    <row r="76" spans="1:6" x14ac:dyDescent="0.35">
      <c r="A76" s="44"/>
      <c r="B76" s="50"/>
      <c r="C76" s="233"/>
      <c r="D76" s="233"/>
    </row>
    <row r="77" spans="1:6" ht="15.75" customHeight="1" x14ac:dyDescent="0.35">
      <c r="A77" s="320" t="s">
        <v>33</v>
      </c>
      <c r="B77" s="320"/>
      <c r="C77" s="234"/>
      <c r="D77" s="234"/>
      <c r="E77" s="28"/>
    </row>
    <row r="78" spans="1:6" ht="15.75" customHeight="1" x14ac:dyDescent="0.35">
      <c r="A78" s="320" t="s">
        <v>64</v>
      </c>
      <c r="B78" s="320"/>
      <c r="C78" s="234"/>
      <c r="D78" s="234"/>
      <c r="E78" s="28"/>
    </row>
    <row r="79" spans="1:6" ht="12.75" customHeight="1" x14ac:dyDescent="0.35">
      <c r="A79" s="29"/>
      <c r="B79" s="29"/>
      <c r="C79" s="235"/>
      <c r="D79" s="235"/>
      <c r="E79" s="84"/>
    </row>
    <row r="80" spans="1:6" x14ac:dyDescent="0.35">
      <c r="A80" s="29" t="s">
        <v>34</v>
      </c>
      <c r="B80" s="29"/>
      <c r="C80" s="235"/>
      <c r="D80" s="235"/>
      <c r="E80" s="84"/>
    </row>
    <row r="81" spans="1:5" x14ac:dyDescent="0.35">
      <c r="A81" s="29"/>
      <c r="B81" s="29"/>
      <c r="C81" s="235"/>
      <c r="D81" s="235"/>
      <c r="E81" s="84"/>
    </row>
    <row r="82" spans="1:5" x14ac:dyDescent="0.35">
      <c r="A82" s="29" t="s">
        <v>179</v>
      </c>
      <c r="B82" s="30"/>
      <c r="C82" s="236"/>
      <c r="D82" s="236"/>
      <c r="E82" s="29"/>
    </row>
    <row r="83" spans="1:5" x14ac:dyDescent="0.35">
      <c r="B83" s="76"/>
      <c r="C83" s="184"/>
      <c r="D83" s="184"/>
      <c r="E83" s="85"/>
    </row>
    <row r="85" spans="1:5" x14ac:dyDescent="0.35">
      <c r="E85" s="59"/>
    </row>
  </sheetData>
  <mergeCells count="7">
    <mergeCell ref="A7:C7"/>
    <mergeCell ref="A74:B74"/>
    <mergeCell ref="A75:B75"/>
    <mergeCell ref="A77:B77"/>
    <mergeCell ref="A78:B78"/>
    <mergeCell ref="A9:B9"/>
    <mergeCell ref="A10:B10"/>
  </mergeCells>
  <pageMargins left="1.1100000000000001" right="0.62343749999999998" top="0.4" bottom="0.74803149606299213" header="0.31496062992125984" footer="0.31496062992125984"/>
  <pageSetup paperSize="9" scale="59" firstPageNumber="2" orientation="portrait" useFirstPageNumber="1" r:id="rId1"/>
  <headerFooter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5"/>
  <sheetViews>
    <sheetView view="pageLayout" zoomScale="80" zoomScaleNormal="100" zoomScalePageLayoutView="80" workbookViewId="0">
      <selection activeCell="B51" sqref="B51"/>
    </sheetView>
  </sheetViews>
  <sheetFormatPr defaultColWidth="9.1796875" defaultRowHeight="15.5" x14ac:dyDescent="0.35"/>
  <cols>
    <col min="1" max="1" width="16.7265625" style="14" customWidth="1"/>
    <col min="2" max="2" width="90.26953125" style="14" customWidth="1"/>
    <col min="3" max="4" width="8" style="240" hidden="1" customWidth="1"/>
    <col min="5" max="5" width="29.1796875" style="14" customWidth="1"/>
    <col min="6" max="16384" width="9.1796875" style="14"/>
  </cols>
  <sheetData>
    <row r="1" spans="1:5" ht="15.75" customHeight="1" x14ac:dyDescent="0.35">
      <c r="B1" s="15"/>
      <c r="C1" s="237"/>
      <c r="D1" s="237"/>
      <c r="E1" s="18" t="s">
        <v>10</v>
      </c>
    </row>
    <row r="2" spans="1:5" x14ac:dyDescent="0.35">
      <c r="C2" s="238"/>
      <c r="D2" s="238"/>
      <c r="E2" s="15" t="s">
        <v>32</v>
      </c>
    </row>
    <row r="3" spans="1:5" x14ac:dyDescent="0.35">
      <c r="B3" s="61"/>
      <c r="C3" s="239"/>
      <c r="D3" s="239"/>
      <c r="E3" s="80" t="s">
        <v>66</v>
      </c>
    </row>
    <row r="4" spans="1:5" x14ac:dyDescent="0.35">
      <c r="B4" s="15"/>
      <c r="C4" s="237"/>
      <c r="D4" s="237"/>
      <c r="E4" s="16"/>
    </row>
    <row r="5" spans="1:5" x14ac:dyDescent="0.35">
      <c r="B5" s="74"/>
      <c r="C5" s="238"/>
      <c r="D5" s="238"/>
      <c r="E5" s="16" t="s">
        <v>230</v>
      </c>
    </row>
    <row r="6" spans="1:5" x14ac:dyDescent="0.35">
      <c r="E6" s="26"/>
    </row>
    <row r="7" spans="1:5" x14ac:dyDescent="0.35">
      <c r="A7" s="318" t="s">
        <v>9</v>
      </c>
      <c r="B7" s="318"/>
      <c r="C7" s="318"/>
      <c r="D7" s="241"/>
    </row>
    <row r="8" spans="1:5" x14ac:dyDescent="0.35">
      <c r="B8" s="19"/>
      <c r="C8" s="242"/>
      <c r="D8" s="242"/>
      <c r="E8" s="26"/>
    </row>
    <row r="9" spans="1:5" x14ac:dyDescent="0.35">
      <c r="A9" s="321" t="s">
        <v>1</v>
      </c>
      <c r="B9" s="321"/>
      <c r="C9" s="243"/>
      <c r="D9" s="243"/>
      <c r="E9" s="26"/>
    </row>
    <row r="10" spans="1:5" x14ac:dyDescent="0.35">
      <c r="A10" s="321" t="s">
        <v>0</v>
      </c>
      <c r="B10" s="321"/>
      <c r="C10" s="243"/>
      <c r="D10" s="243"/>
      <c r="E10" s="26"/>
    </row>
    <row r="11" spans="1:5" x14ac:dyDescent="0.35">
      <c r="A11" s="12"/>
      <c r="B11" s="12" t="s">
        <v>181</v>
      </c>
      <c r="C11" s="243"/>
      <c r="D11" s="243"/>
      <c r="E11" s="26"/>
    </row>
    <row r="12" spans="1:5" x14ac:dyDescent="0.35">
      <c r="A12" s="12"/>
      <c r="B12" s="44" t="s">
        <v>182</v>
      </c>
      <c r="C12" s="244"/>
      <c r="D12" s="244"/>
      <c r="E12" s="26"/>
    </row>
    <row r="13" spans="1:5" x14ac:dyDescent="0.35">
      <c r="A13" s="12"/>
      <c r="B13" s="87" t="s">
        <v>200</v>
      </c>
      <c r="C13" s="245"/>
      <c r="D13" s="245"/>
      <c r="E13" s="26"/>
    </row>
    <row r="14" spans="1:5" x14ac:dyDescent="0.35">
      <c r="A14" s="12" t="s">
        <v>2</v>
      </c>
      <c r="B14" s="12" t="s">
        <v>170</v>
      </c>
      <c r="C14" s="243"/>
      <c r="D14" s="243"/>
      <c r="E14" s="26"/>
    </row>
    <row r="15" spans="1:5" ht="69.75" customHeight="1" x14ac:dyDescent="0.35">
      <c r="A15" s="52" t="s">
        <v>3</v>
      </c>
      <c r="B15" s="52" t="s">
        <v>4</v>
      </c>
      <c r="C15" s="246"/>
      <c r="D15" s="246"/>
      <c r="E15" s="52" t="s">
        <v>135</v>
      </c>
    </row>
    <row r="16" spans="1:5" x14ac:dyDescent="0.35">
      <c r="A16" s="21">
        <v>1</v>
      </c>
      <c r="B16" s="22">
        <v>2</v>
      </c>
      <c r="C16" s="247"/>
      <c r="D16" s="247"/>
      <c r="E16" s="22">
        <v>3</v>
      </c>
    </row>
    <row r="17" spans="1:5" x14ac:dyDescent="0.35">
      <c r="A17" s="21"/>
      <c r="B17" s="23" t="s">
        <v>5</v>
      </c>
      <c r="C17" s="248"/>
      <c r="D17" s="248"/>
      <c r="E17" s="62"/>
    </row>
    <row r="18" spans="1:5" x14ac:dyDescent="0.35">
      <c r="A18" s="32">
        <v>1100</v>
      </c>
      <c r="B18" s="32" t="s">
        <v>133</v>
      </c>
      <c r="C18" s="249"/>
      <c r="D18" s="250">
        <f>'[1]7._izmitināšana_GALA mpc'!$Q$6</f>
        <v>15.693999999999999</v>
      </c>
      <c r="E18" s="34">
        <v>354.68</v>
      </c>
    </row>
    <row r="19" spans="1:5" x14ac:dyDescent="0.35">
      <c r="A19" s="32">
        <v>1200</v>
      </c>
      <c r="B19" s="62" t="s">
        <v>134</v>
      </c>
      <c r="C19" s="251"/>
      <c r="D19" s="251">
        <f>D18*0.2359</f>
        <v>3.7022145999999996</v>
      </c>
      <c r="E19" s="34">
        <v>83.67</v>
      </c>
    </row>
    <row r="20" spans="1:5" x14ac:dyDescent="0.35">
      <c r="A20" s="32">
        <v>2222</v>
      </c>
      <c r="B20" s="63" t="s">
        <v>136</v>
      </c>
      <c r="C20" s="251"/>
      <c r="D20" s="252">
        <f>'[1]7._izmitināšana_GALA mpc'!$Q$8</f>
        <v>0.6</v>
      </c>
      <c r="E20" s="34">
        <v>12</v>
      </c>
    </row>
    <row r="21" spans="1:5" x14ac:dyDescent="0.35">
      <c r="A21" s="32">
        <v>2223</v>
      </c>
      <c r="B21" s="63" t="s">
        <v>137</v>
      </c>
      <c r="C21" s="251"/>
      <c r="D21" s="252">
        <f>'[1]7._izmitināšana_GALA mpc'!$Q$9</f>
        <v>1.6600000000000001</v>
      </c>
      <c r="E21" s="34">
        <v>33.200000000000003</v>
      </c>
    </row>
    <row r="22" spans="1:5" x14ac:dyDescent="0.35">
      <c r="A22" s="32">
        <v>2243</v>
      </c>
      <c r="B22" s="23" t="s">
        <v>138</v>
      </c>
      <c r="C22" s="251"/>
      <c r="D22" s="252">
        <f>'[1]7._izmitināšana_GALA mpc'!$Q$11</f>
        <v>8.2990839332847399E-2</v>
      </c>
      <c r="E22" s="34">
        <v>1.66</v>
      </c>
    </row>
    <row r="23" spans="1:5" x14ac:dyDescent="0.35">
      <c r="A23" s="32">
        <v>2244</v>
      </c>
      <c r="B23" s="23" t="s">
        <v>139</v>
      </c>
      <c r="C23" s="251"/>
      <c r="D23" s="252">
        <f>'[1]7._izmitināšana_GALA mpc'!$Q$12</f>
        <v>1.9878511199593216</v>
      </c>
      <c r="E23" s="34">
        <v>39.770000000000003</v>
      </c>
    </row>
    <row r="24" spans="1:5" x14ac:dyDescent="0.35">
      <c r="A24" s="32">
        <v>2250</v>
      </c>
      <c r="B24" s="23" t="s">
        <v>125</v>
      </c>
      <c r="C24" s="251"/>
      <c r="D24" s="252">
        <f>'[1]7._izmitināšana_GALA mpc'!$Q$13</f>
        <v>0.19</v>
      </c>
      <c r="E24" s="34">
        <v>3.8</v>
      </c>
    </row>
    <row r="25" spans="1:5" x14ac:dyDescent="0.35">
      <c r="A25" s="32">
        <v>2311</v>
      </c>
      <c r="B25" s="63" t="s">
        <v>152</v>
      </c>
      <c r="C25" s="251"/>
      <c r="D25" s="252">
        <f>'[1]7._izmitināšana_GALA mpc'!$Q$14</f>
        <v>2.4699999999999998</v>
      </c>
      <c r="E25" s="34">
        <v>49.4</v>
      </c>
    </row>
    <row r="26" spans="1:5" x14ac:dyDescent="0.35">
      <c r="A26" s="32">
        <v>2312</v>
      </c>
      <c r="B26" s="23" t="s">
        <v>117</v>
      </c>
      <c r="C26" s="251"/>
      <c r="D26" s="252">
        <f>'[1]7._izmitināšana_GALA mpc'!$Q$15</f>
        <v>0.9193918807861664</v>
      </c>
      <c r="E26" s="34">
        <v>18.41</v>
      </c>
    </row>
    <row r="27" spans="1:5" x14ac:dyDescent="0.35">
      <c r="A27" s="32">
        <v>2321</v>
      </c>
      <c r="B27" s="63" t="s">
        <v>140</v>
      </c>
      <c r="C27" s="251"/>
      <c r="D27" s="252">
        <f>'[1]7._izmitināšana_GALA mpc'!$Q$16</f>
        <v>1.1514593952990406</v>
      </c>
      <c r="E27" s="34">
        <v>23.04</v>
      </c>
    </row>
    <row r="28" spans="1:5" x14ac:dyDescent="0.35">
      <c r="A28" s="32">
        <v>2350</v>
      </c>
      <c r="B28" s="62" t="s">
        <v>126</v>
      </c>
      <c r="C28" s="251"/>
      <c r="D28" s="252">
        <f>'[1]7._izmitināšana_GALA mpc'!$Q$17</f>
        <v>0.41019891782727091</v>
      </c>
      <c r="E28" s="34">
        <v>8.2100000000000009</v>
      </c>
    </row>
    <row r="29" spans="1:5" x14ac:dyDescent="0.35">
      <c r="A29" s="32">
        <v>2361</v>
      </c>
      <c r="B29" s="63" t="s">
        <v>142</v>
      </c>
      <c r="C29" s="251"/>
      <c r="D29" s="252">
        <f>'[1]7._izmitināšana_GALA mpc'!$Q$18</f>
        <v>0.18</v>
      </c>
      <c r="E29" s="34">
        <v>3.6</v>
      </c>
    </row>
    <row r="30" spans="1:5" x14ac:dyDescent="0.35">
      <c r="A30" s="32">
        <v>2362</v>
      </c>
      <c r="B30" s="86" t="s">
        <v>157</v>
      </c>
      <c r="C30" s="251"/>
      <c r="D30" s="252">
        <f>'[1]7._izmitināšana_GALA mpc'!$Q$19</f>
        <v>4.8496533819285675E-2</v>
      </c>
      <c r="E30" s="34">
        <v>0.97</v>
      </c>
    </row>
    <row r="31" spans="1:5" x14ac:dyDescent="0.35">
      <c r="A31" s="32">
        <v>2363</v>
      </c>
      <c r="B31" s="63" t="s">
        <v>143</v>
      </c>
      <c r="C31" s="251"/>
      <c r="D31" s="251">
        <v>9.75</v>
      </c>
      <c r="E31" s="34">
        <f>D31*20</f>
        <v>195</v>
      </c>
    </row>
    <row r="32" spans="1:5" x14ac:dyDescent="0.35">
      <c r="A32" s="32">
        <v>5239</v>
      </c>
      <c r="B32" s="62" t="s">
        <v>131</v>
      </c>
      <c r="C32" s="251"/>
      <c r="D32" s="252">
        <f>'[1]7._izmitināšana_GALA mpc'!$Q$21</f>
        <v>1.3731893746979051</v>
      </c>
      <c r="E32" s="34">
        <v>27.48</v>
      </c>
    </row>
    <row r="33" spans="1:6" x14ac:dyDescent="0.35">
      <c r="A33" s="32"/>
      <c r="B33" s="81" t="s">
        <v>6</v>
      </c>
      <c r="C33" s="253"/>
      <c r="D33" s="254">
        <f>SUM(D18:D32)</f>
        <v>40.21979266172184</v>
      </c>
      <c r="E33" s="38">
        <f>SUM(E18:E32)</f>
        <v>854.89</v>
      </c>
      <c r="F33" s="59"/>
    </row>
    <row r="34" spans="1:6" x14ac:dyDescent="0.35">
      <c r="A34" s="39"/>
      <c r="B34" s="81" t="s">
        <v>7</v>
      </c>
      <c r="C34" s="253"/>
      <c r="D34" s="253"/>
      <c r="E34" s="34"/>
    </row>
    <row r="35" spans="1:6" x14ac:dyDescent="0.35">
      <c r="A35" s="32">
        <v>1100</v>
      </c>
      <c r="B35" s="23" t="s">
        <v>133</v>
      </c>
      <c r="C35" s="251">
        <v>0.48549999999999999</v>
      </c>
      <c r="D35" s="251"/>
      <c r="E35" s="34">
        <v>314.44</v>
      </c>
    </row>
    <row r="36" spans="1:6" ht="16.5" customHeight="1" x14ac:dyDescent="0.35">
      <c r="A36" s="32">
        <v>1200</v>
      </c>
      <c r="B36" s="23" t="s">
        <v>134</v>
      </c>
      <c r="C36" s="251">
        <f>C35*0.2359</f>
        <v>0.11452944999999999</v>
      </c>
      <c r="D36" s="251"/>
      <c r="E36" s="34">
        <v>74.180000000000007</v>
      </c>
    </row>
    <row r="37" spans="1:6" ht="16.5" customHeight="1" x14ac:dyDescent="0.35">
      <c r="A37" s="32">
        <v>2100</v>
      </c>
      <c r="B37" s="25" t="s">
        <v>45</v>
      </c>
      <c r="C37" s="251">
        <v>1.1659999999999999E-3</v>
      </c>
      <c r="D37" s="251"/>
      <c r="E37" s="34">
        <v>0.85</v>
      </c>
    </row>
    <row r="38" spans="1:6" x14ac:dyDescent="0.35">
      <c r="A38" s="35">
        <v>2210</v>
      </c>
      <c r="B38" s="63" t="s">
        <v>121</v>
      </c>
      <c r="C38" s="251">
        <v>7.6E-3</v>
      </c>
      <c r="D38" s="251"/>
      <c r="E38" s="34">
        <v>5.56</v>
      </c>
    </row>
    <row r="39" spans="1:6" x14ac:dyDescent="0.35">
      <c r="A39" s="32">
        <v>2222</v>
      </c>
      <c r="B39" s="63" t="s">
        <v>136</v>
      </c>
      <c r="C39" s="251">
        <f>0.0095*1.15</f>
        <v>1.0924999999999999E-2</v>
      </c>
      <c r="D39" s="251"/>
      <c r="E39" s="34">
        <v>8</v>
      </c>
    </row>
    <row r="40" spans="1:6" x14ac:dyDescent="0.35">
      <c r="A40" s="32">
        <v>2223</v>
      </c>
      <c r="B40" s="63" t="s">
        <v>137</v>
      </c>
      <c r="C40" s="251">
        <f>0.01902*2.13</f>
        <v>4.0512599999999996E-2</v>
      </c>
      <c r="D40" s="251"/>
      <c r="E40" s="34">
        <v>29.66</v>
      </c>
    </row>
    <row r="41" spans="1:6" ht="31" x14ac:dyDescent="0.35">
      <c r="A41" s="32">
        <v>2224</v>
      </c>
      <c r="B41" s="63" t="s">
        <v>144</v>
      </c>
      <c r="C41" s="251">
        <f>0.00495*1.15</f>
        <v>5.6924999999999996E-3</v>
      </c>
      <c r="D41" s="251"/>
      <c r="E41" s="34">
        <v>4.17</v>
      </c>
    </row>
    <row r="42" spans="1:6" ht="15.75" customHeight="1" x14ac:dyDescent="0.35">
      <c r="A42" s="32">
        <v>2231</v>
      </c>
      <c r="B42" s="23" t="s">
        <v>127</v>
      </c>
      <c r="C42" s="251">
        <v>1.5499999999999999E-3</v>
      </c>
      <c r="D42" s="251"/>
      <c r="E42" s="34">
        <v>1.1299999999999999</v>
      </c>
    </row>
    <row r="43" spans="1:6" ht="15.75" customHeight="1" x14ac:dyDescent="0.35">
      <c r="A43" s="32">
        <v>2235</v>
      </c>
      <c r="B43" s="78" t="s">
        <v>128</v>
      </c>
      <c r="C43" s="251">
        <v>1.65E-3</v>
      </c>
      <c r="D43" s="251"/>
      <c r="E43" s="34">
        <v>1.21</v>
      </c>
    </row>
    <row r="44" spans="1:6" x14ac:dyDescent="0.35">
      <c r="A44" s="32">
        <v>2239</v>
      </c>
      <c r="B44" s="23" t="s">
        <v>145</v>
      </c>
      <c r="C44" s="251">
        <v>4.4099999999999999E-3</v>
      </c>
      <c r="D44" s="251"/>
      <c r="E44" s="34">
        <v>3.23</v>
      </c>
    </row>
    <row r="45" spans="1:6" x14ac:dyDescent="0.35">
      <c r="A45" s="32">
        <v>2241</v>
      </c>
      <c r="B45" s="23" t="s">
        <v>124</v>
      </c>
      <c r="C45" s="251">
        <v>1.6500000000000001E-2</v>
      </c>
      <c r="D45" s="251"/>
      <c r="E45" s="34">
        <v>12.08</v>
      </c>
    </row>
    <row r="46" spans="1:6" x14ac:dyDescent="0.35">
      <c r="A46" s="32">
        <v>2242</v>
      </c>
      <c r="B46" s="63" t="s">
        <v>146</v>
      </c>
      <c r="C46" s="251">
        <v>2.2599999999999999E-3</v>
      </c>
      <c r="D46" s="251"/>
      <c r="E46" s="34">
        <v>1.65</v>
      </c>
    </row>
    <row r="47" spans="1:6" ht="15.75" customHeight="1" x14ac:dyDescent="0.35">
      <c r="A47" s="32">
        <v>2243</v>
      </c>
      <c r="B47" s="23" t="s">
        <v>138</v>
      </c>
      <c r="C47" s="251">
        <v>3.2599999999999997E-2</v>
      </c>
      <c r="D47" s="251"/>
      <c r="E47" s="34">
        <v>23.87</v>
      </c>
    </row>
    <row r="48" spans="1:6" x14ac:dyDescent="0.35">
      <c r="A48" s="32">
        <v>2244</v>
      </c>
      <c r="B48" s="23" t="s">
        <v>139</v>
      </c>
      <c r="C48" s="251">
        <f>0.20397-0.09084</f>
        <v>0.11313000000000001</v>
      </c>
      <c r="D48" s="251"/>
      <c r="E48" s="34">
        <v>82.83</v>
      </c>
    </row>
    <row r="49" spans="1:5" x14ac:dyDescent="0.35">
      <c r="A49" s="32">
        <v>2247</v>
      </c>
      <c r="B49" s="23" t="s">
        <v>147</v>
      </c>
      <c r="C49" s="251">
        <v>7.1900000000000002E-4</v>
      </c>
      <c r="D49" s="251"/>
      <c r="E49" s="34">
        <v>0.53</v>
      </c>
    </row>
    <row r="50" spans="1:5" x14ac:dyDescent="0.35">
      <c r="A50" s="32">
        <v>2249</v>
      </c>
      <c r="B50" s="23" t="s">
        <v>172</v>
      </c>
      <c r="C50" s="251">
        <v>2.32E-4</v>
      </c>
      <c r="D50" s="251"/>
      <c r="E50" s="34">
        <v>0.17</v>
      </c>
    </row>
    <row r="51" spans="1:5" x14ac:dyDescent="0.35">
      <c r="A51" s="32">
        <v>2250</v>
      </c>
      <c r="B51" s="23" t="s">
        <v>125</v>
      </c>
      <c r="C51" s="251">
        <f>0.024026-0.005</f>
        <v>1.9025999999999998E-2</v>
      </c>
      <c r="D51" s="251"/>
      <c r="E51" s="34">
        <v>14.01</v>
      </c>
    </row>
    <row r="52" spans="1:5" hidden="1" x14ac:dyDescent="0.35">
      <c r="A52" s="32">
        <v>2261</v>
      </c>
      <c r="B52" s="63" t="s">
        <v>99</v>
      </c>
      <c r="C52" s="251">
        <v>0</v>
      </c>
      <c r="D52" s="251"/>
      <c r="E52" s="34">
        <f>C52*732.13</f>
        <v>0</v>
      </c>
    </row>
    <row r="53" spans="1:5" x14ac:dyDescent="0.35">
      <c r="A53" s="32">
        <v>2262</v>
      </c>
      <c r="B53" s="63" t="s">
        <v>149</v>
      </c>
      <c r="C53" s="251">
        <v>6.2599999999999999E-3</v>
      </c>
      <c r="D53" s="251"/>
      <c r="E53" s="34">
        <v>4.58</v>
      </c>
    </row>
    <row r="54" spans="1:5" x14ac:dyDescent="0.35">
      <c r="A54" s="32">
        <v>2263</v>
      </c>
      <c r="B54" s="63" t="s">
        <v>150</v>
      </c>
      <c r="C54" s="251">
        <v>4.58E-2</v>
      </c>
      <c r="D54" s="251"/>
      <c r="E54" s="34">
        <v>33.53</v>
      </c>
    </row>
    <row r="55" spans="1:5" x14ac:dyDescent="0.35">
      <c r="A55" s="32">
        <v>2264</v>
      </c>
      <c r="B55" s="23" t="s">
        <v>151</v>
      </c>
      <c r="C55" s="251">
        <v>1.49E-3</v>
      </c>
      <c r="D55" s="251"/>
      <c r="E55" s="34">
        <v>1.0900000000000001</v>
      </c>
    </row>
    <row r="56" spans="1:5" x14ac:dyDescent="0.35">
      <c r="A56" s="32">
        <v>2311</v>
      </c>
      <c r="B56" s="63" t="s">
        <v>152</v>
      </c>
      <c r="C56" s="251">
        <v>4.7699999999999999E-3</v>
      </c>
      <c r="D56" s="251"/>
      <c r="E56" s="34">
        <v>3.49</v>
      </c>
    </row>
    <row r="57" spans="1:5" x14ac:dyDescent="0.35">
      <c r="A57" s="32">
        <v>2312</v>
      </c>
      <c r="B57" s="63" t="s">
        <v>117</v>
      </c>
      <c r="C57" s="251">
        <v>5.79E-3</v>
      </c>
      <c r="D57" s="251"/>
      <c r="E57" s="34">
        <v>4.24</v>
      </c>
    </row>
    <row r="58" spans="1:5" x14ac:dyDescent="0.35">
      <c r="A58" s="32">
        <v>2314</v>
      </c>
      <c r="B58" s="78" t="s">
        <v>153</v>
      </c>
      <c r="C58" s="251">
        <v>2.2200000000000002E-3</v>
      </c>
      <c r="D58" s="251"/>
      <c r="E58" s="34">
        <v>1.63</v>
      </c>
    </row>
    <row r="59" spans="1:5" x14ac:dyDescent="0.35">
      <c r="A59" s="32">
        <v>2321</v>
      </c>
      <c r="B59" s="63" t="s">
        <v>140</v>
      </c>
      <c r="C59" s="251">
        <f>0.0198*1.2+0.005</f>
        <v>2.8760000000000001E-2</v>
      </c>
      <c r="D59" s="251"/>
      <c r="E59" s="34">
        <v>21.06</v>
      </c>
    </row>
    <row r="60" spans="1:5" x14ac:dyDescent="0.35">
      <c r="A60" s="32">
        <v>2322</v>
      </c>
      <c r="B60" s="63" t="s">
        <v>154</v>
      </c>
      <c r="C60" s="251">
        <f>0.0035*1.2</f>
        <v>4.1999999999999997E-3</v>
      </c>
      <c r="D60" s="251"/>
      <c r="E60" s="34">
        <v>3.07</v>
      </c>
    </row>
    <row r="61" spans="1:5" hidden="1" x14ac:dyDescent="0.35">
      <c r="A61" s="32">
        <v>2341</v>
      </c>
      <c r="B61" s="63" t="s">
        <v>141</v>
      </c>
      <c r="C61" s="251"/>
      <c r="D61" s="251"/>
      <c r="E61" s="34">
        <f>C61*732.13</f>
        <v>0</v>
      </c>
    </row>
    <row r="62" spans="1:5" x14ac:dyDescent="0.35">
      <c r="A62" s="32">
        <v>2350</v>
      </c>
      <c r="B62" s="62" t="s">
        <v>126</v>
      </c>
      <c r="C62" s="251">
        <v>8.5000000000000006E-3</v>
      </c>
      <c r="D62" s="251"/>
      <c r="E62" s="34">
        <v>6.22</v>
      </c>
    </row>
    <row r="63" spans="1:5" hidden="1" x14ac:dyDescent="0.35">
      <c r="A63" s="32">
        <v>2512</v>
      </c>
      <c r="B63" s="63" t="s">
        <v>155</v>
      </c>
      <c r="C63" s="251">
        <v>0</v>
      </c>
      <c r="D63" s="251"/>
      <c r="E63" s="34">
        <f>C63*732.13</f>
        <v>0</v>
      </c>
    </row>
    <row r="64" spans="1:5" ht="15.75" customHeight="1" x14ac:dyDescent="0.35">
      <c r="A64" s="32">
        <v>2513</v>
      </c>
      <c r="B64" s="62" t="s">
        <v>122</v>
      </c>
      <c r="C64" s="251">
        <v>1.4599999999999999E-3</v>
      </c>
      <c r="D64" s="251"/>
      <c r="E64" s="34">
        <v>1.07</v>
      </c>
    </row>
    <row r="65" spans="1:5" x14ac:dyDescent="0.35">
      <c r="A65" s="32">
        <v>2515</v>
      </c>
      <c r="B65" s="63" t="s">
        <v>156</v>
      </c>
      <c r="C65" s="251">
        <v>1.9E-3</v>
      </c>
      <c r="D65" s="251"/>
      <c r="E65" s="34">
        <v>1.39</v>
      </c>
    </row>
    <row r="66" spans="1:5" x14ac:dyDescent="0.35">
      <c r="A66" s="32">
        <v>2519</v>
      </c>
      <c r="B66" s="63" t="s">
        <v>123</v>
      </c>
      <c r="C66" s="251">
        <v>2E-3</v>
      </c>
      <c r="D66" s="251"/>
      <c r="E66" s="34">
        <v>1.46</v>
      </c>
    </row>
    <row r="67" spans="1:5" x14ac:dyDescent="0.35">
      <c r="A67" s="32">
        <v>5220</v>
      </c>
      <c r="B67" s="63" t="s">
        <v>129</v>
      </c>
      <c r="C67" s="251">
        <v>1.06E-2</v>
      </c>
      <c r="D67" s="251"/>
      <c r="E67" s="34">
        <v>7.76</v>
      </c>
    </row>
    <row r="68" spans="1:5" x14ac:dyDescent="0.35">
      <c r="A68" s="32">
        <v>5238</v>
      </c>
      <c r="B68" s="62" t="s">
        <v>130</v>
      </c>
      <c r="C68" s="251">
        <v>1.65E-3</v>
      </c>
      <c r="D68" s="251"/>
      <c r="E68" s="34">
        <v>1.21</v>
      </c>
    </row>
    <row r="69" spans="1:5" x14ac:dyDescent="0.35">
      <c r="A69" s="32">
        <v>5239</v>
      </c>
      <c r="B69" s="62" t="s">
        <v>131</v>
      </c>
      <c r="C69" s="251">
        <v>9.5399999999999999E-3</v>
      </c>
      <c r="D69" s="251"/>
      <c r="E69" s="34">
        <v>6.97</v>
      </c>
    </row>
    <row r="70" spans="1:5" x14ac:dyDescent="0.35">
      <c r="A70" s="32">
        <v>5250</v>
      </c>
      <c r="B70" s="63" t="s">
        <v>132</v>
      </c>
      <c r="C70" s="251">
        <v>7.0600000000000003E-3</v>
      </c>
      <c r="D70" s="251"/>
      <c r="E70" s="34">
        <v>5.17</v>
      </c>
    </row>
    <row r="71" spans="1:5" x14ac:dyDescent="0.35">
      <c r="A71" s="39"/>
      <c r="B71" s="82" t="s">
        <v>97</v>
      </c>
      <c r="C71" s="251">
        <f>SUM(C35:C70)</f>
        <v>1.00000255</v>
      </c>
      <c r="D71" s="251"/>
      <c r="E71" s="38">
        <f>SUM(E35:E70)</f>
        <v>681.5100000000001</v>
      </c>
    </row>
    <row r="72" spans="1:5" x14ac:dyDescent="0.35">
      <c r="A72" s="39"/>
      <c r="B72" s="82" t="s">
        <v>98</v>
      </c>
      <c r="C72" s="255"/>
      <c r="D72" s="255"/>
      <c r="E72" s="38">
        <f>E33+E71</f>
        <v>1536.4</v>
      </c>
    </row>
    <row r="73" spans="1:5" ht="12.75" customHeight="1" x14ac:dyDescent="0.35">
      <c r="A73" s="16"/>
      <c r="B73" s="26"/>
      <c r="C73" s="256"/>
      <c r="D73" s="256"/>
      <c r="E73" s="60"/>
    </row>
    <row r="74" spans="1:5" ht="15.75" customHeight="1" x14ac:dyDescent="0.35">
      <c r="A74" s="319" t="s">
        <v>107</v>
      </c>
      <c r="B74" s="319"/>
      <c r="C74" s="257"/>
      <c r="D74" s="257"/>
      <c r="E74" s="68">
        <v>20</v>
      </c>
    </row>
    <row r="75" spans="1:5" ht="15.75" customHeight="1" x14ac:dyDescent="0.35">
      <c r="A75" s="319" t="s">
        <v>58</v>
      </c>
      <c r="B75" s="319"/>
      <c r="C75" s="257"/>
      <c r="D75" s="257"/>
      <c r="E75" s="69">
        <f>E72/E74</f>
        <v>76.820000000000007</v>
      </c>
    </row>
    <row r="76" spans="1:5" ht="9.75" customHeight="1" x14ac:dyDescent="0.35">
      <c r="A76" s="44"/>
      <c r="B76" s="50"/>
      <c r="C76" s="258"/>
      <c r="D76" s="258"/>
    </row>
    <row r="77" spans="1:5" ht="15.75" customHeight="1" x14ac:dyDescent="0.35">
      <c r="A77" s="320" t="s">
        <v>33</v>
      </c>
      <c r="B77" s="320"/>
      <c r="C77" s="259"/>
      <c r="D77" s="259"/>
      <c r="E77" s="28"/>
    </row>
    <row r="78" spans="1:5" ht="15.75" customHeight="1" x14ac:dyDescent="0.35">
      <c r="A78" s="320" t="s">
        <v>64</v>
      </c>
      <c r="B78" s="320"/>
      <c r="C78" s="259"/>
      <c r="D78" s="259"/>
      <c r="E78" s="88"/>
    </row>
    <row r="79" spans="1:5" ht="8.25" customHeight="1" x14ac:dyDescent="0.35">
      <c r="A79" s="29"/>
      <c r="B79" s="29"/>
      <c r="C79" s="260"/>
      <c r="D79" s="260"/>
      <c r="E79" s="29"/>
    </row>
    <row r="80" spans="1:5" x14ac:dyDescent="0.35">
      <c r="A80" s="29" t="s">
        <v>34</v>
      </c>
      <c r="B80" s="29"/>
      <c r="C80" s="260"/>
      <c r="D80" s="260"/>
      <c r="E80" s="84"/>
    </row>
    <row r="81" spans="1:5" x14ac:dyDescent="0.35">
      <c r="A81" s="29"/>
      <c r="B81" s="29"/>
      <c r="C81" s="260"/>
      <c r="D81" s="260"/>
      <c r="E81" s="84"/>
    </row>
    <row r="82" spans="1:5" x14ac:dyDescent="0.35">
      <c r="A82" s="29" t="s">
        <v>179</v>
      </c>
      <c r="B82" s="30"/>
      <c r="C82" s="261"/>
      <c r="D82" s="261"/>
      <c r="E82" s="84"/>
    </row>
    <row r="83" spans="1:5" x14ac:dyDescent="0.35">
      <c r="B83" s="76"/>
      <c r="C83" s="262"/>
      <c r="D83" s="262"/>
      <c r="E83" s="85"/>
    </row>
    <row r="85" spans="1:5" x14ac:dyDescent="0.35">
      <c r="E85" s="59"/>
    </row>
  </sheetData>
  <mergeCells count="7">
    <mergeCell ref="A75:B75"/>
    <mergeCell ref="A77:B77"/>
    <mergeCell ref="A78:B78"/>
    <mergeCell ref="A9:B9"/>
    <mergeCell ref="A10:B10"/>
    <mergeCell ref="A7:C7"/>
    <mergeCell ref="A74:B74"/>
  </mergeCells>
  <pageMargins left="0.94488188976377963" right="0.55118110236220474" top="0.39370078740157483" bottom="0.55118110236220474" header="0.31496062992125984" footer="0.31496062992125984"/>
  <pageSetup paperSize="9" scale="61" firstPageNumber="3" orientation="portrait" useFirstPageNumber="1" r:id="rId1"/>
  <headerFoot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5"/>
  <sheetViews>
    <sheetView view="pageLayout" topLeftCell="A46" zoomScale="80" zoomScaleNormal="100" zoomScalePageLayoutView="80" workbookViewId="0">
      <selection activeCell="B51" sqref="B51"/>
    </sheetView>
  </sheetViews>
  <sheetFormatPr defaultColWidth="9.1796875" defaultRowHeight="15.5" x14ac:dyDescent="0.35"/>
  <cols>
    <col min="1" max="1" width="22.54296875" style="14" customWidth="1"/>
    <col min="2" max="2" width="91.81640625" style="14" customWidth="1"/>
    <col min="3" max="4" width="7.54296875" style="240" hidden="1" customWidth="1"/>
    <col min="5" max="5" width="28.7265625" style="14" hidden="1" customWidth="1"/>
    <col min="6" max="6" width="28.7265625" style="14" customWidth="1"/>
    <col min="7" max="7" width="9.1796875" style="14"/>
    <col min="8" max="8" width="19.81640625" style="14" bestFit="1" customWidth="1"/>
    <col min="9" max="16384" width="9.1796875" style="14"/>
  </cols>
  <sheetData>
    <row r="1" spans="1:6" ht="15.75" customHeight="1" x14ac:dyDescent="0.35">
      <c r="B1" s="15"/>
      <c r="C1" s="237"/>
      <c r="D1" s="237"/>
      <c r="E1" s="18" t="s">
        <v>10</v>
      </c>
      <c r="F1" s="18" t="s">
        <v>10</v>
      </c>
    </row>
    <row r="2" spans="1:6" x14ac:dyDescent="0.35">
      <c r="B2" s="74"/>
      <c r="C2" s="74"/>
      <c r="D2" s="74"/>
      <c r="E2" s="74"/>
      <c r="F2" s="15" t="s">
        <v>32</v>
      </c>
    </row>
    <row r="3" spans="1:6" x14ac:dyDescent="0.35">
      <c r="B3" s="61"/>
      <c r="C3" s="239"/>
      <c r="D3" s="239"/>
      <c r="E3" s="80" t="s">
        <v>66</v>
      </c>
      <c r="F3" s="80" t="s">
        <v>66</v>
      </c>
    </row>
    <row r="4" spans="1:6" x14ac:dyDescent="0.35">
      <c r="B4" s="15"/>
      <c r="C4" s="237"/>
      <c r="D4" s="237"/>
      <c r="E4" s="16"/>
      <c r="F4" s="16"/>
    </row>
    <row r="5" spans="1:6" x14ac:dyDescent="0.35">
      <c r="B5" s="74"/>
      <c r="C5" s="238"/>
      <c r="D5" s="238"/>
      <c r="E5" s="16" t="s">
        <v>180</v>
      </c>
      <c r="F5" s="16" t="s">
        <v>230</v>
      </c>
    </row>
    <row r="6" spans="1:6" x14ac:dyDescent="0.35">
      <c r="E6" s="26"/>
      <c r="F6" s="26"/>
    </row>
    <row r="7" spans="1:6" x14ac:dyDescent="0.35">
      <c r="A7" s="318" t="s">
        <v>9</v>
      </c>
      <c r="B7" s="318"/>
      <c r="C7" s="318"/>
      <c r="D7" s="318"/>
      <c r="E7" s="318"/>
      <c r="F7" s="73"/>
    </row>
    <row r="8" spans="1:6" x14ac:dyDescent="0.35">
      <c r="B8" s="19"/>
      <c r="C8" s="242"/>
      <c r="D8" s="242"/>
      <c r="E8" s="26"/>
      <c r="F8" s="26"/>
    </row>
    <row r="9" spans="1:6" x14ac:dyDescent="0.35">
      <c r="A9" s="321" t="s">
        <v>1</v>
      </c>
      <c r="B9" s="321"/>
      <c r="C9" s="243"/>
      <c r="D9" s="243"/>
      <c r="E9" s="26"/>
      <c r="F9" s="26"/>
    </row>
    <row r="10" spans="1:6" x14ac:dyDescent="0.35">
      <c r="A10" s="321" t="s">
        <v>0</v>
      </c>
      <c r="B10" s="321"/>
      <c r="C10" s="243"/>
      <c r="D10" s="243"/>
      <c r="E10" s="26"/>
      <c r="F10" s="26"/>
    </row>
    <row r="11" spans="1:6" x14ac:dyDescent="0.35">
      <c r="A11" s="12"/>
      <c r="B11" s="12" t="s">
        <v>181</v>
      </c>
      <c r="C11" s="243"/>
      <c r="D11" s="243"/>
      <c r="E11" s="26"/>
      <c r="F11" s="26"/>
    </row>
    <row r="12" spans="1:6" x14ac:dyDescent="0.35">
      <c r="A12" s="12"/>
      <c r="B12" s="44" t="s">
        <v>201</v>
      </c>
      <c r="C12" s="244"/>
      <c r="D12" s="244"/>
      <c r="E12" s="26"/>
      <c r="F12" s="26"/>
    </row>
    <row r="13" spans="1:6" x14ac:dyDescent="0.35">
      <c r="A13" s="12"/>
      <c r="B13" s="87" t="s">
        <v>202</v>
      </c>
      <c r="C13" s="245"/>
      <c r="D13" s="245"/>
      <c r="E13" s="26"/>
      <c r="F13" s="26"/>
    </row>
    <row r="14" spans="1:6" x14ac:dyDescent="0.35">
      <c r="A14" s="12" t="s">
        <v>2</v>
      </c>
      <c r="B14" s="12" t="s">
        <v>170</v>
      </c>
      <c r="C14" s="243"/>
      <c r="D14" s="243"/>
      <c r="E14" s="26"/>
      <c r="F14" s="26"/>
    </row>
    <row r="15" spans="1:6" ht="69.75" customHeight="1" x14ac:dyDescent="0.35">
      <c r="A15" s="52" t="s">
        <v>3</v>
      </c>
      <c r="B15" s="52" t="s">
        <v>4</v>
      </c>
      <c r="C15" s="246"/>
      <c r="D15" s="246"/>
      <c r="E15" s="52" t="s">
        <v>135</v>
      </c>
      <c r="F15" s="52" t="s">
        <v>135</v>
      </c>
    </row>
    <row r="16" spans="1:6" x14ac:dyDescent="0.35">
      <c r="A16" s="21">
        <v>1</v>
      </c>
      <c r="B16" s="22">
        <v>2</v>
      </c>
      <c r="C16" s="247"/>
      <c r="D16" s="247"/>
      <c r="E16" s="22">
        <v>3</v>
      </c>
      <c r="F16" s="22">
        <v>3</v>
      </c>
    </row>
    <row r="17" spans="1:7" x14ac:dyDescent="0.35">
      <c r="A17" s="21"/>
      <c r="B17" s="23" t="s">
        <v>5</v>
      </c>
      <c r="C17" s="248"/>
      <c r="D17" s="248"/>
      <c r="E17" s="62"/>
      <c r="F17" s="62"/>
    </row>
    <row r="18" spans="1:7" x14ac:dyDescent="0.35">
      <c r="A18" s="32">
        <v>1100</v>
      </c>
      <c r="B18" s="32" t="s">
        <v>133</v>
      </c>
      <c r="C18" s="249"/>
      <c r="D18" s="250">
        <f>'[1]7._izmitināšana_GALA mpc'!$R$6</f>
        <v>9.6161298052920614</v>
      </c>
      <c r="E18" s="34">
        <v>7606.05</v>
      </c>
      <c r="F18" s="34">
        <f>E18/700*500</f>
        <v>5432.8928571428569</v>
      </c>
      <c r="G18" s="59"/>
    </row>
    <row r="19" spans="1:7" x14ac:dyDescent="0.35">
      <c r="A19" s="32">
        <v>1200</v>
      </c>
      <c r="B19" s="62" t="s">
        <v>134</v>
      </c>
      <c r="C19" s="251"/>
      <c r="D19" s="251">
        <f>D18*0.2359</f>
        <v>2.2684450210683971</v>
      </c>
      <c r="E19" s="34">
        <v>1794.27</v>
      </c>
      <c r="F19" s="34">
        <f t="shared" ref="F19:F32" si="0">E19/700*500</f>
        <v>1281.6214285714284</v>
      </c>
    </row>
    <row r="20" spans="1:7" x14ac:dyDescent="0.35">
      <c r="A20" s="32">
        <v>2222</v>
      </c>
      <c r="B20" s="63" t="s">
        <v>136</v>
      </c>
      <c r="C20" s="251"/>
      <c r="D20" s="252">
        <f>'[1]7._izmitināšana_GALA mpc'!$R$8</f>
        <v>0.30567648527209185</v>
      </c>
      <c r="E20" s="34">
        <v>213.95</v>
      </c>
      <c r="F20" s="34">
        <f t="shared" si="0"/>
        <v>152.82142857142856</v>
      </c>
    </row>
    <row r="21" spans="1:7" x14ac:dyDescent="0.35">
      <c r="A21" s="32">
        <v>2223</v>
      </c>
      <c r="B21" s="63" t="s">
        <v>137</v>
      </c>
      <c r="C21" s="251"/>
      <c r="D21" s="252">
        <f>'[1]7._izmitināšana_GALA mpc'!$R$9</f>
        <v>0.91225661507738398</v>
      </c>
      <c r="E21" s="34">
        <v>638.5</v>
      </c>
      <c r="F21" s="34">
        <f t="shared" si="0"/>
        <v>456.07142857142856</v>
      </c>
    </row>
    <row r="22" spans="1:7" x14ac:dyDescent="0.35">
      <c r="A22" s="32">
        <v>2243</v>
      </c>
      <c r="B22" s="23" t="s">
        <v>138</v>
      </c>
      <c r="C22" s="251"/>
      <c r="D22" s="252">
        <f>'[1]7._izmitināšana_GALA mpc'!$R$11</f>
        <v>4.6135796305541696E-2</v>
      </c>
      <c r="E22" s="34">
        <v>32.29</v>
      </c>
      <c r="F22" s="34">
        <f t="shared" si="0"/>
        <v>23.064285714285713</v>
      </c>
    </row>
    <row r="23" spans="1:7" x14ac:dyDescent="0.35">
      <c r="A23" s="32">
        <v>2244</v>
      </c>
      <c r="B23" s="23" t="s">
        <v>139</v>
      </c>
      <c r="C23" s="251"/>
      <c r="D23" s="252">
        <f>'[1]7._izmitināšana_GALA mpc'!$R$12</f>
        <v>1.1167998002995507</v>
      </c>
      <c r="E23" s="34">
        <v>781.66</v>
      </c>
      <c r="F23" s="34">
        <f t="shared" si="0"/>
        <v>558.32857142857142</v>
      </c>
    </row>
    <row r="24" spans="1:7" x14ac:dyDescent="0.35">
      <c r="A24" s="32">
        <v>2250</v>
      </c>
      <c r="B24" s="23" t="s">
        <v>125</v>
      </c>
      <c r="C24" s="251"/>
      <c r="D24" s="252">
        <f>'[1]7._izmitināšana_GALA mpc'!$R$13</f>
        <v>0.19</v>
      </c>
      <c r="E24" s="34">
        <v>133</v>
      </c>
      <c r="F24" s="34">
        <f t="shared" si="0"/>
        <v>95</v>
      </c>
    </row>
    <row r="25" spans="1:7" x14ac:dyDescent="0.35">
      <c r="A25" s="32">
        <v>2311</v>
      </c>
      <c r="B25" s="63" t="s">
        <v>152</v>
      </c>
      <c r="C25" s="251"/>
      <c r="D25" s="252">
        <f>'[1]7._izmitināšana_GALA mpc'!$R$14</f>
        <v>1.987943085371942</v>
      </c>
      <c r="E25" s="34">
        <v>1391.5</v>
      </c>
      <c r="F25" s="34">
        <f t="shared" si="0"/>
        <v>993.92857142857133</v>
      </c>
    </row>
    <row r="26" spans="1:7" x14ac:dyDescent="0.35">
      <c r="A26" s="32">
        <v>2312</v>
      </c>
      <c r="B26" s="23" t="s">
        <v>117</v>
      </c>
      <c r="C26" s="251"/>
      <c r="D26" s="252">
        <f>'[1]7._izmitināšana_GALA mpc'!$R$15</f>
        <v>0.57567648527209181</v>
      </c>
      <c r="E26" s="34">
        <v>402.95</v>
      </c>
      <c r="F26" s="34">
        <f t="shared" si="0"/>
        <v>287.82142857142856</v>
      </c>
    </row>
    <row r="27" spans="1:7" x14ac:dyDescent="0.35">
      <c r="A27" s="32">
        <v>2321</v>
      </c>
      <c r="B27" s="63" t="s">
        <v>140</v>
      </c>
      <c r="C27" s="251"/>
      <c r="D27" s="252">
        <f>'[1]7._izmitināšana_GALA mpc'!$R$16</f>
        <v>0.64135297054418372</v>
      </c>
      <c r="E27" s="34">
        <v>448.89</v>
      </c>
      <c r="F27" s="34">
        <f t="shared" si="0"/>
        <v>320.6357142857143</v>
      </c>
    </row>
    <row r="28" spans="1:7" x14ac:dyDescent="0.35">
      <c r="A28" s="32">
        <v>2350</v>
      </c>
      <c r="B28" s="62" t="s">
        <v>126</v>
      </c>
      <c r="C28" s="251"/>
      <c r="D28" s="252">
        <f>'[1]7._izmitināšana_GALA mpc'!$R$17</f>
        <v>0.20726909635546678</v>
      </c>
      <c r="E28" s="34">
        <v>145.07</v>
      </c>
      <c r="F28" s="34">
        <f t="shared" si="0"/>
        <v>103.62142857142857</v>
      </c>
    </row>
    <row r="29" spans="1:7" x14ac:dyDescent="0.35">
      <c r="A29" s="32">
        <v>2361</v>
      </c>
      <c r="B29" s="63" t="s">
        <v>142</v>
      </c>
      <c r="C29" s="251"/>
      <c r="D29" s="252">
        <f>'[1]7._izmitināšana_GALA mpc'!$R$18</f>
        <v>9.4088866699950063E-2</v>
      </c>
      <c r="E29" s="34">
        <v>65.849999999999994</v>
      </c>
      <c r="F29" s="34">
        <f t="shared" si="0"/>
        <v>47.035714285714285</v>
      </c>
    </row>
    <row r="30" spans="1:7" x14ac:dyDescent="0.35">
      <c r="A30" s="32">
        <v>2362</v>
      </c>
      <c r="B30" s="86" t="s">
        <v>157</v>
      </c>
      <c r="C30" s="251"/>
      <c r="D30" s="252">
        <f>'[1]7._izmitināšana_GALA mpc'!$R$19</f>
        <v>0.02</v>
      </c>
      <c r="E30" s="34">
        <v>14</v>
      </c>
      <c r="F30" s="34">
        <f t="shared" si="0"/>
        <v>10</v>
      </c>
    </row>
    <row r="31" spans="1:7" x14ac:dyDescent="0.35">
      <c r="A31" s="32">
        <v>2363</v>
      </c>
      <c r="B31" s="63" t="s">
        <v>143</v>
      </c>
      <c r="C31" s="251"/>
      <c r="D31" s="251">
        <v>3.87</v>
      </c>
      <c r="E31" s="34">
        <v>2709</v>
      </c>
      <c r="F31" s="34">
        <f t="shared" si="0"/>
        <v>1935</v>
      </c>
    </row>
    <row r="32" spans="1:7" x14ac:dyDescent="0.35">
      <c r="A32" s="32">
        <v>5239</v>
      </c>
      <c r="B32" s="62" t="s">
        <v>131</v>
      </c>
      <c r="C32" s="251"/>
      <c r="D32" s="252">
        <f>'[1]7._izmitināšana_GALA mpc'!$R$21</f>
        <v>0.85953569645531702</v>
      </c>
      <c r="E32" s="34">
        <v>601.62</v>
      </c>
      <c r="F32" s="34">
        <f t="shared" si="0"/>
        <v>429.7285714285714</v>
      </c>
    </row>
    <row r="33" spans="1:8" x14ac:dyDescent="0.35">
      <c r="A33" s="32"/>
      <c r="B33" s="81" t="s">
        <v>6</v>
      </c>
      <c r="C33" s="253"/>
      <c r="D33" s="253">
        <f>SUM(D18:D32)</f>
        <v>22.711309724013976</v>
      </c>
      <c r="E33" s="38">
        <f>SUM(E18:E32)</f>
        <v>16978.600000000002</v>
      </c>
      <c r="F33" s="38">
        <f>SUM(F18:F32)</f>
        <v>12127.571428571428</v>
      </c>
      <c r="H33" s="59"/>
    </row>
    <row r="34" spans="1:8" x14ac:dyDescent="0.35">
      <c r="A34" s="39"/>
      <c r="B34" s="81" t="s">
        <v>7</v>
      </c>
      <c r="C34" s="253"/>
      <c r="D34" s="253"/>
      <c r="E34" s="34"/>
      <c r="F34" s="34"/>
    </row>
    <row r="35" spans="1:8" x14ac:dyDescent="0.35">
      <c r="A35" s="32">
        <v>1100</v>
      </c>
      <c r="B35" s="23" t="s">
        <v>133</v>
      </c>
      <c r="C35" s="251">
        <v>0.48549999999999999</v>
      </c>
      <c r="D35" s="263"/>
      <c r="E35" s="34">
        <v>5790.12</v>
      </c>
      <c r="F35" s="34">
        <f t="shared" ref="F35:F70" si="1">E35/700*500</f>
        <v>4135.7999999999993</v>
      </c>
      <c r="G35" s="59"/>
    </row>
    <row r="36" spans="1:8" ht="16.5" customHeight="1" x14ac:dyDescent="0.35">
      <c r="A36" s="32">
        <v>1200</v>
      </c>
      <c r="B36" s="23" t="s">
        <v>134</v>
      </c>
      <c r="C36" s="251">
        <f>C35*0.2359</f>
        <v>0.11452944999999999</v>
      </c>
      <c r="D36" s="251"/>
      <c r="E36" s="34">
        <v>1365.89</v>
      </c>
      <c r="F36" s="34">
        <f t="shared" si="1"/>
        <v>975.63571428571436</v>
      </c>
    </row>
    <row r="37" spans="1:8" ht="16.5" customHeight="1" x14ac:dyDescent="0.35">
      <c r="A37" s="32">
        <v>2100</v>
      </c>
      <c r="B37" s="25" t="s">
        <v>45</v>
      </c>
      <c r="C37" s="251">
        <v>1.1659999999999999E-3</v>
      </c>
      <c r="D37" s="251"/>
      <c r="E37" s="34">
        <v>16.010000000000002</v>
      </c>
      <c r="F37" s="34">
        <f t="shared" si="1"/>
        <v>11.435714285714287</v>
      </c>
    </row>
    <row r="38" spans="1:8" x14ac:dyDescent="0.35">
      <c r="A38" s="35">
        <v>2210</v>
      </c>
      <c r="B38" s="63" t="s">
        <v>121</v>
      </c>
      <c r="C38" s="251">
        <v>7.6E-3</v>
      </c>
      <c r="D38" s="251"/>
      <c r="E38" s="34">
        <v>104.38</v>
      </c>
      <c r="F38" s="34">
        <f t="shared" si="1"/>
        <v>74.55714285714285</v>
      </c>
    </row>
    <row r="39" spans="1:8" x14ac:dyDescent="0.35">
      <c r="A39" s="32">
        <v>2222</v>
      </c>
      <c r="B39" s="63" t="s">
        <v>136</v>
      </c>
      <c r="C39" s="251">
        <f>0.0095*1.15</f>
        <v>1.0924999999999999E-2</v>
      </c>
      <c r="D39" s="251"/>
      <c r="E39" s="34">
        <v>150.04</v>
      </c>
      <c r="F39" s="34">
        <f t="shared" si="1"/>
        <v>107.17142857142856</v>
      </c>
    </row>
    <row r="40" spans="1:8" x14ac:dyDescent="0.35">
      <c r="A40" s="32">
        <v>2223</v>
      </c>
      <c r="B40" s="63" t="s">
        <v>137</v>
      </c>
      <c r="C40" s="251">
        <f>0.01902*2.13</f>
        <v>4.0512599999999996E-2</v>
      </c>
      <c r="D40" s="251"/>
      <c r="E40" s="34">
        <v>556.39</v>
      </c>
      <c r="F40" s="34">
        <f t="shared" si="1"/>
        <v>397.42142857142852</v>
      </c>
    </row>
    <row r="41" spans="1:8" ht="31" x14ac:dyDescent="0.35">
      <c r="A41" s="32">
        <v>2224</v>
      </c>
      <c r="B41" s="63" t="s">
        <v>144</v>
      </c>
      <c r="C41" s="251">
        <f>0.00495*1.15</f>
        <v>5.6924999999999996E-3</v>
      </c>
      <c r="D41" s="251"/>
      <c r="E41" s="34">
        <v>78.180000000000007</v>
      </c>
      <c r="F41" s="34">
        <f t="shared" si="1"/>
        <v>55.842857142857149</v>
      </c>
    </row>
    <row r="42" spans="1:8" ht="15.75" customHeight="1" x14ac:dyDescent="0.35">
      <c r="A42" s="32">
        <v>2231</v>
      </c>
      <c r="B42" s="23" t="s">
        <v>127</v>
      </c>
      <c r="C42" s="251">
        <v>1.5499999999999999E-3</v>
      </c>
      <c r="D42" s="251"/>
      <c r="E42" s="34">
        <v>21.29</v>
      </c>
      <c r="F42" s="34">
        <f t="shared" si="1"/>
        <v>15.207142857142857</v>
      </c>
    </row>
    <row r="43" spans="1:8" ht="15.75" customHeight="1" x14ac:dyDescent="0.35">
      <c r="A43" s="32">
        <v>2235</v>
      </c>
      <c r="B43" s="78" t="s">
        <v>128</v>
      </c>
      <c r="C43" s="251">
        <v>1.65E-3</v>
      </c>
      <c r="D43" s="251"/>
      <c r="E43" s="34">
        <v>22.66</v>
      </c>
      <c r="F43" s="34">
        <f t="shared" si="1"/>
        <v>16.185714285714287</v>
      </c>
    </row>
    <row r="44" spans="1:8" x14ac:dyDescent="0.35">
      <c r="A44" s="32">
        <v>2239</v>
      </c>
      <c r="B44" s="23" t="s">
        <v>145</v>
      </c>
      <c r="C44" s="251">
        <v>4.4099999999999999E-3</v>
      </c>
      <c r="D44" s="251"/>
      <c r="E44" s="34">
        <v>60.57</v>
      </c>
      <c r="F44" s="34">
        <f t="shared" si="1"/>
        <v>43.264285714285712</v>
      </c>
    </row>
    <row r="45" spans="1:8" x14ac:dyDescent="0.35">
      <c r="A45" s="32">
        <v>2241</v>
      </c>
      <c r="B45" s="23" t="s">
        <v>124</v>
      </c>
      <c r="C45" s="251">
        <v>1.6500000000000001E-2</v>
      </c>
      <c r="D45" s="251"/>
      <c r="E45" s="34">
        <f>226.61+3.26</f>
        <v>229.87</v>
      </c>
      <c r="F45" s="34">
        <f t="shared" si="1"/>
        <v>164.19285714285715</v>
      </c>
    </row>
    <row r="46" spans="1:8" x14ac:dyDescent="0.35">
      <c r="A46" s="32">
        <v>2242</v>
      </c>
      <c r="B46" s="63" t="s">
        <v>146</v>
      </c>
      <c r="C46" s="251">
        <v>2.2599999999999999E-3</v>
      </c>
      <c r="D46" s="251"/>
      <c r="E46" s="34">
        <v>31.04</v>
      </c>
      <c r="F46" s="34">
        <f t="shared" si="1"/>
        <v>22.171428571428571</v>
      </c>
    </row>
    <row r="47" spans="1:8" ht="15.75" customHeight="1" x14ac:dyDescent="0.35">
      <c r="A47" s="32">
        <v>2243</v>
      </c>
      <c r="B47" s="23" t="s">
        <v>138</v>
      </c>
      <c r="C47" s="251">
        <v>3.2599999999999997E-2</v>
      </c>
      <c r="D47" s="251"/>
      <c r="E47" s="34">
        <v>447.72</v>
      </c>
      <c r="F47" s="34">
        <f t="shared" si="1"/>
        <v>319.8</v>
      </c>
    </row>
    <row r="48" spans="1:8" x14ac:dyDescent="0.35">
      <c r="A48" s="32">
        <v>2244</v>
      </c>
      <c r="B48" s="23" t="s">
        <v>139</v>
      </c>
      <c r="C48" s="251">
        <f>0.20397-0.09084</f>
        <v>0.11313000000000001</v>
      </c>
      <c r="D48" s="251"/>
      <c r="E48" s="34">
        <v>1553.71</v>
      </c>
      <c r="F48" s="34">
        <f t="shared" si="1"/>
        <v>1109.7928571428572</v>
      </c>
    </row>
    <row r="49" spans="1:6" x14ac:dyDescent="0.35">
      <c r="A49" s="32">
        <v>2247</v>
      </c>
      <c r="B49" s="23" t="s">
        <v>147</v>
      </c>
      <c r="C49" s="251">
        <v>7.1900000000000002E-4</v>
      </c>
      <c r="D49" s="251"/>
      <c r="E49" s="34">
        <v>9.8699999999999992</v>
      </c>
      <c r="F49" s="34">
        <f t="shared" si="1"/>
        <v>7.05</v>
      </c>
    </row>
    <row r="50" spans="1:6" x14ac:dyDescent="0.35">
      <c r="A50" s="32">
        <v>2249</v>
      </c>
      <c r="B50" s="23" t="s">
        <v>172</v>
      </c>
      <c r="C50" s="251">
        <v>2.32E-4</v>
      </c>
      <c r="D50" s="251"/>
      <c r="E50" s="34">
        <v>3.19</v>
      </c>
      <c r="F50" s="34">
        <f t="shared" si="1"/>
        <v>2.2785714285714285</v>
      </c>
    </row>
    <row r="51" spans="1:6" x14ac:dyDescent="0.35">
      <c r="A51" s="32">
        <v>2250</v>
      </c>
      <c r="B51" s="23" t="s">
        <v>125</v>
      </c>
      <c r="C51" s="251">
        <f>0.024026-0.005</f>
        <v>1.9025999999999998E-2</v>
      </c>
      <c r="D51" s="251"/>
      <c r="E51" s="34">
        <v>261.3</v>
      </c>
      <c r="F51" s="34">
        <f t="shared" si="1"/>
        <v>186.64285714285714</v>
      </c>
    </row>
    <row r="52" spans="1:6" hidden="1" x14ac:dyDescent="0.35">
      <c r="A52" s="32">
        <v>2261</v>
      </c>
      <c r="B52" s="63" t="s">
        <v>99</v>
      </c>
      <c r="C52" s="251">
        <v>0</v>
      </c>
      <c r="D52" s="251"/>
      <c r="E52" s="34">
        <f>C52*13733.854</f>
        <v>0</v>
      </c>
      <c r="F52" s="34">
        <f t="shared" si="1"/>
        <v>0</v>
      </c>
    </row>
    <row r="53" spans="1:6" x14ac:dyDescent="0.35">
      <c r="A53" s="32">
        <v>2262</v>
      </c>
      <c r="B53" s="63" t="s">
        <v>149</v>
      </c>
      <c r="C53" s="251">
        <v>6.2599999999999999E-3</v>
      </c>
      <c r="D53" s="251"/>
      <c r="E53" s="34">
        <v>85.97</v>
      </c>
      <c r="F53" s="34">
        <f t="shared" si="1"/>
        <v>61.407142857142851</v>
      </c>
    </row>
    <row r="54" spans="1:6" x14ac:dyDescent="0.35">
      <c r="A54" s="32">
        <v>2263</v>
      </c>
      <c r="B54" s="63" t="s">
        <v>150</v>
      </c>
      <c r="C54" s="251">
        <v>4.58E-2</v>
      </c>
      <c r="D54" s="251"/>
      <c r="E54" s="34">
        <v>629.01</v>
      </c>
      <c r="F54" s="34">
        <f t="shared" si="1"/>
        <v>449.29285714285714</v>
      </c>
    </row>
    <row r="55" spans="1:6" x14ac:dyDescent="0.35">
      <c r="A55" s="32">
        <v>2264</v>
      </c>
      <c r="B55" s="23" t="s">
        <v>151</v>
      </c>
      <c r="C55" s="251">
        <v>1.49E-3</v>
      </c>
      <c r="D55" s="251"/>
      <c r="E55" s="34">
        <v>20.46</v>
      </c>
      <c r="F55" s="34">
        <f t="shared" si="1"/>
        <v>14.614285714285716</v>
      </c>
    </row>
    <row r="56" spans="1:6" x14ac:dyDescent="0.35">
      <c r="A56" s="32">
        <v>2311</v>
      </c>
      <c r="B56" s="63" t="s">
        <v>152</v>
      </c>
      <c r="C56" s="251">
        <v>4.7699999999999999E-3</v>
      </c>
      <c r="D56" s="251"/>
      <c r="E56" s="34">
        <v>65.510000000000005</v>
      </c>
      <c r="F56" s="34">
        <f t="shared" si="1"/>
        <v>46.792857142857152</v>
      </c>
    </row>
    <row r="57" spans="1:6" x14ac:dyDescent="0.35">
      <c r="A57" s="32">
        <v>2312</v>
      </c>
      <c r="B57" s="63" t="s">
        <v>117</v>
      </c>
      <c r="C57" s="251">
        <v>5.79E-3</v>
      </c>
      <c r="D57" s="251"/>
      <c r="E57" s="34">
        <v>79.52</v>
      </c>
      <c r="F57" s="34">
        <f t="shared" si="1"/>
        <v>56.8</v>
      </c>
    </row>
    <row r="58" spans="1:6" x14ac:dyDescent="0.35">
      <c r="A58" s="32">
        <v>2314</v>
      </c>
      <c r="B58" s="78" t="s">
        <v>153</v>
      </c>
      <c r="C58" s="251">
        <v>2.2200000000000002E-3</v>
      </c>
      <c r="D58" s="251"/>
      <c r="E58" s="34">
        <v>30.49</v>
      </c>
      <c r="F58" s="34">
        <f t="shared" si="1"/>
        <v>21.778571428571428</v>
      </c>
    </row>
    <row r="59" spans="1:6" x14ac:dyDescent="0.35">
      <c r="A59" s="32">
        <v>2321</v>
      </c>
      <c r="B59" s="63" t="s">
        <v>140</v>
      </c>
      <c r="C59" s="251">
        <f>0.0198*1.2+0.005</f>
        <v>2.8760000000000001E-2</v>
      </c>
      <c r="D59" s="251"/>
      <c r="E59" s="34">
        <v>394.99</v>
      </c>
      <c r="F59" s="34">
        <f t="shared" si="1"/>
        <v>282.13571428571424</v>
      </c>
    </row>
    <row r="60" spans="1:6" x14ac:dyDescent="0.35">
      <c r="A60" s="32">
        <v>2322</v>
      </c>
      <c r="B60" s="63" t="s">
        <v>154</v>
      </c>
      <c r="C60" s="251">
        <f>0.0035*1.2</f>
        <v>4.1999999999999997E-3</v>
      </c>
      <c r="D60" s="251"/>
      <c r="E60" s="34">
        <v>57.68</v>
      </c>
      <c r="F60" s="34">
        <f t="shared" si="1"/>
        <v>41.2</v>
      </c>
    </row>
    <row r="61" spans="1:6" hidden="1" x14ac:dyDescent="0.35">
      <c r="A61" s="32">
        <v>2341</v>
      </c>
      <c r="B61" s="63" t="s">
        <v>141</v>
      </c>
      <c r="C61" s="251"/>
      <c r="D61" s="251"/>
      <c r="E61" s="34">
        <f>C61*13733.854</f>
        <v>0</v>
      </c>
      <c r="F61" s="34">
        <f t="shared" si="1"/>
        <v>0</v>
      </c>
    </row>
    <row r="62" spans="1:6" x14ac:dyDescent="0.35">
      <c r="A62" s="32">
        <v>2350</v>
      </c>
      <c r="B62" s="62" t="s">
        <v>126</v>
      </c>
      <c r="C62" s="251">
        <v>8.5000000000000006E-3</v>
      </c>
      <c r="D62" s="251"/>
      <c r="E62" s="34">
        <v>116.74</v>
      </c>
      <c r="F62" s="34">
        <f t="shared" si="1"/>
        <v>83.385714285714286</v>
      </c>
    </row>
    <row r="63" spans="1:6" hidden="1" x14ac:dyDescent="0.35">
      <c r="A63" s="32">
        <v>2512</v>
      </c>
      <c r="B63" s="63" t="s">
        <v>155</v>
      </c>
      <c r="C63" s="251">
        <v>0</v>
      </c>
      <c r="D63" s="251"/>
      <c r="E63" s="34">
        <f>C63*13733.854</f>
        <v>0</v>
      </c>
      <c r="F63" s="34">
        <f t="shared" si="1"/>
        <v>0</v>
      </c>
    </row>
    <row r="64" spans="1:6" ht="15.75" customHeight="1" x14ac:dyDescent="0.35">
      <c r="A64" s="32">
        <v>2513</v>
      </c>
      <c r="B64" s="62" t="s">
        <v>122</v>
      </c>
      <c r="C64" s="251">
        <v>1.4599999999999999E-3</v>
      </c>
      <c r="D64" s="251"/>
      <c r="E64" s="34">
        <v>20.05</v>
      </c>
      <c r="F64" s="34">
        <f t="shared" si="1"/>
        <v>14.321428571428571</v>
      </c>
    </row>
    <row r="65" spans="1:8" x14ac:dyDescent="0.35">
      <c r="A65" s="32">
        <v>2515</v>
      </c>
      <c r="B65" s="63" t="s">
        <v>156</v>
      </c>
      <c r="C65" s="251">
        <v>1.9E-3</v>
      </c>
      <c r="D65" s="251"/>
      <c r="E65" s="34">
        <v>26.09</v>
      </c>
      <c r="F65" s="34">
        <f t="shared" si="1"/>
        <v>18.635714285714286</v>
      </c>
    </row>
    <row r="66" spans="1:8" x14ac:dyDescent="0.35">
      <c r="A66" s="32">
        <v>2519</v>
      </c>
      <c r="B66" s="63" t="s">
        <v>123</v>
      </c>
      <c r="C66" s="251">
        <v>2E-3</v>
      </c>
      <c r="D66" s="251"/>
      <c r="E66" s="34">
        <v>27.47</v>
      </c>
      <c r="F66" s="34">
        <f t="shared" si="1"/>
        <v>19.62142857142857</v>
      </c>
    </row>
    <row r="67" spans="1:8" x14ac:dyDescent="0.35">
      <c r="A67" s="32">
        <v>5220</v>
      </c>
      <c r="B67" s="63" t="s">
        <v>129</v>
      </c>
      <c r="C67" s="251">
        <v>1.06E-2</v>
      </c>
      <c r="D67" s="251"/>
      <c r="E67" s="34">
        <v>145.58000000000001</v>
      </c>
      <c r="F67" s="34">
        <f t="shared" si="1"/>
        <v>103.98571428571429</v>
      </c>
    </row>
    <row r="68" spans="1:8" x14ac:dyDescent="0.35">
      <c r="A68" s="32">
        <v>5238</v>
      </c>
      <c r="B68" s="62" t="s">
        <v>130</v>
      </c>
      <c r="C68" s="251">
        <v>1.65E-3</v>
      </c>
      <c r="D68" s="251"/>
      <c r="E68" s="34">
        <v>22.66</v>
      </c>
      <c r="F68" s="34">
        <f t="shared" si="1"/>
        <v>16.185714285714287</v>
      </c>
    </row>
    <row r="69" spans="1:8" x14ac:dyDescent="0.35">
      <c r="A69" s="32">
        <v>5239</v>
      </c>
      <c r="B69" s="62" t="s">
        <v>131</v>
      </c>
      <c r="C69" s="251">
        <v>9.5399999999999999E-3</v>
      </c>
      <c r="D69" s="251"/>
      <c r="E69" s="34">
        <v>131.02000000000001</v>
      </c>
      <c r="F69" s="34">
        <f t="shared" si="1"/>
        <v>93.585714285714303</v>
      </c>
    </row>
    <row r="70" spans="1:8" x14ac:dyDescent="0.35">
      <c r="A70" s="32">
        <v>5250</v>
      </c>
      <c r="B70" s="63" t="s">
        <v>132</v>
      </c>
      <c r="C70" s="251">
        <v>7.0600000000000003E-3</v>
      </c>
      <c r="D70" s="251"/>
      <c r="E70" s="34">
        <v>96.93</v>
      </c>
      <c r="F70" s="34">
        <f t="shared" si="1"/>
        <v>69.235714285714295</v>
      </c>
    </row>
    <row r="71" spans="1:8" x14ac:dyDescent="0.35">
      <c r="A71" s="39"/>
      <c r="B71" s="82" t="s">
        <v>97</v>
      </c>
      <c r="C71" s="251">
        <f>SUM(C35:C70)</f>
        <v>1.00000255</v>
      </c>
      <c r="D71" s="251"/>
      <c r="E71" s="38">
        <f>SUM(E35:E70)</f>
        <v>12652.400000000001</v>
      </c>
      <c r="F71" s="38">
        <f>SUM(F35:F70)</f>
        <v>9037.4285714285706</v>
      </c>
    </row>
    <row r="72" spans="1:8" x14ac:dyDescent="0.35">
      <c r="A72" s="39"/>
      <c r="B72" s="82" t="s">
        <v>98</v>
      </c>
      <c r="C72" s="255"/>
      <c r="D72" s="255"/>
      <c r="E72" s="38">
        <f>E33+E71</f>
        <v>29631.000000000004</v>
      </c>
      <c r="F72" s="38">
        <f>F33+F71</f>
        <v>21165</v>
      </c>
    </row>
    <row r="73" spans="1:8" ht="12.75" customHeight="1" x14ac:dyDescent="0.35">
      <c r="A73" s="16"/>
      <c r="B73" s="26"/>
      <c r="C73" s="256"/>
      <c r="D73" s="256"/>
      <c r="E73" s="60"/>
      <c r="F73" s="60"/>
    </row>
    <row r="74" spans="1:8" ht="15.75" customHeight="1" x14ac:dyDescent="0.35">
      <c r="A74" s="319" t="s">
        <v>107</v>
      </c>
      <c r="B74" s="319"/>
      <c r="C74" s="257"/>
      <c r="D74" s="257"/>
      <c r="E74" s="68">
        <v>700</v>
      </c>
      <c r="F74" s="68">
        <v>500</v>
      </c>
    </row>
    <row r="75" spans="1:8" ht="15.75" customHeight="1" x14ac:dyDescent="0.35">
      <c r="A75" s="319" t="s">
        <v>58</v>
      </c>
      <c r="B75" s="319"/>
      <c r="C75" s="257"/>
      <c r="D75" s="257"/>
      <c r="E75" s="69">
        <f>E72/E74</f>
        <v>42.330000000000005</v>
      </c>
      <c r="F75" s="69">
        <f>F72/F74</f>
        <v>42.33</v>
      </c>
      <c r="G75" s="59"/>
      <c r="H75" s="147"/>
    </row>
    <row r="76" spans="1:8" x14ac:dyDescent="0.35">
      <c r="A76" s="44"/>
      <c r="B76" s="50"/>
      <c r="C76" s="258"/>
      <c r="D76" s="258"/>
      <c r="E76" s="85"/>
      <c r="F76" s="85"/>
    </row>
    <row r="77" spans="1:8" ht="15.75" customHeight="1" x14ac:dyDescent="0.35">
      <c r="A77" s="320" t="s">
        <v>33</v>
      </c>
      <c r="B77" s="320"/>
      <c r="C77" s="259"/>
      <c r="D77" s="259"/>
      <c r="E77" s="28"/>
      <c r="F77" s="28"/>
    </row>
    <row r="78" spans="1:8" ht="15.75" customHeight="1" x14ac:dyDescent="0.35">
      <c r="A78" s="320" t="s">
        <v>64</v>
      </c>
      <c r="B78" s="320"/>
      <c r="C78" s="259"/>
      <c r="D78" s="259"/>
      <c r="E78" s="88"/>
      <c r="F78" s="88"/>
    </row>
    <row r="79" spans="1:8" x14ac:dyDescent="0.35">
      <c r="A79" s="29"/>
      <c r="B79" s="29"/>
      <c r="C79" s="260"/>
      <c r="D79" s="260"/>
      <c r="E79" s="29"/>
      <c r="F79" s="29"/>
    </row>
    <row r="80" spans="1:8" x14ac:dyDescent="0.35">
      <c r="A80" s="29" t="s">
        <v>34</v>
      </c>
      <c r="B80" s="29"/>
      <c r="C80" s="260"/>
      <c r="D80" s="260"/>
      <c r="E80" s="84"/>
      <c r="F80" s="84"/>
    </row>
    <row r="81" spans="1:6" x14ac:dyDescent="0.35">
      <c r="A81" s="29"/>
      <c r="B81" s="29"/>
      <c r="C81" s="260"/>
      <c r="D81" s="260"/>
      <c r="E81" s="84"/>
      <c r="F81" s="84"/>
    </row>
    <row r="82" spans="1:6" x14ac:dyDescent="0.35">
      <c r="A82" s="29" t="s">
        <v>179</v>
      </c>
      <c r="B82" s="30"/>
      <c r="C82" s="261"/>
      <c r="D82" s="261"/>
      <c r="E82" s="84"/>
      <c r="F82" s="84"/>
    </row>
    <row r="83" spans="1:6" x14ac:dyDescent="0.35">
      <c r="B83" s="76"/>
      <c r="C83" s="262"/>
      <c r="D83" s="262"/>
      <c r="E83" s="85"/>
      <c r="F83" s="85"/>
    </row>
    <row r="85" spans="1:6" x14ac:dyDescent="0.35">
      <c r="E85" s="59"/>
      <c r="F85" s="59"/>
    </row>
  </sheetData>
  <mergeCells count="7">
    <mergeCell ref="A78:B78"/>
    <mergeCell ref="A74:B74"/>
    <mergeCell ref="A75:B75"/>
    <mergeCell ref="A77:B77"/>
    <mergeCell ref="A10:B10"/>
    <mergeCell ref="A7:E7"/>
    <mergeCell ref="A9:B9"/>
  </mergeCells>
  <pageMargins left="0.72499999999999998" right="0.55118110236220474" top="0.39370078740157483" bottom="0.45718750000000002" header="0.31496062992125984" footer="0.16"/>
  <pageSetup paperSize="9" scale="61" firstPageNumber="4" orientation="portrait" useFirstPageNumber="1" r:id="rId1"/>
  <headerFooter>
    <oddFooter>&amp;C&amp;"Times New Roman,Regular"&amp;F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5"/>
  <sheetViews>
    <sheetView view="pageLayout" topLeftCell="A49" zoomScale="80" zoomScaleNormal="100" zoomScalePageLayoutView="80" workbookViewId="0">
      <selection activeCell="A75" sqref="A75:B75"/>
    </sheetView>
  </sheetViews>
  <sheetFormatPr defaultColWidth="9.1796875" defaultRowHeight="15.5" x14ac:dyDescent="0.35"/>
  <cols>
    <col min="1" max="1" width="16.1796875" style="14" customWidth="1"/>
    <col min="2" max="2" width="92" style="14" customWidth="1"/>
    <col min="3" max="4" width="7.81640625" style="240" hidden="1" customWidth="1"/>
    <col min="5" max="5" width="31.54296875" style="14" hidden="1" customWidth="1"/>
    <col min="6" max="6" width="31.54296875" style="14" customWidth="1"/>
    <col min="7" max="7" width="10.453125" style="14" customWidth="1"/>
    <col min="8" max="8" width="16.26953125" style="14" customWidth="1"/>
    <col min="9" max="16384" width="9.1796875" style="14"/>
  </cols>
  <sheetData>
    <row r="1" spans="1:7" ht="15.75" customHeight="1" x14ac:dyDescent="0.35">
      <c r="B1" s="15"/>
      <c r="C1" s="237"/>
      <c r="D1" s="237"/>
      <c r="E1" s="18" t="s">
        <v>10</v>
      </c>
      <c r="F1" s="18" t="s">
        <v>10</v>
      </c>
    </row>
    <row r="2" spans="1:7" ht="15.75" customHeight="1" x14ac:dyDescent="0.35">
      <c r="E2" s="15" t="s">
        <v>32</v>
      </c>
      <c r="F2" s="15" t="s">
        <v>32</v>
      </c>
      <c r="G2" s="15"/>
    </row>
    <row r="3" spans="1:7" x14ac:dyDescent="0.35">
      <c r="B3" s="61"/>
      <c r="C3" s="239"/>
      <c r="D3" s="239"/>
      <c r="E3" s="80" t="s">
        <v>66</v>
      </c>
      <c r="F3" s="80" t="s">
        <v>66</v>
      </c>
    </row>
    <row r="4" spans="1:7" x14ac:dyDescent="0.35">
      <c r="B4" s="15"/>
      <c r="C4" s="237"/>
      <c r="D4" s="237"/>
      <c r="E4" s="16"/>
      <c r="F4" s="16"/>
    </row>
    <row r="5" spans="1:7" x14ac:dyDescent="0.35">
      <c r="B5" s="74"/>
      <c r="C5" s="238"/>
      <c r="D5" s="238"/>
      <c r="E5" s="16"/>
      <c r="F5" s="16"/>
    </row>
    <row r="6" spans="1:7" x14ac:dyDescent="0.35">
      <c r="E6" s="16" t="s">
        <v>180</v>
      </c>
      <c r="F6" s="16" t="s">
        <v>230</v>
      </c>
    </row>
    <row r="7" spans="1:7" x14ac:dyDescent="0.35">
      <c r="A7" s="318" t="s">
        <v>9</v>
      </c>
      <c r="B7" s="318"/>
      <c r="C7" s="318"/>
      <c r="D7" s="241"/>
      <c r="E7" s="73"/>
      <c r="F7" s="73"/>
    </row>
    <row r="8" spans="1:7" x14ac:dyDescent="0.35">
      <c r="B8" s="19"/>
      <c r="C8" s="242"/>
      <c r="D8" s="242"/>
      <c r="E8" s="26"/>
      <c r="F8" s="26"/>
    </row>
    <row r="9" spans="1:7" x14ac:dyDescent="0.35">
      <c r="A9" s="321" t="s">
        <v>1</v>
      </c>
      <c r="B9" s="321"/>
      <c r="C9" s="243"/>
      <c r="D9" s="243"/>
      <c r="E9" s="26"/>
      <c r="F9" s="26"/>
    </row>
    <row r="10" spans="1:7" x14ac:dyDescent="0.35">
      <c r="A10" s="321" t="s">
        <v>0</v>
      </c>
      <c r="B10" s="321"/>
      <c r="C10" s="243"/>
      <c r="D10" s="243"/>
      <c r="E10" s="26"/>
      <c r="F10" s="26"/>
    </row>
    <row r="11" spans="1:7" x14ac:dyDescent="0.35">
      <c r="A11" s="12"/>
      <c r="B11" s="12" t="s">
        <v>181</v>
      </c>
      <c r="C11" s="243"/>
      <c r="D11" s="243"/>
      <c r="E11" s="26"/>
      <c r="F11" s="26"/>
    </row>
    <row r="12" spans="1:7" x14ac:dyDescent="0.35">
      <c r="A12" s="12"/>
      <c r="B12" s="44" t="s">
        <v>201</v>
      </c>
      <c r="C12" s="244"/>
      <c r="D12" s="244"/>
      <c r="E12" s="26"/>
      <c r="F12" s="26"/>
    </row>
    <row r="13" spans="1:7" x14ac:dyDescent="0.35">
      <c r="A13" s="12"/>
      <c r="B13" s="87" t="s">
        <v>203</v>
      </c>
      <c r="C13" s="245"/>
      <c r="D13" s="245"/>
      <c r="E13" s="26"/>
      <c r="F13" s="26"/>
    </row>
    <row r="14" spans="1:7" x14ac:dyDescent="0.35">
      <c r="A14" s="12" t="s">
        <v>2</v>
      </c>
      <c r="B14" s="12" t="s">
        <v>170</v>
      </c>
      <c r="C14" s="243"/>
      <c r="D14" s="243"/>
      <c r="E14" s="26"/>
      <c r="F14" s="26"/>
    </row>
    <row r="15" spans="1:7" ht="61.5" customHeight="1" x14ac:dyDescent="0.35">
      <c r="A15" s="52" t="s">
        <v>3</v>
      </c>
      <c r="B15" s="52" t="s">
        <v>4</v>
      </c>
      <c r="C15" s="246"/>
      <c r="D15" s="246"/>
      <c r="E15" s="52" t="s">
        <v>135</v>
      </c>
      <c r="F15" s="52" t="s">
        <v>135</v>
      </c>
    </row>
    <row r="16" spans="1:7" x14ac:dyDescent="0.35">
      <c r="A16" s="21">
        <v>1</v>
      </c>
      <c r="B16" s="22">
        <v>2</v>
      </c>
      <c r="C16" s="247"/>
      <c r="D16" s="247"/>
      <c r="E16" s="22">
        <v>3</v>
      </c>
      <c r="F16" s="22">
        <v>3</v>
      </c>
    </row>
    <row r="17" spans="1:7" x14ac:dyDescent="0.35">
      <c r="A17" s="21"/>
      <c r="B17" s="23" t="s">
        <v>5</v>
      </c>
      <c r="C17" s="248"/>
      <c r="D17" s="248"/>
      <c r="E17" s="62"/>
      <c r="F17" s="62"/>
    </row>
    <row r="18" spans="1:7" x14ac:dyDescent="0.35">
      <c r="A18" s="32">
        <v>1100</v>
      </c>
      <c r="B18" s="32" t="s">
        <v>133</v>
      </c>
      <c r="C18" s="249"/>
      <c r="D18" s="250">
        <f>'[1]7._izmitināšana_GALA mpc'!$S$6</f>
        <v>13.506129805292062</v>
      </c>
      <c r="E18" s="34">
        <v>13735.54</v>
      </c>
      <c r="F18" s="34">
        <f>E18/900*700</f>
        <v>10683.197777777777</v>
      </c>
      <c r="G18" s="59"/>
    </row>
    <row r="19" spans="1:7" x14ac:dyDescent="0.35">
      <c r="A19" s="32">
        <v>1200</v>
      </c>
      <c r="B19" s="62" t="s">
        <v>134</v>
      </c>
      <c r="C19" s="251"/>
      <c r="D19" s="251">
        <f>D18*0.2359</f>
        <v>3.1860960210683973</v>
      </c>
      <c r="E19" s="34">
        <v>3240.21</v>
      </c>
      <c r="F19" s="34">
        <f t="shared" ref="F19:F32" si="0">E19/900*700</f>
        <v>2520.1633333333334</v>
      </c>
      <c r="G19" s="59"/>
    </row>
    <row r="20" spans="1:7" x14ac:dyDescent="0.35">
      <c r="A20" s="32">
        <v>2222</v>
      </c>
      <c r="B20" s="63" t="s">
        <v>136</v>
      </c>
      <c r="C20" s="251"/>
      <c r="D20" s="252">
        <f>'[1]7._izmitināšana_GALA mpc'!$S$8</f>
        <v>0.37567648527209185</v>
      </c>
      <c r="E20" s="34">
        <v>338.07</v>
      </c>
      <c r="F20" s="34">
        <f t="shared" si="0"/>
        <v>262.94333333333333</v>
      </c>
      <c r="G20" s="59"/>
    </row>
    <row r="21" spans="1:7" x14ac:dyDescent="0.35">
      <c r="A21" s="32">
        <v>2223</v>
      </c>
      <c r="B21" s="63" t="s">
        <v>137</v>
      </c>
      <c r="C21" s="251"/>
      <c r="D21" s="252">
        <f>'[1]7._izmitināšana_GALA mpc'!$S$9</f>
        <v>0.98225661507738393</v>
      </c>
      <c r="E21" s="34">
        <v>883.92</v>
      </c>
      <c r="F21" s="34">
        <f t="shared" si="0"/>
        <v>687.49333333333334</v>
      </c>
      <c r="G21" s="59"/>
    </row>
    <row r="22" spans="1:7" x14ac:dyDescent="0.35">
      <c r="A22" s="32">
        <v>2243</v>
      </c>
      <c r="B22" s="23" t="s">
        <v>138</v>
      </c>
      <c r="C22" s="251"/>
      <c r="D22" s="252">
        <f>'[1]7._izmitināšana_GALA mpc'!$S$11</f>
        <v>5.9126635638389081E-2</v>
      </c>
      <c r="E22" s="34">
        <v>53.34</v>
      </c>
      <c r="F22" s="34">
        <f t="shared" si="0"/>
        <v>41.486666666666672</v>
      </c>
      <c r="G22" s="59"/>
    </row>
    <row r="23" spans="1:7" x14ac:dyDescent="0.35">
      <c r="A23" s="32">
        <v>2244</v>
      </c>
      <c r="B23" s="23" t="s">
        <v>139</v>
      </c>
      <c r="C23" s="251"/>
      <c r="D23" s="252">
        <f>'[1]7._izmitināšana_GALA mpc'!$S$12</f>
        <v>1.2146509202588722</v>
      </c>
      <c r="E23" s="34">
        <v>1093.72</v>
      </c>
      <c r="F23" s="34">
        <f t="shared" si="0"/>
        <v>850.67111111111114</v>
      </c>
      <c r="G23" s="59"/>
    </row>
    <row r="24" spans="1:7" x14ac:dyDescent="0.35">
      <c r="A24" s="32">
        <v>2250</v>
      </c>
      <c r="B24" s="23" t="s">
        <v>125</v>
      </c>
      <c r="C24" s="251"/>
      <c r="D24" s="252">
        <f>'[1]7._izmitināšana_GALA mpc'!$S$13</f>
        <v>0.19</v>
      </c>
      <c r="E24" s="34">
        <v>171</v>
      </c>
      <c r="F24" s="34">
        <f t="shared" si="0"/>
        <v>133</v>
      </c>
      <c r="G24" s="59"/>
    </row>
    <row r="25" spans="1:7" x14ac:dyDescent="0.35">
      <c r="A25" s="32">
        <v>2311</v>
      </c>
      <c r="B25" s="63" t="s">
        <v>152</v>
      </c>
      <c r="C25" s="251"/>
      <c r="D25" s="252">
        <f>'[1]7._izmitināšana_GALA mpc'!$S$14</f>
        <v>1.987943085371942</v>
      </c>
      <c r="E25" s="34">
        <v>1789.07</v>
      </c>
      <c r="F25" s="34">
        <f t="shared" si="0"/>
        <v>1391.4988888888888</v>
      </c>
      <c r="G25" s="59"/>
    </row>
    <row r="26" spans="1:7" x14ac:dyDescent="0.35">
      <c r="A26" s="32">
        <v>2312</v>
      </c>
      <c r="B26" s="23" t="s">
        <v>117</v>
      </c>
      <c r="C26" s="251"/>
      <c r="D26" s="252">
        <f>'[1]7._izmitināšana_GALA mpc'!$S$15</f>
        <v>0.69506836605825828</v>
      </c>
      <c r="E26" s="34">
        <v>626.38</v>
      </c>
      <c r="F26" s="34">
        <f t="shared" si="0"/>
        <v>487.18444444444447</v>
      </c>
      <c r="G26" s="59"/>
    </row>
    <row r="27" spans="1:7" x14ac:dyDescent="0.35">
      <c r="A27" s="32">
        <v>2321</v>
      </c>
      <c r="B27" s="63" t="s">
        <v>140</v>
      </c>
      <c r="C27" s="251"/>
      <c r="D27" s="252">
        <f>'[1]7._izmitināšana_GALA mpc'!$S$16</f>
        <v>0.70281236584322426</v>
      </c>
      <c r="E27" s="34">
        <v>632.86</v>
      </c>
      <c r="F27" s="34">
        <f t="shared" si="0"/>
        <v>492.22444444444443</v>
      </c>
      <c r="G27" s="59"/>
    </row>
    <row r="28" spans="1:7" x14ac:dyDescent="0.35">
      <c r="A28" s="32">
        <v>2350</v>
      </c>
      <c r="B28" s="62" t="s">
        <v>126</v>
      </c>
      <c r="C28" s="251"/>
      <c r="D28" s="252">
        <f>'[1]7._izmitināšana_GALA mpc'!$S$17</f>
        <v>0.25746801418273768</v>
      </c>
      <c r="E28" s="34">
        <v>232.05</v>
      </c>
      <c r="F28" s="34">
        <f t="shared" si="0"/>
        <v>180.48333333333335</v>
      </c>
      <c r="G28" s="59"/>
    </row>
    <row r="29" spans="1:7" x14ac:dyDescent="0.35">
      <c r="A29" s="32">
        <v>2361</v>
      </c>
      <c r="B29" s="63" t="s">
        <v>142</v>
      </c>
      <c r="C29" s="251"/>
      <c r="D29" s="252">
        <f>'[1]7._izmitināšana_GALA mpc'!$S$18</f>
        <v>9.4088866699950063E-2</v>
      </c>
      <c r="E29" s="34">
        <v>84.67</v>
      </c>
      <c r="F29" s="34">
        <f t="shared" si="0"/>
        <v>65.854444444444439</v>
      </c>
      <c r="G29" s="59"/>
    </row>
    <row r="30" spans="1:7" x14ac:dyDescent="0.35">
      <c r="A30" s="32">
        <v>2362</v>
      </c>
      <c r="B30" s="86" t="s">
        <v>157</v>
      </c>
      <c r="C30" s="251"/>
      <c r="D30" s="252">
        <f>'[1]7._izmitināšana_GALA mpc'!$S$19</f>
        <v>4.8496533819285675E-2</v>
      </c>
      <c r="E30" s="34">
        <v>43.84</v>
      </c>
      <c r="F30" s="34">
        <f t="shared" si="0"/>
        <v>34.097777777777779</v>
      </c>
      <c r="G30" s="59"/>
    </row>
    <row r="31" spans="1:7" x14ac:dyDescent="0.35">
      <c r="A31" s="32">
        <v>2363</v>
      </c>
      <c r="B31" s="63" t="s">
        <v>143</v>
      </c>
      <c r="C31" s="251"/>
      <c r="D31" s="251">
        <v>9.75</v>
      </c>
      <c r="E31" s="34">
        <f>D31*900</f>
        <v>8775</v>
      </c>
      <c r="F31" s="34">
        <f t="shared" si="0"/>
        <v>6825</v>
      </c>
      <c r="G31" s="59"/>
    </row>
    <row r="32" spans="1:7" x14ac:dyDescent="0.35">
      <c r="A32" s="32">
        <v>5239</v>
      </c>
      <c r="B32" s="62" t="s">
        <v>131</v>
      </c>
      <c r="C32" s="251"/>
      <c r="D32" s="252">
        <f>'[1]7._izmitināšana_GALA mpc'!$S$21</f>
        <v>0.96272507115322226</v>
      </c>
      <c r="E32" s="34">
        <v>867.14</v>
      </c>
      <c r="F32" s="34">
        <f t="shared" si="0"/>
        <v>674.4422222222222</v>
      </c>
      <c r="G32" s="59"/>
    </row>
    <row r="33" spans="1:8" x14ac:dyDescent="0.35">
      <c r="A33" s="32"/>
      <c r="B33" s="81" t="s">
        <v>6</v>
      </c>
      <c r="C33" s="253"/>
      <c r="D33" s="253">
        <f>SUM(D18:D32)</f>
        <v>34.012538785735821</v>
      </c>
      <c r="E33" s="38">
        <f>SUM(E18:E32)</f>
        <v>32566.809999999998</v>
      </c>
      <c r="F33" s="38">
        <f>SUM(F18:F32)</f>
        <v>25329.741111111111</v>
      </c>
      <c r="H33" s="59"/>
    </row>
    <row r="34" spans="1:8" x14ac:dyDescent="0.35">
      <c r="A34" s="39"/>
      <c r="B34" s="81" t="s">
        <v>7</v>
      </c>
      <c r="C34" s="253"/>
      <c r="D34" s="253"/>
      <c r="E34" s="34"/>
      <c r="F34" s="34"/>
    </row>
    <row r="35" spans="1:8" x14ac:dyDescent="0.35">
      <c r="A35" s="32">
        <v>1100</v>
      </c>
      <c r="B35" s="23" t="s">
        <v>133</v>
      </c>
      <c r="C35" s="251">
        <v>0.48549999999999999</v>
      </c>
      <c r="D35" s="251"/>
      <c r="E35" s="34">
        <v>8767.06</v>
      </c>
      <c r="F35" s="34">
        <f t="shared" ref="F35:F70" si="1">E35/900*700</f>
        <v>6818.8244444444435</v>
      </c>
      <c r="G35" s="59"/>
    </row>
    <row r="36" spans="1:8" ht="16.5" customHeight="1" x14ac:dyDescent="0.35">
      <c r="A36" s="32">
        <v>1200</v>
      </c>
      <c r="B36" s="23" t="s">
        <v>134</v>
      </c>
      <c r="C36" s="251">
        <f>C35*0.2359</f>
        <v>0.11452944999999999</v>
      </c>
      <c r="D36" s="251"/>
      <c r="E36" s="34">
        <v>2068.15</v>
      </c>
      <c r="F36" s="34">
        <f t="shared" si="1"/>
        <v>1608.5611111111111</v>
      </c>
    </row>
    <row r="37" spans="1:8" ht="16.5" customHeight="1" x14ac:dyDescent="0.35">
      <c r="A37" s="32">
        <v>2100</v>
      </c>
      <c r="B37" s="25" t="s">
        <v>45</v>
      </c>
      <c r="C37" s="251">
        <v>1.1659999999999999E-3</v>
      </c>
      <c r="D37" s="251"/>
      <c r="E37" s="34">
        <v>24.85</v>
      </c>
      <c r="F37" s="34">
        <f t="shared" si="1"/>
        <v>19.327777777777779</v>
      </c>
    </row>
    <row r="38" spans="1:8" x14ac:dyDescent="0.35">
      <c r="A38" s="35">
        <v>2210</v>
      </c>
      <c r="B38" s="63" t="s">
        <v>121</v>
      </c>
      <c r="C38" s="251">
        <v>7.6E-3</v>
      </c>
      <c r="D38" s="251"/>
      <c r="E38" s="34">
        <v>162</v>
      </c>
      <c r="F38" s="34">
        <f t="shared" si="1"/>
        <v>126</v>
      </c>
    </row>
    <row r="39" spans="1:8" x14ac:dyDescent="0.35">
      <c r="A39" s="32">
        <v>2222</v>
      </c>
      <c r="B39" s="63" t="s">
        <v>136</v>
      </c>
      <c r="C39" s="251">
        <f>0.0095*1.15</f>
        <v>1.0924999999999999E-2</v>
      </c>
      <c r="D39" s="251"/>
      <c r="E39" s="34">
        <v>232.88</v>
      </c>
      <c r="F39" s="34">
        <f t="shared" si="1"/>
        <v>181.12888888888889</v>
      </c>
    </row>
    <row r="40" spans="1:8" x14ac:dyDescent="0.35">
      <c r="A40" s="32">
        <v>2223</v>
      </c>
      <c r="B40" s="63" t="s">
        <v>137</v>
      </c>
      <c r="C40" s="251">
        <f>0.01902*2.13</f>
        <v>4.0512599999999996E-2</v>
      </c>
      <c r="D40" s="251"/>
      <c r="E40" s="34">
        <v>863.58</v>
      </c>
      <c r="F40" s="34">
        <f t="shared" si="1"/>
        <v>671.67333333333329</v>
      </c>
    </row>
    <row r="41" spans="1:8" ht="31" x14ac:dyDescent="0.35">
      <c r="A41" s="32">
        <v>2224</v>
      </c>
      <c r="B41" s="63" t="s">
        <v>144</v>
      </c>
      <c r="C41" s="251">
        <f>0.00495*1.15</f>
        <v>5.6924999999999996E-3</v>
      </c>
      <c r="D41" s="251"/>
      <c r="E41" s="34">
        <v>121.34</v>
      </c>
      <c r="F41" s="34">
        <f t="shared" si="1"/>
        <v>94.375555555555565</v>
      </c>
    </row>
    <row r="42" spans="1:8" ht="15.75" customHeight="1" x14ac:dyDescent="0.35">
      <c r="A42" s="32">
        <v>2231</v>
      </c>
      <c r="B42" s="23" t="s">
        <v>127</v>
      </c>
      <c r="C42" s="251">
        <v>1.5499999999999999E-3</v>
      </c>
      <c r="D42" s="251"/>
      <c r="E42" s="34">
        <v>33.04</v>
      </c>
      <c r="F42" s="34">
        <f t="shared" si="1"/>
        <v>25.697777777777777</v>
      </c>
    </row>
    <row r="43" spans="1:8" ht="15.75" customHeight="1" x14ac:dyDescent="0.35">
      <c r="A43" s="32">
        <v>2235</v>
      </c>
      <c r="B43" s="78" t="s">
        <v>128</v>
      </c>
      <c r="C43" s="251">
        <v>1.65E-3</v>
      </c>
      <c r="D43" s="251"/>
      <c r="E43" s="34">
        <v>35.17</v>
      </c>
      <c r="F43" s="34">
        <f t="shared" si="1"/>
        <v>27.354444444444447</v>
      </c>
    </row>
    <row r="44" spans="1:8" x14ac:dyDescent="0.35">
      <c r="A44" s="32">
        <v>2239</v>
      </c>
      <c r="B44" s="23" t="s">
        <v>145</v>
      </c>
      <c r="C44" s="251">
        <v>4.4099999999999999E-3</v>
      </c>
      <c r="D44" s="251"/>
      <c r="E44" s="34">
        <v>94.01</v>
      </c>
      <c r="F44" s="34">
        <f t="shared" si="1"/>
        <v>73.11888888888889</v>
      </c>
    </row>
    <row r="45" spans="1:8" x14ac:dyDescent="0.35">
      <c r="A45" s="32">
        <v>2241</v>
      </c>
      <c r="B45" s="23" t="s">
        <v>124</v>
      </c>
      <c r="C45" s="251">
        <v>1.6500000000000001E-2</v>
      </c>
      <c r="D45" s="251"/>
      <c r="E45" s="34">
        <f>351.72+2.03</f>
        <v>353.75</v>
      </c>
      <c r="F45" s="34">
        <f t="shared" si="1"/>
        <v>275.13888888888886</v>
      </c>
    </row>
    <row r="46" spans="1:8" x14ac:dyDescent="0.35">
      <c r="A46" s="32">
        <v>2242</v>
      </c>
      <c r="B46" s="63" t="s">
        <v>146</v>
      </c>
      <c r="C46" s="251">
        <v>2.2599999999999999E-3</v>
      </c>
      <c r="D46" s="251"/>
      <c r="E46" s="34">
        <v>48.17</v>
      </c>
      <c r="F46" s="34">
        <f t="shared" si="1"/>
        <v>37.465555555555554</v>
      </c>
    </row>
    <row r="47" spans="1:8" ht="15.75" customHeight="1" x14ac:dyDescent="0.35">
      <c r="A47" s="32">
        <v>2243</v>
      </c>
      <c r="B47" s="23" t="s">
        <v>138</v>
      </c>
      <c r="C47" s="251">
        <v>3.2599999999999997E-2</v>
      </c>
      <c r="D47" s="251"/>
      <c r="E47" s="34">
        <v>694.91</v>
      </c>
      <c r="F47" s="34">
        <f t="shared" si="1"/>
        <v>540.48555555555549</v>
      </c>
    </row>
    <row r="48" spans="1:8" x14ac:dyDescent="0.35">
      <c r="A48" s="32">
        <v>2244</v>
      </c>
      <c r="B48" s="23" t="s">
        <v>139</v>
      </c>
      <c r="C48" s="251">
        <f>0.20397-0.09084</f>
        <v>0.11313000000000001</v>
      </c>
      <c r="D48" s="251"/>
      <c r="E48" s="34">
        <v>2411.52</v>
      </c>
      <c r="F48" s="34">
        <f t="shared" si="1"/>
        <v>1875.6266666666666</v>
      </c>
    </row>
    <row r="49" spans="1:6" x14ac:dyDescent="0.35">
      <c r="A49" s="32">
        <v>2247</v>
      </c>
      <c r="B49" s="23" t="s">
        <v>147</v>
      </c>
      <c r="C49" s="251">
        <v>7.1900000000000002E-4</v>
      </c>
      <c r="D49" s="251"/>
      <c r="E49" s="34">
        <v>15.33</v>
      </c>
      <c r="F49" s="34">
        <f t="shared" si="1"/>
        <v>11.923333333333334</v>
      </c>
    </row>
    <row r="50" spans="1:6" x14ac:dyDescent="0.35">
      <c r="A50" s="32">
        <v>2249</v>
      </c>
      <c r="B50" s="23" t="s">
        <v>172</v>
      </c>
      <c r="C50" s="251">
        <v>2.32E-4</v>
      </c>
      <c r="D50" s="251"/>
      <c r="E50" s="34">
        <v>4.95</v>
      </c>
      <c r="F50" s="34">
        <f t="shared" si="1"/>
        <v>3.8500000000000005</v>
      </c>
    </row>
    <row r="51" spans="1:6" x14ac:dyDescent="0.35">
      <c r="A51" s="32">
        <v>2250</v>
      </c>
      <c r="B51" s="23" t="s">
        <v>125</v>
      </c>
      <c r="C51" s="251">
        <f>0.024026-0.005</f>
        <v>1.9025999999999998E-2</v>
      </c>
      <c r="D51" s="251"/>
      <c r="E51" s="34">
        <v>405.57</v>
      </c>
      <c r="F51" s="34">
        <f t="shared" si="1"/>
        <v>315.44333333333333</v>
      </c>
    </row>
    <row r="52" spans="1:6" hidden="1" x14ac:dyDescent="0.35">
      <c r="A52" s="32">
        <v>2261</v>
      </c>
      <c r="B52" s="63" t="s">
        <v>99</v>
      </c>
      <c r="C52" s="251">
        <v>0</v>
      </c>
      <c r="D52" s="251"/>
      <c r="E52" s="34">
        <f>C52*21316.37</f>
        <v>0</v>
      </c>
      <c r="F52" s="34">
        <f t="shared" si="1"/>
        <v>0</v>
      </c>
    </row>
    <row r="53" spans="1:6" x14ac:dyDescent="0.35">
      <c r="A53" s="32">
        <v>2262</v>
      </c>
      <c r="B53" s="63" t="s">
        <v>149</v>
      </c>
      <c r="C53" s="251">
        <v>6.2599999999999999E-3</v>
      </c>
      <c r="D53" s="251"/>
      <c r="E53" s="34">
        <v>133.44</v>
      </c>
      <c r="F53" s="34">
        <f t="shared" si="1"/>
        <v>103.78666666666666</v>
      </c>
    </row>
    <row r="54" spans="1:6" x14ac:dyDescent="0.35">
      <c r="A54" s="32">
        <v>2263</v>
      </c>
      <c r="B54" s="63" t="s">
        <v>150</v>
      </c>
      <c r="C54" s="251">
        <v>4.58E-2</v>
      </c>
      <c r="D54" s="251"/>
      <c r="E54" s="34">
        <v>976.29</v>
      </c>
      <c r="F54" s="34">
        <f t="shared" si="1"/>
        <v>759.3366666666667</v>
      </c>
    </row>
    <row r="55" spans="1:6" x14ac:dyDescent="0.35">
      <c r="A55" s="32">
        <v>2264</v>
      </c>
      <c r="B55" s="23" t="s">
        <v>151</v>
      </c>
      <c r="C55" s="251">
        <v>1.49E-3</v>
      </c>
      <c r="D55" s="251"/>
      <c r="E55" s="34">
        <v>31.76</v>
      </c>
      <c r="F55" s="34">
        <f t="shared" si="1"/>
        <v>24.702222222222222</v>
      </c>
    </row>
    <row r="56" spans="1:6" x14ac:dyDescent="0.35">
      <c r="A56" s="32">
        <v>2311</v>
      </c>
      <c r="B56" s="63" t="s">
        <v>152</v>
      </c>
      <c r="C56" s="251">
        <v>4.7699999999999999E-3</v>
      </c>
      <c r="D56" s="251"/>
      <c r="E56" s="34">
        <v>101.68</v>
      </c>
      <c r="F56" s="34">
        <f t="shared" si="1"/>
        <v>79.084444444444458</v>
      </c>
    </row>
    <row r="57" spans="1:6" x14ac:dyDescent="0.35">
      <c r="A57" s="32">
        <v>2312</v>
      </c>
      <c r="B57" s="63" t="s">
        <v>117</v>
      </c>
      <c r="C57" s="251">
        <v>5.79E-3</v>
      </c>
      <c r="D57" s="251"/>
      <c r="E57" s="34">
        <v>123.42</v>
      </c>
      <c r="F57" s="34">
        <f t="shared" si="1"/>
        <v>95.993333333333325</v>
      </c>
    </row>
    <row r="58" spans="1:6" x14ac:dyDescent="0.35">
      <c r="A58" s="32">
        <v>2314</v>
      </c>
      <c r="B58" s="78" t="s">
        <v>153</v>
      </c>
      <c r="C58" s="251">
        <v>2.2200000000000002E-3</v>
      </c>
      <c r="D58" s="251"/>
      <c r="E58" s="34">
        <v>47.32</v>
      </c>
      <c r="F58" s="34">
        <f t="shared" si="1"/>
        <v>36.804444444444442</v>
      </c>
    </row>
    <row r="59" spans="1:6" x14ac:dyDescent="0.35">
      <c r="A59" s="32">
        <v>2321</v>
      </c>
      <c r="B59" s="63" t="s">
        <v>140</v>
      </c>
      <c r="C59" s="251">
        <f>0.0198*1.2+0.005</f>
        <v>2.8760000000000001E-2</v>
      </c>
      <c r="D59" s="251"/>
      <c r="E59" s="34">
        <v>613.05999999999995</v>
      </c>
      <c r="F59" s="34">
        <f t="shared" si="1"/>
        <v>476.82444444444445</v>
      </c>
    </row>
    <row r="60" spans="1:6" x14ac:dyDescent="0.35">
      <c r="A60" s="32">
        <v>2322</v>
      </c>
      <c r="B60" s="63" t="s">
        <v>154</v>
      </c>
      <c r="C60" s="251">
        <f>0.0035*1.2</f>
        <v>4.1999999999999997E-3</v>
      </c>
      <c r="D60" s="251"/>
      <c r="E60" s="34">
        <v>89.53</v>
      </c>
      <c r="F60" s="34">
        <f t="shared" si="1"/>
        <v>69.634444444444441</v>
      </c>
    </row>
    <row r="61" spans="1:6" hidden="1" x14ac:dyDescent="0.35">
      <c r="A61" s="32">
        <v>2341</v>
      </c>
      <c r="B61" s="63" t="s">
        <v>141</v>
      </c>
      <c r="C61" s="251"/>
      <c r="D61" s="251"/>
      <c r="E61" s="34">
        <f>C61*21316.37</f>
        <v>0</v>
      </c>
      <c r="F61" s="34">
        <f t="shared" si="1"/>
        <v>0</v>
      </c>
    </row>
    <row r="62" spans="1:6" x14ac:dyDescent="0.35">
      <c r="A62" s="32">
        <v>2350</v>
      </c>
      <c r="B62" s="62" t="s">
        <v>126</v>
      </c>
      <c r="C62" s="251">
        <v>8.5000000000000006E-3</v>
      </c>
      <c r="D62" s="251"/>
      <c r="E62" s="34">
        <v>181.19</v>
      </c>
      <c r="F62" s="34">
        <f t="shared" si="1"/>
        <v>140.92555555555555</v>
      </c>
    </row>
    <row r="63" spans="1:6" hidden="1" x14ac:dyDescent="0.35">
      <c r="A63" s="32">
        <v>2512</v>
      </c>
      <c r="B63" s="63" t="s">
        <v>155</v>
      </c>
      <c r="C63" s="251">
        <v>0</v>
      </c>
      <c r="D63" s="251"/>
      <c r="E63" s="34">
        <f>C63*21316.37</f>
        <v>0</v>
      </c>
      <c r="F63" s="34">
        <f t="shared" si="1"/>
        <v>0</v>
      </c>
    </row>
    <row r="64" spans="1:6" ht="15.75" customHeight="1" x14ac:dyDescent="0.35">
      <c r="A64" s="32">
        <v>2513</v>
      </c>
      <c r="B64" s="62" t="s">
        <v>122</v>
      </c>
      <c r="C64" s="251">
        <v>1.4599999999999999E-3</v>
      </c>
      <c r="D64" s="251"/>
      <c r="E64" s="34">
        <v>31.12</v>
      </c>
      <c r="F64" s="34">
        <f t="shared" si="1"/>
        <v>24.204444444444444</v>
      </c>
    </row>
    <row r="65" spans="1:8" x14ac:dyDescent="0.35">
      <c r="A65" s="32">
        <v>2515</v>
      </c>
      <c r="B65" s="63" t="s">
        <v>156</v>
      </c>
      <c r="C65" s="251">
        <v>1.9E-3</v>
      </c>
      <c r="D65" s="251"/>
      <c r="E65" s="34">
        <v>40.5</v>
      </c>
      <c r="F65" s="34">
        <f t="shared" si="1"/>
        <v>31.5</v>
      </c>
    </row>
    <row r="66" spans="1:8" x14ac:dyDescent="0.35">
      <c r="A66" s="32">
        <v>2519</v>
      </c>
      <c r="B66" s="63" t="s">
        <v>123</v>
      </c>
      <c r="C66" s="251">
        <v>2E-3</v>
      </c>
      <c r="D66" s="251"/>
      <c r="E66" s="34">
        <v>42.63</v>
      </c>
      <c r="F66" s="34">
        <f t="shared" si="1"/>
        <v>33.156666666666666</v>
      </c>
    </row>
    <row r="67" spans="1:8" x14ac:dyDescent="0.35">
      <c r="A67" s="32">
        <v>5220</v>
      </c>
      <c r="B67" s="63" t="s">
        <v>129</v>
      </c>
      <c r="C67" s="251">
        <v>1.06E-2</v>
      </c>
      <c r="D67" s="251"/>
      <c r="E67" s="34">
        <v>225.95</v>
      </c>
      <c r="F67" s="34">
        <f t="shared" si="1"/>
        <v>175.73888888888888</v>
      </c>
    </row>
    <row r="68" spans="1:8" x14ac:dyDescent="0.35">
      <c r="A68" s="32">
        <v>5238</v>
      </c>
      <c r="B68" s="62" t="s">
        <v>130</v>
      </c>
      <c r="C68" s="251">
        <v>1.65E-3</v>
      </c>
      <c r="D68" s="251"/>
      <c r="E68" s="34">
        <v>35.17</v>
      </c>
      <c r="F68" s="34">
        <f t="shared" si="1"/>
        <v>27.354444444444447</v>
      </c>
    </row>
    <row r="69" spans="1:8" x14ac:dyDescent="0.35">
      <c r="A69" s="32">
        <v>5239</v>
      </c>
      <c r="B69" s="62" t="s">
        <v>131</v>
      </c>
      <c r="C69" s="251">
        <v>9.5399999999999999E-3</v>
      </c>
      <c r="D69" s="251"/>
      <c r="E69" s="34">
        <v>203.36</v>
      </c>
      <c r="F69" s="34">
        <f t="shared" si="1"/>
        <v>158.16888888888892</v>
      </c>
    </row>
    <row r="70" spans="1:8" x14ac:dyDescent="0.35">
      <c r="A70" s="32">
        <v>5250</v>
      </c>
      <c r="B70" s="63" t="s">
        <v>132</v>
      </c>
      <c r="C70" s="251">
        <v>7.0600000000000003E-3</v>
      </c>
      <c r="D70" s="251"/>
      <c r="E70" s="34">
        <v>150.49</v>
      </c>
      <c r="F70" s="34">
        <f t="shared" si="1"/>
        <v>117.04777777777778</v>
      </c>
    </row>
    <row r="71" spans="1:8" x14ac:dyDescent="0.35">
      <c r="A71" s="39"/>
      <c r="B71" s="82" t="s">
        <v>97</v>
      </c>
      <c r="C71" s="251">
        <f>SUM(C35:C70)</f>
        <v>1.00000255</v>
      </c>
      <c r="D71" s="251"/>
      <c r="E71" s="38">
        <f>SUM(E35:E70)</f>
        <v>19363.189999999999</v>
      </c>
      <c r="F71" s="38">
        <f>SUM(F35:F70)</f>
        <v>15060.258888888889</v>
      </c>
      <c r="G71" s="59"/>
    </row>
    <row r="72" spans="1:8" x14ac:dyDescent="0.35">
      <c r="A72" s="39"/>
      <c r="B72" s="82" t="s">
        <v>98</v>
      </c>
      <c r="C72" s="255"/>
      <c r="D72" s="255"/>
      <c r="E72" s="38">
        <f>E33+E71</f>
        <v>51930</v>
      </c>
      <c r="F72" s="38">
        <f>F33+F71</f>
        <v>40390</v>
      </c>
    </row>
    <row r="73" spans="1:8" ht="12.75" customHeight="1" x14ac:dyDescent="0.35">
      <c r="A73" s="16"/>
      <c r="B73" s="26"/>
      <c r="C73" s="256"/>
      <c r="D73" s="256"/>
      <c r="E73" s="60"/>
      <c r="F73" s="60"/>
    </row>
    <row r="74" spans="1:8" ht="15.75" customHeight="1" x14ac:dyDescent="0.35">
      <c r="A74" s="319" t="s">
        <v>107</v>
      </c>
      <c r="B74" s="319"/>
      <c r="C74" s="257"/>
      <c r="D74" s="257"/>
      <c r="E74" s="68">
        <v>900</v>
      </c>
      <c r="F74" s="68">
        <v>700</v>
      </c>
    </row>
    <row r="75" spans="1:8" ht="15.75" customHeight="1" x14ac:dyDescent="0.35">
      <c r="A75" s="319" t="s">
        <v>58</v>
      </c>
      <c r="B75" s="319"/>
      <c r="C75" s="257"/>
      <c r="D75" s="257"/>
      <c r="E75" s="69">
        <f>E72/E74</f>
        <v>57.7</v>
      </c>
      <c r="F75" s="69">
        <f>F72/F74</f>
        <v>57.7</v>
      </c>
      <c r="G75" s="59"/>
      <c r="H75" s="147"/>
    </row>
    <row r="76" spans="1:8" ht="9.75" customHeight="1" x14ac:dyDescent="0.35">
      <c r="A76" s="44"/>
      <c r="B76" s="50"/>
      <c r="C76" s="258"/>
      <c r="D76" s="258"/>
    </row>
    <row r="77" spans="1:8" ht="15.75" customHeight="1" x14ac:dyDescent="0.35">
      <c r="A77" s="320" t="s">
        <v>33</v>
      </c>
      <c r="B77" s="320"/>
      <c r="C77" s="259"/>
      <c r="D77" s="259"/>
      <c r="E77" s="88"/>
      <c r="F77" s="88"/>
    </row>
    <row r="78" spans="1:8" ht="15.75" customHeight="1" x14ac:dyDescent="0.35">
      <c r="A78" s="320" t="s">
        <v>64</v>
      </c>
      <c r="B78" s="320"/>
      <c r="C78" s="259"/>
      <c r="D78" s="259"/>
      <c r="E78" s="88"/>
      <c r="F78" s="88"/>
    </row>
    <row r="79" spans="1:8" ht="8.25" customHeight="1" x14ac:dyDescent="0.35">
      <c r="A79" s="29"/>
      <c r="B79" s="29"/>
      <c r="C79" s="260"/>
      <c r="D79" s="260"/>
      <c r="E79" s="29"/>
      <c r="F79" s="29"/>
    </row>
    <row r="80" spans="1:8" x14ac:dyDescent="0.35">
      <c r="A80" s="29" t="s">
        <v>34</v>
      </c>
      <c r="B80" s="29"/>
      <c r="C80" s="260"/>
      <c r="D80" s="260"/>
      <c r="E80" s="84"/>
      <c r="F80" s="84"/>
    </row>
    <row r="81" spans="1:6" x14ac:dyDescent="0.35">
      <c r="A81" s="29"/>
      <c r="B81" s="29"/>
      <c r="C81" s="260"/>
      <c r="D81" s="260"/>
      <c r="E81" s="84"/>
      <c r="F81" s="84"/>
    </row>
    <row r="82" spans="1:6" x14ac:dyDescent="0.35">
      <c r="A82" s="29" t="s">
        <v>179</v>
      </c>
      <c r="B82" s="30"/>
      <c r="C82" s="261"/>
      <c r="D82" s="261"/>
      <c r="E82" s="29"/>
      <c r="F82" s="29"/>
    </row>
    <row r="83" spans="1:6" x14ac:dyDescent="0.35">
      <c r="B83" s="76"/>
      <c r="C83" s="262"/>
      <c r="D83" s="262"/>
      <c r="E83" s="85"/>
      <c r="F83" s="85"/>
    </row>
    <row r="85" spans="1:6" x14ac:dyDescent="0.35">
      <c r="E85" s="59"/>
      <c r="F85" s="59"/>
    </row>
  </sheetData>
  <mergeCells count="7">
    <mergeCell ref="A74:B74"/>
    <mergeCell ref="A75:B75"/>
    <mergeCell ref="A77:B77"/>
    <mergeCell ref="A78:B78"/>
    <mergeCell ref="A10:B10"/>
    <mergeCell ref="A7:C7"/>
    <mergeCell ref="A9:B9"/>
  </mergeCells>
  <pageMargins left="0.70866141732283472" right="0.81739583333333332" top="0.51181102362204722" bottom="0.56000000000000005" header="0.31496062992125984" footer="0.28000000000000003"/>
  <pageSetup paperSize="9" scale="61" firstPageNumber="5" orientation="portrait" useFirstPageNumber="1" r:id="rId1"/>
  <headerFooter>
    <oddFooter>&amp;C&amp;"Times New Roman,Regular"&amp;F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3"/>
  <sheetViews>
    <sheetView view="pageLayout" topLeftCell="A19" zoomScale="80" zoomScaleNormal="100" zoomScalePageLayoutView="80" workbookViewId="0">
      <selection activeCell="B51" sqref="B51"/>
    </sheetView>
  </sheetViews>
  <sheetFormatPr defaultColWidth="9.1796875" defaultRowHeight="15.5" x14ac:dyDescent="0.35"/>
  <cols>
    <col min="1" max="1" width="19.26953125" style="14" customWidth="1"/>
    <col min="2" max="2" width="91.453125" style="14" customWidth="1"/>
    <col min="3" max="4" width="8.453125" style="240" hidden="1" customWidth="1"/>
    <col min="5" max="5" width="30.26953125" style="14" customWidth="1"/>
    <col min="6" max="16384" width="9.1796875" style="14"/>
  </cols>
  <sheetData>
    <row r="1" spans="1:5" ht="15.75" customHeight="1" x14ac:dyDescent="0.35">
      <c r="B1" s="15"/>
      <c r="C1" s="237"/>
      <c r="D1" s="237"/>
      <c r="E1" s="15" t="s">
        <v>10</v>
      </c>
    </row>
    <row r="2" spans="1:5" x14ac:dyDescent="0.35">
      <c r="B2" s="61"/>
      <c r="C2" s="239"/>
      <c r="D2" s="264"/>
      <c r="E2" s="148" t="s">
        <v>32</v>
      </c>
    </row>
    <row r="3" spans="1:5" x14ac:dyDescent="0.35">
      <c r="B3" s="61"/>
      <c r="C3" s="239"/>
      <c r="D3" s="239"/>
      <c r="E3" s="15" t="s">
        <v>66</v>
      </c>
    </row>
    <row r="4" spans="1:5" x14ac:dyDescent="0.35">
      <c r="B4" s="15"/>
      <c r="C4" s="237"/>
      <c r="D4" s="237"/>
    </row>
    <row r="5" spans="1:5" x14ac:dyDescent="0.35">
      <c r="B5" s="74"/>
      <c r="C5" s="238"/>
      <c r="D5" s="238"/>
      <c r="E5" s="16" t="s">
        <v>230</v>
      </c>
    </row>
    <row r="7" spans="1:5" x14ac:dyDescent="0.35">
      <c r="A7" s="318" t="s">
        <v>9</v>
      </c>
      <c r="B7" s="318"/>
      <c r="C7" s="318"/>
      <c r="D7" s="241"/>
    </row>
    <row r="8" spans="1:5" x14ac:dyDescent="0.35">
      <c r="B8" s="19"/>
      <c r="C8" s="242"/>
      <c r="D8" s="242"/>
    </row>
    <row r="9" spans="1:5" x14ac:dyDescent="0.35">
      <c r="A9" s="321" t="s">
        <v>1</v>
      </c>
      <c r="B9" s="321"/>
      <c r="C9" s="243"/>
      <c r="D9" s="243"/>
    </row>
    <row r="10" spans="1:5" x14ac:dyDescent="0.35">
      <c r="A10" s="321" t="s">
        <v>0</v>
      </c>
      <c r="B10" s="321"/>
      <c r="C10" s="243"/>
      <c r="D10" s="243"/>
    </row>
    <row r="11" spans="1:5" x14ac:dyDescent="0.35">
      <c r="A11" s="12"/>
      <c r="B11" s="12" t="s">
        <v>181</v>
      </c>
      <c r="C11" s="243"/>
      <c r="D11" s="243"/>
    </row>
    <row r="12" spans="1:5" x14ac:dyDescent="0.35">
      <c r="A12" s="12"/>
      <c r="B12" s="44" t="s">
        <v>201</v>
      </c>
      <c r="C12" s="244"/>
      <c r="D12" s="244"/>
    </row>
    <row r="13" spans="1:5" x14ac:dyDescent="0.35">
      <c r="A13" s="12"/>
      <c r="B13" s="87" t="s">
        <v>204</v>
      </c>
      <c r="C13" s="245"/>
      <c r="D13" s="245"/>
    </row>
    <row r="14" spans="1:5" x14ac:dyDescent="0.35">
      <c r="A14" s="12" t="s">
        <v>2</v>
      </c>
      <c r="B14" s="12" t="s">
        <v>170</v>
      </c>
      <c r="C14" s="243"/>
      <c r="D14" s="243"/>
    </row>
    <row r="15" spans="1:5" ht="69.75" customHeight="1" x14ac:dyDescent="0.35">
      <c r="A15" s="52" t="s">
        <v>3</v>
      </c>
      <c r="B15" s="52" t="s">
        <v>4</v>
      </c>
      <c r="C15" s="246"/>
      <c r="D15" s="246"/>
      <c r="E15" s="52" t="s">
        <v>135</v>
      </c>
    </row>
    <row r="16" spans="1:5" x14ac:dyDescent="0.35">
      <c r="A16" s="21">
        <v>1</v>
      </c>
      <c r="B16" s="22">
        <v>2</v>
      </c>
      <c r="C16" s="247"/>
      <c r="D16" s="247"/>
      <c r="E16" s="22">
        <v>4</v>
      </c>
    </row>
    <row r="17" spans="1:5" x14ac:dyDescent="0.35">
      <c r="A17" s="21"/>
      <c r="B17" s="23" t="s">
        <v>5</v>
      </c>
      <c r="C17" s="248"/>
      <c r="D17" s="248"/>
      <c r="E17" s="62"/>
    </row>
    <row r="18" spans="1:5" x14ac:dyDescent="0.35">
      <c r="A18" s="32">
        <v>1100</v>
      </c>
      <c r="B18" s="32" t="s">
        <v>133</v>
      </c>
      <c r="C18" s="249"/>
      <c r="D18" s="250">
        <f>'[1]7._izmitināšana_GALA mpc'!$T$6</f>
        <v>9.8060808786819766</v>
      </c>
      <c r="E18" s="136">
        <v>221.63</v>
      </c>
    </row>
    <row r="19" spans="1:5" x14ac:dyDescent="0.35">
      <c r="A19" s="32">
        <v>1200</v>
      </c>
      <c r="B19" s="62" t="s">
        <v>134</v>
      </c>
      <c r="C19" s="251"/>
      <c r="D19" s="251">
        <f>D18*0.2359</f>
        <v>2.3132544792810781</v>
      </c>
      <c r="E19" s="136">
        <v>52.28</v>
      </c>
    </row>
    <row r="20" spans="1:5" x14ac:dyDescent="0.35">
      <c r="A20" s="32">
        <v>2222</v>
      </c>
      <c r="B20" s="63" t="s">
        <v>136</v>
      </c>
      <c r="C20" s="251"/>
      <c r="D20" s="252">
        <f>'[1]7._izmitināšana_GALA mpc'!$T$8</f>
        <v>0.32515227159261106</v>
      </c>
      <c r="E20" s="136">
        <v>6.5</v>
      </c>
    </row>
    <row r="21" spans="1:5" x14ac:dyDescent="0.35">
      <c r="A21" s="32">
        <v>2223</v>
      </c>
      <c r="B21" s="63" t="s">
        <v>137</v>
      </c>
      <c r="C21" s="251"/>
      <c r="D21" s="252">
        <f>'[1]7._izmitināšana_GALA mpc'!$T$9</f>
        <v>0.97109835247129317</v>
      </c>
      <c r="E21" s="136">
        <v>19.43</v>
      </c>
    </row>
    <row r="22" spans="1:5" x14ac:dyDescent="0.35">
      <c r="A22" s="32">
        <v>2243</v>
      </c>
      <c r="B22" s="23" t="s">
        <v>138</v>
      </c>
      <c r="C22" s="251"/>
      <c r="D22" s="252">
        <f>'[1]7._izmitināšana_GALA mpc'!$T$11</f>
        <v>4.8207688467299059E-2</v>
      </c>
      <c r="E22" s="136">
        <v>0.96</v>
      </c>
    </row>
    <row r="23" spans="1:5" x14ac:dyDescent="0.35">
      <c r="A23" s="32">
        <v>2244</v>
      </c>
      <c r="B23" s="23" t="s">
        <v>139</v>
      </c>
      <c r="C23" s="251"/>
      <c r="D23" s="252">
        <f>'[1]7._izmitināšana_GALA mpc'!$T$12</f>
        <v>1.1839291063404893</v>
      </c>
      <c r="E23" s="136">
        <v>23.68</v>
      </c>
    </row>
    <row r="24" spans="1:5" x14ac:dyDescent="0.35">
      <c r="A24" s="32">
        <v>2250</v>
      </c>
      <c r="B24" s="23" t="s">
        <v>125</v>
      </c>
      <c r="C24" s="251"/>
      <c r="D24" s="252">
        <f>'[1]7._izmitināšana_GALA mpc'!$T$13</f>
        <v>0.19</v>
      </c>
      <c r="E24" s="136">
        <v>3.8</v>
      </c>
    </row>
    <row r="25" spans="1:5" x14ac:dyDescent="0.35">
      <c r="A25" s="32">
        <v>2311</v>
      </c>
      <c r="B25" s="63" t="s">
        <v>152</v>
      </c>
      <c r="C25" s="251"/>
      <c r="D25" s="252">
        <f>'[1]7._izmitināšana_GALA mpc'!$T$14</f>
        <v>2.029795307039441</v>
      </c>
      <c r="E25" s="136">
        <v>40.6</v>
      </c>
    </row>
    <row r="26" spans="1:5" x14ac:dyDescent="0.35">
      <c r="A26" s="32">
        <v>2312</v>
      </c>
      <c r="B26" s="23" t="s">
        <v>117</v>
      </c>
      <c r="C26" s="251"/>
      <c r="D26" s="252">
        <f>'[1]7._izmitināšana_GALA mpc'!$T$15</f>
        <v>0.59515227159261108</v>
      </c>
      <c r="E26" s="136">
        <v>11.9</v>
      </c>
    </row>
    <row r="27" spans="1:5" x14ac:dyDescent="0.35">
      <c r="A27" s="32">
        <v>2321</v>
      </c>
      <c r="B27" s="63" t="s">
        <v>140</v>
      </c>
      <c r="C27" s="251"/>
      <c r="D27" s="252">
        <f>'[1]7._izmitināšana_GALA mpc'!$T$16</f>
        <v>0.68030454318522215</v>
      </c>
      <c r="E27" s="136">
        <v>13.61</v>
      </c>
    </row>
    <row r="28" spans="1:5" x14ac:dyDescent="0.35">
      <c r="A28" s="32">
        <v>2350</v>
      </c>
      <c r="B28" s="62" t="s">
        <v>126</v>
      </c>
      <c r="C28" s="251"/>
      <c r="D28" s="252">
        <f>'[1]7._izmitināšana_GALA mpc'!$T$17</f>
        <v>0.22052920619071392</v>
      </c>
      <c r="E28" s="136">
        <v>4.41</v>
      </c>
    </row>
    <row r="29" spans="1:5" x14ac:dyDescent="0.35">
      <c r="A29" s="32">
        <v>2361</v>
      </c>
      <c r="B29" s="63" t="s">
        <v>142</v>
      </c>
      <c r="C29" s="251"/>
      <c r="D29" s="252">
        <f>'[1]7._izmitināšana_GALA mpc'!$T$18</f>
        <v>0.10154767848227658</v>
      </c>
      <c r="E29" s="136">
        <v>2.0299999999999998</v>
      </c>
    </row>
    <row r="30" spans="1:5" x14ac:dyDescent="0.35">
      <c r="A30" s="32">
        <v>2362</v>
      </c>
      <c r="B30" s="86" t="s">
        <v>157</v>
      </c>
      <c r="C30" s="251"/>
      <c r="D30" s="252">
        <f>'[1]7._izmitināšana_GALA mpc'!$T$19</f>
        <v>0.02</v>
      </c>
      <c r="E30" s="136">
        <v>0.4</v>
      </c>
    </row>
    <row r="31" spans="1:5" x14ac:dyDescent="0.35">
      <c r="A31" s="32">
        <v>2363</v>
      </c>
      <c r="B31" s="63" t="s">
        <v>143</v>
      </c>
      <c r="C31" s="251"/>
      <c r="D31" s="251">
        <v>3.87</v>
      </c>
      <c r="E31" s="136">
        <f>D31*20</f>
        <v>77.400000000000006</v>
      </c>
    </row>
    <row r="32" spans="1:5" x14ac:dyDescent="0.35">
      <c r="A32" s="32">
        <v>5239</v>
      </c>
      <c r="B32" s="62" t="s">
        <v>131</v>
      </c>
      <c r="C32" s="251"/>
      <c r="D32" s="252">
        <f>'[1]7._izmitināšana_GALA mpc'!$T$21</f>
        <v>0.89517224163754372</v>
      </c>
      <c r="E32" s="136">
        <v>17.91</v>
      </c>
    </row>
    <row r="33" spans="1:5" x14ac:dyDescent="0.35">
      <c r="A33" s="32"/>
      <c r="B33" s="81" t="s">
        <v>6</v>
      </c>
      <c r="C33" s="253"/>
      <c r="D33" s="253">
        <f>SUM(D18:D32)</f>
        <v>23.250224024962556</v>
      </c>
      <c r="E33" s="38">
        <f>SUM(E18:E32)</f>
        <v>496.54</v>
      </c>
    </row>
    <row r="34" spans="1:5" x14ac:dyDescent="0.35">
      <c r="A34" s="39"/>
      <c r="B34" s="81" t="s">
        <v>7</v>
      </c>
      <c r="C34" s="253"/>
      <c r="D34" s="253"/>
      <c r="E34" s="34"/>
    </row>
    <row r="35" spans="1:5" x14ac:dyDescent="0.35">
      <c r="A35" s="32">
        <v>1100</v>
      </c>
      <c r="B35" s="23" t="s">
        <v>133</v>
      </c>
      <c r="C35" s="251">
        <v>0.48549999999999999</v>
      </c>
      <c r="D35" s="251"/>
      <c r="E35" s="136">
        <v>175.88</v>
      </c>
    </row>
    <row r="36" spans="1:5" ht="16.5" customHeight="1" x14ac:dyDescent="0.35">
      <c r="A36" s="32">
        <v>1200</v>
      </c>
      <c r="B36" s="23" t="s">
        <v>134</v>
      </c>
      <c r="C36" s="251">
        <f>C35*0.2359</f>
        <v>0.11452944999999999</v>
      </c>
      <c r="D36" s="251"/>
      <c r="E36" s="136">
        <v>41.49</v>
      </c>
    </row>
    <row r="37" spans="1:5" ht="16.5" customHeight="1" x14ac:dyDescent="0.35">
      <c r="A37" s="32">
        <v>2100</v>
      </c>
      <c r="B37" s="25" t="s">
        <v>45</v>
      </c>
      <c r="C37" s="251">
        <v>1.1659999999999999E-3</v>
      </c>
      <c r="D37" s="251"/>
      <c r="E37" s="136">
        <v>0.48</v>
      </c>
    </row>
    <row r="38" spans="1:5" x14ac:dyDescent="0.35">
      <c r="A38" s="35">
        <v>2210</v>
      </c>
      <c r="B38" s="63" t="s">
        <v>121</v>
      </c>
      <c r="C38" s="251">
        <v>7.6E-3</v>
      </c>
      <c r="D38" s="251"/>
      <c r="E38" s="136">
        <v>3.15</v>
      </c>
    </row>
    <row r="39" spans="1:5" x14ac:dyDescent="0.35">
      <c r="A39" s="32">
        <v>2222</v>
      </c>
      <c r="B39" s="63" t="s">
        <v>136</v>
      </c>
      <c r="C39" s="251">
        <f>0.0095*1.15</f>
        <v>1.0924999999999999E-2</v>
      </c>
      <c r="D39" s="251"/>
      <c r="E39" s="136">
        <v>4.53</v>
      </c>
    </row>
    <row r="40" spans="1:5" x14ac:dyDescent="0.35">
      <c r="A40" s="32">
        <v>2223</v>
      </c>
      <c r="B40" s="63" t="s">
        <v>137</v>
      </c>
      <c r="C40" s="251">
        <f>0.01902*2.13</f>
        <v>4.0512599999999996E-2</v>
      </c>
      <c r="D40" s="251"/>
      <c r="E40" s="136">
        <v>16.809999999999999</v>
      </c>
    </row>
    <row r="41" spans="1:5" ht="31" x14ac:dyDescent="0.35">
      <c r="A41" s="32">
        <v>2224</v>
      </c>
      <c r="B41" s="63" t="s">
        <v>144</v>
      </c>
      <c r="C41" s="251">
        <f>0.00495*1.15</f>
        <v>5.6924999999999996E-3</v>
      </c>
      <c r="D41" s="251"/>
      <c r="E41" s="136">
        <v>2.36</v>
      </c>
    </row>
    <row r="42" spans="1:5" ht="15.75" customHeight="1" x14ac:dyDescent="0.35">
      <c r="A42" s="32">
        <v>2231</v>
      </c>
      <c r="B42" s="23" t="s">
        <v>127</v>
      </c>
      <c r="C42" s="251">
        <v>1.5499999999999999E-3</v>
      </c>
      <c r="D42" s="251"/>
      <c r="E42" s="136">
        <v>0.64</v>
      </c>
    </row>
    <row r="43" spans="1:5" ht="15.75" customHeight="1" x14ac:dyDescent="0.35">
      <c r="A43" s="32">
        <v>2235</v>
      </c>
      <c r="B43" s="78" t="s">
        <v>128</v>
      </c>
      <c r="C43" s="251">
        <v>1.65E-3</v>
      </c>
      <c r="D43" s="251"/>
      <c r="E43" s="136">
        <v>0.68</v>
      </c>
    </row>
    <row r="44" spans="1:5" x14ac:dyDescent="0.35">
      <c r="A44" s="32">
        <v>2239</v>
      </c>
      <c r="B44" s="23" t="s">
        <v>145</v>
      </c>
      <c r="C44" s="251">
        <v>4.4099999999999999E-3</v>
      </c>
      <c r="D44" s="251"/>
      <c r="E44" s="136">
        <v>1.83</v>
      </c>
    </row>
    <row r="45" spans="1:5" x14ac:dyDescent="0.35">
      <c r="A45" s="32">
        <v>2241</v>
      </c>
      <c r="B45" s="23" t="s">
        <v>124</v>
      </c>
      <c r="C45" s="251">
        <v>1.6500000000000001E-2</v>
      </c>
      <c r="D45" s="251"/>
      <c r="E45" s="136">
        <v>6.85</v>
      </c>
    </row>
    <row r="46" spans="1:5" x14ac:dyDescent="0.35">
      <c r="A46" s="32">
        <v>2242</v>
      </c>
      <c r="B46" s="63" t="s">
        <v>146</v>
      </c>
      <c r="C46" s="251">
        <v>2.2599999999999999E-3</v>
      </c>
      <c r="D46" s="251"/>
      <c r="E46" s="136">
        <v>0.94</v>
      </c>
    </row>
    <row r="47" spans="1:5" ht="15.75" customHeight="1" x14ac:dyDescent="0.35">
      <c r="A47" s="32">
        <v>2243</v>
      </c>
      <c r="B47" s="23" t="s">
        <v>138</v>
      </c>
      <c r="C47" s="251">
        <v>3.2599999999999997E-2</v>
      </c>
      <c r="D47" s="251"/>
      <c r="E47" s="136">
        <v>13.53</v>
      </c>
    </row>
    <row r="48" spans="1:5" x14ac:dyDescent="0.35">
      <c r="A48" s="32">
        <v>2244</v>
      </c>
      <c r="B48" s="23" t="s">
        <v>139</v>
      </c>
      <c r="C48" s="251">
        <f>0.20397-0.09084</f>
        <v>0.11313000000000001</v>
      </c>
      <c r="D48" s="251"/>
      <c r="E48" s="136">
        <v>46.94</v>
      </c>
    </row>
    <row r="49" spans="1:5" x14ac:dyDescent="0.35">
      <c r="A49" s="32">
        <v>2247</v>
      </c>
      <c r="B49" s="23" t="s">
        <v>147</v>
      </c>
      <c r="C49" s="251">
        <v>7.1900000000000002E-4</v>
      </c>
      <c r="D49" s="251"/>
      <c r="E49" s="136">
        <v>0.3</v>
      </c>
    </row>
    <row r="50" spans="1:5" x14ac:dyDescent="0.35">
      <c r="A50" s="32">
        <v>2249</v>
      </c>
      <c r="B50" s="23" t="s">
        <v>172</v>
      </c>
      <c r="C50" s="251">
        <v>2.32E-4</v>
      </c>
      <c r="D50" s="251"/>
      <c r="E50" s="136">
        <v>0.1</v>
      </c>
    </row>
    <row r="51" spans="1:5" x14ac:dyDescent="0.35">
      <c r="A51" s="32">
        <v>2250</v>
      </c>
      <c r="B51" s="23" t="s">
        <v>125</v>
      </c>
      <c r="C51" s="251">
        <f>0.024026-0.005</f>
        <v>1.9025999999999998E-2</v>
      </c>
      <c r="D51" s="251"/>
      <c r="E51" s="136">
        <v>7.9</v>
      </c>
    </row>
    <row r="52" spans="1:5" hidden="1" x14ac:dyDescent="0.35">
      <c r="A52" s="32">
        <v>2261</v>
      </c>
      <c r="B52" s="63" t="s">
        <v>99</v>
      </c>
      <c r="C52" s="251">
        <v>0</v>
      </c>
      <c r="D52" s="251"/>
      <c r="E52" s="136">
        <f>C52*414.965</f>
        <v>0</v>
      </c>
    </row>
    <row r="53" spans="1:5" x14ac:dyDescent="0.35">
      <c r="A53" s="32">
        <v>2262</v>
      </c>
      <c r="B53" s="63" t="s">
        <v>149</v>
      </c>
      <c r="C53" s="251">
        <v>6.2599999999999999E-3</v>
      </c>
      <c r="D53" s="251"/>
      <c r="E53" s="136">
        <v>2.6</v>
      </c>
    </row>
    <row r="54" spans="1:5" x14ac:dyDescent="0.35">
      <c r="A54" s="32">
        <v>2263</v>
      </c>
      <c r="B54" s="63" t="s">
        <v>150</v>
      </c>
      <c r="C54" s="251">
        <v>4.58E-2</v>
      </c>
      <c r="D54" s="251"/>
      <c r="E54" s="136">
        <v>19.010000000000002</v>
      </c>
    </row>
    <row r="55" spans="1:5" x14ac:dyDescent="0.35">
      <c r="A55" s="32">
        <v>2264</v>
      </c>
      <c r="B55" s="23" t="s">
        <v>151</v>
      </c>
      <c r="C55" s="251">
        <v>1.49E-3</v>
      </c>
      <c r="D55" s="251"/>
      <c r="E55" s="136">
        <v>0.62</v>
      </c>
    </row>
    <row r="56" spans="1:5" x14ac:dyDescent="0.35">
      <c r="A56" s="32">
        <v>2311</v>
      </c>
      <c r="B56" s="63" t="s">
        <v>152</v>
      </c>
      <c r="C56" s="251">
        <v>4.7699999999999999E-3</v>
      </c>
      <c r="D56" s="251"/>
      <c r="E56" s="136">
        <v>1.98</v>
      </c>
    </row>
    <row r="57" spans="1:5" x14ac:dyDescent="0.35">
      <c r="A57" s="32">
        <v>2312</v>
      </c>
      <c r="B57" s="63" t="s">
        <v>117</v>
      </c>
      <c r="C57" s="251">
        <v>5.79E-3</v>
      </c>
      <c r="D57" s="251"/>
      <c r="E57" s="136">
        <v>2.4</v>
      </c>
    </row>
    <row r="58" spans="1:5" x14ac:dyDescent="0.35">
      <c r="A58" s="32">
        <v>2314</v>
      </c>
      <c r="B58" s="78" t="s">
        <v>153</v>
      </c>
      <c r="C58" s="251">
        <v>2.2200000000000002E-3</v>
      </c>
      <c r="D58" s="251"/>
      <c r="E58" s="136">
        <v>0.92</v>
      </c>
    </row>
    <row r="59" spans="1:5" x14ac:dyDescent="0.35">
      <c r="A59" s="32">
        <v>2321</v>
      </c>
      <c r="B59" s="63" t="s">
        <v>140</v>
      </c>
      <c r="C59" s="251">
        <f>0.0198*1.2+0.005</f>
        <v>2.8760000000000001E-2</v>
      </c>
      <c r="D59" s="251"/>
      <c r="E59" s="136">
        <v>11.93</v>
      </c>
    </row>
    <row r="60" spans="1:5" x14ac:dyDescent="0.35">
      <c r="A60" s="32">
        <v>2322</v>
      </c>
      <c r="B60" s="63" t="s">
        <v>154</v>
      </c>
      <c r="C60" s="251">
        <f>0.0035*1.2</f>
        <v>4.1999999999999997E-3</v>
      </c>
      <c r="D60" s="251"/>
      <c r="E60" s="136">
        <v>1.74</v>
      </c>
    </row>
    <row r="61" spans="1:5" hidden="1" x14ac:dyDescent="0.35">
      <c r="A61" s="32">
        <v>2341</v>
      </c>
      <c r="B61" s="63" t="s">
        <v>141</v>
      </c>
      <c r="C61" s="251"/>
      <c r="D61" s="251"/>
      <c r="E61" s="136">
        <f>C61*414.965</f>
        <v>0</v>
      </c>
    </row>
    <row r="62" spans="1:5" x14ac:dyDescent="0.35">
      <c r="A62" s="32">
        <v>2350</v>
      </c>
      <c r="B62" s="62" t="s">
        <v>126</v>
      </c>
      <c r="C62" s="251">
        <v>8.5000000000000006E-3</v>
      </c>
      <c r="D62" s="251"/>
      <c r="E62" s="136">
        <v>3.53</v>
      </c>
    </row>
    <row r="63" spans="1:5" hidden="1" x14ac:dyDescent="0.35">
      <c r="A63" s="32">
        <v>2512</v>
      </c>
      <c r="B63" s="63" t="s">
        <v>155</v>
      </c>
      <c r="C63" s="251">
        <v>0</v>
      </c>
      <c r="D63" s="251">
        <v>4.1500000000000004</v>
      </c>
      <c r="E63" s="136">
        <f>C63*414.965</f>
        <v>0</v>
      </c>
    </row>
    <row r="64" spans="1:5" ht="15.75" customHeight="1" x14ac:dyDescent="0.35">
      <c r="A64" s="32">
        <v>2513</v>
      </c>
      <c r="B64" s="62" t="s">
        <v>122</v>
      </c>
      <c r="C64" s="251">
        <v>1.4599999999999999E-3</v>
      </c>
      <c r="D64" s="251"/>
      <c r="E64" s="136">
        <v>0.61</v>
      </c>
    </row>
    <row r="65" spans="1:5" x14ac:dyDescent="0.35">
      <c r="A65" s="32">
        <v>2515</v>
      </c>
      <c r="B65" s="63" t="s">
        <v>156</v>
      </c>
      <c r="C65" s="251">
        <v>1.9E-3</v>
      </c>
      <c r="D65" s="251"/>
      <c r="E65" s="136">
        <v>0.79</v>
      </c>
    </row>
    <row r="66" spans="1:5" x14ac:dyDescent="0.35">
      <c r="A66" s="32">
        <v>2519</v>
      </c>
      <c r="B66" s="63" t="s">
        <v>123</v>
      </c>
      <c r="C66" s="251">
        <v>2E-3</v>
      </c>
      <c r="D66" s="251"/>
      <c r="E66" s="136">
        <v>0.83</v>
      </c>
    </row>
    <row r="67" spans="1:5" x14ac:dyDescent="0.35">
      <c r="A67" s="32">
        <v>5220</v>
      </c>
      <c r="B67" s="63" t="s">
        <v>129</v>
      </c>
      <c r="C67" s="251">
        <v>1.06E-2</v>
      </c>
      <c r="D67" s="251"/>
      <c r="E67" s="136">
        <v>4.33</v>
      </c>
    </row>
    <row r="68" spans="1:5" x14ac:dyDescent="0.35">
      <c r="A68" s="32">
        <v>5238</v>
      </c>
      <c r="B68" s="62" t="s">
        <v>130</v>
      </c>
      <c r="C68" s="251">
        <v>1.65E-3</v>
      </c>
      <c r="D68" s="251"/>
      <c r="E68" s="136">
        <v>0.68</v>
      </c>
    </row>
    <row r="69" spans="1:5" x14ac:dyDescent="0.35">
      <c r="A69" s="32">
        <v>5239</v>
      </c>
      <c r="B69" s="62" t="s">
        <v>131</v>
      </c>
      <c r="C69" s="251">
        <v>9.5399999999999999E-3</v>
      </c>
      <c r="D69" s="251"/>
      <c r="E69" s="136">
        <v>3.95</v>
      </c>
    </row>
    <row r="70" spans="1:5" x14ac:dyDescent="0.35">
      <c r="A70" s="32">
        <v>5250</v>
      </c>
      <c r="B70" s="63" t="s">
        <v>132</v>
      </c>
      <c r="C70" s="251">
        <v>7.0600000000000003E-3</v>
      </c>
      <c r="D70" s="251"/>
      <c r="E70" s="136">
        <v>2.93</v>
      </c>
    </row>
    <row r="71" spans="1:5" x14ac:dyDescent="0.35">
      <c r="A71" s="39"/>
      <c r="B71" s="82" t="s">
        <v>97</v>
      </c>
      <c r="C71" s="251">
        <f>SUM(C35:C70)</f>
        <v>1.00000255</v>
      </c>
      <c r="D71" s="251"/>
      <c r="E71" s="38">
        <f>SUM(E35:E70)</f>
        <v>383.26000000000005</v>
      </c>
    </row>
    <row r="72" spans="1:5" x14ac:dyDescent="0.35">
      <c r="A72" s="39"/>
      <c r="B72" s="82" t="s">
        <v>98</v>
      </c>
      <c r="C72" s="255"/>
      <c r="D72" s="255"/>
      <c r="E72" s="38">
        <f>E33+E71</f>
        <v>879.80000000000007</v>
      </c>
    </row>
    <row r="73" spans="1:5" ht="12.75" customHeight="1" x14ac:dyDescent="0.35">
      <c r="A73" s="16"/>
      <c r="B73" s="26"/>
      <c r="C73" s="256"/>
      <c r="D73" s="256"/>
    </row>
    <row r="74" spans="1:5" ht="15.75" customHeight="1" x14ac:dyDescent="0.35">
      <c r="A74" s="319" t="s">
        <v>107</v>
      </c>
      <c r="B74" s="319"/>
      <c r="C74" s="257"/>
      <c r="D74" s="257"/>
      <c r="E74" s="68">
        <v>20</v>
      </c>
    </row>
    <row r="75" spans="1:5" ht="15.75" customHeight="1" x14ac:dyDescent="0.35">
      <c r="A75" s="319" t="s">
        <v>58</v>
      </c>
      <c r="B75" s="319"/>
      <c r="C75" s="257"/>
      <c r="D75" s="257"/>
      <c r="E75" s="69">
        <f>E72/E74</f>
        <v>43.99</v>
      </c>
    </row>
    <row r="76" spans="1:5" ht="9.75" customHeight="1" x14ac:dyDescent="0.35">
      <c r="A76" s="44"/>
      <c r="B76" s="50"/>
      <c r="C76" s="258"/>
      <c r="D76" s="258"/>
    </row>
    <row r="77" spans="1:5" ht="15.75" customHeight="1" x14ac:dyDescent="0.35">
      <c r="A77" s="320" t="s">
        <v>33</v>
      </c>
      <c r="B77" s="320"/>
      <c r="C77" s="259"/>
      <c r="D77" s="259"/>
      <c r="E77" s="28"/>
    </row>
    <row r="78" spans="1:5" ht="15.75" customHeight="1" x14ac:dyDescent="0.35">
      <c r="A78" s="320" t="s">
        <v>64</v>
      </c>
      <c r="B78" s="320"/>
      <c r="C78" s="259"/>
      <c r="D78" s="259"/>
      <c r="E78" s="88"/>
    </row>
    <row r="79" spans="1:5" ht="8.25" customHeight="1" x14ac:dyDescent="0.35">
      <c r="A79" s="29"/>
      <c r="B79" s="29"/>
      <c r="C79" s="260"/>
      <c r="D79" s="260"/>
    </row>
    <row r="80" spans="1:5" x14ac:dyDescent="0.35">
      <c r="A80" s="29" t="s">
        <v>34</v>
      </c>
      <c r="B80" s="29"/>
      <c r="C80" s="260"/>
      <c r="D80" s="260"/>
    </row>
    <row r="81" spans="1:4" x14ac:dyDescent="0.35">
      <c r="A81" s="29"/>
      <c r="B81" s="29"/>
      <c r="C81" s="260"/>
      <c r="D81" s="260"/>
    </row>
    <row r="82" spans="1:4" x14ac:dyDescent="0.35">
      <c r="A82" s="29" t="s">
        <v>179</v>
      </c>
      <c r="B82" s="30"/>
      <c r="C82" s="261"/>
      <c r="D82" s="261"/>
    </row>
    <row r="83" spans="1:4" x14ac:dyDescent="0.35">
      <c r="B83" s="76"/>
      <c r="C83" s="262"/>
      <c r="D83" s="262"/>
    </row>
  </sheetData>
  <mergeCells count="7">
    <mergeCell ref="A7:C7"/>
    <mergeCell ref="A74:B74"/>
    <mergeCell ref="A75:B75"/>
    <mergeCell ref="A77:B77"/>
    <mergeCell ref="A78:B78"/>
    <mergeCell ref="A9:B9"/>
    <mergeCell ref="A10:B10"/>
  </mergeCells>
  <pageMargins left="0.70866141732283472" right="0.70866141732283472" top="0.43" bottom="0.55118110236220474" header="0.31496062992125984" footer="0.31496062992125984"/>
  <pageSetup paperSize="9" scale="61" orientation="portrait" r:id="rId1"/>
  <headerFooter>
    <oddFooter>&amp;C&amp;"Times New Roman,Regular"&amp;F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view="pageLayout" zoomScale="80" zoomScaleNormal="100" zoomScalePageLayoutView="80" workbookViewId="0">
      <selection activeCell="B50" sqref="B50"/>
    </sheetView>
  </sheetViews>
  <sheetFormatPr defaultColWidth="9.1796875" defaultRowHeight="15.5" x14ac:dyDescent="0.35"/>
  <cols>
    <col min="1" max="1" width="17.26953125" style="14" customWidth="1"/>
    <col min="2" max="2" width="92.1796875" style="14" customWidth="1"/>
    <col min="3" max="4" width="7" style="240" hidden="1" customWidth="1"/>
    <col min="5" max="5" width="31.54296875" style="14" customWidth="1"/>
    <col min="6" max="6" width="12.7265625" style="14" customWidth="1"/>
    <col min="7" max="16384" width="9.1796875" style="14"/>
  </cols>
  <sheetData>
    <row r="1" spans="1:5" ht="15.75" customHeight="1" x14ac:dyDescent="0.35">
      <c r="B1" s="15"/>
      <c r="C1" s="237"/>
      <c r="D1" s="237"/>
      <c r="E1" s="18" t="s">
        <v>10</v>
      </c>
    </row>
    <row r="2" spans="1:5" ht="15.75" customHeight="1" x14ac:dyDescent="0.35">
      <c r="E2" s="15" t="s">
        <v>32</v>
      </c>
    </row>
    <row r="3" spans="1:5" x14ac:dyDescent="0.35">
      <c r="B3" s="61"/>
      <c r="C3" s="239"/>
      <c r="D3" s="239"/>
      <c r="E3" s="80" t="s">
        <v>66</v>
      </c>
    </row>
    <row r="4" spans="1:5" x14ac:dyDescent="0.35">
      <c r="B4" s="15"/>
      <c r="C4" s="237"/>
      <c r="D4" s="237"/>
      <c r="E4" s="16"/>
    </row>
    <row r="5" spans="1:5" x14ac:dyDescent="0.35">
      <c r="E5" s="16" t="s">
        <v>230</v>
      </c>
    </row>
    <row r="6" spans="1:5" x14ac:dyDescent="0.35">
      <c r="A6" s="318" t="s">
        <v>9</v>
      </c>
      <c r="B6" s="318"/>
      <c r="C6" s="318"/>
      <c r="D6" s="241"/>
      <c r="E6" s="73"/>
    </row>
    <row r="7" spans="1:5" x14ac:dyDescent="0.35">
      <c r="B7" s="19"/>
      <c r="C7" s="242"/>
      <c r="D7" s="242"/>
      <c r="E7" s="26"/>
    </row>
    <row r="8" spans="1:5" x14ac:dyDescent="0.35">
      <c r="A8" s="321" t="s">
        <v>1</v>
      </c>
      <c r="B8" s="321"/>
      <c r="C8" s="243"/>
      <c r="D8" s="243"/>
      <c r="E8" s="26"/>
    </row>
    <row r="9" spans="1:5" x14ac:dyDescent="0.35">
      <c r="A9" s="321" t="s">
        <v>0</v>
      </c>
      <c r="B9" s="321"/>
      <c r="C9" s="243"/>
      <c r="D9" s="243"/>
      <c r="E9" s="26"/>
    </row>
    <row r="10" spans="1:5" x14ac:dyDescent="0.35">
      <c r="A10" s="12"/>
      <c r="B10" s="12" t="s">
        <v>181</v>
      </c>
      <c r="C10" s="243"/>
      <c r="D10" s="243"/>
      <c r="E10" s="26"/>
    </row>
    <row r="11" spans="1:5" x14ac:dyDescent="0.35">
      <c r="A11" s="12"/>
      <c r="B11" s="44" t="s">
        <v>201</v>
      </c>
      <c r="C11" s="244"/>
      <c r="D11" s="244"/>
      <c r="E11" s="26"/>
    </row>
    <row r="12" spans="1:5" x14ac:dyDescent="0.35">
      <c r="A12" s="12"/>
      <c r="B12" s="87" t="s">
        <v>205</v>
      </c>
      <c r="C12" s="245"/>
      <c r="D12" s="245"/>
      <c r="E12" s="26"/>
    </row>
    <row r="13" spans="1:5" x14ac:dyDescent="0.35">
      <c r="A13" s="12" t="s">
        <v>2</v>
      </c>
      <c r="B13" s="12" t="s">
        <v>170</v>
      </c>
      <c r="C13" s="243"/>
      <c r="D13" s="243"/>
      <c r="E13" s="26"/>
    </row>
    <row r="14" spans="1:5" ht="69.75" customHeight="1" x14ac:dyDescent="0.35">
      <c r="A14" s="52" t="s">
        <v>3</v>
      </c>
      <c r="B14" s="52" t="s">
        <v>4</v>
      </c>
      <c r="C14" s="246"/>
      <c r="D14" s="246"/>
      <c r="E14" s="52" t="s">
        <v>135</v>
      </c>
    </row>
    <row r="15" spans="1:5" x14ac:dyDescent="0.35">
      <c r="A15" s="21">
        <v>1</v>
      </c>
      <c r="B15" s="22">
        <v>2</v>
      </c>
      <c r="C15" s="247"/>
      <c r="D15" s="247"/>
      <c r="E15" s="22">
        <v>3</v>
      </c>
    </row>
    <row r="16" spans="1:5" x14ac:dyDescent="0.35">
      <c r="A16" s="21"/>
      <c r="B16" s="23" t="s">
        <v>5</v>
      </c>
      <c r="C16" s="248"/>
      <c r="D16" s="248"/>
      <c r="E16" s="62"/>
    </row>
    <row r="17" spans="1:6" x14ac:dyDescent="0.35">
      <c r="A17" s="32">
        <v>1100</v>
      </c>
      <c r="B17" s="32" t="s">
        <v>133</v>
      </c>
      <c r="C17" s="249"/>
      <c r="D17" s="250">
        <f>'[1]7._izmitināšana_GALA mpc'!$U$6</f>
        <v>13.696080878681975</v>
      </c>
      <c r="E17" s="34">
        <v>309.54000000000002</v>
      </c>
    </row>
    <row r="18" spans="1:6" x14ac:dyDescent="0.35">
      <c r="A18" s="32">
        <v>1200</v>
      </c>
      <c r="B18" s="62" t="s">
        <v>134</v>
      </c>
      <c r="C18" s="251"/>
      <c r="D18" s="251">
        <f>D17*0.2359</f>
        <v>3.2309054792810779</v>
      </c>
      <c r="E18" s="34">
        <v>73.02</v>
      </c>
    </row>
    <row r="19" spans="1:6" x14ac:dyDescent="0.35">
      <c r="A19" s="32">
        <v>2222</v>
      </c>
      <c r="B19" s="63" t="s">
        <v>136</v>
      </c>
      <c r="C19" s="251"/>
      <c r="D19" s="252">
        <f>'[1]7._izmitināšana_GALA mpc'!$U$8</f>
        <v>0.39515227159261107</v>
      </c>
      <c r="E19" s="34">
        <v>7.9</v>
      </c>
    </row>
    <row r="20" spans="1:6" x14ac:dyDescent="0.35">
      <c r="A20" s="32">
        <v>2223</v>
      </c>
      <c r="B20" s="63" t="s">
        <v>137</v>
      </c>
      <c r="C20" s="251"/>
      <c r="D20" s="252">
        <f>'[1]7._izmitināšana_GALA mpc'!$U$9</f>
        <v>1.0410983524712931</v>
      </c>
      <c r="E20" s="34">
        <v>20.83</v>
      </c>
    </row>
    <row r="21" spans="1:6" x14ac:dyDescent="0.35">
      <c r="A21" s="32">
        <v>2243</v>
      </c>
      <c r="B21" s="23" t="s">
        <v>138</v>
      </c>
      <c r="C21" s="251"/>
      <c r="D21" s="252">
        <f>'[1]7._izmitināšana_GALA mpc'!$U$11</f>
        <v>6.1198527800146445E-2</v>
      </c>
      <c r="E21" s="34">
        <v>1.23</v>
      </c>
    </row>
    <row r="22" spans="1:6" x14ac:dyDescent="0.35">
      <c r="A22" s="32">
        <v>2244</v>
      </c>
      <c r="B22" s="23" t="s">
        <v>139</v>
      </c>
      <c r="C22" s="251"/>
      <c r="D22" s="252">
        <f>'[1]7._izmitināšana_GALA mpc'!$U$12</f>
        <v>1.2817802262998108</v>
      </c>
      <c r="E22" s="34">
        <v>25.65</v>
      </c>
    </row>
    <row r="23" spans="1:6" x14ac:dyDescent="0.35">
      <c r="A23" s="32">
        <v>2250</v>
      </c>
      <c r="B23" s="23" t="s">
        <v>125</v>
      </c>
      <c r="C23" s="251"/>
      <c r="D23" s="252">
        <f>'[1]7._izmitināšana_GALA mpc'!$U$13</f>
        <v>0.19</v>
      </c>
      <c r="E23" s="34">
        <v>3.8</v>
      </c>
    </row>
    <row r="24" spans="1:6" x14ac:dyDescent="0.35">
      <c r="A24" s="32">
        <v>2311</v>
      </c>
      <c r="B24" s="63" t="s">
        <v>152</v>
      </c>
      <c r="C24" s="251"/>
      <c r="D24" s="252">
        <f>'[1]7._izmitināšana_GALA mpc'!$U$14</f>
        <v>2.029795307039441</v>
      </c>
      <c r="E24" s="34">
        <v>40.6</v>
      </c>
    </row>
    <row r="25" spans="1:6" x14ac:dyDescent="0.35">
      <c r="A25" s="32">
        <v>2312</v>
      </c>
      <c r="B25" s="23" t="s">
        <v>117</v>
      </c>
      <c r="C25" s="251"/>
      <c r="D25" s="252">
        <f>'[1]7._izmitināšana_GALA mpc'!$U$15</f>
        <v>0.71454415237877755</v>
      </c>
      <c r="E25" s="34">
        <v>14.31</v>
      </c>
    </row>
    <row r="26" spans="1:6" x14ac:dyDescent="0.35">
      <c r="A26" s="32">
        <v>2321</v>
      </c>
      <c r="B26" s="63" t="s">
        <v>140</v>
      </c>
      <c r="C26" s="251"/>
      <c r="D26" s="252">
        <f>'[1]7._izmitināšana_GALA mpc'!$U$16</f>
        <v>0.7417639384842627</v>
      </c>
      <c r="E26" s="34">
        <v>14.85</v>
      </c>
    </row>
    <row r="27" spans="1:6" x14ac:dyDescent="0.35">
      <c r="A27" s="32">
        <v>2350</v>
      </c>
      <c r="B27" s="62" t="s">
        <v>126</v>
      </c>
      <c r="C27" s="251"/>
      <c r="D27" s="252">
        <f>'[1]7._izmitināšana_GALA mpc'!$U$17</f>
        <v>0.27072812401798485</v>
      </c>
      <c r="E27" s="34">
        <v>5.42</v>
      </c>
    </row>
    <row r="28" spans="1:6" x14ac:dyDescent="0.35">
      <c r="A28" s="32">
        <v>2361</v>
      </c>
      <c r="B28" s="63" t="s">
        <v>142</v>
      </c>
      <c r="C28" s="251"/>
      <c r="D28" s="252">
        <f>'[1]7._izmitināšana_GALA mpc'!$U$18</f>
        <v>0.10154767848227658</v>
      </c>
      <c r="E28" s="34">
        <v>2.0299999999999998</v>
      </c>
    </row>
    <row r="29" spans="1:6" x14ac:dyDescent="0.35">
      <c r="A29" s="32">
        <v>2362</v>
      </c>
      <c r="B29" s="86" t="s">
        <v>157</v>
      </c>
      <c r="C29" s="251"/>
      <c r="D29" s="252">
        <f>'[1]7._izmitināšana_GALA mpc'!$U$19</f>
        <v>4.8496533819285675E-2</v>
      </c>
      <c r="E29" s="34">
        <v>0.97</v>
      </c>
    </row>
    <row r="30" spans="1:6" x14ac:dyDescent="0.35">
      <c r="A30" s="32">
        <v>2363</v>
      </c>
      <c r="B30" s="63" t="s">
        <v>143</v>
      </c>
      <c r="C30" s="251"/>
      <c r="D30" s="251">
        <v>9.75</v>
      </c>
      <c r="E30" s="34">
        <f>D30*20</f>
        <v>195</v>
      </c>
    </row>
    <row r="31" spans="1:6" x14ac:dyDescent="0.35">
      <c r="A31" s="32">
        <v>5239</v>
      </c>
      <c r="B31" s="62" t="s">
        <v>131</v>
      </c>
      <c r="C31" s="251"/>
      <c r="D31" s="252">
        <f>'[1]7._izmitināšana_GALA mpc'!$U$21</f>
        <v>0.99836161633544895</v>
      </c>
      <c r="E31" s="34">
        <v>19.989999999999998</v>
      </c>
    </row>
    <row r="32" spans="1:6" x14ac:dyDescent="0.35">
      <c r="A32" s="32"/>
      <c r="B32" s="81" t="s">
        <v>6</v>
      </c>
      <c r="C32" s="253"/>
      <c r="D32" s="253">
        <f>SUM(D17:D31)</f>
        <v>34.551453086684397</v>
      </c>
      <c r="E32" s="38">
        <f>SUM(E17:E31)</f>
        <v>735.14</v>
      </c>
      <c r="F32" s="59"/>
    </row>
    <row r="33" spans="1:5" x14ac:dyDescent="0.35">
      <c r="A33" s="39"/>
      <c r="B33" s="81" t="s">
        <v>7</v>
      </c>
      <c r="C33" s="253"/>
      <c r="D33" s="253"/>
      <c r="E33" s="34"/>
    </row>
    <row r="34" spans="1:5" x14ac:dyDescent="0.35">
      <c r="A34" s="32">
        <v>1100</v>
      </c>
      <c r="B34" s="23" t="s">
        <v>133</v>
      </c>
      <c r="C34" s="251">
        <v>0.48549999999999999</v>
      </c>
      <c r="D34" s="251"/>
      <c r="E34" s="34">
        <v>205.1</v>
      </c>
    </row>
    <row r="35" spans="1:5" ht="16.5" customHeight="1" x14ac:dyDescent="0.35">
      <c r="A35" s="32">
        <v>1200</v>
      </c>
      <c r="B35" s="23" t="s">
        <v>134</v>
      </c>
      <c r="C35" s="251">
        <f>C34*0.2359</f>
        <v>0.11452944999999999</v>
      </c>
      <c r="D35" s="251"/>
      <c r="E35" s="34">
        <v>48.38</v>
      </c>
    </row>
    <row r="36" spans="1:5" ht="16.5" customHeight="1" x14ac:dyDescent="0.35">
      <c r="A36" s="32">
        <v>2100</v>
      </c>
      <c r="B36" s="25" t="s">
        <v>45</v>
      </c>
      <c r="C36" s="251">
        <v>1.1659999999999999E-3</v>
      </c>
      <c r="D36" s="251"/>
      <c r="E36" s="34">
        <v>0.57999999999999996</v>
      </c>
    </row>
    <row r="37" spans="1:5" x14ac:dyDescent="0.35">
      <c r="A37" s="35">
        <v>2210</v>
      </c>
      <c r="B37" s="63" t="s">
        <v>121</v>
      </c>
      <c r="C37" s="251">
        <v>7.6E-3</v>
      </c>
      <c r="D37" s="251"/>
      <c r="E37" s="34">
        <v>3.77</v>
      </c>
    </row>
    <row r="38" spans="1:5" x14ac:dyDescent="0.35">
      <c r="A38" s="32">
        <v>2222</v>
      </c>
      <c r="B38" s="63" t="s">
        <v>136</v>
      </c>
      <c r="C38" s="251">
        <f>0.0095*1.15</f>
        <v>1.0924999999999999E-2</v>
      </c>
      <c r="D38" s="251"/>
      <c r="E38" s="34">
        <v>5.42</v>
      </c>
    </row>
    <row r="39" spans="1:5" x14ac:dyDescent="0.35">
      <c r="A39" s="32">
        <v>2223</v>
      </c>
      <c r="B39" s="63" t="s">
        <v>137</v>
      </c>
      <c r="C39" s="251">
        <f>0.01902*2.13</f>
        <v>4.0512599999999996E-2</v>
      </c>
      <c r="D39" s="251"/>
      <c r="E39" s="34">
        <v>20.11</v>
      </c>
    </row>
    <row r="40" spans="1:5" ht="31" x14ac:dyDescent="0.35">
      <c r="A40" s="32">
        <v>2224</v>
      </c>
      <c r="B40" s="63" t="s">
        <v>144</v>
      </c>
      <c r="C40" s="251">
        <f>0.00495*1.15</f>
        <v>5.6924999999999996E-3</v>
      </c>
      <c r="D40" s="251"/>
      <c r="E40" s="34">
        <v>2.82</v>
      </c>
    </row>
    <row r="41" spans="1:5" ht="15.75" customHeight="1" x14ac:dyDescent="0.35">
      <c r="A41" s="32">
        <v>2231</v>
      </c>
      <c r="B41" s="23" t="s">
        <v>127</v>
      </c>
      <c r="C41" s="251">
        <v>1.5499999999999999E-3</v>
      </c>
      <c r="D41" s="251"/>
      <c r="E41" s="34">
        <v>0.77</v>
      </c>
    </row>
    <row r="42" spans="1:5" ht="15.75" customHeight="1" x14ac:dyDescent="0.35">
      <c r="A42" s="32">
        <v>2235</v>
      </c>
      <c r="B42" s="78" t="s">
        <v>128</v>
      </c>
      <c r="C42" s="251">
        <v>1.65E-3</v>
      </c>
      <c r="D42" s="251"/>
      <c r="E42" s="34">
        <v>0.82</v>
      </c>
    </row>
    <row r="43" spans="1:5" x14ac:dyDescent="0.35">
      <c r="A43" s="32">
        <v>2239</v>
      </c>
      <c r="B43" s="23" t="s">
        <v>145</v>
      </c>
      <c r="C43" s="251">
        <v>4.4099999999999999E-3</v>
      </c>
      <c r="D43" s="251"/>
      <c r="E43" s="34">
        <v>2.19</v>
      </c>
    </row>
    <row r="44" spans="1:5" x14ac:dyDescent="0.35">
      <c r="A44" s="32">
        <v>2241</v>
      </c>
      <c r="B44" s="23" t="s">
        <v>124</v>
      </c>
      <c r="C44" s="251">
        <v>1.6500000000000001E-2</v>
      </c>
      <c r="D44" s="251"/>
      <c r="E44" s="34">
        <v>8.2799999999999994</v>
      </c>
    </row>
    <row r="45" spans="1:5" x14ac:dyDescent="0.35">
      <c r="A45" s="32">
        <v>2242</v>
      </c>
      <c r="B45" s="63" t="s">
        <v>146</v>
      </c>
      <c r="C45" s="251">
        <v>2.2599999999999999E-3</v>
      </c>
      <c r="D45" s="251"/>
      <c r="E45" s="34">
        <v>1.1200000000000001</v>
      </c>
    </row>
    <row r="46" spans="1:5" ht="15.75" customHeight="1" x14ac:dyDescent="0.35">
      <c r="A46" s="32">
        <v>2243</v>
      </c>
      <c r="B46" s="23" t="s">
        <v>138</v>
      </c>
      <c r="C46" s="251">
        <v>3.2599999999999997E-2</v>
      </c>
      <c r="D46" s="251"/>
      <c r="E46" s="34">
        <v>16.18</v>
      </c>
    </row>
    <row r="47" spans="1:5" x14ac:dyDescent="0.35">
      <c r="A47" s="32">
        <v>2244</v>
      </c>
      <c r="B47" s="23" t="s">
        <v>139</v>
      </c>
      <c r="C47" s="251">
        <f>0.20397-0.09084</f>
        <v>0.11313000000000001</v>
      </c>
      <c r="D47" s="251"/>
      <c r="E47" s="34">
        <v>56.14</v>
      </c>
    </row>
    <row r="48" spans="1:5" x14ac:dyDescent="0.35">
      <c r="A48" s="32">
        <v>2247</v>
      </c>
      <c r="B48" s="23" t="s">
        <v>147</v>
      </c>
      <c r="C48" s="251">
        <v>7.1900000000000002E-4</v>
      </c>
      <c r="D48" s="251"/>
      <c r="E48" s="34">
        <v>0.36</v>
      </c>
    </row>
    <row r="49" spans="1:5" x14ac:dyDescent="0.35">
      <c r="A49" s="32">
        <v>2249</v>
      </c>
      <c r="B49" s="23" t="s">
        <v>172</v>
      </c>
      <c r="C49" s="251">
        <v>2.32E-4</v>
      </c>
      <c r="D49" s="251"/>
      <c r="E49" s="34">
        <v>0.12</v>
      </c>
    </row>
    <row r="50" spans="1:5" x14ac:dyDescent="0.35">
      <c r="A50" s="32">
        <v>2250</v>
      </c>
      <c r="B50" s="23" t="s">
        <v>125</v>
      </c>
      <c r="C50" s="251">
        <f>0.024026-0.005</f>
        <v>1.9025999999999998E-2</v>
      </c>
      <c r="D50" s="251"/>
      <c r="E50" s="34">
        <v>9.44</v>
      </c>
    </row>
    <row r="51" spans="1:5" hidden="1" x14ac:dyDescent="0.35">
      <c r="A51" s="32">
        <v>2261</v>
      </c>
      <c r="B51" s="63" t="s">
        <v>99</v>
      </c>
      <c r="C51" s="251">
        <v>0</v>
      </c>
      <c r="D51" s="251"/>
      <c r="E51" s="34">
        <v>0</v>
      </c>
    </row>
    <row r="52" spans="1:5" x14ac:dyDescent="0.35">
      <c r="A52" s="32">
        <v>2262</v>
      </c>
      <c r="B52" s="63" t="s">
        <v>149</v>
      </c>
      <c r="C52" s="251">
        <v>6.2599999999999999E-3</v>
      </c>
      <c r="D52" s="251"/>
      <c r="E52" s="34">
        <v>3.11</v>
      </c>
    </row>
    <row r="53" spans="1:5" x14ac:dyDescent="0.35">
      <c r="A53" s="32">
        <v>2263</v>
      </c>
      <c r="B53" s="63" t="s">
        <v>150</v>
      </c>
      <c r="C53" s="251">
        <v>4.58E-2</v>
      </c>
      <c r="D53" s="251"/>
      <c r="E53" s="34">
        <v>22.73</v>
      </c>
    </row>
    <row r="54" spans="1:5" x14ac:dyDescent="0.35">
      <c r="A54" s="32">
        <v>2264</v>
      </c>
      <c r="B54" s="23" t="s">
        <v>151</v>
      </c>
      <c r="C54" s="251">
        <v>1.49E-3</v>
      </c>
      <c r="D54" s="251"/>
      <c r="E54" s="34">
        <v>0.74</v>
      </c>
    </row>
    <row r="55" spans="1:5" x14ac:dyDescent="0.35">
      <c r="A55" s="32">
        <v>2311</v>
      </c>
      <c r="B55" s="63" t="s">
        <v>152</v>
      </c>
      <c r="C55" s="251">
        <v>4.7699999999999999E-3</v>
      </c>
      <c r="D55" s="251"/>
      <c r="E55" s="34">
        <v>2.37</v>
      </c>
    </row>
    <row r="56" spans="1:5" x14ac:dyDescent="0.35">
      <c r="A56" s="32">
        <v>2312</v>
      </c>
      <c r="B56" s="63" t="s">
        <v>117</v>
      </c>
      <c r="C56" s="251">
        <v>5.79E-3</v>
      </c>
      <c r="D56" s="251"/>
      <c r="E56" s="34">
        <v>2.87</v>
      </c>
    </row>
    <row r="57" spans="1:5" x14ac:dyDescent="0.35">
      <c r="A57" s="32">
        <v>2314</v>
      </c>
      <c r="B57" s="78" t="s">
        <v>153</v>
      </c>
      <c r="C57" s="251">
        <v>2.2200000000000002E-3</v>
      </c>
      <c r="D57" s="251"/>
      <c r="E57" s="34">
        <v>1.1000000000000001</v>
      </c>
    </row>
    <row r="58" spans="1:5" x14ac:dyDescent="0.35">
      <c r="A58" s="32">
        <v>2321</v>
      </c>
      <c r="B58" s="63" t="s">
        <v>140</v>
      </c>
      <c r="C58" s="251">
        <f>0.0198*1.2+0.005</f>
        <v>2.8760000000000001E-2</v>
      </c>
      <c r="D58" s="251"/>
      <c r="E58" s="34">
        <v>14.27</v>
      </c>
    </row>
    <row r="59" spans="1:5" x14ac:dyDescent="0.35">
      <c r="A59" s="32">
        <v>2322</v>
      </c>
      <c r="B59" s="63" t="s">
        <v>154</v>
      </c>
      <c r="C59" s="251">
        <f>0.0035*1.2</f>
        <v>4.1999999999999997E-3</v>
      </c>
      <c r="D59" s="251"/>
      <c r="E59" s="34">
        <v>2.08</v>
      </c>
    </row>
    <row r="60" spans="1:5" hidden="1" x14ac:dyDescent="0.35">
      <c r="A60" s="32">
        <v>2341</v>
      </c>
      <c r="B60" s="63" t="s">
        <v>141</v>
      </c>
      <c r="C60" s="251"/>
      <c r="D60" s="251"/>
      <c r="E60" s="34">
        <v>0</v>
      </c>
    </row>
    <row r="61" spans="1:5" x14ac:dyDescent="0.35">
      <c r="A61" s="32">
        <v>2350</v>
      </c>
      <c r="B61" s="62" t="s">
        <v>126</v>
      </c>
      <c r="C61" s="251">
        <v>8.5000000000000006E-3</v>
      </c>
      <c r="D61" s="251"/>
      <c r="E61" s="34">
        <v>4.22</v>
      </c>
    </row>
    <row r="62" spans="1:5" hidden="1" x14ac:dyDescent="0.35">
      <c r="A62" s="32">
        <v>2512</v>
      </c>
      <c r="B62" s="63" t="s">
        <v>155</v>
      </c>
      <c r="C62" s="251">
        <v>0</v>
      </c>
      <c r="D62" s="251"/>
      <c r="E62" s="34">
        <v>0</v>
      </c>
    </row>
    <row r="63" spans="1:5" ht="15.75" customHeight="1" x14ac:dyDescent="0.35">
      <c r="A63" s="32">
        <v>2513</v>
      </c>
      <c r="B63" s="62" t="s">
        <v>122</v>
      </c>
      <c r="C63" s="251">
        <v>1.4599999999999999E-3</v>
      </c>
      <c r="D63" s="251"/>
      <c r="E63" s="34">
        <v>0.72</v>
      </c>
    </row>
    <row r="64" spans="1:5" x14ac:dyDescent="0.35">
      <c r="A64" s="32">
        <v>2515</v>
      </c>
      <c r="B64" s="63" t="s">
        <v>156</v>
      </c>
      <c r="C64" s="251">
        <v>1.9E-3</v>
      </c>
      <c r="D64" s="251"/>
      <c r="E64" s="34">
        <v>0.94</v>
      </c>
    </row>
    <row r="65" spans="1:6" x14ac:dyDescent="0.35">
      <c r="A65" s="32">
        <v>2519</v>
      </c>
      <c r="B65" s="63" t="s">
        <v>123</v>
      </c>
      <c r="C65" s="251">
        <v>2E-3</v>
      </c>
      <c r="D65" s="251"/>
      <c r="E65" s="34">
        <v>0.99</v>
      </c>
    </row>
    <row r="66" spans="1:6" x14ac:dyDescent="0.35">
      <c r="A66" s="32">
        <v>5220</v>
      </c>
      <c r="B66" s="63" t="s">
        <v>129</v>
      </c>
      <c r="C66" s="251">
        <v>1.06E-2</v>
      </c>
      <c r="D66" s="251"/>
      <c r="E66" s="34">
        <v>5.26</v>
      </c>
    </row>
    <row r="67" spans="1:6" x14ac:dyDescent="0.35">
      <c r="A67" s="32">
        <v>5238</v>
      </c>
      <c r="B67" s="62" t="s">
        <v>130</v>
      </c>
      <c r="C67" s="251">
        <v>1.65E-3</v>
      </c>
      <c r="D67" s="251"/>
      <c r="E67" s="34">
        <v>0.82</v>
      </c>
    </row>
    <row r="68" spans="1:6" x14ac:dyDescent="0.35">
      <c r="A68" s="32">
        <v>5239</v>
      </c>
      <c r="B68" s="62" t="s">
        <v>131</v>
      </c>
      <c r="C68" s="251">
        <v>9.5399999999999999E-3</v>
      </c>
      <c r="D68" s="251"/>
      <c r="E68" s="34">
        <v>4.7300000000000004</v>
      </c>
    </row>
    <row r="69" spans="1:6" x14ac:dyDescent="0.35">
      <c r="A69" s="32">
        <v>5250</v>
      </c>
      <c r="B69" s="63" t="s">
        <v>132</v>
      </c>
      <c r="C69" s="251">
        <v>7.0600000000000003E-3</v>
      </c>
      <c r="D69" s="251"/>
      <c r="E69" s="34">
        <v>3.51</v>
      </c>
    </row>
    <row r="70" spans="1:6" x14ac:dyDescent="0.35">
      <c r="A70" s="39"/>
      <c r="B70" s="82" t="s">
        <v>97</v>
      </c>
      <c r="C70" s="251">
        <f>SUM(C34:C69)</f>
        <v>1.00000255</v>
      </c>
      <c r="D70" s="251"/>
      <c r="E70" s="38">
        <f>SUM(E34:E69)</f>
        <v>452.06000000000006</v>
      </c>
    </row>
    <row r="71" spans="1:6" x14ac:dyDescent="0.35">
      <c r="A71" s="39"/>
      <c r="B71" s="82" t="s">
        <v>98</v>
      </c>
      <c r="C71" s="255"/>
      <c r="D71" s="255"/>
      <c r="E71" s="38">
        <f>E32+E70</f>
        <v>1187.2</v>
      </c>
    </row>
    <row r="72" spans="1:6" ht="12.75" customHeight="1" x14ac:dyDescent="0.35">
      <c r="A72" s="16"/>
      <c r="B72" s="26"/>
      <c r="C72" s="256"/>
      <c r="D72" s="256"/>
      <c r="E72" s="60"/>
    </row>
    <row r="73" spans="1:6" ht="15.75" customHeight="1" x14ac:dyDescent="0.35">
      <c r="A73" s="319" t="s">
        <v>107</v>
      </c>
      <c r="B73" s="319"/>
      <c r="C73" s="257"/>
      <c r="D73" s="257"/>
      <c r="E73" s="68">
        <v>20</v>
      </c>
    </row>
    <row r="74" spans="1:6" ht="15.75" customHeight="1" x14ac:dyDescent="0.35">
      <c r="A74" s="319" t="s">
        <v>58</v>
      </c>
      <c r="B74" s="319"/>
      <c r="C74" s="257"/>
      <c r="D74" s="257"/>
      <c r="E74" s="69">
        <f>E71/E73</f>
        <v>59.36</v>
      </c>
      <c r="F74" s="147"/>
    </row>
    <row r="75" spans="1:6" ht="9.75" customHeight="1" x14ac:dyDescent="0.35">
      <c r="A75" s="44"/>
      <c r="B75" s="50"/>
      <c r="C75" s="258"/>
      <c r="D75" s="258"/>
    </row>
    <row r="76" spans="1:6" ht="15.75" customHeight="1" x14ac:dyDescent="0.35">
      <c r="A76" s="320" t="s">
        <v>33</v>
      </c>
      <c r="B76" s="320"/>
      <c r="C76" s="259"/>
      <c r="D76" s="259"/>
      <c r="E76" s="161"/>
    </row>
    <row r="77" spans="1:6" ht="15.75" customHeight="1" x14ac:dyDescent="0.35">
      <c r="A77" s="320" t="s">
        <v>64</v>
      </c>
      <c r="B77" s="320"/>
      <c r="C77" s="259"/>
      <c r="D77" s="259"/>
      <c r="E77" s="88"/>
    </row>
    <row r="78" spans="1:6" ht="8.25" customHeight="1" x14ac:dyDescent="0.35">
      <c r="A78" s="29"/>
      <c r="B78" s="29"/>
      <c r="C78" s="260"/>
      <c r="D78" s="260"/>
      <c r="E78" s="29"/>
    </row>
    <row r="79" spans="1:6" x14ac:dyDescent="0.35">
      <c r="A79" s="29" t="s">
        <v>34</v>
      </c>
      <c r="B79" s="29"/>
      <c r="C79" s="260"/>
      <c r="D79" s="260"/>
      <c r="E79" s="84"/>
    </row>
    <row r="80" spans="1:6" x14ac:dyDescent="0.35">
      <c r="A80" s="29"/>
      <c r="B80" s="29"/>
      <c r="C80" s="260"/>
      <c r="D80" s="260"/>
      <c r="E80" s="84"/>
    </row>
    <row r="81" spans="1:5" x14ac:dyDescent="0.35">
      <c r="A81" s="29" t="s">
        <v>179</v>
      </c>
      <c r="B81" s="30"/>
      <c r="C81" s="261"/>
      <c r="D81" s="261"/>
      <c r="E81" s="84"/>
    </row>
    <row r="82" spans="1:5" x14ac:dyDescent="0.35">
      <c r="B82" s="76"/>
      <c r="C82" s="262"/>
      <c r="D82" s="262"/>
      <c r="E82" s="85"/>
    </row>
    <row r="84" spans="1:5" x14ac:dyDescent="0.35">
      <c r="E84" s="59"/>
    </row>
  </sheetData>
  <mergeCells count="7">
    <mergeCell ref="A76:B76"/>
    <mergeCell ref="A77:B77"/>
    <mergeCell ref="A6:C6"/>
    <mergeCell ref="A8:B8"/>
    <mergeCell ref="A9:B9"/>
    <mergeCell ref="A73:B73"/>
    <mergeCell ref="A74:B74"/>
  </mergeCells>
  <pageMargins left="0.95093749999999999" right="0.51343749999999999" top="0.55118110236220474" bottom="0.66" header="0.31496062992125984" footer="0.16"/>
  <pageSetup paperSize="9" scale="60" orientation="portrait" r:id="rId1"/>
  <headerFooter>
    <oddFooter>&amp;C&amp;"Times New Roman,Regular"&amp;F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view="pageLayout" zoomScale="80" zoomScaleNormal="100" zoomScalePageLayoutView="80" workbookViewId="0">
      <selection activeCell="B17" sqref="B17"/>
    </sheetView>
  </sheetViews>
  <sheetFormatPr defaultRowHeight="14" x14ac:dyDescent="0.3"/>
  <cols>
    <col min="1" max="1" width="13" style="4" customWidth="1"/>
    <col min="2" max="2" width="94" style="4" customWidth="1"/>
    <col min="3" max="4" width="9" style="240" hidden="1" customWidth="1"/>
    <col min="5" max="5" width="28.81640625" style="4" customWidth="1"/>
  </cols>
  <sheetData>
    <row r="1" spans="1:7" ht="15.5" x14ac:dyDescent="0.35">
      <c r="B1" s="1"/>
      <c r="C1" s="237"/>
      <c r="D1" s="237"/>
      <c r="E1" s="18" t="s">
        <v>10</v>
      </c>
    </row>
    <row r="2" spans="1:7" ht="15.5" x14ac:dyDescent="0.35">
      <c r="B2" s="1"/>
      <c r="C2" s="237"/>
      <c r="D2" s="237"/>
      <c r="E2" s="15" t="s">
        <v>32</v>
      </c>
    </row>
    <row r="3" spans="1:7" ht="15.5" x14ac:dyDescent="0.35">
      <c r="B3" s="1"/>
      <c r="C3" s="237"/>
      <c r="D3" s="237"/>
      <c r="E3" s="80" t="s">
        <v>66</v>
      </c>
    </row>
    <row r="4" spans="1:7" x14ac:dyDescent="0.3">
      <c r="B4" s="1"/>
      <c r="C4" s="237"/>
      <c r="D4" s="237"/>
      <c r="E4" s="64"/>
    </row>
    <row r="5" spans="1:7" ht="15.5" x14ac:dyDescent="0.35">
      <c r="B5" s="5"/>
      <c r="C5" s="264"/>
      <c r="D5" s="264"/>
      <c r="E5" s="16" t="s">
        <v>230</v>
      </c>
    </row>
    <row r="6" spans="1:7" x14ac:dyDescent="0.3">
      <c r="E6" s="6"/>
    </row>
    <row r="7" spans="1:7" ht="17.5" x14ac:dyDescent="0.35">
      <c r="A7" s="322" t="s">
        <v>9</v>
      </c>
      <c r="B7" s="322"/>
      <c r="C7" s="322"/>
      <c r="D7" s="322"/>
      <c r="E7" s="322"/>
    </row>
    <row r="8" spans="1:7" x14ac:dyDescent="0.3">
      <c r="B8" s="3"/>
      <c r="C8" s="242"/>
      <c r="D8" s="242"/>
      <c r="E8" s="6"/>
    </row>
    <row r="9" spans="1:7" ht="15.5" x14ac:dyDescent="0.35">
      <c r="A9" s="321" t="s">
        <v>1</v>
      </c>
      <c r="B9" s="321"/>
      <c r="C9" s="243"/>
      <c r="D9" s="243"/>
      <c r="E9" s="26"/>
    </row>
    <row r="10" spans="1:7" ht="15.5" x14ac:dyDescent="0.35">
      <c r="A10" s="321" t="s">
        <v>0</v>
      </c>
      <c r="B10" s="321"/>
      <c r="C10" s="243"/>
      <c r="D10" s="243"/>
      <c r="E10" s="26"/>
    </row>
    <row r="11" spans="1:7" ht="15.5" x14ac:dyDescent="0.35">
      <c r="A11" s="12"/>
      <c r="B11" s="12" t="s">
        <v>181</v>
      </c>
      <c r="C11" s="243"/>
      <c r="D11" s="243"/>
      <c r="E11" s="26"/>
    </row>
    <row r="12" spans="1:7" ht="15.5" x14ac:dyDescent="0.25">
      <c r="A12" s="12"/>
      <c r="B12" s="325" t="s">
        <v>206</v>
      </c>
      <c r="C12" s="325"/>
      <c r="D12" s="325"/>
      <c r="E12" s="325"/>
    </row>
    <row r="13" spans="1:7" ht="15.5" x14ac:dyDescent="0.35">
      <c r="A13" s="12"/>
      <c r="B13" s="321" t="s">
        <v>231</v>
      </c>
      <c r="C13" s="321"/>
      <c r="D13" s="321"/>
      <c r="E13" s="323"/>
    </row>
    <row r="14" spans="1:7" ht="15.5" x14ac:dyDescent="0.35">
      <c r="A14" s="12" t="s">
        <v>2</v>
      </c>
      <c r="B14" s="12" t="str">
        <f>'4.2.4.'!B13</f>
        <v>2023.gadā un turpmāk</v>
      </c>
      <c r="C14" s="243"/>
      <c r="D14" s="243"/>
      <c r="E14" s="17"/>
    </row>
    <row r="15" spans="1:7" ht="67.5" customHeight="1" x14ac:dyDescent="0.25">
      <c r="A15" s="52" t="s">
        <v>3</v>
      </c>
      <c r="B15" s="52" t="s">
        <v>4</v>
      </c>
      <c r="C15" s="246">
        <v>1</v>
      </c>
      <c r="D15" s="246"/>
      <c r="E15" s="52" t="s">
        <v>63</v>
      </c>
      <c r="G15" s="57"/>
    </row>
    <row r="16" spans="1:7" x14ac:dyDescent="0.25">
      <c r="A16" s="10">
        <v>1</v>
      </c>
      <c r="B16" s="11">
        <v>2</v>
      </c>
      <c r="C16" s="247"/>
      <c r="D16" s="247"/>
      <c r="E16" s="11">
        <v>3</v>
      </c>
      <c r="G16" s="57"/>
    </row>
    <row r="17" spans="1:7" ht="15.5" x14ac:dyDescent="0.25">
      <c r="A17" s="42"/>
      <c r="B17" s="40" t="s">
        <v>5</v>
      </c>
      <c r="C17" s="265"/>
      <c r="D17" s="265"/>
      <c r="E17" s="36"/>
      <c r="G17" s="57"/>
    </row>
    <row r="18" spans="1:7" ht="15.5" x14ac:dyDescent="0.25">
      <c r="A18" s="32">
        <v>1100</v>
      </c>
      <c r="B18" s="32" t="s">
        <v>133</v>
      </c>
      <c r="C18" s="250">
        <f>'[1]7._izmitināšana_GALA mpc'!$V$6</f>
        <v>2.187870194707938</v>
      </c>
      <c r="D18" s="249"/>
      <c r="E18" s="34">
        <v>568.73</v>
      </c>
    </row>
    <row r="19" spans="1:7" ht="15.75" customHeight="1" x14ac:dyDescent="0.35">
      <c r="A19" s="32">
        <v>1200</v>
      </c>
      <c r="B19" s="62" t="s">
        <v>134</v>
      </c>
      <c r="C19" s="249">
        <f>C18*0.2359</f>
        <v>0.51611857893160251</v>
      </c>
      <c r="D19" s="249"/>
      <c r="E19" s="34">
        <v>134.16</v>
      </c>
    </row>
    <row r="20" spans="1:7" ht="15.5" x14ac:dyDescent="0.35">
      <c r="A20" s="32">
        <v>2222</v>
      </c>
      <c r="B20" s="63" t="s">
        <v>136</v>
      </c>
      <c r="C20" s="250">
        <f>'[1]7._izmitināšana_GALA mpc'!$V$8</f>
        <v>0.22432351472790812</v>
      </c>
      <c r="D20" s="249"/>
      <c r="E20" s="34">
        <v>51.6</v>
      </c>
    </row>
    <row r="21" spans="1:7" ht="15.5" x14ac:dyDescent="0.25">
      <c r="A21" s="32">
        <v>2223</v>
      </c>
      <c r="B21" s="33" t="s">
        <v>137</v>
      </c>
      <c r="C21" s="250">
        <f>'[1]7._izmitināšana_GALA mpc'!$V$9</f>
        <v>0.67774338492261599</v>
      </c>
      <c r="D21" s="249"/>
      <c r="E21" s="34">
        <v>155.91</v>
      </c>
    </row>
    <row r="22" spans="1:7" ht="15.5" x14ac:dyDescent="0.25">
      <c r="A22" s="32">
        <v>2243</v>
      </c>
      <c r="B22" s="33" t="s">
        <v>138</v>
      </c>
      <c r="C22" s="250">
        <f>'[1]7._izmitināšana_GALA mpc'!$V$11</f>
        <v>2.3864203694458311E-2</v>
      </c>
      <c r="D22" s="249"/>
      <c r="E22" s="34">
        <v>5.49</v>
      </c>
    </row>
    <row r="23" spans="1:7" ht="15.5" x14ac:dyDescent="0.35">
      <c r="A23" s="32">
        <v>2244</v>
      </c>
      <c r="B23" s="23" t="s">
        <v>139</v>
      </c>
      <c r="C23" s="250">
        <f>'[1]7._izmitināšana_GALA mpc'!$V$12</f>
        <v>0.7732001997004494</v>
      </c>
      <c r="D23" s="249"/>
      <c r="E23" s="34">
        <v>177.87</v>
      </c>
    </row>
    <row r="24" spans="1:7" ht="15.5" hidden="1" x14ac:dyDescent="0.35">
      <c r="A24" s="32">
        <v>2250</v>
      </c>
      <c r="B24" s="23" t="s">
        <v>125</v>
      </c>
      <c r="C24" s="250">
        <f>'[1]7._izmitināšana_GALA mpc'!$V$13</f>
        <v>0</v>
      </c>
      <c r="D24" s="249"/>
      <c r="E24" s="34">
        <v>0</v>
      </c>
    </row>
    <row r="25" spans="1:7" ht="15.5" x14ac:dyDescent="0.35">
      <c r="A25" s="32">
        <v>2311</v>
      </c>
      <c r="B25" s="63" t="s">
        <v>152</v>
      </c>
      <c r="C25" s="250">
        <f>'[1]7._izmitināšana_GALA mpc'!$V$14</f>
        <v>0.48205691462805789</v>
      </c>
      <c r="D25" s="249"/>
      <c r="E25" s="34">
        <v>110.89</v>
      </c>
    </row>
    <row r="26" spans="1:7" ht="15.5" x14ac:dyDescent="0.35">
      <c r="A26" s="32">
        <v>2312</v>
      </c>
      <c r="B26" s="23" t="s">
        <v>117</v>
      </c>
      <c r="C26" s="250">
        <f>'[1]7._izmitināšana_GALA mpc'!$V$15</f>
        <v>0.22432351472790812</v>
      </c>
      <c r="D26" s="249"/>
      <c r="E26" s="34">
        <v>51.6</v>
      </c>
    </row>
    <row r="27" spans="1:7" ht="15.5" x14ac:dyDescent="0.25">
      <c r="A27" s="32">
        <v>2321</v>
      </c>
      <c r="B27" s="33" t="s">
        <v>140</v>
      </c>
      <c r="C27" s="250">
        <f>'[1]7._izmitināšana_GALA mpc'!$V$16</f>
        <v>0.44864702945581625</v>
      </c>
      <c r="D27" s="249"/>
      <c r="E27" s="34">
        <v>103.21</v>
      </c>
    </row>
    <row r="28" spans="1:7" ht="15.5" hidden="1" x14ac:dyDescent="0.25">
      <c r="A28" s="32">
        <v>2341</v>
      </c>
      <c r="B28" s="33" t="s">
        <v>141</v>
      </c>
      <c r="C28" s="249">
        <v>0</v>
      </c>
      <c r="D28" s="249"/>
      <c r="E28" s="34">
        <f>C28*230</f>
        <v>0</v>
      </c>
    </row>
    <row r="29" spans="1:7" ht="15.5" x14ac:dyDescent="0.35">
      <c r="A29" s="32">
        <v>2350</v>
      </c>
      <c r="B29" s="62" t="s">
        <v>126</v>
      </c>
      <c r="C29" s="250">
        <f>'[1]7._izmitināšana_GALA mpc'!$V$17</f>
        <v>0.15273090364453323</v>
      </c>
      <c r="D29" s="249"/>
      <c r="E29" s="34">
        <v>35.130000000000003</v>
      </c>
    </row>
    <row r="30" spans="1:7" ht="15.5" x14ac:dyDescent="0.25">
      <c r="A30" s="32">
        <v>2361</v>
      </c>
      <c r="B30" s="33" t="s">
        <v>142</v>
      </c>
      <c r="C30" s="250">
        <f>'[1]7._izmitināšana_GALA mpc'!$V$18</f>
        <v>8.591113330004993E-2</v>
      </c>
      <c r="D30" s="249"/>
      <c r="E30" s="34">
        <v>19.760000000000002</v>
      </c>
    </row>
    <row r="31" spans="1:7" ht="15.5" hidden="1" x14ac:dyDescent="0.25">
      <c r="A31" s="32">
        <v>2363</v>
      </c>
      <c r="B31" s="33" t="s">
        <v>143</v>
      </c>
      <c r="C31" s="249">
        <v>0</v>
      </c>
      <c r="D31" s="249"/>
      <c r="E31" s="34">
        <v>0</v>
      </c>
    </row>
    <row r="32" spans="1:7" ht="15.5" x14ac:dyDescent="0.35">
      <c r="A32" s="32">
        <v>5239</v>
      </c>
      <c r="B32" s="62" t="s">
        <v>131</v>
      </c>
      <c r="C32" s="250">
        <f>'[1]7._izmitināšana_GALA mpc'!$V$21</f>
        <v>0.410464303544683</v>
      </c>
      <c r="D32" s="249"/>
      <c r="E32" s="34">
        <v>94.42</v>
      </c>
    </row>
    <row r="33" spans="1:5" ht="15.5" x14ac:dyDescent="0.25">
      <c r="A33" s="32"/>
      <c r="B33" s="37" t="s">
        <v>6</v>
      </c>
      <c r="C33" s="266">
        <f>SUM(C18:C32)</f>
        <v>6.2072538759860203</v>
      </c>
      <c r="D33" s="266"/>
      <c r="E33" s="38">
        <f>SUM(E18:E32)</f>
        <v>1508.7700000000002</v>
      </c>
    </row>
    <row r="34" spans="1:5" ht="15.5" x14ac:dyDescent="0.25">
      <c r="A34" s="39"/>
      <c r="B34" s="41" t="s">
        <v>7</v>
      </c>
      <c r="C34" s="249"/>
      <c r="D34" s="249"/>
      <c r="E34" s="34"/>
    </row>
    <row r="35" spans="1:5" ht="15.5" x14ac:dyDescent="0.35">
      <c r="A35" s="32">
        <v>1100</v>
      </c>
      <c r="B35" s="23" t="s">
        <v>133</v>
      </c>
      <c r="C35" s="251"/>
      <c r="D35" s="251">
        <v>0.48549999999999999</v>
      </c>
      <c r="E35" s="34">
        <v>1376.11</v>
      </c>
    </row>
    <row r="36" spans="1:5" ht="15.75" customHeight="1" x14ac:dyDescent="0.35">
      <c r="A36" s="32">
        <v>1200</v>
      </c>
      <c r="B36" s="23" t="s">
        <v>134</v>
      </c>
      <c r="C36" s="251"/>
      <c r="D36" s="251">
        <f>D35*0.2359</f>
        <v>0.11452944999999999</v>
      </c>
      <c r="E36" s="34">
        <v>324.62</v>
      </c>
    </row>
    <row r="37" spans="1:5" ht="15.5" x14ac:dyDescent="0.25">
      <c r="A37" s="32">
        <v>2100</v>
      </c>
      <c r="B37" s="25" t="s">
        <v>45</v>
      </c>
      <c r="C37" s="251"/>
      <c r="D37" s="251">
        <v>1.1659999999999999E-3</v>
      </c>
      <c r="E37" s="34">
        <v>3.46</v>
      </c>
    </row>
    <row r="38" spans="1:5" ht="15.5" x14ac:dyDescent="0.35">
      <c r="A38" s="35">
        <v>2210</v>
      </c>
      <c r="B38" s="63" t="s">
        <v>121</v>
      </c>
      <c r="C38" s="251"/>
      <c r="D38" s="251">
        <v>7.6E-3</v>
      </c>
      <c r="E38" s="34">
        <v>22.57</v>
      </c>
    </row>
    <row r="39" spans="1:5" ht="15.5" x14ac:dyDescent="0.35">
      <c r="A39" s="32">
        <v>2222</v>
      </c>
      <c r="B39" s="63" t="s">
        <v>136</v>
      </c>
      <c r="C39" s="251"/>
      <c r="D39" s="251">
        <f>0.0095*1.15</f>
        <v>1.0924999999999999E-2</v>
      </c>
      <c r="E39" s="34">
        <v>32.44</v>
      </c>
    </row>
    <row r="40" spans="1:5" ht="15.5" x14ac:dyDescent="0.35">
      <c r="A40" s="32">
        <v>2223</v>
      </c>
      <c r="B40" s="63" t="s">
        <v>137</v>
      </c>
      <c r="C40" s="251"/>
      <c r="D40" s="251">
        <f>0.01902*2.13</f>
        <v>4.0512599999999996E-2</v>
      </c>
      <c r="E40" s="34">
        <v>120.31</v>
      </c>
    </row>
    <row r="41" spans="1:5" ht="31" x14ac:dyDescent="0.35">
      <c r="A41" s="32">
        <v>2224</v>
      </c>
      <c r="B41" s="63" t="s">
        <v>144</v>
      </c>
      <c r="C41" s="251"/>
      <c r="D41" s="251">
        <f>0.00495*1.15</f>
        <v>5.6924999999999996E-3</v>
      </c>
      <c r="E41" s="34">
        <v>16.899999999999999</v>
      </c>
    </row>
    <row r="42" spans="1:5" ht="15.5" x14ac:dyDescent="0.35">
      <c r="A42" s="32">
        <v>2231</v>
      </c>
      <c r="B42" s="23" t="s">
        <v>127</v>
      </c>
      <c r="C42" s="251"/>
      <c r="D42" s="251">
        <v>1.5499999999999999E-3</v>
      </c>
      <c r="E42" s="34">
        <v>4.5999999999999996</v>
      </c>
    </row>
    <row r="43" spans="1:5" ht="15.5" x14ac:dyDescent="0.25">
      <c r="A43" s="32">
        <v>2235</v>
      </c>
      <c r="B43" s="78" t="s">
        <v>128</v>
      </c>
      <c r="C43" s="251"/>
      <c r="D43" s="251">
        <v>1.65E-3</v>
      </c>
      <c r="E43" s="34">
        <v>4.9000000000000004</v>
      </c>
    </row>
    <row r="44" spans="1:5" ht="15.5" x14ac:dyDescent="0.35">
      <c r="A44" s="32">
        <v>2239</v>
      </c>
      <c r="B44" s="23" t="s">
        <v>145</v>
      </c>
      <c r="C44" s="251"/>
      <c r="D44" s="251">
        <v>4.4099999999999999E-3</v>
      </c>
      <c r="E44" s="34">
        <v>13.1</v>
      </c>
    </row>
    <row r="45" spans="1:5" ht="15.5" x14ac:dyDescent="0.35">
      <c r="A45" s="32">
        <v>2241</v>
      </c>
      <c r="B45" s="23" t="s">
        <v>124</v>
      </c>
      <c r="C45" s="251"/>
      <c r="D45" s="251">
        <v>1.6500000000000001E-2</v>
      </c>
      <c r="E45" s="34">
        <v>49.32</v>
      </c>
    </row>
    <row r="46" spans="1:5" ht="15.5" x14ac:dyDescent="0.35">
      <c r="A46" s="32">
        <v>2242</v>
      </c>
      <c r="B46" s="63" t="s">
        <v>146</v>
      </c>
      <c r="C46" s="251"/>
      <c r="D46" s="251">
        <v>2.2599999999999999E-3</v>
      </c>
      <c r="E46" s="34">
        <v>6.71</v>
      </c>
    </row>
    <row r="47" spans="1:5" ht="15.5" x14ac:dyDescent="0.35">
      <c r="A47" s="32">
        <v>2243</v>
      </c>
      <c r="B47" s="23" t="s">
        <v>138</v>
      </c>
      <c r="C47" s="251"/>
      <c r="D47" s="251">
        <v>3.2599999999999997E-2</v>
      </c>
      <c r="E47" s="34">
        <v>96.81</v>
      </c>
    </row>
    <row r="48" spans="1:5" ht="15.5" x14ac:dyDescent="0.35">
      <c r="A48" s="32">
        <v>2244</v>
      </c>
      <c r="B48" s="23" t="s">
        <v>139</v>
      </c>
      <c r="C48" s="251"/>
      <c r="D48" s="251">
        <f>0.20397-0.09084</f>
        <v>0.11313000000000001</v>
      </c>
      <c r="E48" s="34">
        <v>335.96</v>
      </c>
    </row>
    <row r="49" spans="1:5" ht="15.5" x14ac:dyDescent="0.35">
      <c r="A49" s="32">
        <v>2247</v>
      </c>
      <c r="B49" s="23" t="s">
        <v>147</v>
      </c>
      <c r="C49" s="251"/>
      <c r="D49" s="251">
        <v>7.1900000000000002E-4</v>
      </c>
      <c r="E49" s="34">
        <v>2.14</v>
      </c>
    </row>
    <row r="50" spans="1:5" ht="15.5" x14ac:dyDescent="0.35">
      <c r="A50" s="32">
        <v>2249</v>
      </c>
      <c r="B50" s="23" t="s">
        <v>172</v>
      </c>
      <c r="C50" s="251"/>
      <c r="D50" s="251">
        <v>2.32E-4</v>
      </c>
      <c r="E50" s="34">
        <v>0.69</v>
      </c>
    </row>
    <row r="51" spans="1:5" ht="15.5" x14ac:dyDescent="0.35">
      <c r="A51" s="32">
        <v>2250</v>
      </c>
      <c r="B51" s="23" t="s">
        <v>125</v>
      </c>
      <c r="C51" s="251"/>
      <c r="D51" s="251">
        <f>0.024026-0.005</f>
        <v>1.9025999999999998E-2</v>
      </c>
      <c r="E51" s="34">
        <v>56.5</v>
      </c>
    </row>
    <row r="52" spans="1:5" ht="15.5" hidden="1" x14ac:dyDescent="0.35">
      <c r="A52" s="32">
        <v>2261</v>
      </c>
      <c r="B52" s="63" t="s">
        <v>99</v>
      </c>
      <c r="C52" s="251"/>
      <c r="D52" s="251">
        <v>0</v>
      </c>
      <c r="E52" s="34">
        <v>0</v>
      </c>
    </row>
    <row r="53" spans="1:5" ht="15.5" x14ac:dyDescent="0.35">
      <c r="A53" s="32">
        <v>2262</v>
      </c>
      <c r="B53" s="63" t="s">
        <v>149</v>
      </c>
      <c r="C53" s="251"/>
      <c r="D53" s="251">
        <v>6.2599999999999999E-3</v>
      </c>
      <c r="E53" s="34">
        <v>18.59</v>
      </c>
    </row>
    <row r="54" spans="1:5" ht="15.5" x14ac:dyDescent="0.35">
      <c r="A54" s="32">
        <v>2263</v>
      </c>
      <c r="B54" s="63" t="s">
        <v>150</v>
      </c>
      <c r="C54" s="251"/>
      <c r="D54" s="251">
        <v>4.58E-2</v>
      </c>
      <c r="E54" s="34">
        <v>136.01</v>
      </c>
    </row>
    <row r="55" spans="1:5" ht="15.5" x14ac:dyDescent="0.35">
      <c r="A55" s="32">
        <v>2264</v>
      </c>
      <c r="B55" s="23" t="s">
        <v>151</v>
      </c>
      <c r="C55" s="251"/>
      <c r="D55" s="251">
        <v>1.49E-3</v>
      </c>
      <c r="E55" s="34">
        <v>4.42</v>
      </c>
    </row>
    <row r="56" spans="1:5" ht="15.5" x14ac:dyDescent="0.35">
      <c r="A56" s="32">
        <v>2311</v>
      </c>
      <c r="B56" s="63" t="s">
        <v>152</v>
      </c>
      <c r="C56" s="251"/>
      <c r="D56" s="251">
        <v>4.7699999999999999E-3</v>
      </c>
      <c r="E56" s="34">
        <v>14.17</v>
      </c>
    </row>
    <row r="57" spans="1:5" ht="15.5" x14ac:dyDescent="0.35">
      <c r="A57" s="32">
        <v>2312</v>
      </c>
      <c r="B57" s="63" t="s">
        <v>117</v>
      </c>
      <c r="C57" s="251"/>
      <c r="D57" s="251">
        <v>5.79E-3</v>
      </c>
      <c r="E57" s="34">
        <v>17.190000000000001</v>
      </c>
    </row>
    <row r="58" spans="1:5" ht="15.5" x14ac:dyDescent="0.25">
      <c r="A58" s="32">
        <v>2314</v>
      </c>
      <c r="B58" s="78" t="s">
        <v>153</v>
      </c>
      <c r="C58" s="251"/>
      <c r="D58" s="251">
        <v>2.2200000000000002E-3</v>
      </c>
      <c r="E58" s="34">
        <v>6.59</v>
      </c>
    </row>
    <row r="59" spans="1:5" ht="15.5" x14ac:dyDescent="0.35">
      <c r="A59" s="32">
        <v>2321</v>
      </c>
      <c r="B59" s="63" t="s">
        <v>140</v>
      </c>
      <c r="C59" s="251"/>
      <c r="D59" s="251">
        <f>0.0198*1.2+0.005</f>
        <v>2.8760000000000001E-2</v>
      </c>
      <c r="E59" s="34">
        <v>85.41</v>
      </c>
    </row>
    <row r="60" spans="1:5" ht="15.5" x14ac:dyDescent="0.35">
      <c r="A60" s="32">
        <v>2322</v>
      </c>
      <c r="B60" s="63" t="s">
        <v>154</v>
      </c>
      <c r="C60" s="251"/>
      <c r="D60" s="251">
        <f>0.0035*1.2</f>
        <v>4.1999999999999997E-3</v>
      </c>
      <c r="E60" s="34">
        <v>12.47</v>
      </c>
    </row>
    <row r="61" spans="1:5" ht="15.5" hidden="1" x14ac:dyDescent="0.35">
      <c r="A61" s="32">
        <v>2341</v>
      </c>
      <c r="B61" s="63" t="s">
        <v>141</v>
      </c>
      <c r="C61" s="251"/>
      <c r="D61" s="251"/>
      <c r="E61" s="34">
        <v>0</v>
      </c>
    </row>
    <row r="62" spans="1:5" ht="15.5" x14ac:dyDescent="0.35">
      <c r="A62" s="32">
        <v>2350</v>
      </c>
      <c r="B62" s="62" t="s">
        <v>126</v>
      </c>
      <c r="C62" s="251"/>
      <c r="D62" s="251">
        <v>8.5000000000000006E-3</v>
      </c>
      <c r="E62" s="34">
        <v>25.24</v>
      </c>
    </row>
    <row r="63" spans="1:5" ht="15.5" hidden="1" x14ac:dyDescent="0.35">
      <c r="A63" s="32">
        <v>2512</v>
      </c>
      <c r="B63" s="63" t="s">
        <v>155</v>
      </c>
      <c r="C63" s="251"/>
      <c r="D63" s="251">
        <v>0</v>
      </c>
      <c r="E63" s="34">
        <v>0</v>
      </c>
    </row>
    <row r="64" spans="1:5" ht="15.5" x14ac:dyDescent="0.35">
      <c r="A64" s="32">
        <v>2513</v>
      </c>
      <c r="B64" s="62" t="s">
        <v>122</v>
      </c>
      <c r="C64" s="251"/>
      <c r="D64" s="251">
        <v>1.4599999999999999E-3</v>
      </c>
      <c r="E64" s="34">
        <v>4.34</v>
      </c>
    </row>
    <row r="65" spans="1:5" ht="15.5" x14ac:dyDescent="0.35">
      <c r="A65" s="32">
        <v>2515</v>
      </c>
      <c r="B65" s="63" t="s">
        <v>156</v>
      </c>
      <c r="C65" s="251"/>
      <c r="D65" s="251">
        <v>1.9E-3</v>
      </c>
      <c r="E65" s="34">
        <v>5.64</v>
      </c>
    </row>
    <row r="66" spans="1:5" ht="15.5" x14ac:dyDescent="0.35">
      <c r="A66" s="32">
        <v>2519</v>
      </c>
      <c r="B66" s="63" t="s">
        <v>123</v>
      </c>
      <c r="C66" s="251"/>
      <c r="D66" s="251">
        <v>2E-3</v>
      </c>
      <c r="E66" s="34">
        <v>5.94</v>
      </c>
    </row>
    <row r="67" spans="1:5" ht="15.5" x14ac:dyDescent="0.35">
      <c r="A67" s="32">
        <v>5220</v>
      </c>
      <c r="B67" s="63" t="s">
        <v>129</v>
      </c>
      <c r="C67" s="251"/>
      <c r="D67" s="251">
        <v>1.06E-2</v>
      </c>
      <c r="E67" s="34">
        <v>31.48</v>
      </c>
    </row>
    <row r="68" spans="1:5" ht="15.5" x14ac:dyDescent="0.35">
      <c r="A68" s="32">
        <v>5238</v>
      </c>
      <c r="B68" s="62" t="s">
        <v>130</v>
      </c>
      <c r="C68" s="251"/>
      <c r="D68" s="251">
        <v>1.65E-3</v>
      </c>
      <c r="E68" s="34">
        <v>4.9000000000000004</v>
      </c>
    </row>
    <row r="69" spans="1:5" ht="15.5" x14ac:dyDescent="0.35">
      <c r="A69" s="32">
        <v>5239</v>
      </c>
      <c r="B69" s="62" t="s">
        <v>131</v>
      </c>
      <c r="C69" s="251"/>
      <c r="D69" s="251">
        <v>9.5399999999999999E-3</v>
      </c>
      <c r="E69" s="34">
        <v>28.33</v>
      </c>
    </row>
    <row r="70" spans="1:5" ht="15.5" x14ac:dyDescent="0.35">
      <c r="A70" s="32">
        <v>5250</v>
      </c>
      <c r="B70" s="63" t="s">
        <v>132</v>
      </c>
      <c r="C70" s="251"/>
      <c r="D70" s="251">
        <v>7.0600000000000003E-3</v>
      </c>
      <c r="E70" s="34">
        <v>20.97</v>
      </c>
    </row>
    <row r="71" spans="1:5" ht="15.5" x14ac:dyDescent="0.3">
      <c r="A71" s="39"/>
      <c r="B71" s="82" t="s">
        <v>97</v>
      </c>
      <c r="C71" s="251"/>
      <c r="D71" s="251">
        <f>SUM(D35:D70)</f>
        <v>1.00000255</v>
      </c>
      <c r="E71" s="24">
        <f>SUM(E35:E70)</f>
        <v>2888.8299999999995</v>
      </c>
    </row>
    <row r="72" spans="1:5" ht="15.5" x14ac:dyDescent="0.25">
      <c r="A72" s="39"/>
      <c r="B72" s="41" t="s">
        <v>29</v>
      </c>
      <c r="C72" s="267"/>
      <c r="D72" s="267"/>
      <c r="E72" s="38">
        <f>E33+E71</f>
        <v>4397.5999999999995</v>
      </c>
    </row>
    <row r="73" spans="1:5" ht="15.5" x14ac:dyDescent="0.25">
      <c r="A73" s="43"/>
      <c r="B73" s="44"/>
      <c r="C73" s="268"/>
      <c r="D73" s="268"/>
      <c r="E73" s="45"/>
    </row>
    <row r="74" spans="1:5" ht="15.5" x14ac:dyDescent="0.25">
      <c r="A74" s="324" t="s">
        <v>57</v>
      </c>
      <c r="B74" s="324"/>
      <c r="C74" s="269"/>
      <c r="D74" s="269"/>
      <c r="E74" s="66">
        <v>230</v>
      </c>
    </row>
    <row r="75" spans="1:5" ht="15.5" x14ac:dyDescent="0.25">
      <c r="A75" s="324" t="s">
        <v>58</v>
      </c>
      <c r="B75" s="324"/>
      <c r="C75" s="269"/>
      <c r="D75" s="269"/>
      <c r="E75" s="67">
        <f>E72/E74</f>
        <v>19.119999999999997</v>
      </c>
    </row>
    <row r="76" spans="1:5" ht="15.5" x14ac:dyDescent="0.25">
      <c r="A76" s="48"/>
      <c r="B76" s="48"/>
      <c r="C76" s="270"/>
      <c r="D76" s="270"/>
      <c r="E76" s="58"/>
    </row>
    <row r="77" spans="1:5" ht="15.5" x14ac:dyDescent="0.25">
      <c r="A77" s="320" t="s">
        <v>33</v>
      </c>
      <c r="B77" s="320"/>
      <c r="C77" s="259"/>
      <c r="D77" s="259"/>
      <c r="E77" s="309"/>
    </row>
    <row r="78" spans="1:5" ht="15.5" x14ac:dyDescent="0.25">
      <c r="A78" s="320" t="s">
        <v>64</v>
      </c>
      <c r="B78" s="320"/>
      <c r="C78" s="259"/>
      <c r="D78" s="259"/>
      <c r="E78" s="51"/>
    </row>
    <row r="79" spans="1:5" ht="15.5" x14ac:dyDescent="0.25">
      <c r="A79" s="46"/>
      <c r="B79" s="46"/>
      <c r="C79" s="271"/>
      <c r="D79" s="271"/>
      <c r="E79" s="149"/>
    </row>
    <row r="80" spans="1:5" ht="15.5" x14ac:dyDescent="0.25">
      <c r="A80" s="46" t="s">
        <v>34</v>
      </c>
      <c r="B80" s="46"/>
      <c r="C80" s="271"/>
      <c r="D80" s="271"/>
      <c r="E80" s="149"/>
    </row>
    <row r="81" spans="1:5" ht="15.5" x14ac:dyDescent="0.25">
      <c r="A81" s="46"/>
      <c r="B81" s="46"/>
      <c r="C81" s="271"/>
      <c r="D81" s="271"/>
      <c r="E81" s="46"/>
    </row>
    <row r="82" spans="1:5" ht="15.5" x14ac:dyDescent="0.35">
      <c r="A82" s="29" t="s">
        <v>179</v>
      </c>
      <c r="B82" s="47"/>
      <c r="C82" s="272"/>
      <c r="D82" s="272"/>
      <c r="E82" s="149"/>
    </row>
    <row r="83" spans="1:5" ht="15.5" x14ac:dyDescent="0.35">
      <c r="A83" s="46"/>
      <c r="B83" s="31"/>
      <c r="C83" s="273"/>
      <c r="D83" s="273"/>
      <c r="E83" s="46"/>
    </row>
    <row r="84" spans="1:5" ht="15.5" x14ac:dyDescent="0.25">
      <c r="A84" s="48"/>
      <c r="B84" s="48"/>
      <c r="C84" s="270"/>
      <c r="D84" s="270"/>
      <c r="E84" s="48"/>
    </row>
  </sheetData>
  <mergeCells count="9">
    <mergeCell ref="A77:B77"/>
    <mergeCell ref="A78:B78"/>
    <mergeCell ref="A7:E7"/>
    <mergeCell ref="A9:B9"/>
    <mergeCell ref="A10:B10"/>
    <mergeCell ref="B13:E13"/>
    <mergeCell ref="A74:B74"/>
    <mergeCell ref="A75:B75"/>
    <mergeCell ref="B12:E1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Footer>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view="pageLayout" topLeftCell="A37" zoomScale="70" zoomScaleNormal="100" zoomScalePageLayoutView="70" workbookViewId="0">
      <selection activeCell="F64" sqref="F64"/>
    </sheetView>
  </sheetViews>
  <sheetFormatPr defaultColWidth="9.1796875" defaultRowHeight="15.5" x14ac:dyDescent="0.35"/>
  <cols>
    <col min="1" max="1" width="21.26953125" style="90" customWidth="1"/>
    <col min="2" max="2" width="88" style="90" customWidth="1"/>
    <col min="3" max="4" width="7.7265625" style="90" hidden="1" customWidth="1"/>
    <col min="5" max="5" width="28.1796875" style="90" customWidth="1"/>
    <col min="6" max="6" width="19.81640625" style="90" bestFit="1" customWidth="1"/>
    <col min="7" max="16384" width="9.1796875" style="90"/>
  </cols>
  <sheetData>
    <row r="1" spans="1:5" ht="15.75" customHeight="1" x14ac:dyDescent="0.35">
      <c r="B1" s="91"/>
      <c r="C1" s="91"/>
      <c r="D1" s="91"/>
      <c r="E1" s="92" t="s">
        <v>10</v>
      </c>
    </row>
    <row r="2" spans="1:5" x14ac:dyDescent="0.35">
      <c r="C2" s="93"/>
      <c r="D2" s="93"/>
      <c r="E2" s="91" t="s">
        <v>32</v>
      </c>
    </row>
    <row r="3" spans="1:5" x14ac:dyDescent="0.35">
      <c r="B3" s="94"/>
      <c r="C3" s="94"/>
      <c r="D3" s="94"/>
      <c r="E3" s="95" t="s">
        <v>66</v>
      </c>
    </row>
    <row r="4" spans="1:5" x14ac:dyDescent="0.35">
      <c r="B4" s="91"/>
      <c r="C4" s="91"/>
      <c r="D4" s="91"/>
      <c r="E4" s="96"/>
    </row>
    <row r="5" spans="1:5" x14ac:dyDescent="0.35">
      <c r="B5" s="93"/>
      <c r="C5" s="93"/>
      <c r="D5" s="93"/>
      <c r="E5" s="96" t="s">
        <v>168</v>
      </c>
    </row>
    <row r="6" spans="1:5" x14ac:dyDescent="0.35">
      <c r="E6" s="97"/>
    </row>
    <row r="7" spans="1:5" x14ac:dyDescent="0.35">
      <c r="A7" s="328" t="s">
        <v>9</v>
      </c>
      <c r="B7" s="328"/>
      <c r="C7" s="328"/>
      <c r="D7" s="98"/>
    </row>
    <row r="8" spans="1:5" x14ac:dyDescent="0.35">
      <c r="B8" s="99"/>
      <c r="C8" s="99"/>
      <c r="D8" s="99"/>
      <c r="E8" s="97"/>
    </row>
    <row r="9" spans="1:5" x14ac:dyDescent="0.35">
      <c r="A9" s="327" t="s">
        <v>1</v>
      </c>
      <c r="B9" s="327"/>
      <c r="C9" s="100"/>
      <c r="D9" s="100"/>
      <c r="E9" s="97"/>
    </row>
    <row r="10" spans="1:5" x14ac:dyDescent="0.35">
      <c r="A10" s="327" t="s">
        <v>0</v>
      </c>
      <c r="B10" s="327"/>
      <c r="C10" s="100"/>
      <c r="D10" s="100"/>
      <c r="E10" s="97"/>
    </row>
    <row r="11" spans="1:5" x14ac:dyDescent="0.35">
      <c r="A11" s="100"/>
      <c r="B11" s="100" t="s">
        <v>31</v>
      </c>
      <c r="C11" s="100"/>
      <c r="D11" s="100"/>
      <c r="E11" s="97"/>
    </row>
    <row r="12" spans="1:5" x14ac:dyDescent="0.35">
      <c r="A12" s="100"/>
      <c r="B12" s="101" t="s">
        <v>158</v>
      </c>
      <c r="C12" s="102"/>
      <c r="D12" s="102"/>
      <c r="E12" s="97"/>
    </row>
    <row r="13" spans="1:5" x14ac:dyDescent="0.35">
      <c r="A13" s="100"/>
      <c r="B13" s="103" t="s">
        <v>159</v>
      </c>
      <c r="C13" s="103"/>
      <c r="D13" s="103"/>
      <c r="E13" s="97"/>
    </row>
    <row r="14" spans="1:5" x14ac:dyDescent="0.35">
      <c r="A14" s="100" t="s">
        <v>2</v>
      </c>
      <c r="B14" s="100" t="s">
        <v>167</v>
      </c>
      <c r="C14" s="100"/>
      <c r="D14" s="100"/>
      <c r="E14" s="97"/>
    </row>
    <row r="15" spans="1:5" ht="69.75" customHeight="1" x14ac:dyDescent="0.35">
      <c r="A15" s="104" t="s">
        <v>3</v>
      </c>
      <c r="B15" s="104" t="s">
        <v>4</v>
      </c>
      <c r="C15" s="104"/>
      <c r="D15" s="104"/>
      <c r="E15" s="104" t="s">
        <v>135</v>
      </c>
    </row>
    <row r="16" spans="1:5" x14ac:dyDescent="0.35">
      <c r="A16" s="105">
        <v>1</v>
      </c>
      <c r="B16" s="106">
        <v>2</v>
      </c>
      <c r="C16" s="106"/>
      <c r="D16" s="106"/>
      <c r="E16" s="106">
        <v>3</v>
      </c>
    </row>
    <row r="17" spans="1:5" x14ac:dyDescent="0.35">
      <c r="A17" s="105"/>
      <c r="B17" s="107" t="s">
        <v>5</v>
      </c>
      <c r="C17" s="107"/>
      <c r="D17" s="107"/>
      <c r="E17" s="108"/>
    </row>
    <row r="18" spans="1:5" x14ac:dyDescent="0.35">
      <c r="A18" s="109">
        <v>1100</v>
      </c>
      <c r="B18" s="109" t="s">
        <v>133</v>
      </c>
      <c r="C18" s="108"/>
      <c r="D18" s="108">
        <f>5.91/1.2359</f>
        <v>4.7819402864309408</v>
      </c>
      <c r="E18" s="110">
        <v>717.29</v>
      </c>
    </row>
    <row r="19" spans="1:5" x14ac:dyDescent="0.35">
      <c r="A19" s="109">
        <v>1200</v>
      </c>
      <c r="B19" s="108" t="s">
        <v>134</v>
      </c>
      <c r="C19" s="108"/>
      <c r="D19" s="108">
        <f>D18*0.2359</f>
        <v>1.1280597135690589</v>
      </c>
      <c r="E19" s="110">
        <v>169.21</v>
      </c>
    </row>
    <row r="20" spans="1:5" x14ac:dyDescent="0.35">
      <c r="A20" s="109">
        <v>2210</v>
      </c>
      <c r="B20" s="111" t="s">
        <v>121</v>
      </c>
      <c r="C20" s="108"/>
      <c r="D20" s="108">
        <v>0.08</v>
      </c>
      <c r="E20" s="110">
        <f t="shared" ref="E20:E33" si="0">D20*150</f>
        <v>12</v>
      </c>
    </row>
    <row r="21" spans="1:5" x14ac:dyDescent="0.35">
      <c r="A21" s="109">
        <v>2222</v>
      </c>
      <c r="B21" s="111" t="s">
        <v>136</v>
      </c>
      <c r="C21" s="108"/>
      <c r="D21" s="108">
        <v>1.88</v>
      </c>
      <c r="E21" s="110">
        <f t="shared" si="0"/>
        <v>282</v>
      </c>
    </row>
    <row r="22" spans="1:5" x14ac:dyDescent="0.35">
      <c r="A22" s="109">
        <v>2223</v>
      </c>
      <c r="B22" s="111" t="s">
        <v>137</v>
      </c>
      <c r="C22" s="108"/>
      <c r="D22" s="108">
        <v>1.9233899999999999</v>
      </c>
      <c r="E22" s="110">
        <v>288.51</v>
      </c>
    </row>
    <row r="23" spans="1:5" x14ac:dyDescent="0.35">
      <c r="A23" s="109">
        <v>2243</v>
      </c>
      <c r="B23" s="107" t="s">
        <v>138</v>
      </c>
      <c r="C23" s="108"/>
      <c r="D23" s="108">
        <v>0.04</v>
      </c>
      <c r="E23" s="110">
        <f t="shared" si="0"/>
        <v>6</v>
      </c>
    </row>
    <row r="24" spans="1:5" x14ac:dyDescent="0.35">
      <c r="A24" s="109">
        <v>2244</v>
      </c>
      <c r="B24" s="107" t="s">
        <v>139</v>
      </c>
      <c r="C24" s="108"/>
      <c r="D24" s="108">
        <v>2.9596399999999998</v>
      </c>
      <c r="E24" s="110">
        <v>443.95</v>
      </c>
    </row>
    <row r="25" spans="1:5" x14ac:dyDescent="0.35">
      <c r="A25" s="109">
        <v>2250</v>
      </c>
      <c r="B25" s="107" t="s">
        <v>125</v>
      </c>
      <c r="C25" s="108"/>
      <c r="D25" s="108">
        <v>0.16</v>
      </c>
      <c r="E25" s="110">
        <f t="shared" si="0"/>
        <v>24</v>
      </c>
    </row>
    <row r="26" spans="1:5" x14ac:dyDescent="0.35">
      <c r="A26" s="109">
        <v>2311</v>
      </c>
      <c r="B26" s="111" t="s">
        <v>152</v>
      </c>
      <c r="C26" s="108"/>
      <c r="D26" s="108">
        <v>0.48</v>
      </c>
      <c r="E26" s="110">
        <f t="shared" si="0"/>
        <v>72</v>
      </c>
    </row>
    <row r="27" spans="1:5" x14ac:dyDescent="0.35">
      <c r="A27" s="109">
        <v>2312</v>
      </c>
      <c r="B27" s="107" t="s">
        <v>117</v>
      </c>
      <c r="C27" s="108"/>
      <c r="D27" s="108">
        <v>1.55</v>
      </c>
      <c r="E27" s="110">
        <f t="shared" si="0"/>
        <v>232.5</v>
      </c>
    </row>
    <row r="28" spans="1:5" x14ac:dyDescent="0.35">
      <c r="A28" s="109">
        <v>2321</v>
      </c>
      <c r="B28" s="111" t="s">
        <v>140</v>
      </c>
      <c r="C28" s="108"/>
      <c r="D28" s="108">
        <v>2.5048840000000001</v>
      </c>
      <c r="E28" s="110">
        <v>375.73</v>
      </c>
    </row>
    <row r="29" spans="1:5" x14ac:dyDescent="0.35">
      <c r="A29" s="109">
        <v>2350</v>
      </c>
      <c r="B29" s="108" t="s">
        <v>126</v>
      </c>
      <c r="C29" s="108"/>
      <c r="D29" s="108">
        <v>0.28000000000000003</v>
      </c>
      <c r="E29" s="110">
        <f t="shared" si="0"/>
        <v>42.000000000000007</v>
      </c>
    </row>
    <row r="30" spans="1:5" x14ac:dyDescent="0.35">
      <c r="A30" s="109">
        <v>2361</v>
      </c>
      <c r="B30" s="111" t="s">
        <v>142</v>
      </c>
      <c r="C30" s="108"/>
      <c r="D30" s="108">
        <v>0.28000000000000003</v>
      </c>
      <c r="E30" s="110">
        <f t="shared" si="0"/>
        <v>42.000000000000007</v>
      </c>
    </row>
    <row r="31" spans="1:5" x14ac:dyDescent="0.35">
      <c r="A31" s="109">
        <v>2362</v>
      </c>
      <c r="B31" s="112" t="s">
        <v>157</v>
      </c>
      <c r="C31" s="108"/>
      <c r="D31" s="108">
        <v>0.12</v>
      </c>
      <c r="E31" s="110">
        <f t="shared" si="0"/>
        <v>18</v>
      </c>
    </row>
    <row r="32" spans="1:5" x14ac:dyDescent="0.35">
      <c r="A32" s="109">
        <v>2363</v>
      </c>
      <c r="B32" s="111" t="s">
        <v>143</v>
      </c>
      <c r="C32" s="108"/>
      <c r="D32" s="108">
        <v>3.58</v>
      </c>
      <c r="E32" s="110">
        <f t="shared" si="0"/>
        <v>537</v>
      </c>
    </row>
    <row r="33" spans="1:7" x14ac:dyDescent="0.35">
      <c r="A33" s="109">
        <v>5239</v>
      </c>
      <c r="B33" s="108" t="s">
        <v>131</v>
      </c>
      <c r="C33" s="108"/>
      <c r="D33" s="108">
        <v>0.82</v>
      </c>
      <c r="E33" s="110">
        <f t="shared" si="0"/>
        <v>122.99999999999999</v>
      </c>
    </row>
    <row r="34" spans="1:7" x14ac:dyDescent="0.35">
      <c r="A34" s="109"/>
      <c r="B34" s="113" t="s">
        <v>6</v>
      </c>
      <c r="C34" s="108"/>
      <c r="D34" s="108">
        <f>SUM(D18:D33)</f>
        <v>22.567914000000002</v>
      </c>
      <c r="E34" s="114">
        <f>SUM(E18:E33)</f>
        <v>3385.19</v>
      </c>
      <c r="F34" s="115"/>
      <c r="G34" s="115"/>
    </row>
    <row r="35" spans="1:7" x14ac:dyDescent="0.35">
      <c r="A35" s="116"/>
      <c r="B35" s="113" t="s">
        <v>7</v>
      </c>
      <c r="C35" s="113"/>
      <c r="D35" s="113"/>
      <c r="E35" s="110"/>
    </row>
    <row r="36" spans="1:7" x14ac:dyDescent="0.35">
      <c r="A36" s="109">
        <v>1100</v>
      </c>
      <c r="B36" s="107" t="s">
        <v>133</v>
      </c>
      <c r="C36" s="108">
        <f>0.388+0.024</f>
        <v>0.41200000000000003</v>
      </c>
      <c r="D36" s="108"/>
      <c r="E36" s="110">
        <v>629.25</v>
      </c>
    </row>
    <row r="37" spans="1:7" ht="16.5" customHeight="1" x14ac:dyDescent="0.35">
      <c r="A37" s="109">
        <v>1200</v>
      </c>
      <c r="B37" s="107" t="s">
        <v>134</v>
      </c>
      <c r="C37" s="108">
        <f>C36*0.2359</f>
        <v>9.7190800000000008E-2</v>
      </c>
      <c r="D37" s="108"/>
      <c r="E37" s="110">
        <v>148.44</v>
      </c>
    </row>
    <row r="38" spans="1:7" ht="16.5" customHeight="1" x14ac:dyDescent="0.35">
      <c r="A38" s="109">
        <v>2100</v>
      </c>
      <c r="B38" s="117" t="s">
        <v>45</v>
      </c>
      <c r="C38" s="108">
        <v>1.1659999999999999E-3</v>
      </c>
      <c r="D38" s="108"/>
      <c r="E38" s="110">
        <v>1.78</v>
      </c>
    </row>
    <row r="39" spans="1:7" x14ac:dyDescent="0.35">
      <c r="A39" s="118">
        <v>2210</v>
      </c>
      <c r="B39" s="111" t="s">
        <v>121</v>
      </c>
      <c r="C39" s="108">
        <v>7.6E-3</v>
      </c>
      <c r="D39" s="108"/>
      <c r="E39" s="110">
        <v>11.61</v>
      </c>
    </row>
    <row r="40" spans="1:7" x14ac:dyDescent="0.35">
      <c r="A40" s="109">
        <v>2222</v>
      </c>
      <c r="B40" s="111" t="s">
        <v>136</v>
      </c>
      <c r="C40" s="108">
        <v>9.4999999999999998E-3</v>
      </c>
      <c r="D40" s="108"/>
      <c r="E40" s="110">
        <v>14.51</v>
      </c>
    </row>
    <row r="41" spans="1:7" x14ac:dyDescent="0.35">
      <c r="A41" s="109">
        <v>2223</v>
      </c>
      <c r="B41" s="111" t="s">
        <v>137</v>
      </c>
      <c r="C41" s="108">
        <v>1.9019999999999999E-2</v>
      </c>
      <c r="D41" s="108"/>
      <c r="E41" s="110">
        <v>29.05</v>
      </c>
    </row>
    <row r="42" spans="1:7" ht="31" x14ac:dyDescent="0.35">
      <c r="A42" s="109">
        <v>2224</v>
      </c>
      <c r="B42" s="111" t="s">
        <v>144</v>
      </c>
      <c r="C42" s="108">
        <v>4.9500000000000004E-3</v>
      </c>
      <c r="D42" s="108"/>
      <c r="E42" s="110">
        <v>7.56</v>
      </c>
    </row>
    <row r="43" spans="1:7" ht="15.75" customHeight="1" x14ac:dyDescent="0.35">
      <c r="A43" s="109">
        <v>2231</v>
      </c>
      <c r="B43" s="107" t="s">
        <v>127</v>
      </c>
      <c r="C43" s="108">
        <v>1.5499999999999999E-3</v>
      </c>
      <c r="D43" s="108"/>
      <c r="E43" s="110">
        <v>2.37</v>
      </c>
    </row>
    <row r="44" spans="1:7" ht="15.75" customHeight="1" x14ac:dyDescent="0.35">
      <c r="A44" s="109">
        <v>2235</v>
      </c>
      <c r="B44" s="119" t="s">
        <v>128</v>
      </c>
      <c r="C44" s="108">
        <v>1.65E-3</v>
      </c>
      <c r="D44" s="108"/>
      <c r="E44" s="110">
        <v>2.52</v>
      </c>
    </row>
    <row r="45" spans="1:7" x14ac:dyDescent="0.35">
      <c r="A45" s="109">
        <v>2239</v>
      </c>
      <c r="B45" s="107" t="s">
        <v>145</v>
      </c>
      <c r="C45" s="108">
        <v>4.4099999999999999E-3</v>
      </c>
      <c r="D45" s="108"/>
      <c r="E45" s="110">
        <v>6.74</v>
      </c>
    </row>
    <row r="46" spans="1:7" x14ac:dyDescent="0.35">
      <c r="A46" s="109">
        <v>2241</v>
      </c>
      <c r="B46" s="107" t="s">
        <v>124</v>
      </c>
      <c r="C46" s="108">
        <v>1.6500000000000001E-2</v>
      </c>
      <c r="D46" s="108"/>
      <c r="E46" s="110">
        <v>25.2</v>
      </c>
    </row>
    <row r="47" spans="1:7" x14ac:dyDescent="0.35">
      <c r="A47" s="109">
        <v>2242</v>
      </c>
      <c r="B47" s="111" t="s">
        <v>146</v>
      </c>
      <c r="C47" s="108">
        <v>2.2599999999999999E-3</v>
      </c>
      <c r="D47" s="108"/>
      <c r="E47" s="110">
        <v>3.45</v>
      </c>
    </row>
    <row r="48" spans="1:7" ht="15.75" customHeight="1" x14ac:dyDescent="0.35">
      <c r="A48" s="109">
        <v>2243</v>
      </c>
      <c r="B48" s="107" t="s">
        <v>138</v>
      </c>
      <c r="C48" s="108">
        <v>3.2599999999999997E-2</v>
      </c>
      <c r="D48" s="108"/>
      <c r="E48" s="110">
        <v>49.79</v>
      </c>
    </row>
    <row r="49" spans="1:5" x14ac:dyDescent="0.35">
      <c r="A49" s="109">
        <v>2244</v>
      </c>
      <c r="B49" s="107" t="s">
        <v>139</v>
      </c>
      <c r="C49" s="108">
        <v>0.20397000000000001</v>
      </c>
      <c r="D49" s="108"/>
      <c r="E49" s="110">
        <v>311.52999999999997</v>
      </c>
    </row>
    <row r="50" spans="1:5" x14ac:dyDescent="0.35">
      <c r="A50" s="109">
        <v>2247</v>
      </c>
      <c r="B50" s="107" t="s">
        <v>147</v>
      </c>
      <c r="C50" s="108">
        <v>7.1900000000000002E-4</v>
      </c>
      <c r="D50" s="108"/>
      <c r="E50" s="110">
        <v>1.1000000000000001</v>
      </c>
    </row>
    <row r="51" spans="1:5" x14ac:dyDescent="0.35">
      <c r="A51" s="109">
        <v>2249</v>
      </c>
      <c r="B51" s="107" t="s">
        <v>148</v>
      </c>
      <c r="C51" s="108">
        <v>2.32E-4</v>
      </c>
      <c r="D51" s="108"/>
      <c r="E51" s="110">
        <v>0.35</v>
      </c>
    </row>
    <row r="52" spans="1:5" x14ac:dyDescent="0.35">
      <c r="A52" s="109">
        <v>2250</v>
      </c>
      <c r="B52" s="107" t="s">
        <v>125</v>
      </c>
      <c r="C52" s="108">
        <v>2.4025999999999999E-2</v>
      </c>
      <c r="D52" s="108"/>
      <c r="E52" s="110">
        <v>36.700000000000003</v>
      </c>
    </row>
    <row r="53" spans="1:5" hidden="1" x14ac:dyDescent="0.35">
      <c r="A53" s="109">
        <v>2261</v>
      </c>
      <c r="B53" s="111" t="s">
        <v>99</v>
      </c>
      <c r="C53" s="108">
        <v>0</v>
      </c>
      <c r="D53" s="108"/>
      <c r="E53" s="110">
        <f>C53*1527.31</f>
        <v>0</v>
      </c>
    </row>
    <row r="54" spans="1:5" x14ac:dyDescent="0.35">
      <c r="A54" s="109">
        <v>2262</v>
      </c>
      <c r="B54" s="111" t="s">
        <v>149</v>
      </c>
      <c r="C54" s="108">
        <v>6.2599999999999999E-3</v>
      </c>
      <c r="D54" s="108"/>
      <c r="E54" s="110">
        <v>9.56</v>
      </c>
    </row>
    <row r="55" spans="1:5" x14ac:dyDescent="0.35">
      <c r="A55" s="109">
        <v>2263</v>
      </c>
      <c r="B55" s="111" t="s">
        <v>150</v>
      </c>
      <c r="C55" s="108">
        <v>4.58E-2</v>
      </c>
      <c r="D55" s="108"/>
      <c r="E55" s="110">
        <v>69.95</v>
      </c>
    </row>
    <row r="56" spans="1:5" x14ac:dyDescent="0.35">
      <c r="A56" s="109">
        <v>2264</v>
      </c>
      <c r="B56" s="107" t="s">
        <v>151</v>
      </c>
      <c r="C56" s="108">
        <v>1.49E-3</v>
      </c>
      <c r="D56" s="108"/>
      <c r="E56" s="110">
        <v>2.2799999999999998</v>
      </c>
    </row>
    <row r="57" spans="1:5" x14ac:dyDescent="0.35">
      <c r="A57" s="109">
        <v>2311</v>
      </c>
      <c r="B57" s="111" t="s">
        <v>152</v>
      </c>
      <c r="C57" s="108">
        <v>4.7699999999999999E-3</v>
      </c>
      <c r="D57" s="108"/>
      <c r="E57" s="110">
        <v>7.29</v>
      </c>
    </row>
    <row r="58" spans="1:5" x14ac:dyDescent="0.35">
      <c r="A58" s="109">
        <v>2312</v>
      </c>
      <c r="B58" s="111" t="s">
        <v>117</v>
      </c>
      <c r="C58" s="108">
        <v>5.79E-3</v>
      </c>
      <c r="D58" s="108"/>
      <c r="E58" s="110">
        <v>8.84</v>
      </c>
    </row>
    <row r="59" spans="1:5" x14ac:dyDescent="0.35">
      <c r="A59" s="109">
        <v>2314</v>
      </c>
      <c r="B59" s="119" t="s">
        <v>153</v>
      </c>
      <c r="C59" s="108">
        <v>2.2200000000000002E-3</v>
      </c>
      <c r="D59" s="108"/>
      <c r="E59" s="110">
        <v>3.39</v>
      </c>
    </row>
    <row r="60" spans="1:5" x14ac:dyDescent="0.35">
      <c r="A60" s="109">
        <v>2321</v>
      </c>
      <c r="B60" s="111" t="s">
        <v>140</v>
      </c>
      <c r="C60" s="108">
        <v>1.9800000000000002E-2</v>
      </c>
      <c r="D60" s="108"/>
      <c r="E60" s="110">
        <v>30.24</v>
      </c>
    </row>
    <row r="61" spans="1:5" x14ac:dyDescent="0.35">
      <c r="A61" s="109">
        <v>2322</v>
      </c>
      <c r="B61" s="111" t="s">
        <v>154</v>
      </c>
      <c r="C61" s="108">
        <v>3.5000000000000001E-3</v>
      </c>
      <c r="D61" s="108"/>
      <c r="E61" s="110">
        <v>5.35</v>
      </c>
    </row>
    <row r="62" spans="1:5" hidden="1" x14ac:dyDescent="0.35">
      <c r="A62" s="109">
        <v>2341</v>
      </c>
      <c r="B62" s="111" t="s">
        <v>141</v>
      </c>
      <c r="C62" s="108"/>
      <c r="D62" s="108"/>
      <c r="E62" s="110">
        <f>C62*1527.31</f>
        <v>0</v>
      </c>
    </row>
    <row r="63" spans="1:5" x14ac:dyDescent="0.35">
      <c r="A63" s="109">
        <v>2350</v>
      </c>
      <c r="B63" s="108" t="s">
        <v>126</v>
      </c>
      <c r="C63" s="108">
        <v>8.5000000000000006E-3</v>
      </c>
      <c r="D63" s="108"/>
      <c r="E63" s="110">
        <v>12.98</v>
      </c>
    </row>
    <row r="64" spans="1:5" x14ac:dyDescent="0.35">
      <c r="A64" s="109">
        <v>2512</v>
      </c>
      <c r="B64" s="111" t="s">
        <v>155</v>
      </c>
      <c r="C64" s="108">
        <v>0</v>
      </c>
      <c r="D64" s="108">
        <v>3.93</v>
      </c>
      <c r="E64" s="110">
        <v>0</v>
      </c>
    </row>
    <row r="65" spans="1:6" ht="15.75" customHeight="1" x14ac:dyDescent="0.35">
      <c r="A65" s="109">
        <v>2513</v>
      </c>
      <c r="B65" s="108" t="s">
        <v>122</v>
      </c>
      <c r="C65" s="108">
        <v>1.4599999999999999E-3</v>
      </c>
      <c r="D65" s="108"/>
      <c r="E65" s="110">
        <v>2.23</v>
      </c>
    </row>
    <row r="66" spans="1:6" x14ac:dyDescent="0.35">
      <c r="A66" s="109">
        <v>2515</v>
      </c>
      <c r="B66" s="111" t="s">
        <v>156</v>
      </c>
      <c r="C66" s="108">
        <v>1.9E-3</v>
      </c>
      <c r="D66" s="108"/>
      <c r="E66" s="110">
        <v>2.9</v>
      </c>
    </row>
    <row r="67" spans="1:6" x14ac:dyDescent="0.35">
      <c r="A67" s="109">
        <v>2519</v>
      </c>
      <c r="B67" s="111" t="s">
        <v>123</v>
      </c>
      <c r="C67" s="108">
        <v>2E-3</v>
      </c>
      <c r="D67" s="108"/>
      <c r="E67" s="110">
        <v>3.05</v>
      </c>
    </row>
    <row r="68" spans="1:6" x14ac:dyDescent="0.35">
      <c r="A68" s="109">
        <v>5220</v>
      </c>
      <c r="B68" s="111" t="s">
        <v>129</v>
      </c>
      <c r="C68" s="108">
        <v>1.06E-2</v>
      </c>
      <c r="D68" s="108"/>
      <c r="E68" s="110">
        <v>16.190000000000001</v>
      </c>
    </row>
    <row r="69" spans="1:6" x14ac:dyDescent="0.35">
      <c r="A69" s="109">
        <v>5238</v>
      </c>
      <c r="B69" s="108" t="s">
        <v>130</v>
      </c>
      <c r="C69" s="108">
        <v>1.65E-3</v>
      </c>
      <c r="D69" s="108"/>
      <c r="E69" s="110">
        <v>2.59</v>
      </c>
    </row>
    <row r="70" spans="1:6" x14ac:dyDescent="0.35">
      <c r="A70" s="109">
        <v>5239</v>
      </c>
      <c r="B70" s="108" t="s">
        <v>131</v>
      </c>
      <c r="C70" s="108">
        <v>1.9800000000000002E-2</v>
      </c>
      <c r="D70" s="108"/>
      <c r="E70" s="110">
        <v>30.24</v>
      </c>
    </row>
    <row r="71" spans="1:6" x14ac:dyDescent="0.35">
      <c r="A71" s="109">
        <v>5250</v>
      </c>
      <c r="B71" s="111" t="s">
        <v>132</v>
      </c>
      <c r="C71" s="108">
        <v>2.5000000000000001E-2</v>
      </c>
      <c r="D71" s="108"/>
      <c r="E71" s="110">
        <v>38.28</v>
      </c>
    </row>
    <row r="72" spans="1:6" x14ac:dyDescent="0.35">
      <c r="A72" s="116"/>
      <c r="B72" s="120" t="s">
        <v>97</v>
      </c>
      <c r="C72" s="108">
        <f>SUM(C36:C71)</f>
        <v>0.99988380000000032</v>
      </c>
      <c r="D72" s="108"/>
      <c r="E72" s="114">
        <f>SUM(E36:E71)</f>
        <v>1527.3099999999997</v>
      </c>
    </row>
    <row r="73" spans="1:6" x14ac:dyDescent="0.35">
      <c r="A73" s="116"/>
      <c r="B73" s="120" t="s">
        <v>98</v>
      </c>
      <c r="C73" s="120"/>
      <c r="D73" s="120"/>
      <c r="E73" s="114">
        <f>E34+E72</f>
        <v>4912.5</v>
      </c>
    </row>
    <row r="74" spans="1:6" ht="12.75" customHeight="1" x14ac:dyDescent="0.35">
      <c r="A74" s="96"/>
      <c r="B74" s="97"/>
      <c r="C74" s="97"/>
      <c r="D74" s="97"/>
      <c r="E74" s="121"/>
    </row>
    <row r="75" spans="1:6" ht="15.75" customHeight="1" x14ac:dyDescent="0.35">
      <c r="A75" s="329" t="s">
        <v>107</v>
      </c>
      <c r="B75" s="329"/>
      <c r="C75" s="122"/>
      <c r="D75" s="122"/>
      <c r="E75" s="123">
        <v>150</v>
      </c>
    </row>
    <row r="76" spans="1:6" ht="15.75" customHeight="1" x14ac:dyDescent="0.35">
      <c r="A76" s="329" t="s">
        <v>58</v>
      </c>
      <c r="B76" s="329"/>
      <c r="C76" s="122"/>
      <c r="D76" s="122"/>
      <c r="E76" s="124">
        <f>E73/E75</f>
        <v>32.75</v>
      </c>
      <c r="F76" s="133"/>
    </row>
    <row r="77" spans="1:6" ht="9.75" customHeight="1" x14ac:dyDescent="0.35">
      <c r="A77" s="101"/>
      <c r="B77" s="125"/>
      <c r="C77" s="125"/>
      <c r="D77" s="125"/>
    </row>
    <row r="78" spans="1:6" ht="15.75" customHeight="1" x14ac:dyDescent="0.35">
      <c r="A78" s="326" t="s">
        <v>33</v>
      </c>
      <c r="B78" s="326"/>
      <c r="C78" s="126"/>
      <c r="D78" s="126"/>
      <c r="E78" s="127"/>
    </row>
    <row r="79" spans="1:6" ht="15.75" customHeight="1" x14ac:dyDescent="0.35">
      <c r="A79" s="326" t="s">
        <v>64</v>
      </c>
      <c r="B79" s="326"/>
      <c r="C79" s="126"/>
      <c r="D79" s="126"/>
      <c r="E79" s="127"/>
    </row>
    <row r="80" spans="1:6" ht="8.25" customHeight="1" x14ac:dyDescent="0.35">
      <c r="A80" s="128"/>
      <c r="B80" s="128"/>
      <c r="C80" s="128"/>
      <c r="D80" s="128"/>
      <c r="E80" s="128"/>
    </row>
    <row r="81" spans="1:5" x14ac:dyDescent="0.35">
      <c r="A81" s="128" t="s">
        <v>34</v>
      </c>
      <c r="B81" s="128"/>
      <c r="C81" s="128"/>
      <c r="D81" s="128"/>
      <c r="E81" s="129"/>
    </row>
    <row r="82" spans="1:5" x14ac:dyDescent="0.35">
      <c r="A82" s="128"/>
      <c r="B82" s="128"/>
      <c r="C82" s="128"/>
      <c r="D82" s="128"/>
      <c r="E82" s="129"/>
    </row>
    <row r="83" spans="1:5" x14ac:dyDescent="0.35">
      <c r="A83" s="128" t="s">
        <v>109</v>
      </c>
      <c r="B83" s="130"/>
      <c r="C83" s="130"/>
      <c r="D83" s="130"/>
      <c r="E83" s="128"/>
    </row>
    <row r="84" spans="1:5" x14ac:dyDescent="0.35">
      <c r="B84" s="131"/>
      <c r="C84" s="131"/>
      <c r="D84" s="131"/>
      <c r="E84" s="132"/>
    </row>
    <row r="86" spans="1:5" x14ac:dyDescent="0.35">
      <c r="E86" s="115"/>
    </row>
  </sheetData>
  <mergeCells count="7">
    <mergeCell ref="A78:B78"/>
    <mergeCell ref="A79:B79"/>
    <mergeCell ref="A10:B10"/>
    <mergeCell ref="A7:C7"/>
    <mergeCell ref="A9:B9"/>
    <mergeCell ref="A75:B75"/>
    <mergeCell ref="A76:B76"/>
  </mergeCells>
  <pageMargins left="0.85312500000000002" right="0.55118110236220474" top="0.52" bottom="0.55118110236220474" header="0.49" footer="0.16"/>
  <pageSetup paperSize="9" scale="59" firstPageNumber="6" orientation="portrait" useFirstPageNumber="1" r:id="rId1"/>
  <headerFooter>
    <oddFooter>&amp;C&amp;"Times New Roman,Regular"&amp;F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topLeftCell="A51" zoomScale="70" zoomScaleNormal="100" zoomScalePageLayoutView="70" workbookViewId="0">
      <selection activeCell="F64" sqref="F64"/>
    </sheetView>
  </sheetViews>
  <sheetFormatPr defaultColWidth="9.1796875" defaultRowHeight="15.5" x14ac:dyDescent="0.35"/>
  <cols>
    <col min="1" max="1" width="23.54296875" style="90" customWidth="1"/>
    <col min="2" max="2" width="86.54296875" style="90" customWidth="1"/>
    <col min="3" max="4" width="10" style="90" hidden="1" customWidth="1"/>
    <col min="5" max="5" width="29.54296875" style="90" customWidth="1"/>
    <col min="6" max="16384" width="9.1796875" style="90"/>
  </cols>
  <sheetData>
    <row r="1" spans="1:5" ht="15.75" customHeight="1" x14ac:dyDescent="0.35">
      <c r="B1" s="91"/>
      <c r="C1" s="91"/>
      <c r="D1" s="91"/>
      <c r="E1" s="92" t="s">
        <v>10</v>
      </c>
    </row>
    <row r="2" spans="1:5" x14ac:dyDescent="0.35">
      <c r="C2" s="93"/>
      <c r="D2" s="93"/>
      <c r="E2" s="91" t="s">
        <v>32</v>
      </c>
    </row>
    <row r="3" spans="1:5" x14ac:dyDescent="0.35">
      <c r="B3" s="94"/>
      <c r="C3" s="94"/>
      <c r="D3" s="94"/>
      <c r="E3" s="95" t="s">
        <v>66</v>
      </c>
    </row>
    <row r="4" spans="1:5" x14ac:dyDescent="0.35">
      <c r="B4" s="91"/>
      <c r="C4" s="91"/>
      <c r="D4" s="91"/>
      <c r="E4" s="96"/>
    </row>
    <row r="5" spans="1:5" x14ac:dyDescent="0.35">
      <c r="B5" s="93"/>
      <c r="C5" s="93"/>
      <c r="D5" s="93"/>
      <c r="E5" s="96" t="s">
        <v>168</v>
      </c>
    </row>
    <row r="6" spans="1:5" x14ac:dyDescent="0.35">
      <c r="E6" s="97"/>
    </row>
    <row r="7" spans="1:5" x14ac:dyDescent="0.35">
      <c r="A7" s="328" t="s">
        <v>9</v>
      </c>
      <c r="B7" s="328"/>
      <c r="C7" s="328"/>
      <c r="D7" s="98"/>
    </row>
    <row r="8" spans="1:5" x14ac:dyDescent="0.35">
      <c r="B8" s="99"/>
      <c r="C8" s="99"/>
      <c r="D8" s="99"/>
      <c r="E8" s="97"/>
    </row>
    <row r="9" spans="1:5" x14ac:dyDescent="0.35">
      <c r="A9" s="327" t="s">
        <v>1</v>
      </c>
      <c r="B9" s="327"/>
      <c r="C9" s="100"/>
      <c r="D9" s="100"/>
      <c r="E9" s="97"/>
    </row>
    <row r="10" spans="1:5" x14ac:dyDescent="0.35">
      <c r="A10" s="327" t="s">
        <v>0</v>
      </c>
      <c r="B10" s="327"/>
      <c r="C10" s="100"/>
      <c r="D10" s="100"/>
      <c r="E10" s="97"/>
    </row>
    <row r="11" spans="1:5" x14ac:dyDescent="0.35">
      <c r="A11" s="100"/>
      <c r="B11" s="100" t="s">
        <v>31</v>
      </c>
      <c r="C11" s="100"/>
      <c r="D11" s="100"/>
      <c r="E11" s="97"/>
    </row>
    <row r="12" spans="1:5" x14ac:dyDescent="0.35">
      <c r="A12" s="100"/>
      <c r="B12" s="101" t="s">
        <v>160</v>
      </c>
      <c r="C12" s="102"/>
      <c r="D12" s="102"/>
      <c r="E12" s="97"/>
    </row>
    <row r="13" spans="1:5" x14ac:dyDescent="0.35">
      <c r="A13" s="100"/>
      <c r="B13" s="103" t="s">
        <v>161</v>
      </c>
      <c r="C13" s="103"/>
      <c r="D13" s="103"/>
      <c r="E13" s="97"/>
    </row>
    <row r="14" spans="1:5" x14ac:dyDescent="0.35">
      <c r="A14" s="100" t="s">
        <v>2</v>
      </c>
      <c r="B14" s="100" t="s">
        <v>167</v>
      </c>
      <c r="C14" s="100"/>
      <c r="D14" s="100"/>
      <c r="E14" s="97"/>
    </row>
    <row r="15" spans="1:5" ht="69.75" customHeight="1" x14ac:dyDescent="0.35">
      <c r="A15" s="104" t="s">
        <v>3</v>
      </c>
      <c r="B15" s="104" t="s">
        <v>4</v>
      </c>
      <c r="C15" s="104"/>
      <c r="D15" s="104"/>
      <c r="E15" s="104" t="s">
        <v>135</v>
      </c>
    </row>
    <row r="16" spans="1:5" x14ac:dyDescent="0.35">
      <c r="A16" s="105">
        <v>1</v>
      </c>
      <c r="B16" s="106">
        <v>2</v>
      </c>
      <c r="C16" s="106"/>
      <c r="D16" s="106"/>
      <c r="E16" s="106">
        <v>3</v>
      </c>
    </row>
    <row r="17" spans="1:5" x14ac:dyDescent="0.35">
      <c r="A17" s="105"/>
      <c r="B17" s="107" t="s">
        <v>5</v>
      </c>
      <c r="C17" s="107"/>
      <c r="D17" s="107"/>
      <c r="E17" s="108"/>
    </row>
    <row r="18" spans="1:5" x14ac:dyDescent="0.35">
      <c r="A18" s="109">
        <v>1100</v>
      </c>
      <c r="B18" s="109" t="s">
        <v>133</v>
      </c>
      <c r="C18" s="109"/>
      <c r="D18" s="109">
        <f>7.12/1.2359</f>
        <v>5.760983898373655</v>
      </c>
      <c r="E18" s="110">
        <v>1440.25</v>
      </c>
    </row>
    <row r="19" spans="1:5" x14ac:dyDescent="0.35">
      <c r="A19" s="109">
        <v>1200</v>
      </c>
      <c r="B19" s="108" t="s">
        <v>134</v>
      </c>
      <c r="C19" s="108"/>
      <c r="D19" s="108">
        <f>D18*0.2359</f>
        <v>1.3590161016263451</v>
      </c>
      <c r="E19" s="110">
        <v>339.75</v>
      </c>
    </row>
    <row r="20" spans="1:5" x14ac:dyDescent="0.35">
      <c r="A20" s="109">
        <v>2210</v>
      </c>
      <c r="B20" s="111" t="s">
        <v>121</v>
      </c>
      <c r="C20" s="108"/>
      <c r="D20" s="108">
        <v>0.08</v>
      </c>
      <c r="E20" s="110">
        <f t="shared" ref="E20:E32" si="0">D20*250</f>
        <v>20</v>
      </c>
    </row>
    <row r="21" spans="1:5" x14ac:dyDescent="0.35">
      <c r="A21" s="109">
        <v>2222</v>
      </c>
      <c r="B21" s="111" t="s">
        <v>136</v>
      </c>
      <c r="C21" s="108"/>
      <c r="D21" s="108">
        <v>1.9927999999999999</v>
      </c>
      <c r="E21" s="110">
        <v>498.2</v>
      </c>
    </row>
    <row r="22" spans="1:5" x14ac:dyDescent="0.35">
      <c r="A22" s="109">
        <v>2223</v>
      </c>
      <c r="B22" s="111" t="s">
        <v>137</v>
      </c>
      <c r="C22" s="108"/>
      <c r="D22" s="108">
        <v>2.0387968999999999</v>
      </c>
      <c r="E22" s="110">
        <v>509.7</v>
      </c>
    </row>
    <row r="23" spans="1:5" x14ac:dyDescent="0.35">
      <c r="A23" s="109">
        <v>2243</v>
      </c>
      <c r="B23" s="107" t="s">
        <v>138</v>
      </c>
      <c r="C23" s="108"/>
      <c r="D23" s="108">
        <v>0.06</v>
      </c>
      <c r="E23" s="110">
        <v>15</v>
      </c>
    </row>
    <row r="24" spans="1:5" x14ac:dyDescent="0.35">
      <c r="A24" s="109">
        <v>2244</v>
      </c>
      <c r="B24" s="107" t="s">
        <v>139</v>
      </c>
      <c r="C24" s="108"/>
      <c r="D24" s="108">
        <v>3.1372184999999999</v>
      </c>
      <c r="E24" s="110">
        <v>784.3</v>
      </c>
    </row>
    <row r="25" spans="1:5" x14ac:dyDescent="0.35">
      <c r="A25" s="109">
        <v>2250</v>
      </c>
      <c r="B25" s="107" t="s">
        <v>125</v>
      </c>
      <c r="C25" s="108"/>
      <c r="D25" s="108">
        <v>0.16</v>
      </c>
      <c r="E25" s="110">
        <v>40</v>
      </c>
    </row>
    <row r="26" spans="1:5" x14ac:dyDescent="0.35">
      <c r="A26" s="109">
        <v>2311</v>
      </c>
      <c r="B26" s="111" t="s">
        <v>152</v>
      </c>
      <c r="C26" s="108"/>
      <c r="D26" s="108">
        <v>0.48</v>
      </c>
      <c r="E26" s="110">
        <f t="shared" si="0"/>
        <v>120</v>
      </c>
    </row>
    <row r="27" spans="1:5" x14ac:dyDescent="0.35">
      <c r="A27" s="109">
        <v>2312</v>
      </c>
      <c r="B27" s="107" t="s">
        <v>117</v>
      </c>
      <c r="C27" s="108"/>
      <c r="D27" s="108">
        <v>1.63</v>
      </c>
      <c r="E27" s="110">
        <f t="shared" si="0"/>
        <v>407.5</v>
      </c>
    </row>
    <row r="28" spans="1:5" x14ac:dyDescent="0.35">
      <c r="A28" s="109">
        <v>2321</v>
      </c>
      <c r="B28" s="111" t="s">
        <v>140</v>
      </c>
      <c r="C28" s="108"/>
      <c r="D28" s="108">
        <v>2.6551773999999999</v>
      </c>
      <c r="E28" s="110">
        <v>663.79</v>
      </c>
    </row>
    <row r="29" spans="1:5" x14ac:dyDescent="0.35">
      <c r="A29" s="109">
        <v>2350</v>
      </c>
      <c r="B29" s="108" t="s">
        <v>126</v>
      </c>
      <c r="C29" s="108"/>
      <c r="D29" s="108">
        <v>0.33</v>
      </c>
      <c r="E29" s="110">
        <f t="shared" si="0"/>
        <v>82.5</v>
      </c>
    </row>
    <row r="30" spans="1:5" x14ac:dyDescent="0.35">
      <c r="A30" s="109">
        <v>2361</v>
      </c>
      <c r="B30" s="111" t="s">
        <v>142</v>
      </c>
      <c r="C30" s="108"/>
      <c r="D30" s="108">
        <v>0.28000000000000003</v>
      </c>
      <c r="E30" s="110">
        <f t="shared" si="0"/>
        <v>70</v>
      </c>
    </row>
    <row r="31" spans="1:5" x14ac:dyDescent="0.35">
      <c r="A31" s="109">
        <v>2362</v>
      </c>
      <c r="B31" s="112" t="s">
        <v>157</v>
      </c>
      <c r="C31" s="108"/>
      <c r="D31" s="108">
        <v>0.18</v>
      </c>
      <c r="E31" s="110">
        <f t="shared" si="0"/>
        <v>45</v>
      </c>
    </row>
    <row r="32" spans="1:5" x14ac:dyDescent="0.35">
      <c r="A32" s="109">
        <v>2363</v>
      </c>
      <c r="B32" s="111" t="s">
        <v>143</v>
      </c>
      <c r="C32" s="108"/>
      <c r="D32" s="108">
        <v>8.1199999999999992</v>
      </c>
      <c r="E32" s="110">
        <f t="shared" si="0"/>
        <v>2029.9999999999998</v>
      </c>
    </row>
    <row r="33" spans="1:6" x14ac:dyDescent="0.35">
      <c r="A33" s="109">
        <v>5239</v>
      </c>
      <c r="B33" s="108" t="s">
        <v>131</v>
      </c>
      <c r="C33" s="108"/>
      <c r="D33" s="108">
        <v>0.86925450000000004</v>
      </c>
      <c r="E33" s="110">
        <v>217.31</v>
      </c>
    </row>
    <row r="34" spans="1:6" x14ac:dyDescent="0.35">
      <c r="A34" s="109"/>
      <c r="B34" s="113" t="s">
        <v>6</v>
      </c>
      <c r="C34" s="113"/>
      <c r="D34" s="113">
        <f>SUM(D18:D33)</f>
        <v>29.133247299999997</v>
      </c>
      <c r="E34" s="114">
        <f>SUM(E18:E33)</f>
        <v>7283.3</v>
      </c>
      <c r="F34" s="115"/>
    </row>
    <row r="35" spans="1:6" x14ac:dyDescent="0.35">
      <c r="A35" s="116"/>
      <c r="B35" s="113" t="s">
        <v>7</v>
      </c>
      <c r="C35" s="113"/>
      <c r="D35" s="113"/>
      <c r="E35" s="110"/>
    </row>
    <row r="36" spans="1:6" x14ac:dyDescent="0.35">
      <c r="A36" s="109">
        <v>1100</v>
      </c>
      <c r="B36" s="107" t="s">
        <v>133</v>
      </c>
      <c r="C36" s="108">
        <f>0.388+0.024</f>
        <v>0.41200000000000003</v>
      </c>
      <c r="D36" s="108"/>
      <c r="E36" s="110">
        <v>1351.03</v>
      </c>
    </row>
    <row r="37" spans="1:6" ht="16.5" customHeight="1" x14ac:dyDescent="0.35">
      <c r="A37" s="109">
        <v>1200</v>
      </c>
      <c r="B37" s="107" t="s">
        <v>134</v>
      </c>
      <c r="C37" s="108">
        <f>C36*0.2359</f>
        <v>9.7190800000000008E-2</v>
      </c>
      <c r="D37" s="108"/>
      <c r="E37" s="110">
        <v>318.70999999999998</v>
      </c>
    </row>
    <row r="38" spans="1:6" ht="16.5" customHeight="1" x14ac:dyDescent="0.35">
      <c r="A38" s="109">
        <v>2100</v>
      </c>
      <c r="B38" s="117" t="s">
        <v>45</v>
      </c>
      <c r="C38" s="108">
        <v>1.1659999999999999E-3</v>
      </c>
      <c r="D38" s="108"/>
      <c r="E38" s="110">
        <v>3.82</v>
      </c>
    </row>
    <row r="39" spans="1:6" x14ac:dyDescent="0.35">
      <c r="A39" s="118">
        <v>2210</v>
      </c>
      <c r="B39" s="111" t="s">
        <v>121</v>
      </c>
      <c r="C39" s="108">
        <v>7.6E-3</v>
      </c>
      <c r="D39" s="108"/>
      <c r="E39" s="110">
        <v>24.92</v>
      </c>
    </row>
    <row r="40" spans="1:6" x14ac:dyDescent="0.35">
      <c r="A40" s="109">
        <v>2222</v>
      </c>
      <c r="B40" s="111" t="s">
        <v>136</v>
      </c>
      <c r="C40" s="108">
        <v>9.4999999999999998E-3</v>
      </c>
      <c r="D40" s="108"/>
      <c r="E40" s="110">
        <v>31.15</v>
      </c>
    </row>
    <row r="41" spans="1:6" x14ac:dyDescent="0.35">
      <c r="A41" s="109">
        <v>2223</v>
      </c>
      <c r="B41" s="111" t="s">
        <v>137</v>
      </c>
      <c r="C41" s="108">
        <v>1.9019999999999999E-2</v>
      </c>
      <c r="D41" s="108"/>
      <c r="E41" s="110">
        <v>62.37</v>
      </c>
    </row>
    <row r="42" spans="1:6" ht="31" x14ac:dyDescent="0.35">
      <c r="A42" s="109">
        <v>2224</v>
      </c>
      <c r="B42" s="111" t="s">
        <v>144</v>
      </c>
      <c r="C42" s="108">
        <v>4.9500000000000004E-3</v>
      </c>
      <c r="D42" s="108"/>
      <c r="E42" s="110">
        <v>16.23</v>
      </c>
    </row>
    <row r="43" spans="1:6" ht="15.75" customHeight="1" x14ac:dyDescent="0.35">
      <c r="A43" s="109">
        <v>2231</v>
      </c>
      <c r="B43" s="107" t="s">
        <v>127</v>
      </c>
      <c r="C43" s="108">
        <v>1.5499999999999999E-3</v>
      </c>
      <c r="D43" s="108"/>
      <c r="E43" s="110">
        <v>5.08</v>
      </c>
    </row>
    <row r="44" spans="1:6" ht="15.75" customHeight="1" x14ac:dyDescent="0.35">
      <c r="A44" s="109">
        <v>2235</v>
      </c>
      <c r="B44" s="119" t="s">
        <v>128</v>
      </c>
      <c r="C44" s="108">
        <v>1.65E-3</v>
      </c>
      <c r="D44" s="108"/>
      <c r="E44" s="110">
        <v>5.41</v>
      </c>
    </row>
    <row r="45" spans="1:6" x14ac:dyDescent="0.35">
      <c r="A45" s="109">
        <v>2239</v>
      </c>
      <c r="B45" s="107" t="s">
        <v>145</v>
      </c>
      <c r="C45" s="108">
        <v>4.4099999999999999E-3</v>
      </c>
      <c r="D45" s="108"/>
      <c r="E45" s="110">
        <v>14.46</v>
      </c>
    </row>
    <row r="46" spans="1:6" x14ac:dyDescent="0.35">
      <c r="A46" s="109">
        <v>2241</v>
      </c>
      <c r="B46" s="107" t="s">
        <v>124</v>
      </c>
      <c r="C46" s="108">
        <v>1.6500000000000001E-2</v>
      </c>
      <c r="D46" s="108"/>
      <c r="E46" s="110">
        <v>54.11</v>
      </c>
    </row>
    <row r="47" spans="1:6" x14ac:dyDescent="0.35">
      <c r="A47" s="109">
        <v>2242</v>
      </c>
      <c r="B47" s="111" t="s">
        <v>146</v>
      </c>
      <c r="C47" s="108">
        <v>2.2599999999999999E-3</v>
      </c>
      <c r="D47" s="108"/>
      <c r="E47" s="110">
        <v>7.41</v>
      </c>
    </row>
    <row r="48" spans="1:6" ht="15.75" customHeight="1" x14ac:dyDescent="0.35">
      <c r="A48" s="109">
        <v>2243</v>
      </c>
      <c r="B48" s="107" t="s">
        <v>138</v>
      </c>
      <c r="C48" s="108">
        <v>3.2599999999999997E-2</v>
      </c>
      <c r="D48" s="108"/>
      <c r="E48" s="110">
        <v>107.27</v>
      </c>
    </row>
    <row r="49" spans="1:5" x14ac:dyDescent="0.35">
      <c r="A49" s="109">
        <v>2244</v>
      </c>
      <c r="B49" s="107" t="s">
        <v>139</v>
      </c>
      <c r="C49" s="108">
        <v>0.20397000000000001</v>
      </c>
      <c r="D49" s="108"/>
      <c r="E49" s="110">
        <v>668.86</v>
      </c>
    </row>
    <row r="50" spans="1:5" x14ac:dyDescent="0.35">
      <c r="A50" s="109">
        <v>2247</v>
      </c>
      <c r="B50" s="107" t="s">
        <v>147</v>
      </c>
      <c r="C50" s="108">
        <v>7.1900000000000002E-4</v>
      </c>
      <c r="D50" s="108"/>
      <c r="E50" s="110">
        <v>2.36</v>
      </c>
    </row>
    <row r="51" spans="1:5" x14ac:dyDescent="0.35">
      <c r="A51" s="109">
        <v>2249</v>
      </c>
      <c r="B51" s="107" t="s">
        <v>148</v>
      </c>
      <c r="C51" s="108">
        <v>2.32E-4</v>
      </c>
      <c r="D51" s="108"/>
      <c r="E51" s="110">
        <v>0.76</v>
      </c>
    </row>
    <row r="52" spans="1:5" x14ac:dyDescent="0.35">
      <c r="A52" s="109">
        <v>2250</v>
      </c>
      <c r="B52" s="107" t="s">
        <v>125</v>
      </c>
      <c r="C52" s="108">
        <v>2.4025999999999999E-2</v>
      </c>
      <c r="D52" s="108"/>
      <c r="E52" s="110">
        <v>78.790000000000006</v>
      </c>
    </row>
    <row r="53" spans="1:5" hidden="1" x14ac:dyDescent="0.35">
      <c r="A53" s="109">
        <v>2261</v>
      </c>
      <c r="B53" s="111" t="s">
        <v>99</v>
      </c>
      <c r="C53" s="108">
        <v>0</v>
      </c>
      <c r="D53" s="108"/>
      <c r="E53" s="110">
        <v>0</v>
      </c>
    </row>
    <row r="54" spans="1:5" x14ac:dyDescent="0.35">
      <c r="A54" s="109">
        <v>2262</v>
      </c>
      <c r="B54" s="111" t="s">
        <v>149</v>
      </c>
      <c r="C54" s="108">
        <v>6.2599999999999999E-3</v>
      </c>
      <c r="D54" s="108"/>
      <c r="E54" s="110">
        <v>20.53</v>
      </c>
    </row>
    <row r="55" spans="1:5" x14ac:dyDescent="0.35">
      <c r="A55" s="109">
        <v>2263</v>
      </c>
      <c r="B55" s="111" t="s">
        <v>150</v>
      </c>
      <c r="C55" s="108">
        <v>4.58E-2</v>
      </c>
      <c r="D55" s="108"/>
      <c r="E55" s="110">
        <v>150.19</v>
      </c>
    </row>
    <row r="56" spans="1:5" x14ac:dyDescent="0.35">
      <c r="A56" s="109">
        <v>2264</v>
      </c>
      <c r="B56" s="107" t="s">
        <v>151</v>
      </c>
      <c r="C56" s="108">
        <v>1.49E-3</v>
      </c>
      <c r="D56" s="108"/>
      <c r="E56" s="110">
        <v>4.8899999999999997</v>
      </c>
    </row>
    <row r="57" spans="1:5" x14ac:dyDescent="0.35">
      <c r="A57" s="109">
        <v>2311</v>
      </c>
      <c r="B57" s="111" t="s">
        <v>152</v>
      </c>
      <c r="C57" s="108">
        <v>4.7699999999999999E-3</v>
      </c>
      <c r="D57" s="108"/>
      <c r="E57" s="110">
        <v>15.64</v>
      </c>
    </row>
    <row r="58" spans="1:5" x14ac:dyDescent="0.35">
      <c r="A58" s="109">
        <v>2312</v>
      </c>
      <c r="B58" s="111" t="s">
        <v>117</v>
      </c>
      <c r="C58" s="108">
        <v>5.79E-3</v>
      </c>
      <c r="D58" s="108"/>
      <c r="E58" s="110">
        <v>18.989999999999998</v>
      </c>
    </row>
    <row r="59" spans="1:5" x14ac:dyDescent="0.35">
      <c r="A59" s="109">
        <v>2314</v>
      </c>
      <c r="B59" s="119" t="s">
        <v>153</v>
      </c>
      <c r="C59" s="108">
        <v>2.2200000000000002E-3</v>
      </c>
      <c r="D59" s="108"/>
      <c r="E59" s="110">
        <v>7.28</v>
      </c>
    </row>
    <row r="60" spans="1:5" x14ac:dyDescent="0.35">
      <c r="A60" s="109">
        <v>2321</v>
      </c>
      <c r="B60" s="111" t="s">
        <v>140</v>
      </c>
      <c r="C60" s="108">
        <v>1.9800000000000002E-2</v>
      </c>
      <c r="D60" s="108"/>
      <c r="E60" s="110">
        <v>64.930000000000007</v>
      </c>
    </row>
    <row r="61" spans="1:5" x14ac:dyDescent="0.35">
      <c r="A61" s="109">
        <v>2322</v>
      </c>
      <c r="B61" s="111" t="s">
        <v>154</v>
      </c>
      <c r="C61" s="108">
        <v>3.5000000000000001E-3</v>
      </c>
      <c r="D61" s="108"/>
      <c r="E61" s="110">
        <v>11.48</v>
      </c>
    </row>
    <row r="62" spans="1:5" hidden="1" x14ac:dyDescent="0.35">
      <c r="A62" s="109">
        <v>2341</v>
      </c>
      <c r="B62" s="111" t="s">
        <v>141</v>
      </c>
      <c r="C62" s="108"/>
      <c r="D62" s="108"/>
      <c r="E62" s="110">
        <v>0</v>
      </c>
    </row>
    <row r="63" spans="1:5" x14ac:dyDescent="0.35">
      <c r="A63" s="109">
        <v>2350</v>
      </c>
      <c r="B63" s="108" t="s">
        <v>126</v>
      </c>
      <c r="C63" s="108">
        <v>8.5000000000000006E-3</v>
      </c>
      <c r="D63" s="108"/>
      <c r="E63" s="110">
        <v>27.87</v>
      </c>
    </row>
    <row r="64" spans="1:5" x14ac:dyDescent="0.35">
      <c r="A64" s="109">
        <v>2512</v>
      </c>
      <c r="B64" s="111" t="s">
        <v>155</v>
      </c>
      <c r="C64" s="108">
        <v>0</v>
      </c>
      <c r="D64" s="108">
        <v>5.07</v>
      </c>
      <c r="E64" s="110">
        <v>0</v>
      </c>
    </row>
    <row r="65" spans="1:5" ht="15.75" customHeight="1" x14ac:dyDescent="0.35">
      <c r="A65" s="109">
        <v>2513</v>
      </c>
      <c r="B65" s="108" t="s">
        <v>122</v>
      </c>
      <c r="C65" s="108">
        <v>1.4599999999999999E-3</v>
      </c>
      <c r="D65" s="108"/>
      <c r="E65" s="110">
        <v>4.79</v>
      </c>
    </row>
    <row r="66" spans="1:5" x14ac:dyDescent="0.35">
      <c r="A66" s="109">
        <v>2515</v>
      </c>
      <c r="B66" s="111" t="s">
        <v>156</v>
      </c>
      <c r="C66" s="108">
        <v>1.9E-3</v>
      </c>
      <c r="D66" s="108"/>
      <c r="E66" s="110">
        <v>6.23</v>
      </c>
    </row>
    <row r="67" spans="1:5" x14ac:dyDescent="0.35">
      <c r="A67" s="109">
        <v>2519</v>
      </c>
      <c r="B67" s="111" t="s">
        <v>123</v>
      </c>
      <c r="C67" s="108">
        <v>2E-3</v>
      </c>
      <c r="D67" s="108"/>
      <c r="E67" s="110">
        <v>6.56</v>
      </c>
    </row>
    <row r="68" spans="1:5" x14ac:dyDescent="0.35">
      <c r="A68" s="109">
        <v>5220</v>
      </c>
      <c r="B68" s="111" t="s">
        <v>129</v>
      </c>
      <c r="C68" s="108">
        <v>1.06E-2</v>
      </c>
      <c r="D68" s="108"/>
      <c r="E68" s="110">
        <v>34.76</v>
      </c>
    </row>
    <row r="69" spans="1:5" x14ac:dyDescent="0.35">
      <c r="A69" s="109">
        <v>5238</v>
      </c>
      <c r="B69" s="108" t="s">
        <v>130</v>
      </c>
      <c r="C69" s="108">
        <v>1.65E-3</v>
      </c>
      <c r="D69" s="108"/>
      <c r="E69" s="110">
        <v>5.41</v>
      </c>
    </row>
    <row r="70" spans="1:5" x14ac:dyDescent="0.35">
      <c r="A70" s="109">
        <v>5239</v>
      </c>
      <c r="B70" s="108" t="s">
        <v>131</v>
      </c>
      <c r="C70" s="108">
        <v>1.9800000000000002E-2</v>
      </c>
      <c r="D70" s="108"/>
      <c r="E70" s="110">
        <v>64.930000000000007</v>
      </c>
    </row>
    <row r="71" spans="1:5" x14ac:dyDescent="0.35">
      <c r="A71" s="109">
        <v>5250</v>
      </c>
      <c r="B71" s="111" t="s">
        <v>132</v>
      </c>
      <c r="C71" s="108">
        <v>2.5000000000000001E-2</v>
      </c>
      <c r="D71" s="108"/>
      <c r="E71" s="110">
        <v>81.98</v>
      </c>
    </row>
    <row r="72" spans="1:5" x14ac:dyDescent="0.35">
      <c r="A72" s="116"/>
      <c r="B72" s="120" t="s">
        <v>97</v>
      </c>
      <c r="C72" s="108">
        <f>SUM(C36:C71)</f>
        <v>0.99988380000000032</v>
      </c>
      <c r="D72" s="108"/>
      <c r="E72" s="114">
        <f>SUM(E36:E71)</f>
        <v>3279.2</v>
      </c>
    </row>
    <row r="73" spans="1:5" x14ac:dyDescent="0.35">
      <c r="A73" s="116"/>
      <c r="B73" s="120" t="s">
        <v>98</v>
      </c>
      <c r="C73" s="120"/>
      <c r="D73" s="120"/>
      <c r="E73" s="114">
        <f>E34+E72</f>
        <v>10562.5</v>
      </c>
    </row>
    <row r="74" spans="1:5" ht="12.75" customHeight="1" x14ac:dyDescent="0.35">
      <c r="A74" s="96"/>
      <c r="B74" s="97"/>
      <c r="C74" s="97"/>
      <c r="D74" s="97"/>
      <c r="E74" s="121"/>
    </row>
    <row r="75" spans="1:5" ht="15.75" customHeight="1" x14ac:dyDescent="0.35">
      <c r="A75" s="329" t="s">
        <v>107</v>
      </c>
      <c r="B75" s="329"/>
      <c r="C75" s="122"/>
      <c r="D75" s="122"/>
      <c r="E75" s="123">
        <v>250</v>
      </c>
    </row>
    <row r="76" spans="1:5" ht="15.75" customHeight="1" x14ac:dyDescent="0.35">
      <c r="A76" s="329" t="s">
        <v>58</v>
      </c>
      <c r="B76" s="329"/>
      <c r="C76" s="122"/>
      <c r="D76" s="122"/>
      <c r="E76" s="124">
        <f>E73/E75</f>
        <v>42.25</v>
      </c>
    </row>
    <row r="77" spans="1:5" ht="9.75" customHeight="1" x14ac:dyDescent="0.35">
      <c r="A77" s="101"/>
      <c r="B77" s="125"/>
      <c r="C77" s="125"/>
      <c r="D77" s="125"/>
    </row>
    <row r="78" spans="1:5" ht="15.75" customHeight="1" x14ac:dyDescent="0.35">
      <c r="A78" s="326" t="s">
        <v>33</v>
      </c>
      <c r="B78" s="326"/>
      <c r="C78" s="126"/>
      <c r="D78" s="126"/>
      <c r="E78" s="127"/>
    </row>
    <row r="79" spans="1:5" ht="15.75" customHeight="1" x14ac:dyDescent="0.35">
      <c r="A79" s="326" t="s">
        <v>64</v>
      </c>
      <c r="B79" s="326"/>
      <c r="C79" s="126"/>
      <c r="D79" s="126"/>
      <c r="E79" s="127"/>
    </row>
    <row r="80" spans="1:5" ht="8.25" customHeight="1" x14ac:dyDescent="0.35">
      <c r="A80" s="128"/>
      <c r="B80" s="128"/>
      <c r="C80" s="128"/>
      <c r="D80" s="128"/>
      <c r="E80" s="128"/>
    </row>
    <row r="81" spans="1:5" x14ac:dyDescent="0.35">
      <c r="A81" s="128" t="s">
        <v>34</v>
      </c>
      <c r="B81" s="128"/>
      <c r="C81" s="128"/>
      <c r="D81" s="128"/>
      <c r="E81" s="129"/>
    </row>
    <row r="82" spans="1:5" x14ac:dyDescent="0.35">
      <c r="A82" s="128"/>
      <c r="B82" s="128"/>
      <c r="C82" s="128"/>
      <c r="D82" s="128"/>
      <c r="E82" s="129"/>
    </row>
    <row r="83" spans="1:5" x14ac:dyDescent="0.35">
      <c r="A83" s="128" t="s">
        <v>109</v>
      </c>
      <c r="B83" s="130"/>
      <c r="C83" s="130"/>
      <c r="D83" s="130"/>
      <c r="E83" s="128"/>
    </row>
    <row r="84" spans="1:5" x14ac:dyDescent="0.35">
      <c r="B84" s="131"/>
      <c r="C84" s="131"/>
      <c r="D84" s="131"/>
      <c r="E84" s="132"/>
    </row>
    <row r="86" spans="1:5" x14ac:dyDescent="0.35">
      <c r="E86" s="115"/>
    </row>
  </sheetData>
  <mergeCells count="7">
    <mergeCell ref="A78:B78"/>
    <mergeCell ref="A79:B79"/>
    <mergeCell ref="A10:B10"/>
    <mergeCell ref="A7:C7"/>
    <mergeCell ref="A9:B9"/>
    <mergeCell ref="A75:B75"/>
    <mergeCell ref="A76:B76"/>
  </mergeCells>
  <pageMargins left="0.87343749999999998" right="0.82604166666666667" top="0.59055118110236227" bottom="0.55118110236220474" header="0.31496062992125984" footer="0.31496062992125984"/>
  <pageSetup paperSize="9" scale="58" firstPageNumber="7" orientation="portrait" useFirstPageNumber="1" r:id="rId1"/>
  <headerFooter>
    <oddFooter>&amp;C&amp;"Times New Roman,Regular"&amp;F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view="pageLayout" topLeftCell="A34" zoomScale="70" zoomScaleNormal="100" zoomScalePageLayoutView="70" workbookViewId="0">
      <selection activeCell="F64" sqref="F64"/>
    </sheetView>
  </sheetViews>
  <sheetFormatPr defaultColWidth="9.1796875" defaultRowHeight="15.5" x14ac:dyDescent="0.35"/>
  <cols>
    <col min="1" max="1" width="23.7265625" style="90" customWidth="1"/>
    <col min="2" max="2" width="86.453125" style="90" customWidth="1"/>
    <col min="3" max="4" width="7.7265625" style="90" hidden="1" customWidth="1"/>
    <col min="5" max="5" width="33" style="90" customWidth="1"/>
    <col min="6" max="6" width="19.81640625" style="90" bestFit="1" customWidth="1"/>
    <col min="7" max="16384" width="9.1796875" style="90"/>
  </cols>
  <sheetData>
    <row r="1" spans="1:5" ht="15.75" customHeight="1" x14ac:dyDescent="0.35">
      <c r="B1" s="91"/>
      <c r="C1" s="91"/>
      <c r="D1" s="91"/>
      <c r="E1" s="92" t="s">
        <v>10</v>
      </c>
    </row>
    <row r="2" spans="1:5" x14ac:dyDescent="0.35">
      <c r="C2" s="93"/>
      <c r="D2" s="93"/>
      <c r="E2" s="91" t="s">
        <v>32</v>
      </c>
    </row>
    <row r="3" spans="1:5" x14ac:dyDescent="0.35">
      <c r="B3" s="94"/>
      <c r="C3" s="94"/>
      <c r="D3" s="94"/>
      <c r="E3" s="95" t="s">
        <v>66</v>
      </c>
    </row>
    <row r="4" spans="1:5" x14ac:dyDescent="0.35">
      <c r="B4" s="91"/>
      <c r="C4" s="91"/>
      <c r="D4" s="91"/>
      <c r="E4" s="96"/>
    </row>
    <row r="5" spans="1:5" x14ac:dyDescent="0.35">
      <c r="B5" s="93"/>
      <c r="C5" s="93"/>
      <c r="D5" s="93"/>
      <c r="E5" s="96" t="s">
        <v>168</v>
      </c>
    </row>
    <row r="6" spans="1:5" x14ac:dyDescent="0.35">
      <c r="E6" s="97"/>
    </row>
    <row r="7" spans="1:5" x14ac:dyDescent="0.35">
      <c r="A7" s="328" t="s">
        <v>9</v>
      </c>
      <c r="B7" s="328"/>
      <c r="C7" s="328"/>
      <c r="D7" s="98"/>
    </row>
    <row r="8" spans="1:5" x14ac:dyDescent="0.35">
      <c r="B8" s="99"/>
      <c r="C8" s="99"/>
      <c r="D8" s="99"/>
      <c r="E8" s="97"/>
    </row>
    <row r="9" spans="1:5" x14ac:dyDescent="0.35">
      <c r="A9" s="327" t="s">
        <v>1</v>
      </c>
      <c r="B9" s="327"/>
      <c r="C9" s="100"/>
      <c r="D9" s="100"/>
      <c r="E9" s="97"/>
    </row>
    <row r="10" spans="1:5" x14ac:dyDescent="0.35">
      <c r="A10" s="327" t="s">
        <v>0</v>
      </c>
      <c r="B10" s="327"/>
      <c r="C10" s="100"/>
      <c r="D10" s="100"/>
      <c r="E10" s="97"/>
    </row>
    <row r="11" spans="1:5" x14ac:dyDescent="0.35">
      <c r="A11" s="100"/>
      <c r="B11" s="100" t="s">
        <v>31</v>
      </c>
      <c r="C11" s="100"/>
      <c r="D11" s="100"/>
      <c r="E11" s="97"/>
    </row>
    <row r="12" spans="1:5" x14ac:dyDescent="0.35">
      <c r="A12" s="100"/>
      <c r="B12" s="101" t="s">
        <v>162</v>
      </c>
      <c r="C12" s="102"/>
      <c r="D12" s="102"/>
      <c r="E12" s="97"/>
    </row>
    <row r="13" spans="1:5" x14ac:dyDescent="0.35">
      <c r="A13" s="100"/>
      <c r="B13" s="103" t="s">
        <v>163</v>
      </c>
      <c r="C13" s="103"/>
      <c r="D13" s="103"/>
      <c r="E13" s="97"/>
    </row>
    <row r="14" spans="1:5" x14ac:dyDescent="0.35">
      <c r="A14" s="100" t="s">
        <v>2</v>
      </c>
      <c r="B14" s="100" t="s">
        <v>167</v>
      </c>
      <c r="C14" s="100"/>
      <c r="D14" s="100"/>
      <c r="E14" s="97"/>
    </row>
    <row r="15" spans="1:5" ht="69.75" customHeight="1" x14ac:dyDescent="0.35">
      <c r="A15" s="104" t="s">
        <v>3</v>
      </c>
      <c r="B15" s="104" t="s">
        <v>4</v>
      </c>
      <c r="C15" s="104"/>
      <c r="D15" s="104"/>
      <c r="E15" s="104" t="s">
        <v>135</v>
      </c>
    </row>
    <row r="16" spans="1:5" x14ac:dyDescent="0.35">
      <c r="A16" s="105">
        <v>1</v>
      </c>
      <c r="B16" s="106">
        <v>2</v>
      </c>
      <c r="C16" s="106"/>
      <c r="D16" s="106"/>
      <c r="E16" s="106">
        <v>3</v>
      </c>
    </row>
    <row r="17" spans="1:5" x14ac:dyDescent="0.35">
      <c r="A17" s="105"/>
      <c r="B17" s="107" t="s">
        <v>5</v>
      </c>
      <c r="C17" s="107"/>
      <c r="D17" s="107"/>
      <c r="E17" s="108"/>
    </row>
    <row r="18" spans="1:5" x14ac:dyDescent="0.35">
      <c r="A18" s="109">
        <v>1100</v>
      </c>
      <c r="B18" s="109" t="s">
        <v>133</v>
      </c>
      <c r="C18" s="108"/>
      <c r="D18" s="108">
        <f>5.91/1.2359</f>
        <v>4.7819402864309408</v>
      </c>
      <c r="E18" s="110">
        <v>4064.65</v>
      </c>
    </row>
    <row r="19" spans="1:5" x14ac:dyDescent="0.35">
      <c r="A19" s="109">
        <v>1200</v>
      </c>
      <c r="B19" s="108" t="s">
        <v>134</v>
      </c>
      <c r="C19" s="108"/>
      <c r="D19" s="108">
        <f>D18*0.2359</f>
        <v>1.1280597135690589</v>
      </c>
      <c r="E19" s="110">
        <v>958.85</v>
      </c>
    </row>
    <row r="20" spans="1:5" x14ac:dyDescent="0.35">
      <c r="A20" s="109">
        <v>2210</v>
      </c>
      <c r="B20" s="111" t="s">
        <v>121</v>
      </c>
      <c r="C20" s="108"/>
      <c r="D20" s="108">
        <v>0.08</v>
      </c>
      <c r="E20" s="110">
        <f t="shared" ref="E20:E32" si="0">D20*850</f>
        <v>68</v>
      </c>
    </row>
    <row r="21" spans="1:5" x14ac:dyDescent="0.35">
      <c r="A21" s="109">
        <v>2222</v>
      </c>
      <c r="B21" s="111" t="s">
        <v>136</v>
      </c>
      <c r="C21" s="108"/>
      <c r="D21" s="108">
        <v>1.88</v>
      </c>
      <c r="E21" s="110">
        <f t="shared" si="0"/>
        <v>1598</v>
      </c>
    </row>
    <row r="22" spans="1:5" x14ac:dyDescent="0.35">
      <c r="A22" s="109">
        <v>2223</v>
      </c>
      <c r="B22" s="111" t="s">
        <v>137</v>
      </c>
      <c r="C22" s="108"/>
      <c r="D22" s="108">
        <v>1.1222000000000001</v>
      </c>
      <c r="E22" s="110">
        <v>953.87</v>
      </c>
    </row>
    <row r="23" spans="1:5" x14ac:dyDescent="0.35">
      <c r="A23" s="109">
        <v>2243</v>
      </c>
      <c r="B23" s="107" t="s">
        <v>138</v>
      </c>
      <c r="C23" s="108"/>
      <c r="D23" s="108">
        <v>0.04</v>
      </c>
      <c r="E23" s="110">
        <f t="shared" si="0"/>
        <v>34</v>
      </c>
    </row>
    <row r="24" spans="1:5" x14ac:dyDescent="0.35">
      <c r="A24" s="109">
        <v>2244</v>
      </c>
      <c r="B24" s="107" t="s">
        <v>139</v>
      </c>
      <c r="C24" s="108"/>
      <c r="D24" s="108">
        <v>1.7267969000000001</v>
      </c>
      <c r="E24" s="110">
        <v>1467.78</v>
      </c>
    </row>
    <row r="25" spans="1:5" x14ac:dyDescent="0.35">
      <c r="A25" s="109">
        <v>2250</v>
      </c>
      <c r="B25" s="107" t="s">
        <v>125</v>
      </c>
      <c r="C25" s="108"/>
      <c r="D25" s="108">
        <v>0.16</v>
      </c>
      <c r="E25" s="110">
        <f t="shared" si="0"/>
        <v>136</v>
      </c>
    </row>
    <row r="26" spans="1:5" x14ac:dyDescent="0.35">
      <c r="A26" s="109">
        <v>2311</v>
      </c>
      <c r="B26" s="111" t="s">
        <v>152</v>
      </c>
      <c r="C26" s="108"/>
      <c r="D26" s="108">
        <v>0.48</v>
      </c>
      <c r="E26" s="110">
        <f t="shared" si="0"/>
        <v>408</v>
      </c>
    </row>
    <row r="27" spans="1:5" x14ac:dyDescent="0.35">
      <c r="A27" s="109">
        <v>2312</v>
      </c>
      <c r="B27" s="107" t="s">
        <v>117</v>
      </c>
      <c r="C27" s="108"/>
      <c r="D27" s="108">
        <v>1.55</v>
      </c>
      <c r="E27" s="110">
        <f t="shared" si="0"/>
        <v>1317.5</v>
      </c>
    </row>
    <row r="28" spans="1:5" x14ac:dyDescent="0.35">
      <c r="A28" s="109">
        <v>2321</v>
      </c>
      <c r="B28" s="111" t="s">
        <v>140</v>
      </c>
      <c r="C28" s="108"/>
      <c r="D28" s="108">
        <v>1.46147</v>
      </c>
      <c r="E28" s="110">
        <v>1242.25</v>
      </c>
    </row>
    <row r="29" spans="1:5" x14ac:dyDescent="0.35">
      <c r="A29" s="109">
        <v>2350</v>
      </c>
      <c r="B29" s="108" t="s">
        <v>126</v>
      </c>
      <c r="C29" s="108"/>
      <c r="D29" s="108">
        <v>0.28000000000000003</v>
      </c>
      <c r="E29" s="110">
        <f t="shared" si="0"/>
        <v>238.00000000000003</v>
      </c>
    </row>
    <row r="30" spans="1:5" x14ac:dyDescent="0.35">
      <c r="A30" s="109">
        <v>2361</v>
      </c>
      <c r="B30" s="111" t="s">
        <v>142</v>
      </c>
      <c r="C30" s="108"/>
      <c r="D30" s="108">
        <v>0.28000000000000003</v>
      </c>
      <c r="E30" s="110">
        <f t="shared" si="0"/>
        <v>238.00000000000003</v>
      </c>
    </row>
    <row r="31" spans="1:5" x14ac:dyDescent="0.35">
      <c r="A31" s="109">
        <v>2362</v>
      </c>
      <c r="B31" s="112" t="s">
        <v>157</v>
      </c>
      <c r="C31" s="108"/>
      <c r="D31" s="108">
        <v>0.12</v>
      </c>
      <c r="E31" s="110">
        <f t="shared" si="0"/>
        <v>102</v>
      </c>
    </row>
    <row r="32" spans="1:5" x14ac:dyDescent="0.35">
      <c r="A32" s="109">
        <v>2363</v>
      </c>
      <c r="B32" s="111" t="s">
        <v>143</v>
      </c>
      <c r="C32" s="108"/>
      <c r="D32" s="108">
        <v>3.58</v>
      </c>
      <c r="E32" s="110">
        <f t="shared" si="0"/>
        <v>3043</v>
      </c>
    </row>
    <row r="33" spans="1:7" x14ac:dyDescent="0.35">
      <c r="A33" s="109">
        <v>5239</v>
      </c>
      <c r="B33" s="108" t="s">
        <v>131</v>
      </c>
      <c r="C33" s="108"/>
      <c r="D33" s="108">
        <v>0.47846</v>
      </c>
      <c r="E33" s="110">
        <v>406.69</v>
      </c>
    </row>
    <row r="34" spans="1:7" x14ac:dyDescent="0.35">
      <c r="A34" s="109"/>
      <c r="B34" s="113" t="s">
        <v>6</v>
      </c>
      <c r="C34" s="108"/>
      <c r="D34" s="135">
        <f>SUM(D18:D33)</f>
        <v>19.148926899999999</v>
      </c>
      <c r="E34" s="114">
        <f>SUM(E18:E33)</f>
        <v>16276.59</v>
      </c>
      <c r="F34" s="115"/>
      <c r="G34" s="115"/>
    </row>
    <row r="35" spans="1:7" x14ac:dyDescent="0.35">
      <c r="A35" s="116"/>
      <c r="B35" s="113" t="s">
        <v>7</v>
      </c>
      <c r="C35" s="113"/>
      <c r="D35" s="113"/>
      <c r="E35" s="110"/>
    </row>
    <row r="36" spans="1:7" x14ac:dyDescent="0.35">
      <c r="A36" s="109">
        <v>1100</v>
      </c>
      <c r="B36" s="107" t="s">
        <v>133</v>
      </c>
      <c r="C36" s="108">
        <f>0.388+0.024</f>
        <v>0.41200000000000003</v>
      </c>
      <c r="D36" s="108"/>
      <c r="E36" s="110">
        <v>3761.52</v>
      </c>
    </row>
    <row r="37" spans="1:7" ht="16.5" customHeight="1" x14ac:dyDescent="0.35">
      <c r="A37" s="109">
        <v>1200</v>
      </c>
      <c r="B37" s="107" t="s">
        <v>134</v>
      </c>
      <c r="C37" s="108">
        <f>C36*0.2359</f>
        <v>9.7190800000000008E-2</v>
      </c>
      <c r="D37" s="108"/>
      <c r="E37" s="110">
        <v>887.34</v>
      </c>
    </row>
    <row r="38" spans="1:7" ht="16.5" customHeight="1" x14ac:dyDescent="0.35">
      <c r="A38" s="109">
        <v>2100</v>
      </c>
      <c r="B38" s="117" t="s">
        <v>45</v>
      </c>
      <c r="C38" s="108">
        <v>1.1659999999999999E-3</v>
      </c>
      <c r="D38" s="108"/>
      <c r="E38" s="110">
        <v>10.65</v>
      </c>
    </row>
    <row r="39" spans="1:7" x14ac:dyDescent="0.35">
      <c r="A39" s="118">
        <v>2210</v>
      </c>
      <c r="B39" s="111" t="s">
        <v>121</v>
      </c>
      <c r="C39" s="108">
        <v>7.6E-3</v>
      </c>
      <c r="D39" s="108"/>
      <c r="E39" s="110">
        <v>69.39</v>
      </c>
    </row>
    <row r="40" spans="1:7" x14ac:dyDescent="0.35">
      <c r="A40" s="109">
        <v>2222</v>
      </c>
      <c r="B40" s="111" t="s">
        <v>136</v>
      </c>
      <c r="C40" s="108">
        <v>9.4999999999999998E-3</v>
      </c>
      <c r="D40" s="108"/>
      <c r="E40" s="110">
        <v>86.73</v>
      </c>
    </row>
    <row r="41" spans="1:7" x14ac:dyDescent="0.35">
      <c r="A41" s="109">
        <v>2223</v>
      </c>
      <c r="B41" s="111" t="s">
        <v>137</v>
      </c>
      <c r="C41" s="108">
        <v>1.9019999999999999E-2</v>
      </c>
      <c r="D41" s="108"/>
      <c r="E41" s="110">
        <v>173.65</v>
      </c>
    </row>
    <row r="42" spans="1:7" ht="31" x14ac:dyDescent="0.35">
      <c r="A42" s="109">
        <v>2224</v>
      </c>
      <c r="B42" s="111" t="s">
        <v>144</v>
      </c>
      <c r="C42" s="108">
        <v>4.9500000000000004E-3</v>
      </c>
      <c r="D42" s="108"/>
      <c r="E42" s="110">
        <v>45.19</v>
      </c>
    </row>
    <row r="43" spans="1:7" ht="15.75" customHeight="1" x14ac:dyDescent="0.35">
      <c r="A43" s="109">
        <v>2231</v>
      </c>
      <c r="B43" s="107" t="s">
        <v>127</v>
      </c>
      <c r="C43" s="108">
        <v>1.5499999999999999E-3</v>
      </c>
      <c r="D43" s="108"/>
      <c r="E43" s="110">
        <v>14.15</v>
      </c>
    </row>
    <row r="44" spans="1:7" ht="15.75" customHeight="1" x14ac:dyDescent="0.35">
      <c r="A44" s="109">
        <v>2235</v>
      </c>
      <c r="B44" s="119" t="s">
        <v>128</v>
      </c>
      <c r="C44" s="108">
        <v>1.65E-3</v>
      </c>
      <c r="D44" s="108"/>
      <c r="E44" s="110">
        <v>15.06</v>
      </c>
    </row>
    <row r="45" spans="1:7" x14ac:dyDescent="0.35">
      <c r="A45" s="109">
        <v>2239</v>
      </c>
      <c r="B45" s="107" t="s">
        <v>145</v>
      </c>
      <c r="C45" s="108">
        <v>4.4099999999999999E-3</v>
      </c>
      <c r="D45" s="108"/>
      <c r="E45" s="110">
        <v>40.26</v>
      </c>
    </row>
    <row r="46" spans="1:7" x14ac:dyDescent="0.35">
      <c r="A46" s="109">
        <v>2241</v>
      </c>
      <c r="B46" s="107" t="s">
        <v>124</v>
      </c>
      <c r="C46" s="108">
        <v>1.6500000000000001E-2</v>
      </c>
      <c r="D46" s="108"/>
      <c r="E46" s="110">
        <v>150.63999999999999</v>
      </c>
    </row>
    <row r="47" spans="1:7" x14ac:dyDescent="0.35">
      <c r="A47" s="109">
        <v>2242</v>
      </c>
      <c r="B47" s="111" t="s">
        <v>146</v>
      </c>
      <c r="C47" s="108">
        <v>2.2599999999999999E-3</v>
      </c>
      <c r="D47" s="108"/>
      <c r="E47" s="110">
        <v>20.63</v>
      </c>
    </row>
    <row r="48" spans="1:7" ht="15.75" customHeight="1" x14ac:dyDescent="0.35">
      <c r="A48" s="109">
        <v>2243</v>
      </c>
      <c r="B48" s="107" t="s">
        <v>138</v>
      </c>
      <c r="C48" s="108">
        <v>3.2599999999999997E-2</v>
      </c>
      <c r="D48" s="108"/>
      <c r="E48" s="110">
        <v>297.94</v>
      </c>
    </row>
    <row r="49" spans="1:5" x14ac:dyDescent="0.35">
      <c r="A49" s="109">
        <v>2244</v>
      </c>
      <c r="B49" s="107" t="s">
        <v>139</v>
      </c>
      <c r="C49" s="108">
        <v>0.20397000000000001</v>
      </c>
      <c r="D49" s="108"/>
      <c r="E49" s="110">
        <v>1862.23</v>
      </c>
    </row>
    <row r="50" spans="1:5" x14ac:dyDescent="0.35">
      <c r="A50" s="109">
        <v>2247</v>
      </c>
      <c r="B50" s="107" t="s">
        <v>147</v>
      </c>
      <c r="C50" s="108">
        <v>7.1900000000000002E-4</v>
      </c>
      <c r="D50" s="108"/>
      <c r="E50" s="110">
        <v>6.56</v>
      </c>
    </row>
    <row r="51" spans="1:5" x14ac:dyDescent="0.35">
      <c r="A51" s="109">
        <v>2249</v>
      </c>
      <c r="B51" s="107" t="s">
        <v>148</v>
      </c>
      <c r="C51" s="108">
        <v>2.32E-4</v>
      </c>
      <c r="D51" s="108"/>
      <c r="E51" s="110">
        <v>2.12</v>
      </c>
    </row>
    <row r="52" spans="1:5" x14ac:dyDescent="0.35">
      <c r="A52" s="109">
        <v>2250</v>
      </c>
      <c r="B52" s="107" t="s">
        <v>125</v>
      </c>
      <c r="C52" s="108">
        <v>2.4025999999999999E-2</v>
      </c>
      <c r="D52" s="108"/>
      <c r="E52" s="110">
        <v>219.76</v>
      </c>
    </row>
    <row r="53" spans="1:5" hidden="1" x14ac:dyDescent="0.35">
      <c r="A53" s="109">
        <v>2261</v>
      </c>
      <c r="B53" s="111" t="s">
        <v>99</v>
      </c>
      <c r="C53" s="108">
        <v>0</v>
      </c>
      <c r="D53" s="108"/>
      <c r="E53" s="110">
        <f>C53*9129.91</f>
        <v>0</v>
      </c>
    </row>
    <row r="54" spans="1:5" x14ac:dyDescent="0.35">
      <c r="A54" s="109">
        <v>2262</v>
      </c>
      <c r="B54" s="111" t="s">
        <v>149</v>
      </c>
      <c r="C54" s="108">
        <v>6.2599999999999999E-3</v>
      </c>
      <c r="D54" s="108"/>
      <c r="E54" s="110">
        <v>57.15</v>
      </c>
    </row>
    <row r="55" spans="1:5" x14ac:dyDescent="0.35">
      <c r="A55" s="109">
        <v>2263</v>
      </c>
      <c r="B55" s="111" t="s">
        <v>150</v>
      </c>
      <c r="C55" s="108">
        <v>4.58E-2</v>
      </c>
      <c r="D55" s="108"/>
      <c r="E55" s="110">
        <v>418.45</v>
      </c>
    </row>
    <row r="56" spans="1:5" x14ac:dyDescent="0.35">
      <c r="A56" s="109">
        <v>2264</v>
      </c>
      <c r="B56" s="107" t="s">
        <v>151</v>
      </c>
      <c r="C56" s="108">
        <v>1.49E-3</v>
      </c>
      <c r="D56" s="108"/>
      <c r="E56" s="110">
        <v>13.6</v>
      </c>
    </row>
    <row r="57" spans="1:5" x14ac:dyDescent="0.35">
      <c r="A57" s="109">
        <v>2311</v>
      </c>
      <c r="B57" s="111" t="s">
        <v>152</v>
      </c>
      <c r="C57" s="108">
        <v>4.7699999999999999E-3</v>
      </c>
      <c r="D57" s="108"/>
      <c r="E57" s="110">
        <v>43.55</v>
      </c>
    </row>
    <row r="58" spans="1:5" x14ac:dyDescent="0.35">
      <c r="A58" s="109">
        <v>2312</v>
      </c>
      <c r="B58" s="111" t="s">
        <v>117</v>
      </c>
      <c r="C58" s="108">
        <v>5.79E-3</v>
      </c>
      <c r="D58" s="108"/>
      <c r="E58" s="110">
        <v>52.86</v>
      </c>
    </row>
    <row r="59" spans="1:5" x14ac:dyDescent="0.35">
      <c r="A59" s="109">
        <v>2314</v>
      </c>
      <c r="B59" s="119" t="s">
        <v>153</v>
      </c>
      <c r="C59" s="108">
        <v>2.2200000000000002E-3</v>
      </c>
      <c r="D59" s="108"/>
      <c r="E59" s="110">
        <v>20.27</v>
      </c>
    </row>
    <row r="60" spans="1:5" x14ac:dyDescent="0.35">
      <c r="A60" s="109">
        <v>2321</v>
      </c>
      <c r="B60" s="111" t="s">
        <v>140</v>
      </c>
      <c r="C60" s="108">
        <v>1.9800000000000002E-2</v>
      </c>
      <c r="D60" s="108"/>
      <c r="E60" s="110">
        <v>180.77</v>
      </c>
    </row>
    <row r="61" spans="1:5" x14ac:dyDescent="0.35">
      <c r="A61" s="109">
        <v>2322</v>
      </c>
      <c r="B61" s="111" t="s">
        <v>154</v>
      </c>
      <c r="C61" s="108">
        <v>3.5000000000000001E-3</v>
      </c>
      <c r="D61" s="108"/>
      <c r="E61" s="110">
        <v>31.95</v>
      </c>
    </row>
    <row r="62" spans="1:5" hidden="1" x14ac:dyDescent="0.35">
      <c r="A62" s="109">
        <v>2341</v>
      </c>
      <c r="B62" s="111" t="s">
        <v>141</v>
      </c>
      <c r="C62" s="108"/>
      <c r="D62" s="108"/>
      <c r="E62" s="110">
        <f>C62*9129.91</f>
        <v>0</v>
      </c>
    </row>
    <row r="63" spans="1:5" x14ac:dyDescent="0.35">
      <c r="A63" s="109">
        <v>2350</v>
      </c>
      <c r="B63" s="108" t="s">
        <v>126</v>
      </c>
      <c r="C63" s="108">
        <v>8.5000000000000006E-3</v>
      </c>
      <c r="D63" s="108"/>
      <c r="E63" s="110">
        <v>77.599999999999994</v>
      </c>
    </row>
    <row r="64" spans="1:5" x14ac:dyDescent="0.35">
      <c r="A64" s="109">
        <v>2512</v>
      </c>
      <c r="B64" s="111" t="s">
        <v>155</v>
      </c>
      <c r="C64" s="108">
        <v>0</v>
      </c>
      <c r="D64" s="108">
        <v>3.59</v>
      </c>
      <c r="E64" s="110">
        <v>0</v>
      </c>
    </row>
    <row r="65" spans="1:6" ht="15.75" customHeight="1" x14ac:dyDescent="0.35">
      <c r="A65" s="109">
        <v>2513</v>
      </c>
      <c r="B65" s="108" t="s">
        <v>122</v>
      </c>
      <c r="C65" s="108">
        <v>1.4599999999999999E-3</v>
      </c>
      <c r="D65" s="108"/>
      <c r="E65" s="110">
        <v>13.33</v>
      </c>
    </row>
    <row r="66" spans="1:6" x14ac:dyDescent="0.35">
      <c r="A66" s="109">
        <v>2515</v>
      </c>
      <c r="B66" s="111" t="s">
        <v>156</v>
      </c>
      <c r="C66" s="108">
        <v>1.9E-3</v>
      </c>
      <c r="D66" s="108"/>
      <c r="E66" s="110">
        <v>17.350000000000001</v>
      </c>
    </row>
    <row r="67" spans="1:6" x14ac:dyDescent="0.35">
      <c r="A67" s="109">
        <v>2519</v>
      </c>
      <c r="B67" s="111" t="s">
        <v>123</v>
      </c>
      <c r="C67" s="108">
        <v>2E-3</v>
      </c>
      <c r="D67" s="108"/>
      <c r="E67" s="110">
        <v>18.260000000000002</v>
      </c>
    </row>
    <row r="68" spans="1:6" x14ac:dyDescent="0.35">
      <c r="A68" s="109">
        <v>5220</v>
      </c>
      <c r="B68" s="111" t="s">
        <v>129</v>
      </c>
      <c r="C68" s="108">
        <v>1.06E-2</v>
      </c>
      <c r="D68" s="108"/>
      <c r="E68" s="110">
        <v>96.78</v>
      </c>
    </row>
    <row r="69" spans="1:6" x14ac:dyDescent="0.35">
      <c r="A69" s="109">
        <v>5238</v>
      </c>
      <c r="B69" s="108" t="s">
        <v>130</v>
      </c>
      <c r="C69" s="108">
        <v>1.65E-3</v>
      </c>
      <c r="D69" s="108"/>
      <c r="E69" s="110">
        <v>15.15</v>
      </c>
    </row>
    <row r="70" spans="1:6" x14ac:dyDescent="0.35">
      <c r="A70" s="109">
        <v>5239</v>
      </c>
      <c r="B70" s="108" t="s">
        <v>131</v>
      </c>
      <c r="C70" s="108">
        <v>1.9800000000000002E-2</v>
      </c>
      <c r="D70" s="108"/>
      <c r="E70" s="110">
        <v>180.77</v>
      </c>
    </row>
    <row r="71" spans="1:6" x14ac:dyDescent="0.35">
      <c r="A71" s="109">
        <v>5250</v>
      </c>
      <c r="B71" s="111" t="s">
        <v>132</v>
      </c>
      <c r="C71" s="108">
        <v>2.5000000000000001E-2</v>
      </c>
      <c r="D71" s="108"/>
      <c r="E71" s="110">
        <v>228.25</v>
      </c>
    </row>
    <row r="72" spans="1:6" x14ac:dyDescent="0.35">
      <c r="A72" s="116"/>
      <c r="B72" s="120" t="s">
        <v>97</v>
      </c>
      <c r="C72" s="108">
        <f>SUM(C36:C71)</f>
        <v>0.99988380000000032</v>
      </c>
      <c r="D72" s="108"/>
      <c r="E72" s="114">
        <f>SUM(E36:E71)</f>
        <v>9129.9100000000035</v>
      </c>
    </row>
    <row r="73" spans="1:6" x14ac:dyDescent="0.35">
      <c r="A73" s="116"/>
      <c r="B73" s="120" t="s">
        <v>98</v>
      </c>
      <c r="C73" s="120"/>
      <c r="D73" s="120"/>
      <c r="E73" s="114">
        <f>E34+E72</f>
        <v>25406.500000000004</v>
      </c>
    </row>
    <row r="74" spans="1:6" ht="12.75" customHeight="1" x14ac:dyDescent="0.35">
      <c r="A74" s="96"/>
      <c r="B74" s="97"/>
      <c r="C74" s="97"/>
      <c r="D74" s="97"/>
      <c r="E74" s="121"/>
    </row>
    <row r="75" spans="1:6" ht="15.75" customHeight="1" x14ac:dyDescent="0.35">
      <c r="A75" s="329" t="s">
        <v>107</v>
      </c>
      <c r="B75" s="329"/>
      <c r="C75" s="122"/>
      <c r="D75" s="122"/>
      <c r="E75" s="123">
        <v>850</v>
      </c>
    </row>
    <row r="76" spans="1:6" ht="15.75" customHeight="1" x14ac:dyDescent="0.35">
      <c r="A76" s="329" t="s">
        <v>58</v>
      </c>
      <c r="B76" s="329"/>
      <c r="C76" s="122"/>
      <c r="D76" s="122"/>
      <c r="E76" s="124">
        <f>E73/E75</f>
        <v>29.890000000000004</v>
      </c>
      <c r="F76" s="133"/>
    </row>
    <row r="77" spans="1:6" ht="9.75" customHeight="1" x14ac:dyDescent="0.35">
      <c r="A77" s="101"/>
      <c r="B77" s="125"/>
      <c r="C77" s="125"/>
      <c r="D77" s="125"/>
    </row>
    <row r="78" spans="1:6" ht="15.75" customHeight="1" x14ac:dyDescent="0.35">
      <c r="A78" s="326" t="s">
        <v>33</v>
      </c>
      <c r="B78" s="326"/>
      <c r="C78" s="126"/>
      <c r="D78" s="126"/>
      <c r="E78" s="127"/>
    </row>
    <row r="79" spans="1:6" ht="15.75" customHeight="1" x14ac:dyDescent="0.35">
      <c r="A79" s="326" t="s">
        <v>64</v>
      </c>
      <c r="B79" s="326"/>
      <c r="C79" s="126"/>
      <c r="D79" s="126"/>
      <c r="E79" s="134"/>
    </row>
    <row r="80" spans="1:6" ht="8.25" customHeight="1" x14ac:dyDescent="0.35">
      <c r="A80" s="128"/>
      <c r="B80" s="128"/>
      <c r="C80" s="128"/>
      <c r="D80" s="128"/>
      <c r="E80" s="128"/>
    </row>
    <row r="81" spans="1:5" x14ac:dyDescent="0.35">
      <c r="A81" s="128" t="s">
        <v>34</v>
      </c>
      <c r="B81" s="128"/>
      <c r="C81" s="128"/>
      <c r="D81" s="128"/>
      <c r="E81" s="129"/>
    </row>
    <row r="82" spans="1:5" x14ac:dyDescent="0.35">
      <c r="A82" s="128"/>
      <c r="B82" s="128"/>
      <c r="C82" s="128"/>
      <c r="D82" s="128"/>
      <c r="E82" s="129"/>
    </row>
    <row r="83" spans="1:5" x14ac:dyDescent="0.35">
      <c r="A83" s="128" t="s">
        <v>109</v>
      </c>
      <c r="B83" s="130"/>
      <c r="C83" s="130"/>
      <c r="D83" s="130"/>
      <c r="E83" s="128"/>
    </row>
    <row r="84" spans="1:5" x14ac:dyDescent="0.35">
      <c r="B84" s="131"/>
      <c r="C84" s="131"/>
      <c r="D84" s="131"/>
      <c r="E84" s="132"/>
    </row>
    <row r="86" spans="1:5" x14ac:dyDescent="0.35">
      <c r="E86" s="115"/>
    </row>
  </sheetData>
  <mergeCells count="7">
    <mergeCell ref="A7:C7"/>
    <mergeCell ref="A75:B75"/>
    <mergeCell ref="A76:B76"/>
    <mergeCell ref="A78:B78"/>
    <mergeCell ref="A79:B79"/>
    <mergeCell ref="A9:B9"/>
    <mergeCell ref="A10:B10"/>
  </mergeCells>
  <pageMargins left="0.94488188976377963" right="0.55118110236220474" top="0.39370078740157483" bottom="0.74803149606299213" header="0.31496062992125984" footer="0.16"/>
  <pageSetup paperSize="9" scale="58" firstPageNumber="8" orientation="portrait" useFirstPageNumber="1" r:id="rId1"/>
  <headerFooter>
    <oddFooter>&amp;C&amp;"Times New Roman,Regular"&amp;F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topLeftCell="A52" zoomScale="90" zoomScaleNormal="100" zoomScalePageLayoutView="90" workbookViewId="0">
      <selection activeCell="E64" sqref="E64"/>
    </sheetView>
  </sheetViews>
  <sheetFormatPr defaultColWidth="9.1796875" defaultRowHeight="15.5" x14ac:dyDescent="0.35"/>
  <cols>
    <col min="1" max="1" width="19.453125" style="14" customWidth="1"/>
    <col min="2" max="2" width="86.54296875" style="14" customWidth="1"/>
    <col min="3" max="4" width="10" style="14" hidden="1" customWidth="1"/>
    <col min="5" max="5" width="32" style="14" customWidth="1"/>
    <col min="6" max="16384" width="9.1796875" style="14"/>
  </cols>
  <sheetData>
    <row r="1" spans="1:5" ht="15.75" customHeight="1" x14ac:dyDescent="0.35">
      <c r="B1" s="15"/>
      <c r="C1" s="15"/>
      <c r="D1" s="15"/>
      <c r="E1" s="18" t="s">
        <v>10</v>
      </c>
    </row>
    <row r="2" spans="1:5" x14ac:dyDescent="0.35">
      <c r="C2" s="74"/>
      <c r="D2" s="74"/>
      <c r="E2" s="15" t="s">
        <v>32</v>
      </c>
    </row>
    <row r="3" spans="1:5" x14ac:dyDescent="0.35">
      <c r="B3" s="61"/>
      <c r="C3" s="61"/>
      <c r="D3" s="61"/>
      <c r="E3" s="80" t="s">
        <v>66</v>
      </c>
    </row>
    <row r="4" spans="1:5" x14ac:dyDescent="0.35">
      <c r="B4" s="15"/>
      <c r="C4" s="15"/>
      <c r="D4" s="15"/>
      <c r="E4" s="16"/>
    </row>
    <row r="5" spans="1:5" x14ac:dyDescent="0.35">
      <c r="B5" s="74"/>
      <c r="C5" s="74"/>
      <c r="D5" s="74"/>
      <c r="E5" s="16" t="s">
        <v>168</v>
      </c>
    </row>
    <row r="6" spans="1:5" x14ac:dyDescent="0.35">
      <c r="E6" s="26"/>
    </row>
    <row r="7" spans="1:5" x14ac:dyDescent="0.35">
      <c r="A7" s="318" t="s">
        <v>9</v>
      </c>
      <c r="B7" s="318"/>
      <c r="C7" s="318"/>
      <c r="D7" s="73"/>
    </row>
    <row r="8" spans="1:5" x14ac:dyDescent="0.35">
      <c r="B8" s="19"/>
      <c r="C8" s="19"/>
      <c r="D8" s="19"/>
      <c r="E8" s="26"/>
    </row>
    <row r="9" spans="1:5" x14ac:dyDescent="0.35">
      <c r="A9" s="321" t="s">
        <v>1</v>
      </c>
      <c r="B9" s="321"/>
      <c r="C9" s="12"/>
      <c r="D9" s="12"/>
      <c r="E9" s="26"/>
    </row>
    <row r="10" spans="1:5" x14ac:dyDescent="0.35">
      <c r="A10" s="321" t="s">
        <v>0</v>
      </c>
      <c r="B10" s="321"/>
      <c r="C10" s="12"/>
      <c r="D10" s="12"/>
      <c r="E10" s="26"/>
    </row>
    <row r="11" spans="1:5" x14ac:dyDescent="0.35">
      <c r="A11" s="12"/>
      <c r="B11" s="12" t="s">
        <v>31</v>
      </c>
      <c r="C11" s="12"/>
      <c r="D11" s="12"/>
      <c r="E11" s="26"/>
    </row>
    <row r="12" spans="1:5" x14ac:dyDescent="0.35">
      <c r="A12" s="12"/>
      <c r="B12" s="44" t="s">
        <v>164</v>
      </c>
      <c r="C12" s="53"/>
      <c r="D12" s="53"/>
      <c r="E12" s="26"/>
    </row>
    <row r="13" spans="1:5" x14ac:dyDescent="0.35">
      <c r="A13" s="12"/>
      <c r="B13" s="87" t="s">
        <v>165</v>
      </c>
      <c r="C13" s="87"/>
      <c r="D13" s="87"/>
      <c r="E13" s="26"/>
    </row>
    <row r="14" spans="1:5" x14ac:dyDescent="0.35">
      <c r="A14" s="12" t="s">
        <v>2</v>
      </c>
      <c r="B14" s="12" t="s">
        <v>167</v>
      </c>
      <c r="C14" s="12"/>
      <c r="D14" s="12"/>
      <c r="E14" s="26"/>
    </row>
    <row r="15" spans="1:5" ht="69.75" customHeight="1" x14ac:dyDescent="0.35">
      <c r="A15" s="52" t="s">
        <v>3</v>
      </c>
      <c r="B15" s="52" t="s">
        <v>4</v>
      </c>
      <c r="C15" s="52"/>
      <c r="D15" s="52"/>
      <c r="E15" s="52" t="s">
        <v>135</v>
      </c>
    </row>
    <row r="16" spans="1:5" x14ac:dyDescent="0.35">
      <c r="A16" s="21">
        <v>1</v>
      </c>
      <c r="B16" s="22">
        <v>2</v>
      </c>
      <c r="C16" s="22"/>
      <c r="D16" s="22"/>
      <c r="E16" s="22">
        <v>3</v>
      </c>
    </row>
    <row r="17" spans="1:5" x14ac:dyDescent="0.35">
      <c r="A17" s="21"/>
      <c r="B17" s="23" t="s">
        <v>5</v>
      </c>
      <c r="C17" s="23"/>
      <c r="D17" s="23"/>
      <c r="E17" s="62"/>
    </row>
    <row r="18" spans="1:5" x14ac:dyDescent="0.35">
      <c r="A18" s="32">
        <v>1100</v>
      </c>
      <c r="B18" s="32" t="s">
        <v>133</v>
      </c>
      <c r="C18" s="32"/>
      <c r="D18" s="32">
        <f>7.12/1.2359</f>
        <v>5.760983898373655</v>
      </c>
      <c r="E18" s="34">
        <v>5472.93</v>
      </c>
    </row>
    <row r="19" spans="1:5" x14ac:dyDescent="0.35">
      <c r="A19" s="32">
        <v>1200</v>
      </c>
      <c r="B19" s="62" t="s">
        <v>134</v>
      </c>
      <c r="C19" s="62"/>
      <c r="D19" s="62">
        <f>D18*0.2359</f>
        <v>1.3590161016263451</v>
      </c>
      <c r="E19" s="34">
        <v>1291.06</v>
      </c>
    </row>
    <row r="20" spans="1:5" x14ac:dyDescent="0.35">
      <c r="A20" s="32">
        <v>2210</v>
      </c>
      <c r="B20" s="63" t="s">
        <v>121</v>
      </c>
      <c r="C20" s="62"/>
      <c r="D20" s="62">
        <v>0.08</v>
      </c>
      <c r="E20" s="34">
        <f t="shared" ref="E20:E32" si="0">D20*950</f>
        <v>76</v>
      </c>
    </row>
    <row r="21" spans="1:5" x14ac:dyDescent="0.35">
      <c r="A21" s="32">
        <v>2222</v>
      </c>
      <c r="B21" s="63" t="s">
        <v>136</v>
      </c>
      <c r="C21" s="62"/>
      <c r="D21" s="62">
        <v>1.9927999999999999</v>
      </c>
      <c r="E21" s="34">
        <v>1893.16</v>
      </c>
    </row>
    <row r="22" spans="1:5" x14ac:dyDescent="0.35">
      <c r="A22" s="32">
        <v>2223</v>
      </c>
      <c r="B22" s="63" t="s">
        <v>137</v>
      </c>
      <c r="C22" s="62"/>
      <c r="D22" s="62">
        <v>1.18953</v>
      </c>
      <c r="E22" s="34">
        <v>1130.05</v>
      </c>
    </row>
    <row r="23" spans="1:5" x14ac:dyDescent="0.35">
      <c r="A23" s="32">
        <v>2243</v>
      </c>
      <c r="B23" s="23" t="s">
        <v>138</v>
      </c>
      <c r="C23" s="62"/>
      <c r="D23" s="62">
        <v>0.06</v>
      </c>
      <c r="E23" s="34">
        <f t="shared" si="0"/>
        <v>57</v>
      </c>
    </row>
    <row r="24" spans="1:5" x14ac:dyDescent="0.35">
      <c r="A24" s="32">
        <v>2244</v>
      </c>
      <c r="B24" s="23" t="s">
        <v>139</v>
      </c>
      <c r="C24" s="62"/>
      <c r="D24" s="62">
        <v>1.8304</v>
      </c>
      <c r="E24" s="34">
        <v>1738.88</v>
      </c>
    </row>
    <row r="25" spans="1:5" x14ac:dyDescent="0.35">
      <c r="A25" s="32">
        <v>2250</v>
      </c>
      <c r="B25" s="23" t="s">
        <v>125</v>
      </c>
      <c r="C25" s="62"/>
      <c r="D25" s="62">
        <v>0.16</v>
      </c>
      <c r="E25" s="34">
        <f t="shared" si="0"/>
        <v>152</v>
      </c>
    </row>
    <row r="26" spans="1:5" x14ac:dyDescent="0.35">
      <c r="A26" s="32">
        <v>2311</v>
      </c>
      <c r="B26" s="63" t="s">
        <v>152</v>
      </c>
      <c r="C26" s="62"/>
      <c r="D26" s="62">
        <v>0.48</v>
      </c>
      <c r="E26" s="34">
        <f t="shared" si="0"/>
        <v>456</v>
      </c>
    </row>
    <row r="27" spans="1:5" x14ac:dyDescent="0.35">
      <c r="A27" s="32">
        <v>2312</v>
      </c>
      <c r="B27" s="23" t="s">
        <v>117</v>
      </c>
      <c r="C27" s="62"/>
      <c r="D27" s="62">
        <v>1.63</v>
      </c>
      <c r="E27" s="34">
        <f t="shared" si="0"/>
        <v>1548.5</v>
      </c>
    </row>
    <row r="28" spans="1:5" x14ac:dyDescent="0.35">
      <c r="A28" s="32">
        <v>2321</v>
      </c>
      <c r="B28" s="63" t="s">
        <v>140</v>
      </c>
      <c r="C28" s="62"/>
      <c r="D28" s="62">
        <v>1.5491587</v>
      </c>
      <c r="E28" s="34">
        <v>1471.7</v>
      </c>
    </row>
    <row r="29" spans="1:5" x14ac:dyDescent="0.35">
      <c r="A29" s="32">
        <v>2350</v>
      </c>
      <c r="B29" s="62" t="s">
        <v>126</v>
      </c>
      <c r="C29" s="62"/>
      <c r="D29" s="62">
        <v>0.33</v>
      </c>
      <c r="E29" s="34">
        <f t="shared" si="0"/>
        <v>313.5</v>
      </c>
    </row>
    <row r="30" spans="1:5" x14ac:dyDescent="0.35">
      <c r="A30" s="32">
        <v>2361</v>
      </c>
      <c r="B30" s="63" t="s">
        <v>142</v>
      </c>
      <c r="C30" s="62"/>
      <c r="D30" s="62">
        <v>0.28000000000000003</v>
      </c>
      <c r="E30" s="34">
        <f t="shared" si="0"/>
        <v>266</v>
      </c>
    </row>
    <row r="31" spans="1:5" x14ac:dyDescent="0.35">
      <c r="A31" s="32">
        <v>2362</v>
      </c>
      <c r="B31" s="86" t="s">
        <v>157</v>
      </c>
      <c r="C31" s="62"/>
      <c r="D31" s="62">
        <v>0.18</v>
      </c>
      <c r="E31" s="34">
        <f t="shared" si="0"/>
        <v>171</v>
      </c>
    </row>
    <row r="32" spans="1:5" x14ac:dyDescent="0.35">
      <c r="A32" s="32">
        <v>2363</v>
      </c>
      <c r="B32" s="63" t="s">
        <v>143</v>
      </c>
      <c r="C32" s="62"/>
      <c r="D32" s="62">
        <v>8.1199999999999992</v>
      </c>
      <c r="E32" s="34">
        <f t="shared" si="0"/>
        <v>7713.9999999999991</v>
      </c>
    </row>
    <row r="33" spans="1:6" x14ac:dyDescent="0.35">
      <c r="A33" s="32">
        <v>5239</v>
      </c>
      <c r="B33" s="62" t="s">
        <v>131</v>
      </c>
      <c r="C33" s="62"/>
      <c r="D33" s="62">
        <v>0.50716499999999998</v>
      </c>
      <c r="E33" s="34">
        <v>481.81</v>
      </c>
    </row>
    <row r="34" spans="1:6" x14ac:dyDescent="0.35">
      <c r="A34" s="32"/>
      <c r="B34" s="81" t="s">
        <v>6</v>
      </c>
      <c r="C34" s="81"/>
      <c r="D34" s="89">
        <f>SUM(D18:D33)</f>
        <v>25.509053699999996</v>
      </c>
      <c r="E34" s="38">
        <f>SUM(E18:E33)</f>
        <v>24233.59</v>
      </c>
      <c r="F34" s="59"/>
    </row>
    <row r="35" spans="1:6" x14ac:dyDescent="0.35">
      <c r="A35" s="39"/>
      <c r="B35" s="81" t="s">
        <v>7</v>
      </c>
      <c r="C35" s="81"/>
      <c r="D35" s="81"/>
      <c r="E35" s="34"/>
    </row>
    <row r="36" spans="1:6" x14ac:dyDescent="0.35">
      <c r="A36" s="32">
        <v>1100</v>
      </c>
      <c r="B36" s="23" t="s">
        <v>133</v>
      </c>
      <c r="C36" s="62">
        <f>0.388+0.024</f>
        <v>0.41200000000000003</v>
      </c>
      <c r="D36" s="62"/>
      <c r="E36" s="34">
        <v>5433</v>
      </c>
    </row>
    <row r="37" spans="1:6" ht="16.5" customHeight="1" x14ac:dyDescent="0.35">
      <c r="A37" s="32">
        <v>1200</v>
      </c>
      <c r="B37" s="23" t="s">
        <v>134</v>
      </c>
      <c r="C37" s="62">
        <f>C36*0.2359</f>
        <v>9.7190800000000008E-2</v>
      </c>
      <c r="D37" s="62"/>
      <c r="E37" s="34">
        <v>1281.6400000000001</v>
      </c>
    </row>
    <row r="38" spans="1:6" ht="16.5" customHeight="1" x14ac:dyDescent="0.35">
      <c r="A38" s="32">
        <v>2100</v>
      </c>
      <c r="B38" s="25" t="s">
        <v>45</v>
      </c>
      <c r="C38" s="62">
        <v>1.1659999999999999E-3</v>
      </c>
      <c r="D38" s="62"/>
      <c r="E38" s="34">
        <v>15.38</v>
      </c>
    </row>
    <row r="39" spans="1:6" x14ac:dyDescent="0.35">
      <c r="A39" s="35">
        <v>2210</v>
      </c>
      <c r="B39" s="63" t="s">
        <v>121</v>
      </c>
      <c r="C39" s="62">
        <v>7.6E-3</v>
      </c>
      <c r="D39" s="62"/>
      <c r="E39" s="34">
        <v>100.22</v>
      </c>
    </row>
    <row r="40" spans="1:6" x14ac:dyDescent="0.35">
      <c r="A40" s="32">
        <v>2222</v>
      </c>
      <c r="B40" s="63" t="s">
        <v>136</v>
      </c>
      <c r="C40" s="62">
        <v>9.4999999999999998E-3</v>
      </c>
      <c r="D40" s="62"/>
      <c r="E40" s="34">
        <v>125.28</v>
      </c>
    </row>
    <row r="41" spans="1:6" x14ac:dyDescent="0.35">
      <c r="A41" s="32">
        <v>2223</v>
      </c>
      <c r="B41" s="63" t="s">
        <v>137</v>
      </c>
      <c r="C41" s="62">
        <v>1.9019999999999999E-2</v>
      </c>
      <c r="D41" s="62"/>
      <c r="E41" s="34">
        <v>250.81</v>
      </c>
    </row>
    <row r="42" spans="1:6" ht="31" x14ac:dyDescent="0.35">
      <c r="A42" s="32">
        <v>2224</v>
      </c>
      <c r="B42" s="63" t="s">
        <v>144</v>
      </c>
      <c r="C42" s="62">
        <v>4.9500000000000004E-3</v>
      </c>
      <c r="D42" s="62"/>
      <c r="E42" s="34">
        <v>65.28</v>
      </c>
    </row>
    <row r="43" spans="1:6" ht="15.75" customHeight="1" x14ac:dyDescent="0.35">
      <c r="A43" s="32">
        <v>2231</v>
      </c>
      <c r="B43" s="23" t="s">
        <v>127</v>
      </c>
      <c r="C43" s="62">
        <v>1.5499999999999999E-3</v>
      </c>
      <c r="D43" s="62"/>
      <c r="E43" s="34">
        <v>20.440000000000001</v>
      </c>
    </row>
    <row r="44" spans="1:6" ht="15.75" customHeight="1" x14ac:dyDescent="0.35">
      <c r="A44" s="32">
        <v>2235</v>
      </c>
      <c r="B44" s="78" t="s">
        <v>128</v>
      </c>
      <c r="C44" s="62">
        <v>1.65E-3</v>
      </c>
      <c r="D44" s="62"/>
      <c r="E44" s="34">
        <v>21.76</v>
      </c>
    </row>
    <row r="45" spans="1:6" x14ac:dyDescent="0.35">
      <c r="A45" s="32">
        <v>2239</v>
      </c>
      <c r="B45" s="23" t="s">
        <v>145</v>
      </c>
      <c r="C45" s="62">
        <v>4.4099999999999999E-3</v>
      </c>
      <c r="D45" s="62"/>
      <c r="E45" s="34">
        <v>58.15</v>
      </c>
    </row>
    <row r="46" spans="1:6" x14ac:dyDescent="0.35">
      <c r="A46" s="32">
        <v>2241</v>
      </c>
      <c r="B46" s="23" t="s">
        <v>124</v>
      </c>
      <c r="C46" s="62">
        <v>1.6500000000000001E-2</v>
      </c>
      <c r="D46" s="62"/>
      <c r="E46" s="34">
        <v>217.58</v>
      </c>
    </row>
    <row r="47" spans="1:6" x14ac:dyDescent="0.35">
      <c r="A47" s="32">
        <v>2242</v>
      </c>
      <c r="B47" s="63" t="s">
        <v>146</v>
      </c>
      <c r="C47" s="62">
        <v>2.2599999999999999E-3</v>
      </c>
      <c r="D47" s="62"/>
      <c r="E47" s="34">
        <v>29.8</v>
      </c>
    </row>
    <row r="48" spans="1:6" ht="15.75" customHeight="1" x14ac:dyDescent="0.35">
      <c r="A48" s="32">
        <v>2243</v>
      </c>
      <c r="B48" s="23" t="s">
        <v>138</v>
      </c>
      <c r="C48" s="62">
        <v>3.2599999999999997E-2</v>
      </c>
      <c r="D48" s="62"/>
      <c r="E48" s="34">
        <v>429.89</v>
      </c>
    </row>
    <row r="49" spans="1:5" x14ac:dyDescent="0.35">
      <c r="A49" s="32">
        <v>2244</v>
      </c>
      <c r="B49" s="23" t="s">
        <v>139</v>
      </c>
      <c r="C49" s="62">
        <v>0.20397000000000001</v>
      </c>
      <c r="D49" s="62"/>
      <c r="E49" s="34">
        <v>2689.73</v>
      </c>
    </row>
    <row r="50" spans="1:5" x14ac:dyDescent="0.35">
      <c r="A50" s="32">
        <v>2247</v>
      </c>
      <c r="B50" s="23" t="s">
        <v>147</v>
      </c>
      <c r="C50" s="62">
        <v>7.1900000000000002E-4</v>
      </c>
      <c r="D50" s="62"/>
      <c r="E50" s="34">
        <v>9.48</v>
      </c>
    </row>
    <row r="51" spans="1:5" x14ac:dyDescent="0.35">
      <c r="A51" s="32">
        <v>2249</v>
      </c>
      <c r="B51" s="23" t="s">
        <v>148</v>
      </c>
      <c r="C51" s="62">
        <v>2.32E-4</v>
      </c>
      <c r="D51" s="62"/>
      <c r="E51" s="34">
        <v>3.06</v>
      </c>
    </row>
    <row r="52" spans="1:5" x14ac:dyDescent="0.35">
      <c r="A52" s="32">
        <v>2250</v>
      </c>
      <c r="B52" s="23" t="s">
        <v>125</v>
      </c>
      <c r="C52" s="62">
        <v>2.4025999999999999E-2</v>
      </c>
      <c r="D52" s="62"/>
      <c r="E52" s="34">
        <v>316.83</v>
      </c>
    </row>
    <row r="53" spans="1:5" hidden="1" x14ac:dyDescent="0.35">
      <c r="A53" s="32">
        <v>2261</v>
      </c>
      <c r="B53" s="63" t="s">
        <v>99</v>
      </c>
      <c r="C53" s="62">
        <v>0</v>
      </c>
      <c r="D53" s="62"/>
      <c r="E53" s="34">
        <f>C53*13186.9</f>
        <v>0</v>
      </c>
    </row>
    <row r="54" spans="1:5" x14ac:dyDescent="0.35">
      <c r="A54" s="32">
        <v>2262</v>
      </c>
      <c r="B54" s="63" t="s">
        <v>149</v>
      </c>
      <c r="C54" s="62">
        <v>6.2599999999999999E-3</v>
      </c>
      <c r="D54" s="62"/>
      <c r="E54" s="34">
        <v>82.55</v>
      </c>
    </row>
    <row r="55" spans="1:5" x14ac:dyDescent="0.35">
      <c r="A55" s="32">
        <v>2263</v>
      </c>
      <c r="B55" s="63" t="s">
        <v>150</v>
      </c>
      <c r="C55" s="62">
        <v>4.58E-2</v>
      </c>
      <c r="D55" s="62"/>
      <c r="E55" s="34">
        <v>604.53</v>
      </c>
    </row>
    <row r="56" spans="1:5" x14ac:dyDescent="0.35">
      <c r="A56" s="32">
        <v>2264</v>
      </c>
      <c r="B56" s="23" t="s">
        <v>151</v>
      </c>
      <c r="C56" s="62">
        <v>1.49E-3</v>
      </c>
      <c r="D56" s="62"/>
      <c r="E56" s="34">
        <v>19.649999999999999</v>
      </c>
    </row>
    <row r="57" spans="1:5" x14ac:dyDescent="0.35">
      <c r="A57" s="32">
        <v>2311</v>
      </c>
      <c r="B57" s="63" t="s">
        <v>152</v>
      </c>
      <c r="C57" s="62">
        <v>4.7699999999999999E-3</v>
      </c>
      <c r="D57" s="62"/>
      <c r="E57" s="34">
        <v>62.9</v>
      </c>
    </row>
    <row r="58" spans="1:5" x14ac:dyDescent="0.35">
      <c r="A58" s="32">
        <v>2312</v>
      </c>
      <c r="B58" s="63" t="s">
        <v>117</v>
      </c>
      <c r="C58" s="62">
        <v>5.79E-3</v>
      </c>
      <c r="D58" s="62"/>
      <c r="E58" s="34">
        <v>76.349999999999994</v>
      </c>
    </row>
    <row r="59" spans="1:5" x14ac:dyDescent="0.35">
      <c r="A59" s="32">
        <v>2314</v>
      </c>
      <c r="B59" s="78" t="s">
        <v>153</v>
      </c>
      <c r="C59" s="62">
        <v>2.2200000000000002E-3</v>
      </c>
      <c r="D59" s="62"/>
      <c r="E59" s="34">
        <v>29.27</v>
      </c>
    </row>
    <row r="60" spans="1:5" x14ac:dyDescent="0.35">
      <c r="A60" s="32">
        <v>2321</v>
      </c>
      <c r="B60" s="63" t="s">
        <v>140</v>
      </c>
      <c r="C60" s="62">
        <v>1.9800000000000002E-2</v>
      </c>
      <c r="D60" s="62"/>
      <c r="E60" s="34">
        <v>261.10000000000002</v>
      </c>
    </row>
    <row r="61" spans="1:5" x14ac:dyDescent="0.35">
      <c r="A61" s="32">
        <v>2322</v>
      </c>
      <c r="B61" s="63" t="s">
        <v>154</v>
      </c>
      <c r="C61" s="62">
        <v>3.5000000000000001E-3</v>
      </c>
      <c r="D61" s="62"/>
      <c r="E61" s="34">
        <v>46.15</v>
      </c>
    </row>
    <row r="62" spans="1:5" hidden="1" x14ac:dyDescent="0.35">
      <c r="A62" s="32">
        <v>2341</v>
      </c>
      <c r="B62" s="63" t="s">
        <v>141</v>
      </c>
      <c r="C62" s="62"/>
      <c r="D62" s="62"/>
      <c r="E62" s="34">
        <f>C62*13186.9</f>
        <v>0</v>
      </c>
    </row>
    <row r="63" spans="1:5" x14ac:dyDescent="0.35">
      <c r="A63" s="32">
        <v>2350</v>
      </c>
      <c r="B63" s="62" t="s">
        <v>126</v>
      </c>
      <c r="C63" s="62">
        <v>8.5000000000000006E-3</v>
      </c>
      <c r="D63" s="62"/>
      <c r="E63" s="34">
        <v>112.09</v>
      </c>
    </row>
    <row r="64" spans="1:5" x14ac:dyDescent="0.35">
      <c r="A64" s="32">
        <v>2512</v>
      </c>
      <c r="B64" s="63" t="s">
        <v>155</v>
      </c>
      <c r="C64" s="62">
        <v>0</v>
      </c>
      <c r="D64" s="62">
        <v>4.7300000000000004</v>
      </c>
      <c r="E64" s="34">
        <f>D64*950</f>
        <v>4493.5</v>
      </c>
    </row>
    <row r="65" spans="1:5" ht="15.75" customHeight="1" x14ac:dyDescent="0.35">
      <c r="A65" s="32">
        <v>2513</v>
      </c>
      <c r="B65" s="62" t="s">
        <v>122</v>
      </c>
      <c r="C65" s="62">
        <v>1.4599999999999999E-3</v>
      </c>
      <c r="D65" s="62"/>
      <c r="E65" s="34">
        <v>19.25</v>
      </c>
    </row>
    <row r="66" spans="1:5" x14ac:dyDescent="0.35">
      <c r="A66" s="32">
        <v>2515</v>
      </c>
      <c r="B66" s="63" t="s">
        <v>156</v>
      </c>
      <c r="C66" s="62">
        <v>1.9E-3</v>
      </c>
      <c r="D66" s="62"/>
      <c r="E66" s="34">
        <v>25.06</v>
      </c>
    </row>
    <row r="67" spans="1:5" x14ac:dyDescent="0.35">
      <c r="A67" s="32">
        <v>2519</v>
      </c>
      <c r="B67" s="63" t="s">
        <v>123</v>
      </c>
      <c r="C67" s="62">
        <v>2E-3</v>
      </c>
      <c r="D67" s="62"/>
      <c r="E67" s="34">
        <v>26.37</v>
      </c>
    </row>
    <row r="68" spans="1:5" x14ac:dyDescent="0.35">
      <c r="A68" s="32">
        <v>5220</v>
      </c>
      <c r="B68" s="63" t="s">
        <v>129</v>
      </c>
      <c r="C68" s="62">
        <v>1.06E-2</v>
      </c>
      <c r="D68" s="62"/>
      <c r="E68" s="34">
        <v>139.78</v>
      </c>
    </row>
    <row r="69" spans="1:5" x14ac:dyDescent="0.35">
      <c r="A69" s="32">
        <v>5238</v>
      </c>
      <c r="B69" s="62" t="s">
        <v>130</v>
      </c>
      <c r="C69" s="62">
        <v>1.65E-3</v>
      </c>
      <c r="D69" s="62"/>
      <c r="E69" s="34">
        <v>22.76</v>
      </c>
    </row>
    <row r="70" spans="1:5" x14ac:dyDescent="0.35">
      <c r="A70" s="32">
        <v>5239</v>
      </c>
      <c r="B70" s="62" t="s">
        <v>131</v>
      </c>
      <c r="C70" s="62">
        <v>1.9800000000000002E-2</v>
      </c>
      <c r="D70" s="62"/>
      <c r="E70" s="34">
        <v>261.10000000000002</v>
      </c>
    </row>
    <row r="71" spans="1:5" x14ac:dyDescent="0.35">
      <c r="A71" s="32">
        <v>5250</v>
      </c>
      <c r="B71" s="63" t="s">
        <v>132</v>
      </c>
      <c r="C71" s="62">
        <v>2.5000000000000001E-2</v>
      </c>
      <c r="D71" s="62"/>
      <c r="E71" s="34">
        <v>329.67</v>
      </c>
    </row>
    <row r="72" spans="1:5" x14ac:dyDescent="0.35">
      <c r="A72" s="39"/>
      <c r="B72" s="82" t="s">
        <v>97</v>
      </c>
      <c r="C72" s="62">
        <f>SUM(C36:C71)</f>
        <v>0.99988380000000032</v>
      </c>
      <c r="D72" s="62"/>
      <c r="E72" s="38">
        <f>SUM(E36:E71)</f>
        <v>17680.409999999993</v>
      </c>
    </row>
    <row r="73" spans="1:5" x14ac:dyDescent="0.35">
      <c r="A73" s="39"/>
      <c r="B73" s="82" t="s">
        <v>98</v>
      </c>
      <c r="C73" s="82"/>
      <c r="D73" s="82"/>
      <c r="E73" s="38">
        <f>E34+E72</f>
        <v>41913.999999999993</v>
      </c>
    </row>
    <row r="74" spans="1:5" ht="12.75" customHeight="1" x14ac:dyDescent="0.35">
      <c r="A74" s="16"/>
      <c r="B74" s="26"/>
      <c r="C74" s="26"/>
      <c r="D74" s="26"/>
      <c r="E74" s="60"/>
    </row>
    <row r="75" spans="1:5" ht="15.75" customHeight="1" x14ac:dyDescent="0.35">
      <c r="A75" s="319" t="s">
        <v>107</v>
      </c>
      <c r="B75" s="319"/>
      <c r="C75" s="83"/>
      <c r="D75" s="83"/>
      <c r="E75" s="68">
        <v>950</v>
      </c>
    </row>
    <row r="76" spans="1:5" ht="15.75" customHeight="1" x14ac:dyDescent="0.35">
      <c r="A76" s="319" t="s">
        <v>58</v>
      </c>
      <c r="B76" s="319"/>
      <c r="C76" s="83"/>
      <c r="D76" s="83"/>
      <c r="E76" s="69">
        <f>E73/E75</f>
        <v>44.11999999999999</v>
      </c>
    </row>
    <row r="77" spans="1:5" ht="9.75" customHeight="1" x14ac:dyDescent="0.35">
      <c r="A77" s="44"/>
      <c r="B77" s="50"/>
      <c r="C77" s="50"/>
      <c r="D77" s="50"/>
    </row>
    <row r="78" spans="1:5" ht="15.75" customHeight="1" x14ac:dyDescent="0.35">
      <c r="A78" s="320" t="s">
        <v>33</v>
      </c>
      <c r="B78" s="320"/>
      <c r="C78" s="77"/>
      <c r="D78" s="77"/>
      <c r="E78" s="28"/>
    </row>
    <row r="79" spans="1:5" ht="15.75" customHeight="1" x14ac:dyDescent="0.35">
      <c r="A79" s="320" t="s">
        <v>64</v>
      </c>
      <c r="B79" s="320"/>
      <c r="C79" s="77"/>
      <c r="D79" s="77"/>
      <c r="E79" s="88"/>
    </row>
    <row r="80" spans="1:5" ht="8.25" customHeight="1" x14ac:dyDescent="0.35">
      <c r="A80" s="29"/>
      <c r="B80" s="29"/>
      <c r="C80" s="29"/>
      <c r="D80" s="29"/>
      <c r="E80" s="29"/>
    </row>
    <row r="81" spans="1:5" x14ac:dyDescent="0.35">
      <c r="A81" s="29" t="s">
        <v>34</v>
      </c>
      <c r="B81" s="29"/>
      <c r="C81" s="29"/>
      <c r="D81" s="29"/>
      <c r="E81" s="84"/>
    </row>
    <row r="82" spans="1:5" x14ac:dyDescent="0.35">
      <c r="A82" s="29"/>
      <c r="B82" s="29"/>
      <c r="C82" s="29"/>
      <c r="D82" s="29"/>
      <c r="E82" s="84"/>
    </row>
    <row r="83" spans="1:5" x14ac:dyDescent="0.35">
      <c r="A83" s="29" t="s">
        <v>109</v>
      </c>
      <c r="B83" s="30"/>
      <c r="C83" s="30"/>
      <c r="D83" s="30"/>
      <c r="E83" s="29"/>
    </row>
    <row r="84" spans="1:5" x14ac:dyDescent="0.35">
      <c r="B84" s="76"/>
      <c r="C84" s="76"/>
      <c r="D84" s="76"/>
      <c r="E84" s="85"/>
    </row>
    <row r="86" spans="1:5" x14ac:dyDescent="0.35">
      <c r="E86" s="59"/>
    </row>
  </sheetData>
  <mergeCells count="7">
    <mergeCell ref="A7:C7"/>
    <mergeCell ref="A75:B75"/>
    <mergeCell ref="A76:B76"/>
    <mergeCell ref="A78:B78"/>
    <mergeCell ref="A79:B79"/>
    <mergeCell ref="A9:B9"/>
    <mergeCell ref="A10:B10"/>
  </mergeCells>
  <pageMargins left="0.94488188976377963" right="0.55118110236220474" top="0.33" bottom="0.59055118110236227" header="0.34" footer="0.23622047244094491"/>
  <pageSetup paperSize="9" scale="60" firstPageNumber="9" orientation="portrait" useFirstPageNumber="1" r:id="rId1"/>
  <headerFooter>
    <oddFooter>&amp;C&amp;"Times New Roman,Regular"&amp;F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0"/>
  <sheetViews>
    <sheetView view="pageLayout" topLeftCell="A75" zoomScaleNormal="100" workbookViewId="0">
      <selection activeCell="A90" sqref="A90:B90"/>
    </sheetView>
  </sheetViews>
  <sheetFormatPr defaultRowHeight="14" x14ac:dyDescent="0.3"/>
  <cols>
    <col min="1" max="1" width="12.1796875" style="4" customWidth="1"/>
    <col min="2" max="2" width="93.81640625" style="4" customWidth="1"/>
    <col min="3" max="3" width="21.81640625" style="4" hidden="1" customWidth="1"/>
    <col min="4" max="4" width="26.1796875" style="4" customWidth="1"/>
  </cols>
  <sheetData>
    <row r="1" spans="1:4" ht="15.5" x14ac:dyDescent="0.35">
      <c r="B1" s="1"/>
      <c r="C1" s="1"/>
      <c r="D1" s="54" t="s">
        <v>10</v>
      </c>
    </row>
    <row r="2" spans="1:4" ht="15.5" x14ac:dyDescent="0.35">
      <c r="B2" s="1"/>
      <c r="C2" s="1"/>
      <c r="D2" s="55" t="s">
        <v>32</v>
      </c>
    </row>
    <row r="3" spans="1:4" x14ac:dyDescent="0.3">
      <c r="B3" s="1"/>
      <c r="C3" s="1"/>
      <c r="D3" s="65" t="s">
        <v>118</v>
      </c>
    </row>
    <row r="4" spans="1:4" x14ac:dyDescent="0.3">
      <c r="B4" s="1"/>
      <c r="C4" s="1"/>
      <c r="D4" s="64"/>
    </row>
    <row r="5" spans="1:4" x14ac:dyDescent="0.3">
      <c r="B5" s="5"/>
      <c r="C5" s="5"/>
      <c r="D5" s="64" t="s">
        <v>119</v>
      </c>
    </row>
    <row r="6" spans="1:4" x14ac:dyDescent="0.3">
      <c r="D6" s="6"/>
    </row>
    <row r="7" spans="1:4" ht="17.5" x14ac:dyDescent="0.35">
      <c r="A7" s="322" t="s">
        <v>9</v>
      </c>
      <c r="B7" s="322"/>
      <c r="C7" s="322"/>
      <c r="D7" s="322"/>
    </row>
    <row r="8" spans="1:4" x14ac:dyDescent="0.3">
      <c r="B8" s="3"/>
      <c r="C8" s="3"/>
      <c r="D8" s="6"/>
    </row>
    <row r="9" spans="1:4" ht="15.5" x14ac:dyDescent="0.35">
      <c r="A9" s="321" t="s">
        <v>1</v>
      </c>
      <c r="B9" s="321"/>
      <c r="C9" s="12"/>
      <c r="D9" s="26"/>
    </row>
    <row r="10" spans="1:4" ht="15.5" x14ac:dyDescent="0.35">
      <c r="A10" s="321" t="s">
        <v>0</v>
      </c>
      <c r="B10" s="321"/>
      <c r="C10" s="12"/>
      <c r="D10" s="26"/>
    </row>
    <row r="11" spans="1:4" ht="15.5" x14ac:dyDescent="0.35">
      <c r="A11" s="12"/>
      <c r="B11" s="12" t="s">
        <v>31</v>
      </c>
      <c r="C11" s="12"/>
      <c r="D11" s="26"/>
    </row>
    <row r="12" spans="1:4" ht="15.5" x14ac:dyDescent="0.35">
      <c r="A12" s="12"/>
      <c r="B12" s="321" t="s">
        <v>65</v>
      </c>
      <c r="C12" s="321"/>
      <c r="D12" s="323"/>
    </row>
    <row r="13" spans="1:4" ht="15.5" x14ac:dyDescent="0.35">
      <c r="A13" s="12"/>
      <c r="B13" s="321" t="s">
        <v>86</v>
      </c>
      <c r="C13" s="321"/>
      <c r="D13" s="323"/>
    </row>
    <row r="14" spans="1:4" ht="15.5" x14ac:dyDescent="0.35">
      <c r="A14" s="12" t="s">
        <v>2</v>
      </c>
      <c r="B14" s="12" t="str">
        <f>'7.4.2.'!B14</f>
        <v>2022.gadā un turpmāk</v>
      </c>
      <c r="C14" s="12"/>
      <c r="D14" s="17"/>
    </row>
    <row r="15" spans="1:4" ht="77.5" x14ac:dyDescent="0.25">
      <c r="A15" s="52" t="s">
        <v>3</v>
      </c>
      <c r="B15" s="52" t="s">
        <v>4</v>
      </c>
      <c r="C15" s="52" t="s">
        <v>63</v>
      </c>
      <c r="D15" s="52" t="s">
        <v>63</v>
      </c>
    </row>
    <row r="16" spans="1:4" x14ac:dyDescent="0.25">
      <c r="A16" s="10">
        <v>1</v>
      </c>
      <c r="B16" s="11">
        <v>2</v>
      </c>
      <c r="C16" s="11"/>
      <c r="D16" s="11">
        <v>3</v>
      </c>
    </row>
    <row r="17" spans="1:4" ht="15.5" x14ac:dyDescent="0.25">
      <c r="A17" s="42"/>
      <c r="B17" s="40" t="s">
        <v>5</v>
      </c>
      <c r="C17" s="40"/>
      <c r="D17" s="36"/>
    </row>
    <row r="18" spans="1:4" ht="15.5" x14ac:dyDescent="0.25">
      <c r="A18" s="32">
        <v>1100</v>
      </c>
      <c r="B18" s="32" t="s">
        <v>68</v>
      </c>
      <c r="C18" s="34">
        <v>31.18</v>
      </c>
      <c r="D18" s="34">
        <f>C18/30*340</f>
        <v>353.37333333333328</v>
      </c>
    </row>
    <row r="19" spans="1:4" ht="16.5" customHeight="1" x14ac:dyDescent="0.25">
      <c r="A19" s="32">
        <v>1200</v>
      </c>
      <c r="B19" s="33" t="s">
        <v>69</v>
      </c>
      <c r="C19" s="34">
        <v>7.51</v>
      </c>
      <c r="D19" s="34">
        <f t="shared" ref="D19:D37" si="0">C19/30*340</f>
        <v>85.113333333333344</v>
      </c>
    </row>
    <row r="20" spans="1:4" ht="15.5" hidden="1" x14ac:dyDescent="0.25">
      <c r="A20" s="35">
        <v>2210</v>
      </c>
      <c r="B20" s="33" t="s">
        <v>37</v>
      </c>
      <c r="C20" s="34">
        <v>0</v>
      </c>
      <c r="D20" s="34">
        <f t="shared" si="0"/>
        <v>0</v>
      </c>
    </row>
    <row r="21" spans="1:4" ht="15.5" x14ac:dyDescent="0.25">
      <c r="A21" s="32">
        <v>2222</v>
      </c>
      <c r="B21" s="33" t="s">
        <v>26</v>
      </c>
      <c r="C21" s="34">
        <v>22.55</v>
      </c>
      <c r="D21" s="34">
        <f t="shared" si="0"/>
        <v>255.56666666666669</v>
      </c>
    </row>
    <row r="22" spans="1:4" ht="15.5" x14ac:dyDescent="0.25">
      <c r="A22" s="32">
        <v>2223</v>
      </c>
      <c r="B22" s="33" t="s">
        <v>27</v>
      </c>
      <c r="C22" s="34">
        <v>28.66</v>
      </c>
      <c r="D22" s="34">
        <f t="shared" si="0"/>
        <v>324.81333333333333</v>
      </c>
    </row>
    <row r="23" spans="1:4" ht="15.5" hidden="1" x14ac:dyDescent="0.25">
      <c r="A23" s="32">
        <v>2230</v>
      </c>
      <c r="B23" s="33" t="s">
        <v>38</v>
      </c>
      <c r="C23" s="34">
        <v>0</v>
      </c>
      <c r="D23" s="34">
        <f t="shared" si="0"/>
        <v>0</v>
      </c>
    </row>
    <row r="24" spans="1:4" ht="15.5" x14ac:dyDescent="0.25">
      <c r="A24" s="32">
        <v>2243</v>
      </c>
      <c r="B24" s="33" t="s">
        <v>13</v>
      </c>
      <c r="C24" s="34">
        <v>0.44</v>
      </c>
      <c r="D24" s="34">
        <f t="shared" si="0"/>
        <v>4.9866666666666664</v>
      </c>
    </row>
    <row r="25" spans="1:4" ht="15.5" x14ac:dyDescent="0.25">
      <c r="A25" s="32">
        <v>2244</v>
      </c>
      <c r="B25" s="33" t="s">
        <v>14</v>
      </c>
      <c r="C25" s="34">
        <v>32.119999999999997</v>
      </c>
      <c r="D25" s="34">
        <v>934.21</v>
      </c>
    </row>
    <row r="26" spans="1:4" ht="15.5" hidden="1" x14ac:dyDescent="0.25">
      <c r="A26" s="32">
        <v>2249</v>
      </c>
      <c r="B26" s="33" t="s">
        <v>39</v>
      </c>
      <c r="C26" s="34">
        <v>0</v>
      </c>
      <c r="D26" s="34">
        <f t="shared" si="0"/>
        <v>0</v>
      </c>
    </row>
    <row r="27" spans="1:4" ht="15.5" hidden="1" x14ac:dyDescent="0.25">
      <c r="A27" s="32">
        <v>2251</v>
      </c>
      <c r="B27" s="33" t="s">
        <v>11</v>
      </c>
      <c r="C27" s="34">
        <v>0</v>
      </c>
      <c r="D27" s="34">
        <f t="shared" si="0"/>
        <v>0</v>
      </c>
    </row>
    <row r="28" spans="1:4" ht="15.5" x14ac:dyDescent="0.25">
      <c r="A28" s="32">
        <v>2263</v>
      </c>
      <c r="B28" s="33" t="s">
        <v>40</v>
      </c>
      <c r="C28" s="34">
        <v>8.57</v>
      </c>
      <c r="D28" s="34">
        <f t="shared" si="0"/>
        <v>97.126666666666665</v>
      </c>
    </row>
    <row r="29" spans="1:4" ht="15.5" hidden="1" x14ac:dyDescent="0.25">
      <c r="A29" s="32">
        <v>2264</v>
      </c>
      <c r="B29" s="33" t="s">
        <v>41</v>
      </c>
      <c r="C29" s="34">
        <v>0</v>
      </c>
      <c r="D29" s="34">
        <f t="shared" si="0"/>
        <v>0</v>
      </c>
    </row>
    <row r="30" spans="1:4" ht="15.5" x14ac:dyDescent="0.25">
      <c r="A30" s="32">
        <v>2279</v>
      </c>
      <c r="B30" s="33" t="s">
        <v>16</v>
      </c>
      <c r="C30" s="34">
        <v>5.21</v>
      </c>
      <c r="D30" s="34">
        <f t="shared" si="0"/>
        <v>59.046666666666667</v>
      </c>
    </row>
    <row r="31" spans="1:4" ht="15.5" x14ac:dyDescent="0.25">
      <c r="A31" s="32">
        <v>2321</v>
      </c>
      <c r="B31" s="33" t="s">
        <v>19</v>
      </c>
      <c r="C31" s="34">
        <v>34.65</v>
      </c>
      <c r="D31" s="34">
        <f t="shared" si="0"/>
        <v>392.7</v>
      </c>
    </row>
    <row r="32" spans="1:4" ht="15.5" hidden="1" x14ac:dyDescent="0.25">
      <c r="A32" s="32">
        <v>2341</v>
      </c>
      <c r="B32" s="33" t="s">
        <v>42</v>
      </c>
      <c r="C32" s="34">
        <v>0</v>
      </c>
      <c r="D32" s="34">
        <f t="shared" si="0"/>
        <v>0</v>
      </c>
    </row>
    <row r="33" spans="1:4" ht="15.5" hidden="1" x14ac:dyDescent="0.25">
      <c r="A33" s="32">
        <v>2350</v>
      </c>
      <c r="B33" s="33" t="s">
        <v>21</v>
      </c>
      <c r="C33" s="34">
        <v>0</v>
      </c>
      <c r="D33" s="34">
        <f t="shared" si="0"/>
        <v>0</v>
      </c>
    </row>
    <row r="34" spans="1:4" ht="15.5" hidden="1" x14ac:dyDescent="0.25">
      <c r="A34" s="32">
        <v>2362</v>
      </c>
      <c r="B34" s="33" t="s">
        <v>43</v>
      </c>
      <c r="C34" s="34">
        <v>0</v>
      </c>
      <c r="D34" s="34">
        <f t="shared" si="0"/>
        <v>0</v>
      </c>
    </row>
    <row r="35" spans="1:4" ht="15.5" hidden="1" x14ac:dyDescent="0.25">
      <c r="A35" s="32">
        <v>2363</v>
      </c>
      <c r="B35" s="33" t="s">
        <v>44</v>
      </c>
      <c r="C35" s="34">
        <v>0</v>
      </c>
      <c r="D35" s="34">
        <f t="shared" si="0"/>
        <v>0</v>
      </c>
    </row>
    <row r="36" spans="1:4" ht="15.5" x14ac:dyDescent="0.25">
      <c r="A36" s="32">
        <v>2513</v>
      </c>
      <c r="B36" s="33" t="s">
        <v>23</v>
      </c>
      <c r="C36" s="34">
        <v>1.21</v>
      </c>
      <c r="D36" s="34">
        <f t="shared" si="0"/>
        <v>13.713333333333333</v>
      </c>
    </row>
    <row r="37" spans="1:4" ht="15.5" x14ac:dyDescent="0.25">
      <c r="A37" s="32">
        <v>2519</v>
      </c>
      <c r="B37" s="33" t="s">
        <v>25</v>
      </c>
      <c r="C37" s="34">
        <v>0.63</v>
      </c>
      <c r="D37" s="34">
        <f t="shared" si="0"/>
        <v>7.1400000000000006</v>
      </c>
    </row>
    <row r="38" spans="1:4" ht="15.5" hidden="1" x14ac:dyDescent="0.25">
      <c r="A38" s="32">
        <v>5232</v>
      </c>
      <c r="B38" s="33" t="s">
        <v>24</v>
      </c>
      <c r="C38" s="34"/>
      <c r="D38" s="36"/>
    </row>
    <row r="39" spans="1:4" ht="15.5" x14ac:dyDescent="0.25">
      <c r="A39" s="32"/>
      <c r="B39" s="37" t="s">
        <v>6</v>
      </c>
      <c r="C39" s="38">
        <f>SUM(C18:C38)</f>
        <v>172.73</v>
      </c>
      <c r="D39" s="38">
        <f>SUM(D18:D38)</f>
        <v>2527.7899999999995</v>
      </c>
    </row>
    <row r="40" spans="1:4" ht="15.5" x14ac:dyDescent="0.25">
      <c r="A40" s="39"/>
      <c r="B40" s="32" t="s">
        <v>7</v>
      </c>
      <c r="C40" s="36"/>
      <c r="D40" s="36"/>
    </row>
    <row r="41" spans="1:4" ht="15.5" x14ac:dyDescent="0.25">
      <c r="A41" s="32">
        <v>1100</v>
      </c>
      <c r="B41" s="32" t="s">
        <v>68</v>
      </c>
      <c r="C41" s="34">
        <v>56.1</v>
      </c>
      <c r="D41" s="34">
        <f>C41/30*340</f>
        <v>635.80000000000007</v>
      </c>
    </row>
    <row r="42" spans="1:4" ht="16.5" customHeight="1" x14ac:dyDescent="0.25">
      <c r="A42" s="32">
        <v>1200</v>
      </c>
      <c r="B42" s="33" t="s">
        <v>69</v>
      </c>
      <c r="C42" s="34">
        <v>13.51</v>
      </c>
      <c r="D42" s="34">
        <f t="shared" ref="D42:D86" si="1">C42/30*340</f>
        <v>153.11333333333332</v>
      </c>
    </row>
    <row r="43" spans="1:4" ht="15.5" hidden="1" x14ac:dyDescent="0.25">
      <c r="A43" s="32">
        <v>2100</v>
      </c>
      <c r="B43" s="25" t="s">
        <v>45</v>
      </c>
      <c r="C43" s="34">
        <v>0</v>
      </c>
      <c r="D43" s="34">
        <f t="shared" si="1"/>
        <v>0</v>
      </c>
    </row>
    <row r="44" spans="1:4" ht="15.5" hidden="1" x14ac:dyDescent="0.25">
      <c r="A44" s="35">
        <v>2210</v>
      </c>
      <c r="B44" s="33" t="s">
        <v>37</v>
      </c>
      <c r="C44" s="34">
        <v>0</v>
      </c>
      <c r="D44" s="34">
        <f t="shared" si="1"/>
        <v>0</v>
      </c>
    </row>
    <row r="45" spans="1:4" ht="15.5" hidden="1" x14ac:dyDescent="0.25">
      <c r="A45" s="32">
        <v>2222</v>
      </c>
      <c r="B45" s="33" t="s">
        <v>26</v>
      </c>
      <c r="C45" s="34">
        <v>0</v>
      </c>
      <c r="D45" s="34">
        <f t="shared" si="1"/>
        <v>0</v>
      </c>
    </row>
    <row r="46" spans="1:4" ht="15.5" hidden="1" x14ac:dyDescent="0.25">
      <c r="A46" s="32">
        <v>2223</v>
      </c>
      <c r="B46" s="33" t="s">
        <v>27</v>
      </c>
      <c r="C46" s="34">
        <v>0</v>
      </c>
      <c r="D46" s="34">
        <f t="shared" si="1"/>
        <v>0</v>
      </c>
    </row>
    <row r="47" spans="1:4" ht="15.5" hidden="1" x14ac:dyDescent="0.25">
      <c r="A47" s="32">
        <v>2230</v>
      </c>
      <c r="B47" s="33" t="s">
        <v>38</v>
      </c>
      <c r="C47" s="34">
        <v>0</v>
      </c>
      <c r="D47" s="34">
        <f t="shared" si="1"/>
        <v>0</v>
      </c>
    </row>
    <row r="48" spans="1:4" ht="15.5" hidden="1" x14ac:dyDescent="0.25">
      <c r="A48" s="32">
        <v>2234</v>
      </c>
      <c r="B48" s="33" t="s">
        <v>74</v>
      </c>
      <c r="C48" s="34">
        <v>0</v>
      </c>
      <c r="D48" s="34">
        <f t="shared" si="1"/>
        <v>0</v>
      </c>
    </row>
    <row r="49" spans="1:4" ht="15.5" x14ac:dyDescent="0.25">
      <c r="A49" s="32">
        <v>2239</v>
      </c>
      <c r="B49" s="33" t="s">
        <v>75</v>
      </c>
      <c r="C49" s="34">
        <v>3.49</v>
      </c>
      <c r="D49" s="34">
        <f t="shared" si="1"/>
        <v>39.553333333333335</v>
      </c>
    </row>
    <row r="50" spans="1:4" ht="15.5" x14ac:dyDescent="0.25">
      <c r="A50" s="32">
        <v>2241</v>
      </c>
      <c r="B50" s="33" t="s">
        <v>46</v>
      </c>
      <c r="C50" s="34">
        <v>13.72</v>
      </c>
      <c r="D50" s="34">
        <f t="shared" si="1"/>
        <v>155.49333333333334</v>
      </c>
    </row>
    <row r="51" spans="1:4" ht="15.5" x14ac:dyDescent="0.25">
      <c r="A51" s="32">
        <v>2242</v>
      </c>
      <c r="B51" s="33" t="s">
        <v>12</v>
      </c>
      <c r="C51" s="34">
        <v>0.45</v>
      </c>
      <c r="D51" s="34">
        <f t="shared" si="1"/>
        <v>5.1000000000000005</v>
      </c>
    </row>
    <row r="52" spans="1:4" ht="15.5" x14ac:dyDescent="0.25">
      <c r="A52" s="32">
        <v>2243</v>
      </c>
      <c r="B52" s="33" t="s">
        <v>13</v>
      </c>
      <c r="C52" s="34">
        <v>2.39</v>
      </c>
      <c r="D52" s="34">
        <f t="shared" si="1"/>
        <v>27.08666666666667</v>
      </c>
    </row>
    <row r="53" spans="1:4" ht="15.5" x14ac:dyDescent="0.25">
      <c r="A53" s="32">
        <v>2244</v>
      </c>
      <c r="B53" s="33" t="s">
        <v>14</v>
      </c>
      <c r="C53" s="34">
        <v>0.08</v>
      </c>
      <c r="D53" s="34">
        <f t="shared" si="1"/>
        <v>0.90666666666666662</v>
      </c>
    </row>
    <row r="54" spans="1:4" ht="15.5" x14ac:dyDescent="0.25">
      <c r="A54" s="32">
        <v>2247</v>
      </c>
      <c r="B54" s="40" t="s">
        <v>71</v>
      </c>
      <c r="C54" s="34">
        <v>0.13</v>
      </c>
      <c r="D54" s="34">
        <f t="shared" si="1"/>
        <v>1.4733333333333332</v>
      </c>
    </row>
    <row r="55" spans="1:4" ht="15.5" hidden="1" x14ac:dyDescent="0.25">
      <c r="A55" s="32">
        <v>2249</v>
      </c>
      <c r="B55" s="33" t="s">
        <v>39</v>
      </c>
      <c r="C55" s="34">
        <v>0</v>
      </c>
      <c r="D55" s="34">
        <f t="shared" si="1"/>
        <v>0</v>
      </c>
    </row>
    <row r="56" spans="1:4" ht="15.5" x14ac:dyDescent="0.25">
      <c r="A56" s="32">
        <v>2251</v>
      </c>
      <c r="B56" s="33" t="s">
        <v>70</v>
      </c>
      <c r="C56" s="34">
        <v>1</v>
      </c>
      <c r="D56" s="34">
        <f t="shared" si="1"/>
        <v>11.333333333333334</v>
      </c>
    </row>
    <row r="57" spans="1:4" ht="15.5" hidden="1" x14ac:dyDescent="0.25">
      <c r="A57" s="32">
        <v>2252</v>
      </c>
      <c r="B57" s="33" t="s">
        <v>47</v>
      </c>
      <c r="C57" s="34">
        <v>0</v>
      </c>
      <c r="D57" s="34">
        <f t="shared" si="1"/>
        <v>0</v>
      </c>
    </row>
    <row r="58" spans="1:4" ht="15.5" x14ac:dyDescent="0.25">
      <c r="A58" s="32">
        <v>2259</v>
      </c>
      <c r="B58" s="33" t="s">
        <v>72</v>
      </c>
      <c r="C58" s="34">
        <v>0.01</v>
      </c>
      <c r="D58" s="34">
        <f t="shared" si="1"/>
        <v>0.11333333333333333</v>
      </c>
    </row>
    <row r="59" spans="1:4" ht="15.5" hidden="1" x14ac:dyDescent="0.25">
      <c r="A59" s="32">
        <v>2261</v>
      </c>
      <c r="B59" s="33" t="s">
        <v>48</v>
      </c>
      <c r="C59" s="34">
        <v>0</v>
      </c>
      <c r="D59" s="34">
        <f t="shared" si="1"/>
        <v>0</v>
      </c>
    </row>
    <row r="60" spans="1:4" ht="15.5" hidden="1" x14ac:dyDescent="0.25">
      <c r="A60" s="32">
        <v>2262</v>
      </c>
      <c r="B60" s="33" t="s">
        <v>15</v>
      </c>
      <c r="C60" s="34">
        <v>0</v>
      </c>
      <c r="D60" s="34">
        <f t="shared" si="1"/>
        <v>0</v>
      </c>
    </row>
    <row r="61" spans="1:4" ht="15.5" hidden="1" x14ac:dyDescent="0.25">
      <c r="A61" s="32">
        <v>2263</v>
      </c>
      <c r="B61" s="33" t="s">
        <v>40</v>
      </c>
      <c r="C61" s="34">
        <v>0</v>
      </c>
      <c r="D61" s="34">
        <f t="shared" si="1"/>
        <v>0</v>
      </c>
    </row>
    <row r="62" spans="1:4" ht="15.5" hidden="1" x14ac:dyDescent="0.25">
      <c r="A62" s="32">
        <v>2264</v>
      </c>
      <c r="B62" s="33" t="s">
        <v>41</v>
      </c>
      <c r="C62" s="34">
        <v>0</v>
      </c>
      <c r="D62" s="34">
        <f t="shared" si="1"/>
        <v>0</v>
      </c>
    </row>
    <row r="63" spans="1:4" ht="15.5" hidden="1" x14ac:dyDescent="0.25">
      <c r="A63" s="32">
        <v>2279</v>
      </c>
      <c r="B63" s="33" t="s">
        <v>16</v>
      </c>
      <c r="C63" s="34">
        <v>0</v>
      </c>
      <c r="D63" s="34">
        <f t="shared" si="1"/>
        <v>0</v>
      </c>
    </row>
    <row r="64" spans="1:4" ht="15.5" x14ac:dyDescent="0.25">
      <c r="A64" s="32">
        <v>2311</v>
      </c>
      <c r="B64" s="33" t="s">
        <v>17</v>
      </c>
      <c r="C64" s="34">
        <v>0.56999999999999995</v>
      </c>
      <c r="D64" s="34">
        <f t="shared" si="1"/>
        <v>6.46</v>
      </c>
    </row>
    <row r="65" spans="1:4" ht="15.5" x14ac:dyDescent="0.25">
      <c r="A65" s="32">
        <v>2312</v>
      </c>
      <c r="B65" s="33" t="s">
        <v>18</v>
      </c>
      <c r="C65" s="34">
        <v>1.23</v>
      </c>
      <c r="D65" s="34">
        <f t="shared" si="1"/>
        <v>13.940000000000001</v>
      </c>
    </row>
    <row r="66" spans="1:4" ht="15.5" hidden="1" x14ac:dyDescent="0.25">
      <c r="A66" s="32">
        <v>2321</v>
      </c>
      <c r="B66" s="33" t="s">
        <v>19</v>
      </c>
      <c r="C66" s="34">
        <v>0</v>
      </c>
      <c r="D66" s="34">
        <f t="shared" si="1"/>
        <v>0</v>
      </c>
    </row>
    <row r="67" spans="1:4" ht="15.5" x14ac:dyDescent="0.25">
      <c r="A67" s="32">
        <v>2322</v>
      </c>
      <c r="B67" s="33" t="s">
        <v>20</v>
      </c>
      <c r="C67" s="34">
        <v>2.44</v>
      </c>
      <c r="D67" s="34">
        <f t="shared" si="1"/>
        <v>27.653333333333332</v>
      </c>
    </row>
    <row r="68" spans="1:4" ht="15.5" hidden="1" x14ac:dyDescent="0.25">
      <c r="A68" s="32">
        <v>2341</v>
      </c>
      <c r="B68" s="33" t="s">
        <v>42</v>
      </c>
      <c r="C68" s="34">
        <v>0</v>
      </c>
      <c r="D68" s="34">
        <f t="shared" si="1"/>
        <v>0</v>
      </c>
    </row>
    <row r="69" spans="1:4" ht="15.5" hidden="1" x14ac:dyDescent="0.25">
      <c r="A69" s="32">
        <v>2344</v>
      </c>
      <c r="B69" s="33" t="s">
        <v>49</v>
      </c>
      <c r="C69" s="34">
        <v>0</v>
      </c>
      <c r="D69" s="34">
        <f t="shared" si="1"/>
        <v>0</v>
      </c>
    </row>
    <row r="70" spans="1:4" ht="15.5" x14ac:dyDescent="0.25">
      <c r="A70" s="32">
        <v>2350</v>
      </c>
      <c r="B70" s="33" t="s">
        <v>21</v>
      </c>
      <c r="C70" s="34">
        <v>3.64</v>
      </c>
      <c r="D70" s="34">
        <f t="shared" si="1"/>
        <v>41.25333333333333</v>
      </c>
    </row>
    <row r="71" spans="1:4" ht="15.5" x14ac:dyDescent="0.25">
      <c r="A71" s="32">
        <v>2361</v>
      </c>
      <c r="B71" s="33" t="s">
        <v>22</v>
      </c>
      <c r="C71" s="34">
        <v>1.2</v>
      </c>
      <c r="D71" s="34">
        <f t="shared" si="1"/>
        <v>13.6</v>
      </c>
    </row>
    <row r="72" spans="1:4" ht="15.5" x14ac:dyDescent="0.25">
      <c r="A72" s="32">
        <v>2362</v>
      </c>
      <c r="B72" s="33" t="s">
        <v>43</v>
      </c>
      <c r="C72" s="34">
        <v>2.4</v>
      </c>
      <c r="D72" s="34">
        <f t="shared" si="1"/>
        <v>27.2</v>
      </c>
    </row>
    <row r="73" spans="1:4" ht="15.5" hidden="1" x14ac:dyDescent="0.25">
      <c r="A73" s="32">
        <v>2363</v>
      </c>
      <c r="B73" s="33" t="s">
        <v>44</v>
      </c>
      <c r="C73" s="34">
        <v>0</v>
      </c>
      <c r="D73" s="34">
        <f t="shared" si="1"/>
        <v>0</v>
      </c>
    </row>
    <row r="74" spans="1:4" ht="15.5" hidden="1" x14ac:dyDescent="0.25">
      <c r="A74" s="32">
        <v>2370</v>
      </c>
      <c r="B74" s="33" t="s">
        <v>50</v>
      </c>
      <c r="C74" s="34">
        <v>0</v>
      </c>
      <c r="D74" s="34">
        <f t="shared" si="1"/>
        <v>0</v>
      </c>
    </row>
    <row r="75" spans="1:4" ht="15.5" x14ac:dyDescent="0.25">
      <c r="A75" s="32">
        <v>2400</v>
      </c>
      <c r="B75" s="33" t="s">
        <v>28</v>
      </c>
      <c r="C75" s="34">
        <v>0.15</v>
      </c>
      <c r="D75" s="34">
        <f t="shared" si="1"/>
        <v>1.7</v>
      </c>
    </row>
    <row r="76" spans="1:4" ht="15.5" x14ac:dyDescent="0.25">
      <c r="A76" s="32">
        <v>2512</v>
      </c>
      <c r="B76" s="33" t="s">
        <v>30</v>
      </c>
      <c r="C76" s="34">
        <v>46.41</v>
      </c>
      <c r="D76" s="34">
        <v>595</v>
      </c>
    </row>
    <row r="77" spans="1:4" ht="15.5" hidden="1" x14ac:dyDescent="0.25">
      <c r="A77" s="32">
        <v>2513</v>
      </c>
      <c r="B77" s="33" t="s">
        <v>23</v>
      </c>
      <c r="C77" s="34">
        <v>0</v>
      </c>
      <c r="D77" s="34">
        <f t="shared" si="1"/>
        <v>0</v>
      </c>
    </row>
    <row r="78" spans="1:4" ht="15.5" x14ac:dyDescent="0.25">
      <c r="A78" s="32">
        <v>2515</v>
      </c>
      <c r="B78" s="33" t="s">
        <v>73</v>
      </c>
      <c r="C78" s="34">
        <v>0.19</v>
      </c>
      <c r="D78" s="34">
        <f t="shared" si="1"/>
        <v>2.1533333333333333</v>
      </c>
    </row>
    <row r="79" spans="1:4" ht="15.5" x14ac:dyDescent="0.25">
      <c r="A79" s="32">
        <v>2519</v>
      </c>
      <c r="B79" s="33" t="s">
        <v>25</v>
      </c>
      <c r="C79" s="34">
        <v>0.01</v>
      </c>
      <c r="D79" s="34">
        <f t="shared" si="1"/>
        <v>0.11333333333333333</v>
      </c>
    </row>
    <row r="80" spans="1:4" ht="15.5" hidden="1" x14ac:dyDescent="0.25">
      <c r="A80" s="32">
        <v>6240</v>
      </c>
      <c r="B80" s="33" t="s">
        <v>51</v>
      </c>
      <c r="C80" s="34">
        <v>0</v>
      </c>
      <c r="D80" s="34">
        <f t="shared" si="1"/>
        <v>0</v>
      </c>
    </row>
    <row r="81" spans="1:4" ht="15.5" hidden="1" x14ac:dyDescent="0.25">
      <c r="A81" s="32">
        <v>6290</v>
      </c>
      <c r="B81" s="33" t="s">
        <v>52</v>
      </c>
      <c r="C81" s="34">
        <v>0</v>
      </c>
      <c r="D81" s="34">
        <f t="shared" si="1"/>
        <v>0</v>
      </c>
    </row>
    <row r="82" spans="1:4" ht="15.5" hidden="1" x14ac:dyDescent="0.25">
      <c r="A82" s="32">
        <v>5121</v>
      </c>
      <c r="B82" s="33" t="s">
        <v>53</v>
      </c>
      <c r="C82" s="34">
        <v>0</v>
      </c>
      <c r="D82" s="34">
        <f t="shared" si="1"/>
        <v>0</v>
      </c>
    </row>
    <row r="83" spans="1:4" ht="15.5" x14ac:dyDescent="0.25">
      <c r="A83" s="32">
        <v>5232</v>
      </c>
      <c r="B83" s="33" t="s">
        <v>24</v>
      </c>
      <c r="C83" s="34">
        <v>57.2</v>
      </c>
      <c r="D83" s="34">
        <f t="shared" si="1"/>
        <v>648.26666666666665</v>
      </c>
    </row>
    <row r="84" spans="1:4" ht="15.5" hidden="1" x14ac:dyDescent="0.25">
      <c r="A84" s="32">
        <v>5238</v>
      </c>
      <c r="B84" s="33" t="s">
        <v>54</v>
      </c>
      <c r="C84" s="34">
        <v>0</v>
      </c>
      <c r="D84" s="34">
        <f t="shared" si="1"/>
        <v>0</v>
      </c>
    </row>
    <row r="85" spans="1:4" ht="15.5" x14ac:dyDescent="0.25">
      <c r="A85" s="32">
        <v>5240</v>
      </c>
      <c r="B85" s="33" t="s">
        <v>55</v>
      </c>
      <c r="C85" s="34">
        <v>1.23</v>
      </c>
      <c r="D85" s="34">
        <f t="shared" si="1"/>
        <v>13.940000000000001</v>
      </c>
    </row>
    <row r="86" spans="1:4" ht="15.5" x14ac:dyDescent="0.25">
      <c r="A86" s="32">
        <v>5250</v>
      </c>
      <c r="B86" s="33" t="s">
        <v>56</v>
      </c>
      <c r="C86" s="34">
        <v>52.92</v>
      </c>
      <c r="D86" s="34">
        <f t="shared" si="1"/>
        <v>599.76</v>
      </c>
    </row>
    <row r="87" spans="1:4" ht="15.5" x14ac:dyDescent="0.25">
      <c r="A87" s="39"/>
      <c r="B87" s="41" t="s">
        <v>8</v>
      </c>
      <c r="C87" s="38">
        <f>SUM(C41:C86)</f>
        <v>260.46999999999997</v>
      </c>
      <c r="D87" s="38">
        <f>SUM(D41:D86)</f>
        <v>3021.0133333333333</v>
      </c>
    </row>
    <row r="88" spans="1:4" ht="15.5" x14ac:dyDescent="0.25">
      <c r="A88" s="39"/>
      <c r="B88" s="41" t="s">
        <v>29</v>
      </c>
      <c r="C88" s="38">
        <f>C87+C39</f>
        <v>433.19999999999993</v>
      </c>
      <c r="D88" s="38">
        <f>D87+D39</f>
        <v>5548.8033333333333</v>
      </c>
    </row>
    <row r="89" spans="1:4" ht="15.5" x14ac:dyDescent="0.25">
      <c r="A89" s="43"/>
      <c r="B89" s="44"/>
      <c r="C89" s="44"/>
      <c r="D89" s="50"/>
    </row>
    <row r="90" spans="1:4" ht="15.5" x14ac:dyDescent="0.25">
      <c r="A90" s="324" t="s">
        <v>57</v>
      </c>
      <c r="B90" s="324"/>
      <c r="C90" s="66">
        <v>30</v>
      </c>
      <c r="D90" s="66">
        <v>340</v>
      </c>
    </row>
    <row r="91" spans="1:4" ht="15.5" x14ac:dyDescent="0.25">
      <c r="A91" s="324" t="s">
        <v>58</v>
      </c>
      <c r="B91" s="324"/>
      <c r="C91" s="67">
        <f>C88/C90</f>
        <v>14.439999999999998</v>
      </c>
      <c r="D91" s="67">
        <f>D88/D90</f>
        <v>16.320009803921568</v>
      </c>
    </row>
    <row r="92" spans="1:4" ht="15.5" x14ac:dyDescent="0.25">
      <c r="A92" s="48"/>
      <c r="B92" s="48"/>
      <c r="C92" s="58"/>
      <c r="D92" s="58"/>
    </row>
    <row r="93" spans="1:4" ht="15.5" x14ac:dyDescent="0.25">
      <c r="A93" s="330" t="s">
        <v>33</v>
      </c>
      <c r="B93" s="331"/>
      <c r="C93" s="51"/>
      <c r="D93" s="51"/>
    </row>
    <row r="94" spans="1:4" ht="15.5" x14ac:dyDescent="0.25">
      <c r="A94" s="330" t="s">
        <v>64</v>
      </c>
      <c r="B94" s="331"/>
      <c r="C94" s="51"/>
      <c r="D94" s="51"/>
    </row>
    <row r="95" spans="1:4" ht="15.5" x14ac:dyDescent="0.25">
      <c r="A95" s="46"/>
      <c r="B95" s="46"/>
      <c r="C95" s="46"/>
      <c r="D95" s="46"/>
    </row>
    <row r="96" spans="1:4" ht="15.5" x14ac:dyDescent="0.25">
      <c r="A96" s="46" t="s">
        <v>34</v>
      </c>
      <c r="B96" s="46"/>
      <c r="C96" s="46"/>
      <c r="D96" s="46"/>
    </row>
    <row r="97" spans="1:4" ht="15.5" x14ac:dyDescent="0.25">
      <c r="A97" s="46"/>
      <c r="B97" s="46"/>
      <c r="C97" s="46"/>
      <c r="D97" s="46"/>
    </row>
    <row r="98" spans="1:4" ht="15.5" x14ac:dyDescent="0.25">
      <c r="A98" s="46" t="s">
        <v>59</v>
      </c>
      <c r="B98" s="47"/>
      <c r="C98" s="47"/>
      <c r="D98" s="46"/>
    </row>
    <row r="99" spans="1:4" ht="15.5" x14ac:dyDescent="0.35">
      <c r="A99" s="46"/>
      <c r="B99" s="31"/>
      <c r="C99" s="31"/>
      <c r="D99" s="46"/>
    </row>
    <row r="100" spans="1:4" ht="15.5" x14ac:dyDescent="0.25">
      <c r="A100" s="48"/>
      <c r="B100" s="48"/>
      <c r="C100" s="48"/>
      <c r="D100" s="48"/>
    </row>
  </sheetData>
  <mergeCells count="9">
    <mergeCell ref="A93:B93"/>
    <mergeCell ref="A94:B94"/>
    <mergeCell ref="B12:D12"/>
    <mergeCell ref="A7:D7"/>
    <mergeCell ref="A9:B9"/>
    <mergeCell ref="A10:B10"/>
    <mergeCell ref="B13:D13"/>
    <mergeCell ref="A90:B90"/>
    <mergeCell ref="A91:B91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view="pageLayout" topLeftCell="A2" zoomScale="80" zoomScaleNormal="100" zoomScalePageLayoutView="80" workbookViewId="0">
      <selection activeCell="A82" sqref="A82"/>
    </sheetView>
  </sheetViews>
  <sheetFormatPr defaultColWidth="9.1796875" defaultRowHeight="14" x14ac:dyDescent="0.3"/>
  <cols>
    <col min="1" max="1" width="13.453125" style="4" customWidth="1"/>
    <col min="2" max="2" width="94.453125" style="4" customWidth="1"/>
    <col min="3" max="4" width="7.81640625" style="240" hidden="1" customWidth="1"/>
    <col min="5" max="5" width="30" style="4" customWidth="1"/>
    <col min="6" max="6" width="9.1796875" style="7" customWidth="1"/>
    <col min="7" max="16384" width="9.1796875" style="7"/>
  </cols>
  <sheetData>
    <row r="1" spans="1:9" ht="15.5" x14ac:dyDescent="0.35">
      <c r="A1" s="14"/>
      <c r="B1" s="15"/>
      <c r="C1" s="237"/>
      <c r="D1" s="237"/>
      <c r="E1" s="18" t="s">
        <v>10</v>
      </c>
    </row>
    <row r="2" spans="1:9" ht="15.5" x14ac:dyDescent="0.35">
      <c r="A2" s="14"/>
      <c r="B2" s="15"/>
      <c r="C2" s="237"/>
      <c r="D2" s="237"/>
      <c r="E2" s="15" t="s">
        <v>32</v>
      </c>
    </row>
    <row r="3" spans="1:9" ht="15.5" x14ac:dyDescent="0.35">
      <c r="A3" s="14"/>
      <c r="B3" s="15"/>
      <c r="C3" s="237"/>
      <c r="D3" s="237"/>
      <c r="E3" s="80" t="s">
        <v>66</v>
      </c>
    </row>
    <row r="4" spans="1:9" ht="15.5" x14ac:dyDescent="0.35">
      <c r="A4" s="14"/>
      <c r="B4" s="15"/>
      <c r="C4" s="237"/>
      <c r="D4" s="237"/>
      <c r="E4" s="64"/>
    </row>
    <row r="5" spans="1:9" ht="15.5" x14ac:dyDescent="0.35">
      <c r="A5" s="14"/>
      <c r="B5" s="18"/>
      <c r="C5" s="264"/>
      <c r="D5" s="264"/>
      <c r="E5" s="16" t="s">
        <v>230</v>
      </c>
    </row>
    <row r="6" spans="1:9" ht="15.5" x14ac:dyDescent="0.35">
      <c r="A6" s="14"/>
      <c r="B6" s="14"/>
      <c r="E6" s="26"/>
    </row>
    <row r="7" spans="1:9" ht="17.5" x14ac:dyDescent="0.35">
      <c r="A7" s="322" t="s">
        <v>9</v>
      </c>
      <c r="B7" s="322"/>
      <c r="C7" s="322"/>
      <c r="D7" s="322"/>
      <c r="E7" s="322"/>
    </row>
    <row r="8" spans="1:9" ht="15.5" x14ac:dyDescent="0.35">
      <c r="A8" s="14"/>
      <c r="B8" s="19"/>
      <c r="C8" s="242"/>
      <c r="D8" s="242"/>
      <c r="E8" s="26"/>
    </row>
    <row r="9" spans="1:9" ht="15.5" x14ac:dyDescent="0.35">
      <c r="A9" s="321" t="s">
        <v>1</v>
      </c>
      <c r="B9" s="321"/>
      <c r="C9" s="243"/>
      <c r="D9" s="243"/>
      <c r="E9" s="26"/>
    </row>
    <row r="10" spans="1:9" ht="15.5" x14ac:dyDescent="0.35">
      <c r="A10" s="321" t="s">
        <v>0</v>
      </c>
      <c r="B10" s="321"/>
      <c r="C10" s="243"/>
      <c r="D10" s="243"/>
      <c r="E10" s="26"/>
    </row>
    <row r="11" spans="1:9" ht="15.5" x14ac:dyDescent="0.35">
      <c r="A11" s="12"/>
      <c r="B11" s="12" t="s">
        <v>181</v>
      </c>
      <c r="C11" s="243"/>
      <c r="D11" s="243"/>
      <c r="E11" s="26"/>
    </row>
    <row r="12" spans="1:9" ht="15.5" x14ac:dyDescent="0.35">
      <c r="A12" s="12"/>
      <c r="B12" s="321" t="s">
        <v>207</v>
      </c>
      <c r="C12" s="321"/>
      <c r="D12" s="321"/>
      <c r="E12" s="334"/>
    </row>
    <row r="13" spans="1:9" ht="15.75" customHeight="1" x14ac:dyDescent="0.35">
      <c r="A13" s="12"/>
      <c r="B13" s="321" t="s">
        <v>208</v>
      </c>
      <c r="C13" s="321"/>
      <c r="D13" s="321"/>
      <c r="E13" s="334"/>
    </row>
    <row r="14" spans="1:9" ht="15.5" x14ac:dyDescent="0.25">
      <c r="A14" s="13" t="s">
        <v>2</v>
      </c>
      <c r="B14" s="12" t="s">
        <v>170</v>
      </c>
      <c r="C14" s="243"/>
      <c r="D14" s="243"/>
      <c r="E14" s="48"/>
    </row>
    <row r="15" spans="1:9" s="144" customFormat="1" ht="67.5" customHeight="1" x14ac:dyDescent="0.25">
      <c r="A15" s="52" t="s">
        <v>3</v>
      </c>
      <c r="B15" s="52" t="s">
        <v>4</v>
      </c>
      <c r="C15" s="246"/>
      <c r="D15" s="246"/>
      <c r="E15" s="52" t="s">
        <v>63</v>
      </c>
      <c r="G15" s="7"/>
      <c r="H15" s="7"/>
      <c r="I15" s="7"/>
    </row>
    <row r="16" spans="1:9" ht="15" x14ac:dyDescent="0.25">
      <c r="A16" s="42">
        <v>1</v>
      </c>
      <c r="B16" s="49">
        <v>2</v>
      </c>
      <c r="C16" s="274"/>
      <c r="D16" s="274"/>
      <c r="E16" s="49">
        <v>3</v>
      </c>
    </row>
    <row r="17" spans="1:9" s="150" customFormat="1" ht="15.5" x14ac:dyDescent="0.25">
      <c r="A17" s="42"/>
      <c r="B17" s="40" t="s">
        <v>5</v>
      </c>
      <c r="C17" s="265"/>
      <c r="D17" s="265"/>
      <c r="E17" s="32"/>
      <c r="G17" s="7"/>
      <c r="H17" s="7"/>
      <c r="I17" s="7"/>
    </row>
    <row r="18" spans="1:9" s="150" customFormat="1" ht="15.5" x14ac:dyDescent="0.25">
      <c r="A18" s="32">
        <v>1100</v>
      </c>
      <c r="B18" s="32" t="s">
        <v>133</v>
      </c>
      <c r="C18" s="250">
        <f>'[1]7._izmitināšana_GALA mpc'!$W$6</f>
        <v>5.3220006906220405</v>
      </c>
      <c r="D18" s="249"/>
      <c r="E18" s="34">
        <v>180.07</v>
      </c>
      <c r="G18" s="7"/>
      <c r="H18" s="7"/>
      <c r="I18" s="7"/>
    </row>
    <row r="19" spans="1:9" s="150" customFormat="1" ht="15.5" x14ac:dyDescent="0.35">
      <c r="A19" s="32">
        <v>1200</v>
      </c>
      <c r="B19" s="62" t="s">
        <v>134</v>
      </c>
      <c r="C19" s="249">
        <f>C18*0.2359</f>
        <v>1.2554599629177394</v>
      </c>
      <c r="D19" s="251"/>
      <c r="E19" s="34">
        <v>42.48</v>
      </c>
      <c r="H19" s="7"/>
      <c r="I19" s="7"/>
    </row>
    <row r="20" spans="1:9" ht="15.75" customHeight="1" x14ac:dyDescent="0.35">
      <c r="A20" s="32">
        <v>2222</v>
      </c>
      <c r="B20" s="63" t="s">
        <v>136</v>
      </c>
      <c r="C20" s="250">
        <f>'[1]7._izmitināšana_GALA mpc'!$W$8</f>
        <v>0.17744429718686239</v>
      </c>
      <c r="D20" s="275"/>
      <c r="E20" s="34">
        <v>5.2</v>
      </c>
      <c r="G20" s="45"/>
      <c r="H20" s="151"/>
    </row>
    <row r="21" spans="1:9" ht="15.5" x14ac:dyDescent="0.35">
      <c r="A21" s="32">
        <v>2223</v>
      </c>
      <c r="B21" s="63" t="s">
        <v>137</v>
      </c>
      <c r="C21" s="250">
        <f>'[1]7._izmitināšana_GALA mpc'!$W$9</f>
        <v>0.52153523662332557</v>
      </c>
      <c r="D21" s="276"/>
      <c r="E21" s="34">
        <v>15.26</v>
      </c>
      <c r="G21" s="152"/>
      <c r="H21" s="151"/>
    </row>
    <row r="22" spans="1:9" ht="15.5" x14ac:dyDescent="0.35">
      <c r="A22" s="32">
        <v>2243</v>
      </c>
      <c r="B22" s="23" t="s">
        <v>138</v>
      </c>
      <c r="C22" s="250">
        <f>'[1]7._izmitināšana_GALA mpc'!$W$11</f>
        <v>2.4067272692588633E-2</v>
      </c>
      <c r="D22" s="248"/>
      <c r="E22" s="34">
        <v>0.71</v>
      </c>
    </row>
    <row r="23" spans="1:9" ht="15.5" x14ac:dyDescent="0.35">
      <c r="A23" s="32">
        <v>2244</v>
      </c>
      <c r="B23" s="23" t="s">
        <v>139</v>
      </c>
      <c r="C23" s="250">
        <f>'[1]7._izmitināšana_GALA mpc'!$W$12</f>
        <v>0.63560964864510527</v>
      </c>
      <c r="D23" s="248"/>
      <c r="E23" s="34">
        <v>18.63</v>
      </c>
    </row>
    <row r="24" spans="1:9" ht="15.5" x14ac:dyDescent="0.35">
      <c r="A24" s="32">
        <v>2250</v>
      </c>
      <c r="B24" s="23" t="s">
        <v>125</v>
      </c>
      <c r="C24" s="250">
        <f>'[1]7._izmitināšana_GALA mpc'!$W$13</f>
        <v>9.5000000000000015E-2</v>
      </c>
      <c r="D24" s="276"/>
      <c r="E24" s="34">
        <v>2.85</v>
      </c>
    </row>
    <row r="25" spans="1:9" ht="15.5" x14ac:dyDescent="0.35">
      <c r="A25" s="32">
        <v>2311</v>
      </c>
      <c r="B25" s="63" t="s">
        <v>152</v>
      </c>
      <c r="C25" s="250">
        <f>'[1]7._izmitināšana_GALA mpc'!$W$14</f>
        <v>1.0355716425361956</v>
      </c>
      <c r="D25" s="275"/>
      <c r="E25" s="34">
        <v>30.79</v>
      </c>
    </row>
    <row r="26" spans="1:9" ht="15.5" x14ac:dyDescent="0.35">
      <c r="A26" s="32">
        <v>2312</v>
      </c>
      <c r="B26" s="23" t="s">
        <v>117</v>
      </c>
      <c r="C26" s="250">
        <f>'[1]7._izmitināšana_GALA mpc'!$W$15</f>
        <v>0.31664822179830987</v>
      </c>
      <c r="D26" s="248"/>
      <c r="E26" s="34">
        <v>9.3800000000000008</v>
      </c>
    </row>
    <row r="27" spans="1:9" ht="15.5" x14ac:dyDescent="0.35">
      <c r="A27" s="32">
        <v>2321</v>
      </c>
      <c r="B27" s="63" t="s">
        <v>140</v>
      </c>
      <c r="C27" s="250">
        <f>'[1]7._izmitināšana_GALA mpc'!$W$16</f>
        <v>0.36688720285589543</v>
      </c>
      <c r="D27" s="276"/>
      <c r="E27" s="34">
        <v>10.75</v>
      </c>
    </row>
    <row r="28" spans="1:9" ht="15.5" x14ac:dyDescent="0.35">
      <c r="A28" s="32">
        <v>2350</v>
      </c>
      <c r="B28" s="62" t="s">
        <v>126</v>
      </c>
      <c r="C28" s="250">
        <f>'[1]7._izmitināšana_GALA mpc'!$W$17</f>
        <v>0.12125717043392543</v>
      </c>
      <c r="D28" s="275"/>
      <c r="E28" s="34">
        <v>3.55</v>
      </c>
    </row>
    <row r="29" spans="1:9" ht="15.5" x14ac:dyDescent="0.35">
      <c r="A29" s="32">
        <v>2361</v>
      </c>
      <c r="B29" s="63" t="s">
        <v>142</v>
      </c>
      <c r="C29" s="250">
        <f>'[1]7._izmitināšana_GALA mpc'!$W$18</f>
        <v>5.4458312531203187E-2</v>
      </c>
      <c r="D29" s="276"/>
      <c r="E29" s="34">
        <v>1.58</v>
      </c>
    </row>
    <row r="30" spans="1:9" ht="15.5" x14ac:dyDescent="0.35">
      <c r="A30" s="32">
        <v>2362</v>
      </c>
      <c r="B30" s="86" t="s">
        <v>157</v>
      </c>
      <c r="C30" s="250">
        <f>'[1]7._izmitināšana_GALA mpc'!$W$19</f>
        <v>1.3141746574530652E-2</v>
      </c>
      <c r="D30" s="276"/>
      <c r="E30" s="34">
        <v>0.4</v>
      </c>
    </row>
    <row r="31" spans="1:9" ht="15.5" x14ac:dyDescent="0.35">
      <c r="A31" s="32">
        <v>2363</v>
      </c>
      <c r="B31" s="63" t="s">
        <v>143</v>
      </c>
      <c r="C31" s="249">
        <v>2.09</v>
      </c>
      <c r="D31" s="276"/>
      <c r="E31" s="34">
        <v>62.7</v>
      </c>
    </row>
    <row r="32" spans="1:9" ht="15.5" x14ac:dyDescent="0.35">
      <c r="A32" s="32">
        <v>5239</v>
      </c>
      <c r="B32" s="62" t="s">
        <v>131</v>
      </c>
      <c r="C32" s="250">
        <f>'[1]7._izmitināšana_GALA mpc'!$W$21</f>
        <v>0.47254079298288676</v>
      </c>
      <c r="D32" s="276"/>
      <c r="E32" s="34">
        <v>13.94</v>
      </c>
    </row>
    <row r="33" spans="1:5" ht="15.5" x14ac:dyDescent="0.25">
      <c r="A33" s="32"/>
      <c r="B33" s="37" t="s">
        <v>6</v>
      </c>
      <c r="C33" s="266">
        <f>SUM(C18:C32)</f>
        <v>12.501622198400609</v>
      </c>
      <c r="D33" s="266"/>
      <c r="E33" s="38">
        <f>SUM(E18:E32)</f>
        <v>398.28999999999996</v>
      </c>
    </row>
    <row r="34" spans="1:5" ht="15.75" customHeight="1" x14ac:dyDescent="0.25">
      <c r="A34" s="39"/>
      <c r="B34" s="32" t="s">
        <v>7</v>
      </c>
      <c r="C34" s="249"/>
      <c r="D34" s="249"/>
      <c r="E34" s="34"/>
    </row>
    <row r="35" spans="1:5" ht="15.5" x14ac:dyDescent="0.35">
      <c r="A35" s="32">
        <v>1100</v>
      </c>
      <c r="B35" s="23" t="s">
        <v>133</v>
      </c>
      <c r="C35" s="248"/>
      <c r="D35" s="251">
        <v>0.48549999999999999</v>
      </c>
      <c r="E35" s="34">
        <v>137.26</v>
      </c>
    </row>
    <row r="36" spans="1:5" ht="15.5" x14ac:dyDescent="0.35">
      <c r="A36" s="32">
        <v>1200</v>
      </c>
      <c r="B36" s="23" t="s">
        <v>134</v>
      </c>
      <c r="C36" s="248"/>
      <c r="D36" s="251">
        <f>D35*0.2359</f>
        <v>0.11452944999999999</v>
      </c>
      <c r="E36" s="34">
        <v>32.380000000000003</v>
      </c>
    </row>
    <row r="37" spans="1:5" ht="15.5" x14ac:dyDescent="0.25">
      <c r="A37" s="32">
        <v>2100</v>
      </c>
      <c r="B37" s="25" t="s">
        <v>45</v>
      </c>
      <c r="C37" s="277"/>
      <c r="D37" s="251">
        <v>1.1659999999999999E-3</v>
      </c>
      <c r="E37" s="34">
        <v>0.36</v>
      </c>
    </row>
    <row r="38" spans="1:5" ht="15.5" x14ac:dyDescent="0.35">
      <c r="A38" s="35">
        <v>2210</v>
      </c>
      <c r="B38" s="63" t="s">
        <v>121</v>
      </c>
      <c r="C38" s="275"/>
      <c r="D38" s="251">
        <v>7.6E-3</v>
      </c>
      <c r="E38" s="34">
        <v>2.33</v>
      </c>
    </row>
    <row r="39" spans="1:5" ht="15.5" x14ac:dyDescent="0.35">
      <c r="A39" s="32">
        <v>2222</v>
      </c>
      <c r="B39" s="63" t="s">
        <v>136</v>
      </c>
      <c r="C39" s="275"/>
      <c r="D39" s="251">
        <f>0.0095*1.15</f>
        <v>1.0924999999999999E-2</v>
      </c>
      <c r="E39" s="34">
        <v>3.35</v>
      </c>
    </row>
    <row r="40" spans="1:5" ht="15.75" customHeight="1" x14ac:dyDescent="0.35">
      <c r="A40" s="32">
        <v>2223</v>
      </c>
      <c r="B40" s="63" t="s">
        <v>137</v>
      </c>
      <c r="C40" s="275"/>
      <c r="D40" s="251">
        <f>0.01902*2.13</f>
        <v>4.0512599999999996E-2</v>
      </c>
      <c r="E40" s="34">
        <v>12.43</v>
      </c>
    </row>
    <row r="41" spans="1:5" ht="31" x14ac:dyDescent="0.35">
      <c r="A41" s="32">
        <v>2224</v>
      </c>
      <c r="B41" s="63" t="s">
        <v>144</v>
      </c>
      <c r="C41" s="275"/>
      <c r="D41" s="251">
        <f>0.00495*1.15</f>
        <v>5.6924999999999996E-3</v>
      </c>
      <c r="E41" s="34">
        <v>1.75</v>
      </c>
    </row>
    <row r="42" spans="1:5" ht="15.5" x14ac:dyDescent="0.35">
      <c r="A42" s="32">
        <v>2231</v>
      </c>
      <c r="B42" s="23" t="s">
        <v>127</v>
      </c>
      <c r="C42" s="248"/>
      <c r="D42" s="251">
        <v>1.5499999999999999E-3</v>
      </c>
      <c r="E42" s="34">
        <v>0.48</v>
      </c>
    </row>
    <row r="43" spans="1:5" ht="15.5" x14ac:dyDescent="0.25">
      <c r="A43" s="32">
        <v>2235</v>
      </c>
      <c r="B43" s="78" t="s">
        <v>128</v>
      </c>
      <c r="C43" s="278"/>
      <c r="D43" s="251">
        <v>1.65E-3</v>
      </c>
      <c r="E43" s="34">
        <v>0.51</v>
      </c>
    </row>
    <row r="44" spans="1:5" ht="15.5" x14ac:dyDescent="0.35">
      <c r="A44" s="32">
        <v>2239</v>
      </c>
      <c r="B44" s="23" t="s">
        <v>145</v>
      </c>
      <c r="C44" s="248"/>
      <c r="D44" s="251">
        <v>4.4099999999999999E-3</v>
      </c>
      <c r="E44" s="34">
        <v>1.35</v>
      </c>
    </row>
    <row r="45" spans="1:5" ht="15.5" x14ac:dyDescent="0.35">
      <c r="A45" s="32">
        <v>2241</v>
      </c>
      <c r="B45" s="23" t="s">
        <v>124</v>
      </c>
      <c r="C45" s="248"/>
      <c r="D45" s="251">
        <v>1.6500000000000001E-2</v>
      </c>
      <c r="E45" s="34">
        <v>5.0599999999999996</v>
      </c>
    </row>
    <row r="46" spans="1:5" ht="15.5" x14ac:dyDescent="0.35">
      <c r="A46" s="32">
        <v>2242</v>
      </c>
      <c r="B46" s="63" t="s">
        <v>146</v>
      </c>
      <c r="C46" s="275"/>
      <c r="D46" s="251">
        <v>2.2599999999999999E-3</v>
      </c>
      <c r="E46" s="34">
        <v>0.69</v>
      </c>
    </row>
    <row r="47" spans="1:5" ht="15.5" x14ac:dyDescent="0.35">
      <c r="A47" s="32">
        <v>2243</v>
      </c>
      <c r="B47" s="23" t="s">
        <v>138</v>
      </c>
      <c r="C47" s="248"/>
      <c r="D47" s="251">
        <v>3.2599999999999997E-2</v>
      </c>
      <c r="E47" s="34">
        <v>10</v>
      </c>
    </row>
    <row r="48" spans="1:5" ht="15.5" x14ac:dyDescent="0.35">
      <c r="A48" s="32">
        <v>2244</v>
      </c>
      <c r="B48" s="23" t="s">
        <v>139</v>
      </c>
      <c r="C48" s="248"/>
      <c r="D48" s="251">
        <f>0.20397-0.09084</f>
        <v>0.11313000000000001</v>
      </c>
      <c r="E48" s="34">
        <v>34.71</v>
      </c>
    </row>
    <row r="49" spans="1:5" ht="15.5" x14ac:dyDescent="0.35">
      <c r="A49" s="32">
        <v>2247</v>
      </c>
      <c r="B49" s="23" t="s">
        <v>147</v>
      </c>
      <c r="C49" s="248"/>
      <c r="D49" s="251">
        <v>7.1900000000000002E-4</v>
      </c>
      <c r="E49" s="34">
        <v>0.22</v>
      </c>
    </row>
    <row r="50" spans="1:5" ht="15.5" x14ac:dyDescent="0.35">
      <c r="A50" s="32">
        <v>2249</v>
      </c>
      <c r="B50" s="23" t="s">
        <v>172</v>
      </c>
      <c r="C50" s="248"/>
      <c r="D50" s="251">
        <v>2.32E-4</v>
      </c>
      <c r="E50" s="34">
        <v>7.0000000000000007E-2</v>
      </c>
    </row>
    <row r="51" spans="1:5" ht="15.5" x14ac:dyDescent="0.35">
      <c r="A51" s="32">
        <v>2250</v>
      </c>
      <c r="B51" s="23" t="s">
        <v>125</v>
      </c>
      <c r="C51" s="248"/>
      <c r="D51" s="251">
        <f>0.024026-0.005</f>
        <v>1.9025999999999998E-2</v>
      </c>
      <c r="E51" s="34">
        <v>5.84</v>
      </c>
    </row>
    <row r="52" spans="1:5" ht="15.5" hidden="1" x14ac:dyDescent="0.35">
      <c r="A52" s="32">
        <v>2261</v>
      </c>
      <c r="B52" s="63" t="s">
        <v>99</v>
      </c>
      <c r="C52" s="275"/>
      <c r="D52" s="251">
        <v>0</v>
      </c>
      <c r="E52" s="34">
        <f>D52*306.82</f>
        <v>0</v>
      </c>
    </row>
    <row r="53" spans="1:5" ht="15.5" x14ac:dyDescent="0.35">
      <c r="A53" s="32">
        <v>2262</v>
      </c>
      <c r="B53" s="63" t="s">
        <v>149</v>
      </c>
      <c r="C53" s="275"/>
      <c r="D53" s="251">
        <v>6.2599999999999999E-3</v>
      </c>
      <c r="E53" s="34">
        <v>1.92</v>
      </c>
    </row>
    <row r="54" spans="1:5" ht="15.5" x14ac:dyDescent="0.35">
      <c r="A54" s="32">
        <v>2263</v>
      </c>
      <c r="B54" s="63" t="s">
        <v>150</v>
      </c>
      <c r="C54" s="275"/>
      <c r="D54" s="251">
        <v>4.58E-2</v>
      </c>
      <c r="E54" s="34">
        <v>14.05</v>
      </c>
    </row>
    <row r="55" spans="1:5" ht="15.5" x14ac:dyDescent="0.35">
      <c r="A55" s="32">
        <v>2264</v>
      </c>
      <c r="B55" s="23" t="s">
        <v>151</v>
      </c>
      <c r="C55" s="248"/>
      <c r="D55" s="251">
        <v>1.49E-3</v>
      </c>
      <c r="E55" s="34">
        <v>0.46</v>
      </c>
    </row>
    <row r="56" spans="1:5" ht="15.5" x14ac:dyDescent="0.35">
      <c r="A56" s="32">
        <v>2311</v>
      </c>
      <c r="B56" s="63" t="s">
        <v>152</v>
      </c>
      <c r="C56" s="275"/>
      <c r="D56" s="251">
        <v>4.7699999999999999E-3</v>
      </c>
      <c r="E56" s="34">
        <v>1.46</v>
      </c>
    </row>
    <row r="57" spans="1:5" ht="15.5" x14ac:dyDescent="0.35">
      <c r="A57" s="32">
        <v>2312</v>
      </c>
      <c r="B57" s="63" t="s">
        <v>117</v>
      </c>
      <c r="C57" s="275"/>
      <c r="D57" s="251">
        <v>5.79E-3</v>
      </c>
      <c r="E57" s="34">
        <v>1.78</v>
      </c>
    </row>
    <row r="58" spans="1:5" ht="15.5" x14ac:dyDescent="0.25">
      <c r="A58" s="32">
        <v>2314</v>
      </c>
      <c r="B58" s="78" t="s">
        <v>153</v>
      </c>
      <c r="C58" s="278"/>
      <c r="D58" s="251">
        <v>2.2200000000000002E-3</v>
      </c>
      <c r="E58" s="34">
        <v>0.68</v>
      </c>
    </row>
    <row r="59" spans="1:5" ht="15.5" x14ac:dyDescent="0.35">
      <c r="A59" s="32">
        <v>2321</v>
      </c>
      <c r="B59" s="63" t="s">
        <v>140</v>
      </c>
      <c r="C59" s="275"/>
      <c r="D59" s="251">
        <f>0.0198*1.2+0.005</f>
        <v>2.8760000000000001E-2</v>
      </c>
      <c r="E59" s="34">
        <v>8.82</v>
      </c>
    </row>
    <row r="60" spans="1:5" ht="15.5" x14ac:dyDescent="0.35">
      <c r="A60" s="32">
        <v>2322</v>
      </c>
      <c r="B60" s="63" t="s">
        <v>154</v>
      </c>
      <c r="C60" s="275"/>
      <c r="D60" s="251">
        <f>0.0035*1.2</f>
        <v>4.1999999999999997E-3</v>
      </c>
      <c r="E60" s="34">
        <v>1.29</v>
      </c>
    </row>
    <row r="61" spans="1:5" ht="15.5" hidden="1" x14ac:dyDescent="0.35">
      <c r="A61" s="32">
        <v>2341</v>
      </c>
      <c r="B61" s="63" t="s">
        <v>141</v>
      </c>
      <c r="C61" s="275"/>
      <c r="D61" s="251"/>
      <c r="E61" s="34">
        <f>D61*306.82</f>
        <v>0</v>
      </c>
    </row>
    <row r="62" spans="1:5" ht="15.5" x14ac:dyDescent="0.35">
      <c r="A62" s="32">
        <v>2350</v>
      </c>
      <c r="B62" s="62" t="s">
        <v>126</v>
      </c>
      <c r="C62" s="251"/>
      <c r="D62" s="251">
        <v>8.5000000000000006E-3</v>
      </c>
      <c r="E62" s="34">
        <v>2.61</v>
      </c>
    </row>
    <row r="63" spans="1:5" ht="15.75" hidden="1" customHeight="1" x14ac:dyDescent="0.35">
      <c r="A63" s="32">
        <v>2512</v>
      </c>
      <c r="B63" s="63" t="s">
        <v>155</v>
      </c>
      <c r="C63" s="275"/>
      <c r="D63" s="251">
        <v>0</v>
      </c>
      <c r="E63" s="34">
        <f>D63*306.82</f>
        <v>0</v>
      </c>
    </row>
    <row r="64" spans="1:5" ht="15.75" customHeight="1" x14ac:dyDescent="0.35">
      <c r="A64" s="32">
        <v>2513</v>
      </c>
      <c r="B64" s="62" t="s">
        <v>122</v>
      </c>
      <c r="C64" s="251"/>
      <c r="D64" s="251">
        <v>1.4599999999999999E-3</v>
      </c>
      <c r="E64" s="34">
        <v>0.45</v>
      </c>
    </row>
    <row r="65" spans="1:9" ht="15.75" customHeight="1" x14ac:dyDescent="0.35">
      <c r="A65" s="32">
        <v>2515</v>
      </c>
      <c r="B65" s="63" t="s">
        <v>156</v>
      </c>
      <c r="C65" s="275"/>
      <c r="D65" s="251">
        <v>1.9E-3</v>
      </c>
      <c r="E65" s="34">
        <v>0.57999999999999996</v>
      </c>
    </row>
    <row r="66" spans="1:9" ht="15.75" customHeight="1" x14ac:dyDescent="0.35">
      <c r="A66" s="32">
        <v>2519</v>
      </c>
      <c r="B66" s="63" t="s">
        <v>123</v>
      </c>
      <c r="C66" s="275"/>
      <c r="D66" s="251">
        <v>2E-3</v>
      </c>
      <c r="E66" s="34">
        <v>0.61</v>
      </c>
    </row>
    <row r="67" spans="1:9" ht="15.75" customHeight="1" x14ac:dyDescent="0.35">
      <c r="A67" s="32">
        <v>5220</v>
      </c>
      <c r="B67" s="63" t="s">
        <v>129</v>
      </c>
      <c r="C67" s="275"/>
      <c r="D67" s="251">
        <v>1.06E-2</v>
      </c>
      <c r="E67" s="34">
        <v>3.2</v>
      </c>
    </row>
    <row r="68" spans="1:9" ht="15.75" customHeight="1" x14ac:dyDescent="0.35">
      <c r="A68" s="32">
        <v>5238</v>
      </c>
      <c r="B68" s="62" t="s">
        <v>130</v>
      </c>
      <c r="C68" s="251"/>
      <c r="D68" s="251">
        <v>1.65E-3</v>
      </c>
      <c r="E68" s="34">
        <v>0.51</v>
      </c>
    </row>
    <row r="69" spans="1:9" ht="15.75" customHeight="1" x14ac:dyDescent="0.35">
      <c r="A69" s="32">
        <v>5239</v>
      </c>
      <c r="B69" s="62" t="s">
        <v>131</v>
      </c>
      <c r="C69" s="251"/>
      <c r="D69" s="251">
        <v>9.5399999999999999E-3</v>
      </c>
      <c r="E69" s="34">
        <v>2.93</v>
      </c>
    </row>
    <row r="70" spans="1:9" ht="15.75" customHeight="1" x14ac:dyDescent="0.35">
      <c r="A70" s="32">
        <v>5250</v>
      </c>
      <c r="B70" s="63" t="s">
        <v>132</v>
      </c>
      <c r="C70" s="275"/>
      <c r="D70" s="251">
        <v>7.0600000000000003E-3</v>
      </c>
      <c r="E70" s="34">
        <v>2.17</v>
      </c>
    </row>
    <row r="71" spans="1:9" ht="15.5" x14ac:dyDescent="0.25">
      <c r="A71" s="39"/>
      <c r="B71" s="41" t="s">
        <v>8</v>
      </c>
      <c r="C71" s="267"/>
      <c r="D71" s="267">
        <f>SUM(D35:D70)</f>
        <v>1.00000255</v>
      </c>
      <c r="E71" s="38">
        <f>SUM(E35:E70)</f>
        <v>292.30999999999995</v>
      </c>
    </row>
    <row r="72" spans="1:9" ht="15.5" x14ac:dyDescent="0.25">
      <c r="A72" s="39"/>
      <c r="B72" s="41" t="s">
        <v>29</v>
      </c>
      <c r="C72" s="267"/>
      <c r="D72" s="267"/>
      <c r="E72" s="38">
        <f>E71+E33</f>
        <v>690.59999999999991</v>
      </c>
    </row>
    <row r="73" spans="1:9" ht="15.5" x14ac:dyDescent="0.35">
      <c r="A73" s="16"/>
      <c r="B73" s="26"/>
      <c r="C73" s="256"/>
      <c r="D73" s="256"/>
      <c r="E73" s="60"/>
    </row>
    <row r="74" spans="1:9" ht="15.5" x14ac:dyDescent="0.25">
      <c r="A74" s="321" t="s">
        <v>57</v>
      </c>
      <c r="B74" s="321"/>
      <c r="C74" s="243"/>
      <c r="D74" s="243"/>
      <c r="E74" s="68">
        <v>30</v>
      </c>
    </row>
    <row r="75" spans="1:9" ht="15.5" x14ac:dyDescent="0.3">
      <c r="A75" s="321" t="s">
        <v>58</v>
      </c>
      <c r="B75" s="321"/>
      <c r="C75" s="243"/>
      <c r="D75" s="243"/>
      <c r="E75" s="69">
        <f>E72/E74</f>
        <v>23.019999999999996</v>
      </c>
    </row>
    <row r="76" spans="1:9" ht="15.5" x14ac:dyDescent="0.35">
      <c r="A76" s="26"/>
      <c r="B76" s="27"/>
      <c r="C76" s="279"/>
      <c r="D76" s="279"/>
      <c r="E76" s="59"/>
    </row>
    <row r="77" spans="1:9" s="2" customFormat="1" ht="15.5" x14ac:dyDescent="0.35">
      <c r="A77" s="332" t="s">
        <v>33</v>
      </c>
      <c r="B77" s="333"/>
      <c r="C77" s="280"/>
      <c r="D77" s="280"/>
      <c r="E77" s="281"/>
      <c r="G77" s="7"/>
      <c r="H77" s="7"/>
      <c r="I77" s="7"/>
    </row>
    <row r="78" spans="1:9" s="2" customFormat="1" ht="15.5" x14ac:dyDescent="0.35">
      <c r="A78" s="332" t="s">
        <v>64</v>
      </c>
      <c r="B78" s="333"/>
      <c r="C78" s="280"/>
      <c r="D78" s="280"/>
      <c r="E78" s="28"/>
      <c r="G78" s="7"/>
      <c r="H78" s="7"/>
      <c r="I78" s="7"/>
    </row>
    <row r="79" spans="1:9" s="2" customFormat="1" ht="15.5" x14ac:dyDescent="0.35">
      <c r="A79" s="29"/>
      <c r="B79" s="29"/>
      <c r="C79" s="260"/>
      <c r="D79" s="260"/>
      <c r="E79" s="84"/>
      <c r="G79" s="7"/>
      <c r="H79" s="7"/>
      <c r="I79" s="7"/>
    </row>
    <row r="80" spans="1:9" s="2" customFormat="1" ht="15.5" x14ac:dyDescent="0.35">
      <c r="A80" s="29" t="s">
        <v>34</v>
      </c>
      <c r="B80" s="29"/>
      <c r="C80" s="260"/>
      <c r="D80" s="260"/>
      <c r="E80" s="84"/>
      <c r="G80" s="7"/>
      <c r="H80" s="7"/>
      <c r="I80" s="7"/>
    </row>
    <row r="81" spans="1:9" s="2" customFormat="1" ht="15.5" x14ac:dyDescent="0.35">
      <c r="A81" s="29"/>
      <c r="B81" s="29"/>
      <c r="C81" s="260"/>
      <c r="D81" s="260"/>
      <c r="E81" s="29"/>
      <c r="G81" s="7"/>
      <c r="H81" s="7"/>
      <c r="I81" s="7"/>
    </row>
    <row r="82" spans="1:9" s="2" customFormat="1" ht="15.5" x14ac:dyDescent="0.35">
      <c r="A82" s="29" t="s">
        <v>179</v>
      </c>
      <c r="B82" s="30"/>
      <c r="C82" s="261"/>
      <c r="D82" s="261"/>
      <c r="E82" s="29"/>
      <c r="G82" s="7"/>
      <c r="H82" s="7"/>
      <c r="I82" s="7"/>
    </row>
    <row r="83" spans="1:9" s="2" customFormat="1" ht="13.9" customHeight="1" x14ac:dyDescent="0.35">
      <c r="A83" s="29"/>
      <c r="B83" s="31"/>
      <c r="C83" s="273"/>
      <c r="D83" s="273"/>
      <c r="E83" s="29"/>
      <c r="G83" s="7"/>
      <c r="H83" s="7"/>
      <c r="I83" s="7"/>
    </row>
    <row r="84" spans="1:9" s="4" customFormat="1" ht="15.5" x14ac:dyDescent="0.35">
      <c r="A84" s="14"/>
      <c r="B84" s="14"/>
      <c r="C84" s="240"/>
      <c r="D84" s="240"/>
      <c r="E84" s="14"/>
      <c r="G84" s="7"/>
      <c r="H84" s="7"/>
      <c r="I84" s="7"/>
    </row>
  </sheetData>
  <mergeCells count="9">
    <mergeCell ref="A78:B78"/>
    <mergeCell ref="A77:B77"/>
    <mergeCell ref="B13:E13"/>
    <mergeCell ref="A10:B10"/>
    <mergeCell ref="A7:E7"/>
    <mergeCell ref="A9:B9"/>
    <mergeCell ref="B12:E12"/>
    <mergeCell ref="A74:B74"/>
    <mergeCell ref="A75:B75"/>
  </mergeCells>
  <pageMargins left="0.94488188976377963" right="0.55118110236220474" top="0.59055118110236227" bottom="0.74803149606299213" header="0.31496062992125984" footer="0.31496062992125984"/>
  <pageSetup paperSize="9" scale="58" firstPageNumber="10" orientation="portrait" useFirstPageNumber="1" r:id="rId1"/>
  <headerFooter>
    <oddFooter>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view="pageLayout" zoomScale="80" zoomScaleNormal="100" zoomScalePageLayoutView="80" workbookViewId="0">
      <selection activeCell="A78" sqref="A78:B78"/>
    </sheetView>
  </sheetViews>
  <sheetFormatPr defaultColWidth="9.1796875" defaultRowHeight="14" x14ac:dyDescent="0.3"/>
  <cols>
    <col min="1" max="1" width="13.453125" style="4" customWidth="1"/>
    <col min="2" max="2" width="94.453125" style="4" customWidth="1"/>
    <col min="3" max="4" width="7" style="240" hidden="1" customWidth="1"/>
    <col min="5" max="5" width="30" style="4" customWidth="1"/>
    <col min="6" max="6" width="9.1796875" style="7" customWidth="1"/>
    <col min="7" max="16384" width="9.1796875" style="7"/>
  </cols>
  <sheetData>
    <row r="1" spans="1:9" ht="15.5" x14ac:dyDescent="0.35">
      <c r="A1" s="14"/>
      <c r="B1" s="15"/>
      <c r="C1" s="237"/>
      <c r="D1" s="237"/>
      <c r="E1" s="18" t="s">
        <v>10</v>
      </c>
    </row>
    <row r="2" spans="1:9" ht="15.5" x14ac:dyDescent="0.35">
      <c r="A2" s="14"/>
      <c r="B2" s="15"/>
      <c r="C2" s="237"/>
      <c r="D2" s="237"/>
      <c r="E2" s="15" t="s">
        <v>32</v>
      </c>
    </row>
    <row r="3" spans="1:9" ht="15.5" x14ac:dyDescent="0.35">
      <c r="A3" s="14"/>
      <c r="B3" s="15"/>
      <c r="C3" s="237"/>
      <c r="D3" s="237"/>
      <c r="E3" s="80" t="s">
        <v>66</v>
      </c>
    </row>
    <row r="4" spans="1:9" ht="15.5" x14ac:dyDescent="0.35">
      <c r="A4" s="14"/>
      <c r="B4" s="15"/>
      <c r="C4" s="237"/>
      <c r="D4" s="237"/>
      <c r="E4" s="64"/>
    </row>
    <row r="5" spans="1:9" ht="15.5" x14ac:dyDescent="0.35">
      <c r="A5" s="14"/>
      <c r="B5" s="18"/>
      <c r="C5" s="264"/>
      <c r="D5" s="264"/>
      <c r="E5" s="16" t="s">
        <v>230</v>
      </c>
    </row>
    <row r="6" spans="1:9" ht="15.5" x14ac:dyDescent="0.35">
      <c r="A6" s="14"/>
      <c r="B6" s="14"/>
      <c r="E6" s="26"/>
    </row>
    <row r="7" spans="1:9" ht="17.5" x14ac:dyDescent="0.35">
      <c r="A7" s="322" t="s">
        <v>9</v>
      </c>
      <c r="B7" s="322"/>
      <c r="C7" s="322"/>
      <c r="D7" s="322"/>
      <c r="E7" s="322"/>
    </row>
    <row r="8" spans="1:9" ht="15.5" x14ac:dyDescent="0.35">
      <c r="A8" s="14"/>
      <c r="B8" s="19"/>
      <c r="C8" s="242"/>
      <c r="D8" s="242"/>
      <c r="E8" s="26"/>
    </row>
    <row r="9" spans="1:9" ht="15.5" x14ac:dyDescent="0.35">
      <c r="A9" s="321" t="s">
        <v>1</v>
      </c>
      <c r="B9" s="321"/>
      <c r="C9" s="243"/>
      <c r="D9" s="243"/>
      <c r="E9" s="26"/>
    </row>
    <row r="10" spans="1:9" ht="15.5" x14ac:dyDescent="0.35">
      <c r="A10" s="321" t="s">
        <v>0</v>
      </c>
      <c r="B10" s="321"/>
      <c r="C10" s="243"/>
      <c r="D10" s="243"/>
      <c r="E10" s="26"/>
    </row>
    <row r="11" spans="1:9" ht="15.5" x14ac:dyDescent="0.35">
      <c r="A11" s="12"/>
      <c r="B11" s="12" t="s">
        <v>181</v>
      </c>
      <c r="C11" s="243"/>
      <c r="D11" s="243"/>
      <c r="E11" s="26"/>
    </row>
    <row r="12" spans="1:9" ht="15.5" x14ac:dyDescent="0.35">
      <c r="A12" s="12"/>
      <c r="B12" s="321" t="s">
        <v>207</v>
      </c>
      <c r="C12" s="321"/>
      <c r="D12" s="321"/>
      <c r="E12" s="334"/>
    </row>
    <row r="13" spans="1:9" ht="15.75" customHeight="1" x14ac:dyDescent="0.35">
      <c r="A13" s="12"/>
      <c r="B13" s="321" t="s">
        <v>209</v>
      </c>
      <c r="C13" s="321"/>
      <c r="D13" s="321"/>
      <c r="E13" s="334"/>
    </row>
    <row r="14" spans="1:9" ht="15.5" x14ac:dyDescent="0.25">
      <c r="A14" s="13" t="s">
        <v>2</v>
      </c>
      <c r="B14" s="12" t="s">
        <v>170</v>
      </c>
      <c r="C14" s="243"/>
      <c r="D14" s="243"/>
      <c r="E14" s="48"/>
    </row>
    <row r="15" spans="1:9" s="144" customFormat="1" ht="67.5" customHeight="1" x14ac:dyDescent="0.25">
      <c r="A15" s="52" t="s">
        <v>3</v>
      </c>
      <c r="B15" s="52" t="s">
        <v>4</v>
      </c>
      <c r="C15" s="246"/>
      <c r="D15" s="246"/>
      <c r="E15" s="52" t="s">
        <v>63</v>
      </c>
      <c r="G15" s="7"/>
      <c r="H15" s="7"/>
      <c r="I15" s="7"/>
    </row>
    <row r="16" spans="1:9" ht="15" x14ac:dyDescent="0.25">
      <c r="A16" s="42">
        <v>1</v>
      </c>
      <c r="B16" s="49">
        <v>2</v>
      </c>
      <c r="C16" s="274"/>
      <c r="D16" s="274"/>
      <c r="E16" s="49">
        <v>3</v>
      </c>
    </row>
    <row r="17" spans="1:9" s="150" customFormat="1" ht="15.5" x14ac:dyDescent="0.25">
      <c r="A17" s="42"/>
      <c r="B17" s="40" t="s">
        <v>5</v>
      </c>
      <c r="C17" s="265"/>
      <c r="D17" s="265"/>
      <c r="E17" s="32"/>
      <c r="G17" s="7"/>
      <c r="H17" s="7"/>
      <c r="I17" s="7"/>
    </row>
    <row r="18" spans="1:9" s="150" customFormat="1" ht="15.5" x14ac:dyDescent="0.25">
      <c r="A18" s="32">
        <v>1100</v>
      </c>
      <c r="B18" s="32" t="s">
        <v>133</v>
      </c>
      <c r="C18" s="250">
        <f>'[1]7._izmitināšana_GALA mpc'!$X$6</f>
        <v>7.8366012721862255</v>
      </c>
      <c r="D18" s="249"/>
      <c r="E18" s="34">
        <v>266.81</v>
      </c>
      <c r="G18" s="7"/>
      <c r="H18" s="7"/>
      <c r="I18" s="7"/>
    </row>
    <row r="19" spans="1:9" s="150" customFormat="1" ht="15.5" x14ac:dyDescent="0.35">
      <c r="A19" s="32">
        <v>1200</v>
      </c>
      <c r="B19" s="62" t="s">
        <v>134</v>
      </c>
      <c r="C19" s="249">
        <f>C18*0.2359</f>
        <v>1.8486542401087305</v>
      </c>
      <c r="D19" s="251"/>
      <c r="E19" s="34">
        <v>62.94</v>
      </c>
      <c r="H19" s="7"/>
      <c r="I19" s="7"/>
    </row>
    <row r="20" spans="1:9" ht="15.75" customHeight="1" x14ac:dyDescent="0.35">
      <c r="A20" s="32">
        <v>2222</v>
      </c>
      <c r="B20" s="63" t="s">
        <v>136</v>
      </c>
      <c r="C20" s="250">
        <f>'[1]7._izmitināšana_GALA mpc'!$X$8</f>
        <v>0.2254808388295044</v>
      </c>
      <c r="D20" s="275"/>
      <c r="E20" s="34">
        <v>6.65</v>
      </c>
      <c r="G20" s="45"/>
      <c r="H20" s="151"/>
    </row>
    <row r="21" spans="1:9" ht="15.5" x14ac:dyDescent="0.35">
      <c r="A21" s="32">
        <v>2223</v>
      </c>
      <c r="B21" s="63" t="s">
        <v>137</v>
      </c>
      <c r="C21" s="250">
        <f>'[1]7._izmitināšana_GALA mpc'!$X$9</f>
        <v>0.56503636616487274</v>
      </c>
      <c r="D21" s="276"/>
      <c r="E21" s="34">
        <v>16.57</v>
      </c>
      <c r="G21" s="152"/>
      <c r="H21" s="151"/>
    </row>
    <row r="22" spans="1:9" ht="15.5" x14ac:dyDescent="0.35">
      <c r="A22" s="32">
        <v>2243</v>
      </c>
      <c r="B22" s="23" t="s">
        <v>138</v>
      </c>
      <c r="C22" s="250">
        <f>'[1]7._izmitināšana_GALA mpc'!$X$11</f>
        <v>3.6250939976182152E-2</v>
      </c>
      <c r="D22" s="248"/>
      <c r="E22" s="34">
        <v>1.08</v>
      </c>
    </row>
    <row r="23" spans="1:9" ht="15.5" x14ac:dyDescent="0.35">
      <c r="A23" s="32">
        <v>2244</v>
      </c>
      <c r="B23" s="23" t="s">
        <v>139</v>
      </c>
      <c r="C23" s="250">
        <f>'[1]7._izmitināšana_GALA mpc'!$X$12</f>
        <v>0.69759783203535841</v>
      </c>
      <c r="D23" s="248"/>
      <c r="E23" s="34">
        <v>20.49</v>
      </c>
    </row>
    <row r="24" spans="1:9" ht="15.5" x14ac:dyDescent="0.35">
      <c r="A24" s="32">
        <v>2250</v>
      </c>
      <c r="B24" s="23" t="s">
        <v>125</v>
      </c>
      <c r="C24" s="250">
        <f>'[1]7._izmitināšana_GALA mpc'!$X$13</f>
        <v>9.5000000000000015E-2</v>
      </c>
      <c r="D24" s="276"/>
      <c r="E24" s="34">
        <v>2.85</v>
      </c>
    </row>
    <row r="25" spans="1:9" ht="15.5" x14ac:dyDescent="0.35">
      <c r="A25" s="32">
        <v>2311</v>
      </c>
      <c r="B25" s="63" t="s">
        <v>152</v>
      </c>
      <c r="C25" s="250">
        <f>'[1]7._izmitināšana_GALA mpc'!$X$14</f>
        <v>1.0355716425361956</v>
      </c>
      <c r="D25" s="275"/>
      <c r="E25" s="34">
        <v>30.79</v>
      </c>
    </row>
    <row r="26" spans="1:9" ht="15.5" x14ac:dyDescent="0.35">
      <c r="A26" s="32">
        <v>2312</v>
      </c>
      <c r="B26" s="23" t="s">
        <v>117</v>
      </c>
      <c r="C26" s="250">
        <f>'[1]7._izmitināšana_GALA mpc'!$X$15</f>
        <v>0.39767064299991572</v>
      </c>
      <c r="D26" s="248"/>
      <c r="E26" s="34">
        <v>11.82</v>
      </c>
    </row>
    <row r="27" spans="1:9" ht="15.5" x14ac:dyDescent="0.35">
      <c r="A27" s="32">
        <v>2321</v>
      </c>
      <c r="B27" s="63" t="s">
        <v>140</v>
      </c>
      <c r="C27" s="250">
        <f>'[1]7._izmitināšana_GALA mpc'!$X$16</f>
        <v>0.40435661982484566</v>
      </c>
      <c r="D27" s="276"/>
      <c r="E27" s="34">
        <v>11.88</v>
      </c>
    </row>
    <row r="28" spans="1:9" ht="15.5" x14ac:dyDescent="0.35">
      <c r="A28" s="32">
        <v>2350</v>
      </c>
      <c r="B28" s="62" t="s">
        <v>126</v>
      </c>
      <c r="C28" s="250">
        <f>'[1]7._izmitināšana_GALA mpc'!$X$17</f>
        <v>0.15456804176581926</v>
      </c>
      <c r="D28" s="275"/>
      <c r="E28" s="34">
        <v>4.5599999999999996</v>
      </c>
    </row>
    <row r="29" spans="1:9" ht="15.5" x14ac:dyDescent="0.35">
      <c r="A29" s="32">
        <v>2361</v>
      </c>
      <c r="B29" s="63" t="s">
        <v>142</v>
      </c>
      <c r="C29" s="250">
        <f>'[1]7._izmitināšana_GALA mpc'!$X$18</f>
        <v>5.4458312531203187E-2</v>
      </c>
      <c r="D29" s="276"/>
      <c r="E29" s="34">
        <v>1.58</v>
      </c>
    </row>
    <row r="30" spans="1:9" ht="15.5" x14ac:dyDescent="0.35">
      <c r="A30" s="32">
        <v>2362</v>
      </c>
      <c r="B30" s="86" t="s">
        <v>157</v>
      </c>
      <c r="C30" s="250">
        <f>'[1]7._izmitināšana_GALA mpc'!$X$19</f>
        <v>3.1051737481413131E-2</v>
      </c>
      <c r="D30" s="276"/>
      <c r="E30" s="34">
        <v>0.94</v>
      </c>
    </row>
    <row r="31" spans="1:9" ht="15.5" x14ac:dyDescent="0.35">
      <c r="A31" s="32">
        <v>2363</v>
      </c>
      <c r="B31" s="63" t="s">
        <v>143</v>
      </c>
      <c r="C31" s="249">
        <v>5.36</v>
      </c>
      <c r="D31" s="276"/>
      <c r="E31" s="34">
        <f>5.36*30</f>
        <v>160.80000000000001</v>
      </c>
    </row>
    <row r="32" spans="1:9" ht="15.5" x14ac:dyDescent="0.35">
      <c r="A32" s="32">
        <v>5239</v>
      </c>
      <c r="B32" s="62" t="s">
        <v>131</v>
      </c>
      <c r="C32" s="250">
        <f>'[1]7._izmitināšana_GALA mpc'!$X$21</f>
        <v>0.54388650929818028</v>
      </c>
      <c r="D32" s="276"/>
      <c r="E32" s="34">
        <v>16.09</v>
      </c>
    </row>
    <row r="33" spans="1:5" ht="15.5" x14ac:dyDescent="0.25">
      <c r="A33" s="32"/>
      <c r="B33" s="37" t="s">
        <v>6</v>
      </c>
      <c r="C33" s="266">
        <f>SUM(C18:C32)</f>
        <v>19.286184995738449</v>
      </c>
      <c r="D33" s="266"/>
      <c r="E33" s="38">
        <f>SUM(E18:E32)</f>
        <v>615.85</v>
      </c>
    </row>
    <row r="34" spans="1:5" ht="15.75" customHeight="1" x14ac:dyDescent="0.25">
      <c r="A34" s="39"/>
      <c r="B34" s="32" t="s">
        <v>7</v>
      </c>
      <c r="C34" s="249"/>
      <c r="D34" s="249"/>
      <c r="E34" s="34"/>
    </row>
    <row r="35" spans="1:5" ht="15.5" x14ac:dyDescent="0.35">
      <c r="A35" s="32">
        <v>1100</v>
      </c>
      <c r="B35" s="23" t="s">
        <v>133</v>
      </c>
      <c r="C35" s="248"/>
      <c r="D35" s="251">
        <v>0.48549999999999999</v>
      </c>
      <c r="E35" s="34">
        <v>148.57</v>
      </c>
    </row>
    <row r="36" spans="1:5" ht="15.5" x14ac:dyDescent="0.35">
      <c r="A36" s="32">
        <v>1200</v>
      </c>
      <c r="B36" s="23" t="s">
        <v>134</v>
      </c>
      <c r="C36" s="248"/>
      <c r="D36" s="251">
        <f>D35*0.2359</f>
        <v>0.11452944999999999</v>
      </c>
      <c r="E36" s="34">
        <v>35.049999999999997</v>
      </c>
    </row>
    <row r="37" spans="1:5" ht="15.5" x14ac:dyDescent="0.25">
      <c r="A37" s="32">
        <v>2100</v>
      </c>
      <c r="B37" s="25" t="s">
        <v>45</v>
      </c>
      <c r="C37" s="277"/>
      <c r="D37" s="251">
        <v>1.1659999999999999E-3</v>
      </c>
      <c r="E37" s="34">
        <v>0.41</v>
      </c>
    </row>
    <row r="38" spans="1:5" ht="15.5" x14ac:dyDescent="0.35">
      <c r="A38" s="35">
        <v>2210</v>
      </c>
      <c r="B38" s="63" t="s">
        <v>121</v>
      </c>
      <c r="C38" s="275"/>
      <c r="D38" s="251">
        <v>7.6E-3</v>
      </c>
      <c r="E38" s="34">
        <v>2.67</v>
      </c>
    </row>
    <row r="39" spans="1:5" ht="15.5" x14ac:dyDescent="0.35">
      <c r="A39" s="32">
        <v>2222</v>
      </c>
      <c r="B39" s="63" t="s">
        <v>136</v>
      </c>
      <c r="C39" s="275"/>
      <c r="D39" s="251">
        <f>0.0095*1.15</f>
        <v>1.0924999999999999E-2</v>
      </c>
      <c r="E39" s="34">
        <v>3.83</v>
      </c>
    </row>
    <row r="40" spans="1:5" ht="15.75" customHeight="1" x14ac:dyDescent="0.35">
      <c r="A40" s="32">
        <v>2223</v>
      </c>
      <c r="B40" s="63" t="s">
        <v>137</v>
      </c>
      <c r="C40" s="275"/>
      <c r="D40" s="251">
        <f>0.01902*2.13</f>
        <v>4.0512599999999996E-2</v>
      </c>
      <c r="E40" s="34">
        <v>14.22</v>
      </c>
    </row>
    <row r="41" spans="1:5" ht="31" x14ac:dyDescent="0.35">
      <c r="A41" s="32">
        <v>2224</v>
      </c>
      <c r="B41" s="63" t="s">
        <v>144</v>
      </c>
      <c r="C41" s="275"/>
      <c r="D41" s="251">
        <f>0.00495*1.15</f>
        <v>5.6924999999999996E-3</v>
      </c>
      <c r="E41" s="34">
        <v>2</v>
      </c>
    </row>
    <row r="42" spans="1:5" ht="15.5" x14ac:dyDescent="0.35">
      <c r="A42" s="32">
        <v>2231</v>
      </c>
      <c r="B42" s="23" t="s">
        <v>127</v>
      </c>
      <c r="C42" s="248"/>
      <c r="D42" s="251">
        <v>1.5499999999999999E-3</v>
      </c>
      <c r="E42" s="34">
        <v>0.54</v>
      </c>
    </row>
    <row r="43" spans="1:5" ht="15.5" x14ac:dyDescent="0.25">
      <c r="A43" s="32">
        <v>2235</v>
      </c>
      <c r="B43" s="78" t="s">
        <v>128</v>
      </c>
      <c r="C43" s="278"/>
      <c r="D43" s="251">
        <v>1.65E-3</v>
      </c>
      <c r="E43" s="34">
        <v>0.57999999999999996</v>
      </c>
    </row>
    <row r="44" spans="1:5" ht="15.5" x14ac:dyDescent="0.35">
      <c r="A44" s="32">
        <v>2239</v>
      </c>
      <c r="B44" s="23" t="s">
        <v>145</v>
      </c>
      <c r="C44" s="248"/>
      <c r="D44" s="251">
        <v>4.4099999999999999E-3</v>
      </c>
      <c r="E44" s="34">
        <v>1.55</v>
      </c>
    </row>
    <row r="45" spans="1:5" ht="15.5" x14ac:dyDescent="0.35">
      <c r="A45" s="32">
        <v>2241</v>
      </c>
      <c r="B45" s="23" t="s">
        <v>124</v>
      </c>
      <c r="C45" s="248"/>
      <c r="D45" s="251">
        <v>1.6500000000000001E-2</v>
      </c>
      <c r="E45" s="34">
        <v>5.87</v>
      </c>
    </row>
    <row r="46" spans="1:5" ht="15.5" x14ac:dyDescent="0.35">
      <c r="A46" s="32">
        <v>2242</v>
      </c>
      <c r="B46" s="63" t="s">
        <v>146</v>
      </c>
      <c r="C46" s="275"/>
      <c r="D46" s="251">
        <v>2.2599999999999999E-3</v>
      </c>
      <c r="E46" s="34">
        <v>0.79</v>
      </c>
    </row>
    <row r="47" spans="1:5" ht="15.5" x14ac:dyDescent="0.35">
      <c r="A47" s="32">
        <v>2243</v>
      </c>
      <c r="B47" s="23" t="s">
        <v>138</v>
      </c>
      <c r="C47" s="248"/>
      <c r="D47" s="251">
        <v>3.2599999999999997E-2</v>
      </c>
      <c r="E47" s="34">
        <v>11.44</v>
      </c>
    </row>
    <row r="48" spans="1:5" ht="15.5" x14ac:dyDescent="0.35">
      <c r="A48" s="32">
        <v>2244</v>
      </c>
      <c r="B48" s="23" t="s">
        <v>139</v>
      </c>
      <c r="C48" s="248"/>
      <c r="D48" s="251">
        <f>0.20397-0.09084</f>
        <v>0.11313000000000001</v>
      </c>
      <c r="E48" s="34">
        <v>39.700000000000003</v>
      </c>
    </row>
    <row r="49" spans="1:5" ht="15.5" x14ac:dyDescent="0.35">
      <c r="A49" s="32">
        <v>2247</v>
      </c>
      <c r="B49" s="23" t="s">
        <v>147</v>
      </c>
      <c r="C49" s="248"/>
      <c r="D49" s="251">
        <v>7.1900000000000002E-4</v>
      </c>
      <c r="E49" s="34">
        <v>0.25</v>
      </c>
    </row>
    <row r="50" spans="1:5" ht="15.5" x14ac:dyDescent="0.35">
      <c r="A50" s="32">
        <v>2249</v>
      </c>
      <c r="B50" s="23" t="s">
        <v>172</v>
      </c>
      <c r="C50" s="248"/>
      <c r="D50" s="251">
        <v>2.32E-4</v>
      </c>
      <c r="E50" s="34">
        <v>0.08</v>
      </c>
    </row>
    <row r="51" spans="1:5" ht="15.5" x14ac:dyDescent="0.35">
      <c r="A51" s="32">
        <v>2250</v>
      </c>
      <c r="B51" s="23" t="s">
        <v>125</v>
      </c>
      <c r="C51" s="248"/>
      <c r="D51" s="251">
        <f>0.024026-0.005</f>
        <v>1.9025999999999998E-2</v>
      </c>
      <c r="E51" s="34">
        <v>6.68</v>
      </c>
    </row>
    <row r="52" spans="1:5" ht="15.5" hidden="1" x14ac:dyDescent="0.35">
      <c r="A52" s="32">
        <v>2261</v>
      </c>
      <c r="B52" s="63" t="s">
        <v>99</v>
      </c>
      <c r="C52" s="275"/>
      <c r="D52" s="251">
        <v>0</v>
      </c>
      <c r="E52" s="34">
        <f>D52*350.9</f>
        <v>0</v>
      </c>
    </row>
    <row r="53" spans="1:5" ht="15.5" x14ac:dyDescent="0.35">
      <c r="A53" s="32">
        <v>2262</v>
      </c>
      <c r="B53" s="63" t="s">
        <v>149</v>
      </c>
      <c r="C53" s="275"/>
      <c r="D53" s="251">
        <v>6.2599999999999999E-3</v>
      </c>
      <c r="E53" s="34">
        <v>2.2000000000000002</v>
      </c>
    </row>
    <row r="54" spans="1:5" ht="15.5" x14ac:dyDescent="0.35">
      <c r="A54" s="32">
        <v>2263</v>
      </c>
      <c r="B54" s="63" t="s">
        <v>150</v>
      </c>
      <c r="C54" s="275"/>
      <c r="D54" s="251">
        <v>4.58E-2</v>
      </c>
      <c r="E54" s="34">
        <v>16.07</v>
      </c>
    </row>
    <row r="55" spans="1:5" ht="15.5" x14ac:dyDescent="0.35">
      <c r="A55" s="32">
        <v>2264</v>
      </c>
      <c r="B55" s="23" t="s">
        <v>151</v>
      </c>
      <c r="C55" s="248"/>
      <c r="D55" s="251">
        <v>1.49E-3</v>
      </c>
      <c r="E55" s="34">
        <v>0.52</v>
      </c>
    </row>
    <row r="56" spans="1:5" ht="15.5" x14ac:dyDescent="0.35">
      <c r="A56" s="32">
        <v>2311</v>
      </c>
      <c r="B56" s="63" t="s">
        <v>152</v>
      </c>
      <c r="C56" s="275"/>
      <c r="D56" s="251">
        <v>4.7699999999999999E-3</v>
      </c>
      <c r="E56" s="34">
        <v>1.67</v>
      </c>
    </row>
    <row r="57" spans="1:5" ht="15.5" x14ac:dyDescent="0.35">
      <c r="A57" s="32">
        <v>2312</v>
      </c>
      <c r="B57" s="63" t="s">
        <v>117</v>
      </c>
      <c r="C57" s="275"/>
      <c r="D57" s="251">
        <v>5.79E-3</v>
      </c>
      <c r="E57" s="34">
        <v>2.0299999999999998</v>
      </c>
    </row>
    <row r="58" spans="1:5" ht="15.5" x14ac:dyDescent="0.25">
      <c r="A58" s="32">
        <v>2314</v>
      </c>
      <c r="B58" s="78" t="s">
        <v>153</v>
      </c>
      <c r="C58" s="278"/>
      <c r="D58" s="251">
        <v>2.2200000000000002E-3</v>
      </c>
      <c r="E58" s="34">
        <v>0.78</v>
      </c>
    </row>
    <row r="59" spans="1:5" ht="15.5" x14ac:dyDescent="0.35">
      <c r="A59" s="32">
        <v>2321</v>
      </c>
      <c r="B59" s="63" t="s">
        <v>140</v>
      </c>
      <c r="C59" s="275"/>
      <c r="D59" s="251">
        <f>0.0198*1.2+0.005</f>
        <v>2.8760000000000001E-2</v>
      </c>
      <c r="E59" s="34">
        <v>10.09</v>
      </c>
    </row>
    <row r="60" spans="1:5" ht="15.5" x14ac:dyDescent="0.35">
      <c r="A60" s="32">
        <v>2322</v>
      </c>
      <c r="B60" s="63" t="s">
        <v>154</v>
      </c>
      <c r="C60" s="275"/>
      <c r="D60" s="251">
        <f>0.0035*1.2</f>
        <v>4.1999999999999997E-3</v>
      </c>
      <c r="E60" s="34">
        <v>1.47</v>
      </c>
    </row>
    <row r="61" spans="1:5" ht="15.5" hidden="1" x14ac:dyDescent="0.35">
      <c r="A61" s="32">
        <v>2341</v>
      </c>
      <c r="B61" s="63" t="s">
        <v>141</v>
      </c>
      <c r="C61" s="275"/>
      <c r="D61" s="251"/>
      <c r="E61" s="34">
        <f>D61*350.9</f>
        <v>0</v>
      </c>
    </row>
    <row r="62" spans="1:5" ht="15.5" x14ac:dyDescent="0.35">
      <c r="A62" s="32">
        <v>2350</v>
      </c>
      <c r="B62" s="62" t="s">
        <v>126</v>
      </c>
      <c r="C62" s="251"/>
      <c r="D62" s="251">
        <v>8.5000000000000006E-3</v>
      </c>
      <c r="E62" s="34">
        <v>2.98</v>
      </c>
    </row>
    <row r="63" spans="1:5" ht="15.75" hidden="1" customHeight="1" x14ac:dyDescent="0.35">
      <c r="A63" s="32">
        <v>2512</v>
      </c>
      <c r="B63" s="63" t="s">
        <v>155</v>
      </c>
      <c r="C63" s="275"/>
      <c r="D63" s="251">
        <v>0</v>
      </c>
      <c r="E63" s="34">
        <f>D63*350.9</f>
        <v>0</v>
      </c>
    </row>
    <row r="64" spans="1:5" ht="15.75" customHeight="1" x14ac:dyDescent="0.35">
      <c r="A64" s="32">
        <v>2513</v>
      </c>
      <c r="B64" s="62" t="s">
        <v>122</v>
      </c>
      <c r="C64" s="251"/>
      <c r="D64" s="251">
        <v>1.4599999999999999E-3</v>
      </c>
      <c r="E64" s="34">
        <v>0.51</v>
      </c>
    </row>
    <row r="65" spans="1:9" ht="15.75" customHeight="1" x14ac:dyDescent="0.35">
      <c r="A65" s="32">
        <v>2515</v>
      </c>
      <c r="B65" s="63" t="s">
        <v>156</v>
      </c>
      <c r="C65" s="275"/>
      <c r="D65" s="251">
        <v>1.9E-3</v>
      </c>
      <c r="E65" s="34">
        <v>0.67</v>
      </c>
    </row>
    <row r="66" spans="1:9" ht="15.75" customHeight="1" x14ac:dyDescent="0.35">
      <c r="A66" s="32">
        <v>2519</v>
      </c>
      <c r="B66" s="63" t="s">
        <v>123</v>
      </c>
      <c r="C66" s="275"/>
      <c r="D66" s="251">
        <v>2E-3</v>
      </c>
      <c r="E66" s="34">
        <v>0.7</v>
      </c>
    </row>
    <row r="67" spans="1:9" ht="15.75" customHeight="1" x14ac:dyDescent="0.35">
      <c r="A67" s="32">
        <v>5220</v>
      </c>
      <c r="B67" s="63" t="s">
        <v>129</v>
      </c>
      <c r="C67" s="275"/>
      <c r="D67" s="251">
        <v>1.06E-2</v>
      </c>
      <c r="E67" s="34">
        <v>3.72</v>
      </c>
    </row>
    <row r="68" spans="1:9" ht="15.75" customHeight="1" x14ac:dyDescent="0.35">
      <c r="A68" s="32">
        <v>5238</v>
      </c>
      <c r="B68" s="62" t="s">
        <v>130</v>
      </c>
      <c r="C68" s="251"/>
      <c r="D68" s="251">
        <v>1.65E-3</v>
      </c>
      <c r="E68" s="34">
        <v>0.57999999999999996</v>
      </c>
    </row>
    <row r="69" spans="1:9" ht="15.75" customHeight="1" x14ac:dyDescent="0.35">
      <c r="A69" s="32">
        <v>5239</v>
      </c>
      <c r="B69" s="62" t="s">
        <v>131</v>
      </c>
      <c r="C69" s="251"/>
      <c r="D69" s="251">
        <v>9.5399999999999999E-3</v>
      </c>
      <c r="E69" s="34">
        <v>3.35</v>
      </c>
    </row>
    <row r="70" spans="1:9" ht="15.75" customHeight="1" x14ac:dyDescent="0.35">
      <c r="A70" s="32">
        <v>5250</v>
      </c>
      <c r="B70" s="63" t="s">
        <v>132</v>
      </c>
      <c r="C70" s="275"/>
      <c r="D70" s="251">
        <v>7.0600000000000003E-3</v>
      </c>
      <c r="E70" s="34">
        <v>2.48</v>
      </c>
    </row>
    <row r="71" spans="1:9" ht="15.5" x14ac:dyDescent="0.25">
      <c r="A71" s="39"/>
      <c r="B71" s="41" t="s">
        <v>8</v>
      </c>
      <c r="C71" s="267"/>
      <c r="D71" s="267">
        <f>SUM(D35:D70)</f>
        <v>1.00000255</v>
      </c>
      <c r="E71" s="38">
        <f>SUM(E35:E70)</f>
        <v>324.05</v>
      </c>
    </row>
    <row r="72" spans="1:9" ht="15.5" x14ac:dyDescent="0.25">
      <c r="A72" s="39"/>
      <c r="B72" s="41" t="s">
        <v>29</v>
      </c>
      <c r="C72" s="267"/>
      <c r="D72" s="267"/>
      <c r="E72" s="38">
        <f>E71+E33</f>
        <v>939.90000000000009</v>
      </c>
    </row>
    <row r="73" spans="1:9" ht="15.5" x14ac:dyDescent="0.35">
      <c r="A73" s="16"/>
      <c r="B73" s="26"/>
      <c r="C73" s="256"/>
      <c r="D73" s="256"/>
      <c r="E73" s="60"/>
    </row>
    <row r="74" spans="1:9" ht="15.5" x14ac:dyDescent="0.25">
      <c r="A74" s="321" t="s">
        <v>57</v>
      </c>
      <c r="B74" s="321"/>
      <c r="C74" s="243"/>
      <c r="D74" s="243"/>
      <c r="E74" s="68">
        <v>30</v>
      </c>
    </row>
    <row r="75" spans="1:9" ht="15.5" x14ac:dyDescent="0.3">
      <c r="A75" s="321" t="s">
        <v>58</v>
      </c>
      <c r="B75" s="321"/>
      <c r="C75" s="243"/>
      <c r="D75" s="243"/>
      <c r="E75" s="69">
        <f>E72/E74</f>
        <v>31.330000000000002</v>
      </c>
    </row>
    <row r="76" spans="1:9" ht="15.5" x14ac:dyDescent="0.35">
      <c r="A76" s="26"/>
      <c r="B76" s="27"/>
      <c r="C76" s="279"/>
      <c r="D76" s="279"/>
      <c r="E76" s="59"/>
    </row>
    <row r="77" spans="1:9" s="2" customFormat="1" ht="15.5" x14ac:dyDescent="0.35">
      <c r="A77" s="319" t="s">
        <v>33</v>
      </c>
      <c r="B77" s="319"/>
      <c r="C77" s="257"/>
      <c r="D77" s="280"/>
      <c r="E77" s="88"/>
      <c r="G77" s="7"/>
      <c r="H77" s="7"/>
      <c r="I77" s="7"/>
    </row>
    <row r="78" spans="1:9" s="2" customFormat="1" ht="15.5" x14ac:dyDescent="0.35">
      <c r="A78" s="319" t="s">
        <v>64</v>
      </c>
      <c r="B78" s="319"/>
      <c r="C78" s="257"/>
      <c r="D78" s="280"/>
      <c r="E78" s="28"/>
      <c r="G78" s="7"/>
      <c r="H78" s="7"/>
      <c r="I78" s="7"/>
    </row>
    <row r="79" spans="1:9" s="2" customFormat="1" ht="15.5" x14ac:dyDescent="0.35">
      <c r="A79" s="29"/>
      <c r="B79" s="29"/>
      <c r="C79" s="260"/>
      <c r="D79" s="260"/>
      <c r="E79" s="84"/>
      <c r="G79" s="7"/>
      <c r="H79" s="7"/>
      <c r="I79" s="7"/>
    </row>
    <row r="80" spans="1:9" s="2" customFormat="1" ht="15.5" x14ac:dyDescent="0.35">
      <c r="A80" s="29" t="s">
        <v>34</v>
      </c>
      <c r="B80" s="29"/>
      <c r="C80" s="260"/>
      <c r="D80" s="260"/>
      <c r="E80" s="84"/>
      <c r="G80" s="7"/>
      <c r="H80" s="7"/>
      <c r="I80" s="7"/>
    </row>
    <row r="81" spans="1:9" s="2" customFormat="1" ht="15.5" x14ac:dyDescent="0.35">
      <c r="A81" s="29"/>
      <c r="B81" s="29"/>
      <c r="C81" s="260"/>
      <c r="D81" s="260"/>
      <c r="E81" s="84"/>
      <c r="G81" s="7"/>
      <c r="H81" s="7"/>
      <c r="I81" s="7"/>
    </row>
    <row r="82" spans="1:9" s="2" customFormat="1" ht="15.5" x14ac:dyDescent="0.35">
      <c r="A82" s="29" t="s">
        <v>179</v>
      </c>
      <c r="B82" s="30"/>
      <c r="C82" s="261"/>
      <c r="D82" s="261"/>
      <c r="E82" s="84"/>
      <c r="G82" s="7"/>
      <c r="H82" s="7"/>
      <c r="I82" s="7"/>
    </row>
    <row r="83" spans="1:9" s="2" customFormat="1" ht="13.9" customHeight="1" x14ac:dyDescent="0.35">
      <c r="A83" s="29"/>
      <c r="B83" s="31"/>
      <c r="C83" s="273"/>
      <c r="D83" s="273"/>
      <c r="E83" s="29"/>
      <c r="G83" s="7"/>
      <c r="H83" s="7"/>
      <c r="I83" s="7"/>
    </row>
    <row r="84" spans="1:9" s="4" customFormat="1" ht="15.5" x14ac:dyDescent="0.35">
      <c r="A84" s="14"/>
      <c r="B84" s="14"/>
      <c r="C84" s="240"/>
      <c r="D84" s="240"/>
      <c r="E84" s="14"/>
      <c r="G84" s="7"/>
      <c r="H84" s="7"/>
      <c r="I84" s="7"/>
    </row>
  </sheetData>
  <mergeCells count="9">
    <mergeCell ref="A74:B74"/>
    <mergeCell ref="A75:B75"/>
    <mergeCell ref="A77:B77"/>
    <mergeCell ref="A78:B78"/>
    <mergeCell ref="A7:E7"/>
    <mergeCell ref="A9:B9"/>
    <mergeCell ref="A10:B10"/>
    <mergeCell ref="B12:E12"/>
    <mergeCell ref="B13:E13"/>
  </mergeCells>
  <hyperlinks>
    <hyperlink ref="A106" r:id="rId1" display="Inese.Kise@lm.gov.lv,"/>
  </hyperlinks>
  <pageMargins left="0.9453125" right="0.55118110236220474" top="0.52135416666666667" bottom="0.50416666666666665" header="0.31496062992125984" footer="0.31496062992125984"/>
  <pageSetup paperSize="9" scale="60" firstPageNumber="11" orientation="portrait" useFirstPageNumber="1" r:id="rId2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5"/>
  <sheetViews>
    <sheetView view="pageLayout" topLeftCell="A66" zoomScaleNormal="100" workbookViewId="0">
      <selection activeCell="C3" sqref="C3:C5"/>
    </sheetView>
  </sheetViews>
  <sheetFormatPr defaultRowHeight="14" x14ac:dyDescent="0.3"/>
  <cols>
    <col min="1" max="1" width="12.54296875" style="4" customWidth="1"/>
    <col min="2" max="2" width="96" style="4" customWidth="1"/>
    <col min="3" max="3" width="32" style="4" customWidth="1"/>
  </cols>
  <sheetData>
    <row r="1" spans="1:3" ht="15.5" x14ac:dyDescent="0.35">
      <c r="A1" s="14"/>
      <c r="B1" s="15"/>
      <c r="C1" s="54" t="s">
        <v>10</v>
      </c>
    </row>
    <row r="2" spans="1:3" ht="15.5" x14ac:dyDescent="0.35">
      <c r="A2" s="14"/>
      <c r="B2" s="15"/>
      <c r="C2" s="55" t="s">
        <v>32</v>
      </c>
    </row>
    <row r="3" spans="1:3" ht="15.5" x14ac:dyDescent="0.35">
      <c r="A3" s="14"/>
      <c r="B3" s="15"/>
      <c r="C3" s="65" t="s">
        <v>118</v>
      </c>
    </row>
    <row r="4" spans="1:3" ht="15.5" x14ac:dyDescent="0.35">
      <c r="A4" s="14"/>
      <c r="B4" s="15"/>
      <c r="C4" s="64"/>
    </row>
    <row r="5" spans="1:3" ht="15.5" x14ac:dyDescent="0.35">
      <c r="A5" s="14"/>
      <c r="B5" s="18"/>
      <c r="C5" s="64" t="s">
        <v>119</v>
      </c>
    </row>
    <row r="6" spans="1:3" ht="15.5" x14ac:dyDescent="0.35">
      <c r="A6" s="14"/>
      <c r="B6" s="14"/>
      <c r="C6" s="26"/>
    </row>
    <row r="7" spans="1:3" ht="17.5" x14ac:dyDescent="0.35">
      <c r="A7" s="322" t="s">
        <v>9</v>
      </c>
      <c r="B7" s="322"/>
      <c r="C7" s="322"/>
    </row>
    <row r="8" spans="1:3" ht="15.5" x14ac:dyDescent="0.35">
      <c r="A8" s="14"/>
      <c r="B8" s="19"/>
      <c r="C8" s="26"/>
    </row>
    <row r="9" spans="1:3" ht="15.5" x14ac:dyDescent="0.35">
      <c r="A9" s="321" t="s">
        <v>1</v>
      </c>
      <c r="B9" s="321"/>
      <c r="C9" s="26"/>
    </row>
    <row r="10" spans="1:3" ht="15.5" x14ac:dyDescent="0.35">
      <c r="A10" s="321" t="s">
        <v>0</v>
      </c>
      <c r="B10" s="321"/>
      <c r="C10" s="26"/>
    </row>
    <row r="11" spans="1:3" ht="15.5" x14ac:dyDescent="0.35">
      <c r="A11" s="12"/>
      <c r="B11" s="12" t="s">
        <v>31</v>
      </c>
      <c r="C11" s="26"/>
    </row>
    <row r="12" spans="1:3" ht="15.5" x14ac:dyDescent="0.35">
      <c r="A12" s="12"/>
      <c r="B12" s="321" t="s">
        <v>116</v>
      </c>
      <c r="C12" s="334"/>
    </row>
    <row r="13" spans="1:3" ht="15.5" x14ac:dyDescent="0.35">
      <c r="A13" s="12"/>
      <c r="B13" s="321" t="s">
        <v>89</v>
      </c>
      <c r="C13" s="334"/>
    </row>
    <row r="14" spans="1:3" ht="15.5" x14ac:dyDescent="0.25">
      <c r="A14" s="13" t="s">
        <v>2</v>
      </c>
      <c r="B14" s="12" t="str">
        <f>'4.3.2.'!B14</f>
        <v>2023.gadā un turpmāk</v>
      </c>
      <c r="C14" s="48"/>
    </row>
    <row r="15" spans="1:3" ht="46.5" x14ac:dyDescent="0.25">
      <c r="A15" s="52" t="s">
        <v>3</v>
      </c>
      <c r="B15" s="52" t="s">
        <v>4</v>
      </c>
      <c r="C15" s="52" t="s">
        <v>63</v>
      </c>
    </row>
    <row r="16" spans="1:3" ht="15" x14ac:dyDescent="0.25">
      <c r="A16" s="42">
        <v>1</v>
      </c>
      <c r="B16" s="49">
        <v>2</v>
      </c>
      <c r="C16" s="49">
        <v>3</v>
      </c>
    </row>
    <row r="17" spans="1:5" ht="15.5" x14ac:dyDescent="0.25">
      <c r="A17" s="42"/>
      <c r="B17" s="40" t="s">
        <v>5</v>
      </c>
      <c r="C17" s="32"/>
    </row>
    <row r="18" spans="1:5" s="9" customFormat="1" ht="15.5" x14ac:dyDescent="0.25">
      <c r="A18" s="32">
        <v>1100</v>
      </c>
      <c r="B18" s="32" t="s">
        <v>68</v>
      </c>
      <c r="C18" s="34">
        <v>52.66</v>
      </c>
      <c r="E18"/>
    </row>
    <row r="19" spans="1:5" s="9" customFormat="1" ht="31" x14ac:dyDescent="0.25">
      <c r="A19" s="32">
        <v>1200</v>
      </c>
      <c r="B19" s="33" t="s">
        <v>69</v>
      </c>
      <c r="C19" s="34">
        <v>12.69</v>
      </c>
      <c r="E19"/>
    </row>
    <row r="20" spans="1:5" s="9" customFormat="1" ht="15.5" x14ac:dyDescent="0.25">
      <c r="A20" s="32">
        <v>2219</v>
      </c>
      <c r="B20" s="32" t="s">
        <v>77</v>
      </c>
      <c r="C20" s="34">
        <v>0.97</v>
      </c>
      <c r="E20"/>
    </row>
    <row r="21" spans="1:5" ht="15.75" customHeight="1" x14ac:dyDescent="0.25">
      <c r="A21" s="32">
        <v>2222</v>
      </c>
      <c r="B21" s="33" t="s">
        <v>26</v>
      </c>
      <c r="C21" s="34">
        <v>29.19</v>
      </c>
    </row>
    <row r="22" spans="1:5" ht="15.5" x14ac:dyDescent="0.25">
      <c r="A22" s="32">
        <v>2223</v>
      </c>
      <c r="B22" s="33" t="s">
        <v>27</v>
      </c>
      <c r="C22" s="34">
        <v>32.92</v>
      </c>
    </row>
    <row r="23" spans="1:5" ht="15.5" x14ac:dyDescent="0.25">
      <c r="A23" s="32">
        <v>2243</v>
      </c>
      <c r="B23" s="33" t="s">
        <v>78</v>
      </c>
      <c r="C23" s="34">
        <v>0.45</v>
      </c>
    </row>
    <row r="24" spans="1:5" ht="15.5" x14ac:dyDescent="0.25">
      <c r="A24" s="32">
        <v>2244</v>
      </c>
      <c r="B24" s="33" t="s">
        <v>14</v>
      </c>
      <c r="C24" s="34">
        <v>50.57</v>
      </c>
    </row>
    <row r="25" spans="1:5" ht="15.5" hidden="1" x14ac:dyDescent="0.25">
      <c r="A25" s="32">
        <v>2249</v>
      </c>
      <c r="B25" s="33" t="s">
        <v>79</v>
      </c>
      <c r="C25" s="34">
        <v>0</v>
      </c>
    </row>
    <row r="26" spans="1:5" ht="15.5" x14ac:dyDescent="0.25">
      <c r="A26" s="32">
        <v>2263</v>
      </c>
      <c r="B26" s="33" t="s">
        <v>80</v>
      </c>
      <c r="C26" s="34">
        <v>9.2200000000000006</v>
      </c>
    </row>
    <row r="27" spans="1:5" ht="15.5" x14ac:dyDescent="0.25">
      <c r="A27" s="32">
        <v>2264</v>
      </c>
      <c r="B27" s="33" t="s">
        <v>81</v>
      </c>
      <c r="C27" s="34">
        <v>0.06</v>
      </c>
    </row>
    <row r="28" spans="1:5" ht="15.5" x14ac:dyDescent="0.25">
      <c r="A28" s="32">
        <v>2279</v>
      </c>
      <c r="B28" s="33" t="s">
        <v>16</v>
      </c>
      <c r="C28" s="34">
        <v>5.0599999999999996</v>
      </c>
    </row>
    <row r="29" spans="1:5" ht="15.5" x14ac:dyDescent="0.25">
      <c r="A29" s="32">
        <v>2321</v>
      </c>
      <c r="B29" s="33" t="s">
        <v>19</v>
      </c>
      <c r="C29" s="34">
        <v>45.16</v>
      </c>
    </row>
    <row r="30" spans="1:5" ht="15.5" x14ac:dyDescent="0.25">
      <c r="A30" s="32">
        <v>2363</v>
      </c>
      <c r="B30" s="33" t="s">
        <v>82</v>
      </c>
      <c r="C30" s="34">
        <v>54</v>
      </c>
    </row>
    <row r="31" spans="1:5" ht="15.5" x14ac:dyDescent="0.25">
      <c r="A31" s="32">
        <v>2513</v>
      </c>
      <c r="B31" s="33" t="s">
        <v>23</v>
      </c>
      <c r="C31" s="34">
        <v>1.17</v>
      </c>
    </row>
    <row r="32" spans="1:5" ht="16.5" customHeight="1" x14ac:dyDescent="0.25">
      <c r="A32" s="32">
        <v>2519</v>
      </c>
      <c r="B32" s="33" t="s">
        <v>25</v>
      </c>
      <c r="C32" s="34">
        <v>0.65</v>
      </c>
    </row>
    <row r="33" spans="1:3" ht="15.5" x14ac:dyDescent="0.25">
      <c r="A33" s="32"/>
      <c r="B33" s="37" t="s">
        <v>6</v>
      </c>
      <c r="C33" s="38">
        <f>SUM(C18:C32)</f>
        <v>294.77</v>
      </c>
    </row>
    <row r="34" spans="1:3" ht="15.75" customHeight="1" x14ac:dyDescent="0.25">
      <c r="A34" s="39"/>
      <c r="B34" s="32" t="s">
        <v>7</v>
      </c>
      <c r="C34" s="34"/>
    </row>
    <row r="35" spans="1:3" ht="15.5" x14ac:dyDescent="0.25">
      <c r="A35" s="32">
        <v>1100</v>
      </c>
      <c r="B35" s="32" t="s">
        <v>68</v>
      </c>
      <c r="C35" s="34">
        <v>57.79</v>
      </c>
    </row>
    <row r="36" spans="1:3" ht="15.75" customHeight="1" x14ac:dyDescent="0.25">
      <c r="A36" s="32">
        <v>1200</v>
      </c>
      <c r="B36" s="33" t="s">
        <v>69</v>
      </c>
      <c r="C36" s="34">
        <v>13.92</v>
      </c>
    </row>
    <row r="37" spans="1:3" ht="15.5" x14ac:dyDescent="0.25">
      <c r="A37" s="32">
        <v>2219</v>
      </c>
      <c r="B37" s="32" t="s">
        <v>77</v>
      </c>
      <c r="C37" s="34">
        <v>1.56</v>
      </c>
    </row>
    <row r="38" spans="1:3" ht="15.5" x14ac:dyDescent="0.25">
      <c r="A38" s="32">
        <v>2234</v>
      </c>
      <c r="B38" s="33" t="s">
        <v>74</v>
      </c>
      <c r="C38" s="34">
        <v>0.13</v>
      </c>
    </row>
    <row r="39" spans="1:3" ht="15.75" customHeight="1" x14ac:dyDescent="0.25">
      <c r="A39" s="32">
        <v>2239</v>
      </c>
      <c r="B39" s="33" t="s">
        <v>75</v>
      </c>
      <c r="C39" s="34">
        <v>0.65</v>
      </c>
    </row>
    <row r="40" spans="1:3" ht="15.5" x14ac:dyDescent="0.25">
      <c r="A40" s="32">
        <v>2241</v>
      </c>
      <c r="B40" s="33" t="s">
        <v>83</v>
      </c>
      <c r="C40" s="34">
        <v>0.13</v>
      </c>
    </row>
    <row r="41" spans="1:3" ht="15.5" hidden="1" x14ac:dyDescent="0.25">
      <c r="A41" s="32">
        <v>2242</v>
      </c>
      <c r="B41" s="33" t="s">
        <v>12</v>
      </c>
      <c r="C41" s="34">
        <v>0</v>
      </c>
    </row>
    <row r="42" spans="1:3" ht="15.5" x14ac:dyDescent="0.25">
      <c r="A42" s="32">
        <v>2243</v>
      </c>
      <c r="B42" s="33" t="s">
        <v>13</v>
      </c>
      <c r="C42" s="34">
        <v>0.52</v>
      </c>
    </row>
    <row r="43" spans="1:3" ht="15.5" x14ac:dyDescent="0.25">
      <c r="A43" s="32">
        <v>2244</v>
      </c>
      <c r="B43" s="33" t="s">
        <v>14</v>
      </c>
      <c r="C43" s="34">
        <v>8.76</v>
      </c>
    </row>
    <row r="44" spans="1:3" ht="15.5" x14ac:dyDescent="0.25">
      <c r="A44" s="32">
        <v>2247</v>
      </c>
      <c r="B44" s="40" t="s">
        <v>71</v>
      </c>
      <c r="C44" s="34">
        <v>0.2</v>
      </c>
    </row>
    <row r="45" spans="1:3" ht="15.5" x14ac:dyDescent="0.25">
      <c r="A45" s="32">
        <v>2251</v>
      </c>
      <c r="B45" s="33" t="s">
        <v>70</v>
      </c>
      <c r="C45" s="34">
        <v>7.1</v>
      </c>
    </row>
    <row r="46" spans="1:3" ht="15.5" x14ac:dyDescent="0.25">
      <c r="A46" s="32">
        <v>2259</v>
      </c>
      <c r="B46" s="33" t="s">
        <v>72</v>
      </c>
      <c r="C46" s="34">
        <v>0.06</v>
      </c>
    </row>
    <row r="47" spans="1:3" ht="15.5" x14ac:dyDescent="0.25">
      <c r="A47" s="32">
        <v>2262</v>
      </c>
      <c r="B47" s="33" t="s">
        <v>15</v>
      </c>
      <c r="C47" s="34">
        <v>1.23</v>
      </c>
    </row>
    <row r="48" spans="1:3" ht="15.5" x14ac:dyDescent="0.25">
      <c r="A48" s="32">
        <v>2264</v>
      </c>
      <c r="B48" s="33" t="s">
        <v>81</v>
      </c>
      <c r="C48" s="34">
        <v>0.06</v>
      </c>
    </row>
    <row r="49" spans="1:3" ht="15.5" x14ac:dyDescent="0.25">
      <c r="A49" s="32">
        <v>2279</v>
      </c>
      <c r="B49" s="33" t="s">
        <v>16</v>
      </c>
      <c r="C49" s="34">
        <v>0.13</v>
      </c>
    </row>
    <row r="50" spans="1:3" ht="15.5" x14ac:dyDescent="0.25">
      <c r="A50" s="32">
        <v>2311</v>
      </c>
      <c r="B50" s="33" t="s">
        <v>17</v>
      </c>
      <c r="C50" s="34">
        <v>0.65</v>
      </c>
    </row>
    <row r="51" spans="1:3" ht="15.5" x14ac:dyDescent="0.25">
      <c r="A51" s="32">
        <v>2312</v>
      </c>
      <c r="B51" s="33" t="s">
        <v>18</v>
      </c>
      <c r="C51" s="34">
        <v>0.2</v>
      </c>
    </row>
    <row r="52" spans="1:3" ht="15.5" x14ac:dyDescent="0.25">
      <c r="A52" s="32">
        <v>2322</v>
      </c>
      <c r="B52" s="33" t="s">
        <v>20</v>
      </c>
      <c r="C52" s="34">
        <v>2.59</v>
      </c>
    </row>
    <row r="53" spans="1:3" ht="15.5" x14ac:dyDescent="0.25">
      <c r="A53" s="32">
        <v>2350</v>
      </c>
      <c r="B53" s="33" t="s">
        <v>21</v>
      </c>
      <c r="C53" s="34">
        <v>8.6199999999999992</v>
      </c>
    </row>
    <row r="54" spans="1:3" ht="15.5" x14ac:dyDescent="0.25">
      <c r="A54" s="32">
        <v>2361</v>
      </c>
      <c r="B54" s="33" t="s">
        <v>22</v>
      </c>
      <c r="C54" s="34">
        <v>0.97</v>
      </c>
    </row>
    <row r="55" spans="1:3" ht="15.5" x14ac:dyDescent="0.25">
      <c r="A55" s="32">
        <v>2362</v>
      </c>
      <c r="B55" s="33" t="s">
        <v>43</v>
      </c>
      <c r="C55" s="34">
        <v>1.6</v>
      </c>
    </row>
    <row r="56" spans="1:3" ht="15.5" x14ac:dyDescent="0.25">
      <c r="A56" s="32">
        <v>2400</v>
      </c>
      <c r="B56" s="33" t="s">
        <v>28</v>
      </c>
      <c r="C56" s="34">
        <v>0.2</v>
      </c>
    </row>
    <row r="57" spans="1:3" ht="15.5" x14ac:dyDescent="0.25">
      <c r="A57" s="32">
        <v>2512</v>
      </c>
      <c r="B57" s="33" t="s">
        <v>30</v>
      </c>
      <c r="C57" s="34">
        <v>50.1</v>
      </c>
    </row>
    <row r="58" spans="1:3" ht="15.5" x14ac:dyDescent="0.25">
      <c r="A58" s="32">
        <v>2515</v>
      </c>
      <c r="B58" s="33" t="s">
        <v>73</v>
      </c>
      <c r="C58" s="34">
        <v>0.26</v>
      </c>
    </row>
    <row r="59" spans="1:3" ht="15.5" x14ac:dyDescent="0.25">
      <c r="A59" s="32">
        <v>2519</v>
      </c>
      <c r="B59" s="33" t="s">
        <v>25</v>
      </c>
      <c r="C59" s="34">
        <v>0.06</v>
      </c>
    </row>
    <row r="60" spans="1:3" ht="15.5" x14ac:dyDescent="0.25">
      <c r="A60" s="32">
        <v>5232</v>
      </c>
      <c r="B60" s="33" t="s">
        <v>24</v>
      </c>
      <c r="C60" s="34">
        <v>11.93</v>
      </c>
    </row>
    <row r="61" spans="1:3" ht="15.5" x14ac:dyDescent="0.25">
      <c r="A61" s="32">
        <v>5240</v>
      </c>
      <c r="B61" s="33" t="s">
        <v>84</v>
      </c>
      <c r="C61" s="34">
        <v>1.49</v>
      </c>
    </row>
    <row r="62" spans="1:3" ht="15.75" customHeight="1" x14ac:dyDescent="0.25">
      <c r="A62" s="32">
        <v>5250</v>
      </c>
      <c r="B62" s="33" t="s">
        <v>85</v>
      </c>
      <c r="C62" s="34">
        <v>2.62</v>
      </c>
    </row>
    <row r="63" spans="1:3" ht="15.5" x14ac:dyDescent="0.25">
      <c r="A63" s="39"/>
      <c r="B63" s="41" t="s">
        <v>8</v>
      </c>
      <c r="C63" s="38">
        <f>SUM(C35:C62)</f>
        <v>173.53000000000003</v>
      </c>
    </row>
    <row r="64" spans="1:3" ht="15.5" x14ac:dyDescent="0.25">
      <c r="A64" s="39"/>
      <c r="B64" s="41" t="s">
        <v>29</v>
      </c>
      <c r="C64" s="38">
        <f>C63+C33</f>
        <v>468.3</v>
      </c>
    </row>
    <row r="65" spans="1:3" ht="15.5" x14ac:dyDescent="0.35">
      <c r="A65" s="16"/>
      <c r="B65" s="26"/>
      <c r="C65" s="27"/>
    </row>
    <row r="66" spans="1:3" ht="15.5" x14ac:dyDescent="0.25">
      <c r="A66" s="321" t="s">
        <v>57</v>
      </c>
      <c r="B66" s="321"/>
      <c r="C66" s="68">
        <v>30</v>
      </c>
    </row>
    <row r="67" spans="1:3" ht="15.5" x14ac:dyDescent="0.3">
      <c r="A67" s="321" t="s">
        <v>58</v>
      </c>
      <c r="B67" s="321"/>
      <c r="C67" s="69">
        <f>C64/C66</f>
        <v>15.610000000000001</v>
      </c>
    </row>
    <row r="68" spans="1:3" ht="15.5" x14ac:dyDescent="0.35">
      <c r="A68" s="26"/>
      <c r="B68" s="27"/>
      <c r="C68" s="59"/>
    </row>
    <row r="69" spans="1:3" ht="15.5" x14ac:dyDescent="0.35">
      <c r="A69" s="332" t="s">
        <v>33</v>
      </c>
      <c r="B69" s="333"/>
      <c r="C69" s="28"/>
    </row>
    <row r="70" spans="1:3" ht="15.5" x14ac:dyDescent="0.35">
      <c r="A70" s="332" t="s">
        <v>64</v>
      </c>
      <c r="B70" s="333"/>
      <c r="C70" s="28"/>
    </row>
    <row r="71" spans="1:3" ht="15.5" x14ac:dyDescent="0.35">
      <c r="A71" s="29"/>
      <c r="B71" s="29"/>
      <c r="C71" s="29"/>
    </row>
    <row r="72" spans="1:3" ht="15.5" x14ac:dyDescent="0.35">
      <c r="A72" s="29" t="s">
        <v>34</v>
      </c>
      <c r="B72" s="29"/>
      <c r="C72" s="29"/>
    </row>
    <row r="73" spans="1:3" ht="15.5" x14ac:dyDescent="0.35">
      <c r="A73" s="29"/>
      <c r="B73" s="29"/>
      <c r="C73" s="29"/>
    </row>
    <row r="74" spans="1:3" ht="15.5" x14ac:dyDescent="0.35">
      <c r="A74" s="29" t="s">
        <v>59</v>
      </c>
      <c r="B74" s="30"/>
      <c r="C74" s="29"/>
    </row>
    <row r="75" spans="1:3" ht="15.5" x14ac:dyDescent="0.35">
      <c r="A75" s="29"/>
      <c r="B75" s="31"/>
      <c r="C75" s="29"/>
    </row>
  </sheetData>
  <mergeCells count="9">
    <mergeCell ref="A67:B67"/>
    <mergeCell ref="A69:B69"/>
    <mergeCell ref="A70:B70"/>
    <mergeCell ref="A7:C7"/>
    <mergeCell ref="A9:B9"/>
    <mergeCell ref="A10:B10"/>
    <mergeCell ref="B12:C12"/>
    <mergeCell ref="B13:C13"/>
    <mergeCell ref="A66:B66"/>
  </mergeCells>
  <hyperlinks>
    <hyperlink ref="A107" r:id="rId1" display="Inese.Kise@lm.gov.lv,"/>
  </hyperlinks>
  <pageMargins left="0.7" right="0.7" top="0.75" bottom="0.75" header="0.3" footer="0.3"/>
  <pageSetup paperSize="9" scale="63" fitToHeight="0" orientation="portrait" r:id="rId2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5"/>
  <sheetViews>
    <sheetView view="pageLayout" topLeftCell="A60" zoomScaleNormal="100" workbookViewId="0">
      <selection activeCell="B76" sqref="B75:B76"/>
    </sheetView>
  </sheetViews>
  <sheetFormatPr defaultRowHeight="14" x14ac:dyDescent="0.3"/>
  <cols>
    <col min="1" max="1" width="13.26953125" style="4" customWidth="1"/>
    <col min="2" max="2" width="99.7265625" style="4" customWidth="1"/>
    <col min="3" max="3" width="32.26953125" style="4" customWidth="1"/>
  </cols>
  <sheetData>
    <row r="1" spans="1:3" ht="15.5" x14ac:dyDescent="0.35">
      <c r="A1" s="14"/>
      <c r="B1" s="15"/>
      <c r="C1" s="54" t="s">
        <v>10</v>
      </c>
    </row>
    <row r="2" spans="1:3" ht="15.5" x14ac:dyDescent="0.35">
      <c r="A2" s="14"/>
      <c r="B2" s="15"/>
      <c r="C2" s="55" t="s">
        <v>32</v>
      </c>
    </row>
    <row r="3" spans="1:3" ht="15.5" x14ac:dyDescent="0.35">
      <c r="A3" s="14"/>
      <c r="B3" s="15"/>
      <c r="C3" s="65" t="s">
        <v>118</v>
      </c>
    </row>
    <row r="4" spans="1:3" ht="15.5" x14ac:dyDescent="0.35">
      <c r="A4" s="14"/>
      <c r="B4" s="15"/>
      <c r="C4" s="64"/>
    </row>
    <row r="5" spans="1:3" ht="15.5" x14ac:dyDescent="0.35">
      <c r="A5" s="14"/>
      <c r="B5" s="18"/>
      <c r="C5" s="64" t="s">
        <v>119</v>
      </c>
    </row>
    <row r="6" spans="1:3" ht="15.5" x14ac:dyDescent="0.35">
      <c r="A6" s="14"/>
      <c r="B6" s="14"/>
      <c r="C6" s="26"/>
    </row>
    <row r="7" spans="1:3" ht="17.5" x14ac:dyDescent="0.35">
      <c r="A7" s="322" t="s">
        <v>9</v>
      </c>
      <c r="B7" s="322"/>
      <c r="C7" s="322"/>
    </row>
    <row r="8" spans="1:3" ht="15.5" x14ac:dyDescent="0.35">
      <c r="A8" s="14"/>
      <c r="B8" s="19"/>
      <c r="C8" s="26"/>
    </row>
    <row r="9" spans="1:3" ht="15.5" x14ac:dyDescent="0.35">
      <c r="A9" s="321" t="s">
        <v>1</v>
      </c>
      <c r="B9" s="321"/>
      <c r="C9" s="26"/>
    </row>
    <row r="10" spans="1:3" ht="15.5" x14ac:dyDescent="0.35">
      <c r="A10" s="321" t="s">
        <v>0</v>
      </c>
      <c r="B10" s="321"/>
      <c r="C10" s="26"/>
    </row>
    <row r="11" spans="1:3" ht="15.5" x14ac:dyDescent="0.35">
      <c r="A11" s="12"/>
      <c r="B11" s="12" t="s">
        <v>31</v>
      </c>
      <c r="C11" s="26"/>
    </row>
    <row r="12" spans="1:3" ht="15.5" x14ac:dyDescent="0.35">
      <c r="A12" s="12"/>
      <c r="B12" s="321" t="s">
        <v>116</v>
      </c>
      <c r="C12" s="334"/>
    </row>
    <row r="13" spans="1:3" ht="15.5" x14ac:dyDescent="0.35">
      <c r="A13" s="12"/>
      <c r="B13" s="321" t="s">
        <v>90</v>
      </c>
      <c r="C13" s="334"/>
    </row>
    <row r="14" spans="1:3" ht="15.5" x14ac:dyDescent="0.25">
      <c r="A14" s="13" t="s">
        <v>2</v>
      </c>
      <c r="B14" s="12" t="str">
        <f>'7.5.3.'!B14</f>
        <v>2023.gadā un turpmāk</v>
      </c>
      <c r="C14" s="48"/>
    </row>
    <row r="15" spans="1:3" ht="46.5" x14ac:dyDescent="0.25">
      <c r="A15" s="52" t="s">
        <v>3</v>
      </c>
      <c r="B15" s="52" t="s">
        <v>4</v>
      </c>
      <c r="C15" s="52" t="s">
        <v>63</v>
      </c>
    </row>
    <row r="16" spans="1:3" ht="15" x14ac:dyDescent="0.25">
      <c r="A16" s="42">
        <v>1</v>
      </c>
      <c r="B16" s="49">
        <v>2</v>
      </c>
      <c r="C16" s="49">
        <v>3</v>
      </c>
    </row>
    <row r="17" spans="1:3" ht="15.5" x14ac:dyDescent="0.25">
      <c r="A17" s="42"/>
      <c r="B17" s="40" t="s">
        <v>5</v>
      </c>
      <c r="C17" s="32"/>
    </row>
    <row r="18" spans="1:3" ht="15.5" x14ac:dyDescent="0.25">
      <c r="A18" s="32">
        <v>1100</v>
      </c>
      <c r="B18" s="32" t="s">
        <v>68</v>
      </c>
      <c r="C18" s="34">
        <v>63.2</v>
      </c>
    </row>
    <row r="19" spans="1:3" ht="15.5" x14ac:dyDescent="0.25">
      <c r="A19" s="32">
        <v>1200</v>
      </c>
      <c r="B19" s="33" t="s">
        <v>69</v>
      </c>
      <c r="C19" s="34">
        <v>15.23</v>
      </c>
    </row>
    <row r="20" spans="1:3" ht="15.5" x14ac:dyDescent="0.25">
      <c r="A20" s="32">
        <v>2219</v>
      </c>
      <c r="B20" s="32" t="s">
        <v>77</v>
      </c>
      <c r="C20" s="34">
        <v>1.1599999999999999</v>
      </c>
    </row>
    <row r="21" spans="1:3" ht="15.5" x14ac:dyDescent="0.25">
      <c r="A21" s="32">
        <v>2222</v>
      </c>
      <c r="B21" s="33" t="s">
        <v>26</v>
      </c>
      <c r="C21" s="34">
        <v>35.03</v>
      </c>
    </row>
    <row r="22" spans="1:3" ht="15.5" x14ac:dyDescent="0.25">
      <c r="A22" s="32">
        <v>2223</v>
      </c>
      <c r="B22" s="33" t="s">
        <v>27</v>
      </c>
      <c r="C22" s="34">
        <v>39.51</v>
      </c>
    </row>
    <row r="23" spans="1:3" ht="15.5" x14ac:dyDescent="0.25">
      <c r="A23" s="32">
        <v>2243</v>
      </c>
      <c r="B23" s="33" t="s">
        <v>78</v>
      </c>
      <c r="C23" s="34">
        <v>0.54</v>
      </c>
    </row>
    <row r="24" spans="1:3" ht="15.5" x14ac:dyDescent="0.25">
      <c r="A24" s="32">
        <v>2244</v>
      </c>
      <c r="B24" s="33" t="s">
        <v>14</v>
      </c>
      <c r="C24" s="34">
        <v>63</v>
      </c>
    </row>
    <row r="25" spans="1:3" ht="15.5" hidden="1" x14ac:dyDescent="0.25">
      <c r="A25" s="32">
        <v>2249</v>
      </c>
      <c r="B25" s="33" t="s">
        <v>79</v>
      </c>
      <c r="C25" s="34">
        <v>0</v>
      </c>
    </row>
    <row r="26" spans="1:3" ht="15.5" x14ac:dyDescent="0.25">
      <c r="A26" s="32">
        <v>2263</v>
      </c>
      <c r="B26" s="33" t="s">
        <v>80</v>
      </c>
      <c r="C26" s="34">
        <v>11.06</v>
      </c>
    </row>
    <row r="27" spans="1:3" ht="15.5" x14ac:dyDescent="0.25">
      <c r="A27" s="32">
        <v>2264</v>
      </c>
      <c r="B27" s="33" t="s">
        <v>81</v>
      </c>
      <c r="C27" s="34">
        <v>7.0000000000000007E-2</v>
      </c>
    </row>
    <row r="28" spans="1:3" ht="15.5" x14ac:dyDescent="0.25">
      <c r="A28" s="32">
        <v>2279</v>
      </c>
      <c r="B28" s="33" t="s">
        <v>16</v>
      </c>
      <c r="C28" s="34">
        <v>6.07</v>
      </c>
    </row>
    <row r="29" spans="1:3" ht="15.5" x14ac:dyDescent="0.25">
      <c r="A29" s="32">
        <v>2321</v>
      </c>
      <c r="B29" s="33" t="s">
        <v>19</v>
      </c>
      <c r="C29" s="34">
        <v>54.19</v>
      </c>
    </row>
    <row r="30" spans="1:3" ht="15.5" x14ac:dyDescent="0.25">
      <c r="A30" s="32">
        <v>2363</v>
      </c>
      <c r="B30" s="33" t="s">
        <v>82</v>
      </c>
      <c r="C30" s="34">
        <v>117.6</v>
      </c>
    </row>
    <row r="31" spans="1:3" ht="15.5" x14ac:dyDescent="0.25">
      <c r="A31" s="32">
        <v>2513</v>
      </c>
      <c r="B31" s="33" t="s">
        <v>23</v>
      </c>
      <c r="C31" s="34">
        <v>1.4</v>
      </c>
    </row>
    <row r="32" spans="1:3" ht="15.5" x14ac:dyDescent="0.25">
      <c r="A32" s="32">
        <v>2519</v>
      </c>
      <c r="B32" s="33" t="s">
        <v>25</v>
      </c>
      <c r="C32" s="34">
        <v>0.78</v>
      </c>
    </row>
    <row r="33" spans="1:3" ht="15.5" x14ac:dyDescent="0.25">
      <c r="A33" s="32"/>
      <c r="B33" s="37" t="s">
        <v>6</v>
      </c>
      <c r="C33" s="38">
        <f>SUM(C18:C32)</f>
        <v>408.83999999999992</v>
      </c>
    </row>
    <row r="34" spans="1:3" ht="15.5" x14ac:dyDescent="0.25">
      <c r="A34" s="39"/>
      <c r="B34" s="32" t="s">
        <v>7</v>
      </c>
      <c r="C34" s="34"/>
    </row>
    <row r="35" spans="1:3" ht="15.5" x14ac:dyDescent="0.25">
      <c r="A35" s="32">
        <v>1100</v>
      </c>
      <c r="B35" s="32" t="s">
        <v>68</v>
      </c>
      <c r="C35" s="34">
        <v>63.57</v>
      </c>
    </row>
    <row r="36" spans="1:3" ht="15.5" x14ac:dyDescent="0.25">
      <c r="A36" s="32">
        <v>1200</v>
      </c>
      <c r="B36" s="33" t="s">
        <v>69</v>
      </c>
      <c r="C36" s="34">
        <v>15.31</v>
      </c>
    </row>
    <row r="37" spans="1:3" ht="15.5" x14ac:dyDescent="0.25">
      <c r="A37" s="32">
        <v>2219</v>
      </c>
      <c r="B37" s="32" t="s">
        <v>77</v>
      </c>
      <c r="C37" s="34">
        <v>1.87</v>
      </c>
    </row>
    <row r="38" spans="1:3" ht="15.5" x14ac:dyDescent="0.25">
      <c r="A38" s="32">
        <v>2234</v>
      </c>
      <c r="B38" s="33" t="s">
        <v>74</v>
      </c>
      <c r="C38" s="34">
        <v>0.16</v>
      </c>
    </row>
    <row r="39" spans="1:3" ht="15.5" x14ac:dyDescent="0.25">
      <c r="A39" s="32">
        <v>2239</v>
      </c>
      <c r="B39" s="33" t="s">
        <v>75</v>
      </c>
      <c r="C39" s="34">
        <v>0.78</v>
      </c>
    </row>
    <row r="40" spans="1:3" ht="15.5" x14ac:dyDescent="0.25">
      <c r="A40" s="32">
        <v>2241</v>
      </c>
      <c r="B40" s="33" t="s">
        <v>83</v>
      </c>
      <c r="C40" s="34">
        <v>0.16</v>
      </c>
    </row>
    <row r="41" spans="1:3" ht="15.5" hidden="1" x14ac:dyDescent="0.25">
      <c r="A41" s="32">
        <v>2242</v>
      </c>
      <c r="B41" s="33" t="s">
        <v>12</v>
      </c>
      <c r="C41" s="34">
        <v>0</v>
      </c>
    </row>
    <row r="42" spans="1:3" ht="15.5" x14ac:dyDescent="0.25">
      <c r="A42" s="32">
        <v>2243</v>
      </c>
      <c r="B42" s="33" t="s">
        <v>13</v>
      </c>
      <c r="C42" s="34">
        <v>1.02</v>
      </c>
    </row>
    <row r="43" spans="1:3" ht="15.5" x14ac:dyDescent="0.25">
      <c r="A43" s="32">
        <v>2244</v>
      </c>
      <c r="B43" s="33" t="s">
        <v>14</v>
      </c>
      <c r="C43" s="34">
        <v>25.25</v>
      </c>
    </row>
    <row r="44" spans="1:3" ht="15.5" x14ac:dyDescent="0.25">
      <c r="A44" s="32">
        <v>2247</v>
      </c>
      <c r="B44" s="40" t="s">
        <v>71</v>
      </c>
      <c r="C44" s="34">
        <v>0.24</v>
      </c>
    </row>
    <row r="45" spans="1:3" ht="15.5" x14ac:dyDescent="0.25">
      <c r="A45" s="32">
        <v>2251</v>
      </c>
      <c r="B45" s="33" t="s">
        <v>70</v>
      </c>
      <c r="C45" s="34">
        <v>8.52</v>
      </c>
    </row>
    <row r="46" spans="1:3" ht="15.5" x14ac:dyDescent="0.25">
      <c r="A46" s="32">
        <v>2259</v>
      </c>
      <c r="B46" s="33" t="s">
        <v>72</v>
      </c>
      <c r="C46" s="34">
        <v>7.0000000000000007E-2</v>
      </c>
    </row>
    <row r="47" spans="1:3" ht="15.5" x14ac:dyDescent="0.25">
      <c r="A47" s="32">
        <v>2262</v>
      </c>
      <c r="B47" s="33" t="s">
        <v>15</v>
      </c>
      <c r="C47" s="34">
        <v>1.48</v>
      </c>
    </row>
    <row r="48" spans="1:3" ht="15.5" x14ac:dyDescent="0.25">
      <c r="A48" s="32">
        <v>2264</v>
      </c>
      <c r="B48" s="33" t="s">
        <v>81</v>
      </c>
      <c r="C48" s="34">
        <v>7.0000000000000007E-2</v>
      </c>
    </row>
    <row r="49" spans="1:3" ht="15.5" x14ac:dyDescent="0.25">
      <c r="A49" s="32">
        <v>2279</v>
      </c>
      <c r="B49" s="33" t="s">
        <v>16</v>
      </c>
      <c r="C49" s="34">
        <v>0.16</v>
      </c>
    </row>
    <row r="50" spans="1:3" ht="15.5" x14ac:dyDescent="0.25">
      <c r="A50" s="32">
        <v>2311</v>
      </c>
      <c r="B50" s="33" t="s">
        <v>17</v>
      </c>
      <c r="C50" s="34">
        <v>0.78</v>
      </c>
    </row>
    <row r="51" spans="1:3" ht="15.5" x14ac:dyDescent="0.25">
      <c r="A51" s="32">
        <v>2312</v>
      </c>
      <c r="B51" s="33" t="s">
        <v>18</v>
      </c>
      <c r="C51" s="34">
        <v>0.24</v>
      </c>
    </row>
    <row r="52" spans="1:3" ht="15.5" x14ac:dyDescent="0.25">
      <c r="A52" s="32">
        <v>2322</v>
      </c>
      <c r="B52" s="33" t="s">
        <v>20</v>
      </c>
      <c r="C52" s="34">
        <v>3.11</v>
      </c>
    </row>
    <row r="53" spans="1:3" ht="15.5" x14ac:dyDescent="0.25">
      <c r="A53" s="32">
        <v>2350</v>
      </c>
      <c r="B53" s="33" t="s">
        <v>21</v>
      </c>
      <c r="C53" s="34">
        <v>10.34</v>
      </c>
    </row>
    <row r="54" spans="1:3" ht="15.5" x14ac:dyDescent="0.25">
      <c r="A54" s="32">
        <v>2361</v>
      </c>
      <c r="B54" s="33" t="s">
        <v>22</v>
      </c>
      <c r="C54" s="34">
        <v>1.1599999999999999</v>
      </c>
    </row>
    <row r="55" spans="1:3" ht="15.5" x14ac:dyDescent="0.25">
      <c r="A55" s="32">
        <v>2362</v>
      </c>
      <c r="B55" s="33" t="s">
        <v>43</v>
      </c>
      <c r="C55" s="34">
        <v>2.4</v>
      </c>
    </row>
    <row r="56" spans="1:3" ht="15.5" x14ac:dyDescent="0.25">
      <c r="A56" s="32">
        <v>2400</v>
      </c>
      <c r="B56" s="33" t="s">
        <v>28</v>
      </c>
      <c r="C56" s="34">
        <v>0.24</v>
      </c>
    </row>
    <row r="57" spans="1:3" ht="15.5" x14ac:dyDescent="0.25">
      <c r="A57" s="32">
        <v>2512</v>
      </c>
      <c r="B57" s="33" t="s">
        <v>30</v>
      </c>
      <c r="C57" s="34">
        <v>68.099999999999994</v>
      </c>
    </row>
    <row r="58" spans="1:3" ht="15.5" x14ac:dyDescent="0.25">
      <c r="A58" s="32">
        <v>2515</v>
      </c>
      <c r="B58" s="33" t="s">
        <v>73</v>
      </c>
      <c r="C58" s="34">
        <v>0.31</v>
      </c>
    </row>
    <row r="59" spans="1:3" ht="15.5" x14ac:dyDescent="0.25">
      <c r="A59" s="32">
        <v>2519</v>
      </c>
      <c r="B59" s="33" t="s">
        <v>25</v>
      </c>
      <c r="C59" s="34">
        <v>7.0000000000000007E-2</v>
      </c>
    </row>
    <row r="60" spans="1:3" ht="15.5" x14ac:dyDescent="0.25">
      <c r="A60" s="32">
        <v>5232</v>
      </c>
      <c r="B60" s="33" t="s">
        <v>24</v>
      </c>
      <c r="C60" s="34">
        <v>15.62</v>
      </c>
    </row>
    <row r="61" spans="1:3" ht="15.5" x14ac:dyDescent="0.25">
      <c r="A61" s="32">
        <v>5240</v>
      </c>
      <c r="B61" s="33" t="s">
        <v>84</v>
      </c>
      <c r="C61" s="34">
        <v>1.79</v>
      </c>
    </row>
    <row r="62" spans="1:3" ht="15.5" x14ac:dyDescent="0.25">
      <c r="A62" s="32">
        <v>5250</v>
      </c>
      <c r="B62" s="33" t="s">
        <v>85</v>
      </c>
      <c r="C62" s="34">
        <v>3.14</v>
      </c>
    </row>
    <row r="63" spans="1:3" ht="15.5" x14ac:dyDescent="0.25">
      <c r="A63" s="39"/>
      <c r="B63" s="41" t="s">
        <v>8</v>
      </c>
      <c r="C63" s="38">
        <f>SUM(C35:C62)</f>
        <v>225.95999999999995</v>
      </c>
    </row>
    <row r="64" spans="1:3" ht="15.5" x14ac:dyDescent="0.25">
      <c r="A64" s="39"/>
      <c r="B64" s="41" t="s">
        <v>29</v>
      </c>
      <c r="C64" s="38">
        <f>C33+C63</f>
        <v>634.79999999999984</v>
      </c>
    </row>
    <row r="65" spans="1:3" ht="15.5" x14ac:dyDescent="0.35">
      <c r="A65" s="16"/>
      <c r="B65" s="26"/>
      <c r="C65" s="27"/>
    </row>
    <row r="66" spans="1:3" ht="15.5" x14ac:dyDescent="0.25">
      <c r="A66" s="321" t="s">
        <v>57</v>
      </c>
      <c r="B66" s="321"/>
      <c r="C66" s="68">
        <v>30</v>
      </c>
    </row>
    <row r="67" spans="1:3" ht="15.5" x14ac:dyDescent="0.3">
      <c r="A67" s="321" t="s">
        <v>58</v>
      </c>
      <c r="B67" s="321"/>
      <c r="C67" s="69">
        <f>C64/C66</f>
        <v>21.159999999999993</v>
      </c>
    </row>
    <row r="68" spans="1:3" ht="15.5" x14ac:dyDescent="0.35">
      <c r="A68" s="26"/>
      <c r="B68" s="27"/>
      <c r="C68" s="59"/>
    </row>
    <row r="69" spans="1:3" ht="15.5" x14ac:dyDescent="0.35">
      <c r="A69" s="332" t="s">
        <v>33</v>
      </c>
      <c r="B69" s="333"/>
      <c r="C69" s="28"/>
    </row>
    <row r="70" spans="1:3" ht="15.5" x14ac:dyDescent="0.35">
      <c r="A70" s="332" t="s">
        <v>64</v>
      </c>
      <c r="B70" s="333"/>
      <c r="C70" s="28"/>
    </row>
    <row r="71" spans="1:3" ht="15.5" x14ac:dyDescent="0.35">
      <c r="A71" s="29"/>
      <c r="B71" s="29"/>
      <c r="C71" s="29"/>
    </row>
    <row r="72" spans="1:3" ht="15.5" x14ac:dyDescent="0.35">
      <c r="A72" s="29" t="s">
        <v>34</v>
      </c>
      <c r="B72" s="29"/>
      <c r="C72" s="29"/>
    </row>
    <row r="73" spans="1:3" ht="15.5" x14ac:dyDescent="0.35">
      <c r="A73" s="29"/>
      <c r="B73" s="29"/>
      <c r="C73" s="29"/>
    </row>
    <row r="74" spans="1:3" ht="15.5" x14ac:dyDescent="0.35">
      <c r="A74" s="29" t="s">
        <v>59</v>
      </c>
      <c r="B74" s="30"/>
      <c r="C74" s="29"/>
    </row>
    <row r="75" spans="1:3" ht="15.5" x14ac:dyDescent="0.35">
      <c r="A75" s="29"/>
      <c r="B75" s="31"/>
      <c r="C75" s="29"/>
    </row>
  </sheetData>
  <mergeCells count="9">
    <mergeCell ref="A67:B67"/>
    <mergeCell ref="A69:B69"/>
    <mergeCell ref="A70:B70"/>
    <mergeCell ref="A7:C7"/>
    <mergeCell ref="A9:B9"/>
    <mergeCell ref="A10:B10"/>
    <mergeCell ref="B12:C12"/>
    <mergeCell ref="B13:C13"/>
    <mergeCell ref="A66:B66"/>
  </mergeCells>
  <hyperlinks>
    <hyperlink ref="A107" r:id="rId1" display="Inese.Kise@lm.gov.lv,"/>
  </hyperlinks>
  <pageMargins left="0.70866141732283472" right="0.70866141732283472" top="0.74803149606299213" bottom="0.74803149606299213" header="0.31496062992125984" footer="0.31496062992125984"/>
  <pageSetup paperSize="9" scale="61" fitToHeight="0" orientation="portrait" r:id="rId2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view="pageLayout" topLeftCell="A5" zoomScale="80" zoomScaleNormal="100" zoomScalePageLayoutView="80" workbookViewId="0">
      <selection activeCell="A82" sqref="A82"/>
    </sheetView>
  </sheetViews>
  <sheetFormatPr defaultColWidth="9.1796875" defaultRowHeight="14" x14ac:dyDescent="0.3"/>
  <cols>
    <col min="1" max="1" width="13.453125" style="4" customWidth="1"/>
    <col min="2" max="2" width="94.453125" style="4" customWidth="1"/>
    <col min="3" max="4" width="7.26953125" style="240" hidden="1" customWidth="1"/>
    <col min="5" max="5" width="30" style="4" customWidth="1"/>
    <col min="6" max="6" width="9.1796875" style="7" customWidth="1"/>
    <col min="7" max="16384" width="9.1796875" style="7"/>
  </cols>
  <sheetData>
    <row r="1" spans="1:9" ht="15.5" x14ac:dyDescent="0.35">
      <c r="A1" s="14"/>
      <c r="B1" s="15"/>
      <c r="C1" s="237"/>
      <c r="D1" s="237"/>
      <c r="E1" s="18" t="s">
        <v>10</v>
      </c>
    </row>
    <row r="2" spans="1:9" ht="15.5" x14ac:dyDescent="0.35">
      <c r="A2" s="14"/>
      <c r="B2" s="15"/>
      <c r="C2" s="237"/>
      <c r="D2" s="237"/>
      <c r="E2" s="15" t="s">
        <v>32</v>
      </c>
    </row>
    <row r="3" spans="1:9" ht="15.5" x14ac:dyDescent="0.35">
      <c r="A3" s="14"/>
      <c r="B3" s="15"/>
      <c r="C3" s="237"/>
      <c r="D3" s="237"/>
      <c r="E3" s="80" t="s">
        <v>66</v>
      </c>
    </row>
    <row r="4" spans="1:9" ht="15.5" x14ac:dyDescent="0.35">
      <c r="A4" s="14"/>
      <c r="B4" s="15"/>
      <c r="C4" s="237"/>
      <c r="D4" s="237"/>
      <c r="E4" s="64"/>
    </row>
    <row r="5" spans="1:9" ht="15.5" x14ac:dyDescent="0.35">
      <c r="A5" s="14"/>
      <c r="B5" s="18"/>
      <c r="C5" s="264"/>
      <c r="D5" s="264"/>
      <c r="E5" s="16" t="s">
        <v>230</v>
      </c>
    </row>
    <row r="6" spans="1:9" ht="15.5" x14ac:dyDescent="0.35">
      <c r="A6" s="14"/>
      <c r="B6" s="14"/>
      <c r="E6" s="26"/>
    </row>
    <row r="7" spans="1:9" ht="17.5" x14ac:dyDescent="0.35">
      <c r="A7" s="322" t="s">
        <v>9</v>
      </c>
      <c r="B7" s="322"/>
      <c r="C7" s="322"/>
      <c r="D7" s="322"/>
      <c r="E7" s="322"/>
    </row>
    <row r="8" spans="1:9" ht="15.5" x14ac:dyDescent="0.35">
      <c r="A8" s="14"/>
      <c r="B8" s="19"/>
      <c r="C8" s="242"/>
      <c r="D8" s="242"/>
      <c r="E8" s="26"/>
    </row>
    <row r="9" spans="1:9" ht="15.5" x14ac:dyDescent="0.35">
      <c r="A9" s="321" t="s">
        <v>1</v>
      </c>
      <c r="B9" s="321"/>
      <c r="C9" s="243"/>
      <c r="D9" s="243"/>
      <c r="E9" s="26"/>
    </row>
    <row r="10" spans="1:9" ht="15.5" x14ac:dyDescent="0.35">
      <c r="A10" s="321" t="s">
        <v>0</v>
      </c>
      <c r="B10" s="321"/>
      <c r="C10" s="243"/>
      <c r="D10" s="243"/>
      <c r="E10" s="26"/>
    </row>
    <row r="11" spans="1:9" ht="15.5" x14ac:dyDescent="0.35">
      <c r="A11" s="12"/>
      <c r="B11" s="12" t="s">
        <v>181</v>
      </c>
      <c r="C11" s="243"/>
      <c r="D11" s="243"/>
      <c r="E11" s="26"/>
    </row>
    <row r="12" spans="1:9" ht="15.5" x14ac:dyDescent="0.35">
      <c r="A12" s="12"/>
      <c r="B12" s="321" t="s">
        <v>207</v>
      </c>
      <c r="C12" s="321"/>
      <c r="D12" s="321"/>
      <c r="E12" s="334"/>
    </row>
    <row r="13" spans="1:9" ht="15.75" customHeight="1" x14ac:dyDescent="0.35">
      <c r="A13" s="12"/>
      <c r="B13" s="321" t="s">
        <v>210</v>
      </c>
      <c r="C13" s="321"/>
      <c r="D13" s="321"/>
      <c r="E13" s="334"/>
    </row>
    <row r="14" spans="1:9" ht="15.5" x14ac:dyDescent="0.25">
      <c r="A14" s="13" t="s">
        <v>2</v>
      </c>
      <c r="B14" s="12" t="s">
        <v>170</v>
      </c>
      <c r="C14" s="243"/>
      <c r="D14" s="243"/>
      <c r="E14" s="48"/>
    </row>
    <row r="15" spans="1:9" s="144" customFormat="1" ht="67.5" customHeight="1" x14ac:dyDescent="0.25">
      <c r="A15" s="52" t="s">
        <v>3</v>
      </c>
      <c r="B15" s="52" t="s">
        <v>4</v>
      </c>
      <c r="C15" s="246"/>
      <c r="D15" s="246"/>
      <c r="E15" s="52" t="s">
        <v>63</v>
      </c>
      <c r="G15" s="7"/>
      <c r="H15" s="7"/>
      <c r="I15" s="7"/>
    </row>
    <row r="16" spans="1:9" ht="15" x14ac:dyDescent="0.25">
      <c r="A16" s="42">
        <v>1</v>
      </c>
      <c r="B16" s="49">
        <v>2</v>
      </c>
      <c r="C16" s="274"/>
      <c r="D16" s="274"/>
      <c r="E16" s="49">
        <v>3</v>
      </c>
    </row>
    <row r="17" spans="1:9" s="150" customFormat="1" ht="15.5" x14ac:dyDescent="0.25">
      <c r="A17" s="42"/>
      <c r="B17" s="40" t="s">
        <v>5</v>
      </c>
      <c r="C17" s="265"/>
      <c r="D17" s="265"/>
      <c r="E17" s="32"/>
      <c r="G17" s="7"/>
      <c r="H17" s="7"/>
      <c r="I17" s="7"/>
    </row>
    <row r="18" spans="1:9" s="150" customFormat="1" ht="15.5" x14ac:dyDescent="0.25">
      <c r="A18" s="32">
        <v>1100</v>
      </c>
      <c r="B18" s="32" t="s">
        <v>133</v>
      </c>
      <c r="C18" s="250">
        <f>'[1]7._izmitināšana_GALA mpc'!$Y$6</f>
        <v>8.6068716924613078</v>
      </c>
      <c r="D18" s="249"/>
      <c r="E18" s="34">
        <v>282.63</v>
      </c>
      <c r="G18" s="7"/>
      <c r="H18" s="7"/>
      <c r="I18" s="7"/>
    </row>
    <row r="19" spans="1:9" s="150" customFormat="1" ht="15.5" x14ac:dyDescent="0.35">
      <c r="A19" s="32">
        <v>1200</v>
      </c>
      <c r="B19" s="62" t="s">
        <v>134</v>
      </c>
      <c r="C19" s="249">
        <f>C18*0.2359</f>
        <v>2.0303610322516223</v>
      </c>
      <c r="D19" s="251"/>
      <c r="E19" s="34">
        <v>66.67</v>
      </c>
      <c r="H19" s="7"/>
      <c r="I19" s="7"/>
    </row>
    <row r="20" spans="1:9" ht="15.75" customHeight="1" x14ac:dyDescent="0.35">
      <c r="A20" s="32">
        <v>2222</v>
      </c>
      <c r="B20" s="63" t="s">
        <v>136</v>
      </c>
      <c r="C20" s="250">
        <f>'[1]7._izmitināšana_GALA mpc'!$Y$8</f>
        <v>0.2021967049425861</v>
      </c>
      <c r="D20" s="275"/>
      <c r="E20" s="34">
        <v>5.94</v>
      </c>
      <c r="G20" s="45"/>
      <c r="H20" s="151"/>
    </row>
    <row r="21" spans="1:9" ht="15.5" x14ac:dyDescent="0.35">
      <c r="A21" s="32">
        <v>2223</v>
      </c>
      <c r="B21" s="63" t="s">
        <v>137</v>
      </c>
      <c r="C21" s="250">
        <f>'[1]7._izmitināšana_GALA mpc'!$Y$9</f>
        <v>0.5996155766350475</v>
      </c>
      <c r="D21" s="276"/>
      <c r="E21" s="34">
        <v>17.600000000000001</v>
      </c>
      <c r="G21" s="152"/>
      <c r="H21" s="151"/>
    </row>
    <row r="22" spans="1:9" ht="15.5" x14ac:dyDescent="0.35">
      <c r="A22" s="32">
        <v>2243</v>
      </c>
      <c r="B22" s="23" t="s">
        <v>138</v>
      </c>
      <c r="C22" s="250">
        <f>'[1]7._izmitināšana_GALA mpc'!$Y$11</f>
        <v>3.5127309036445328E-2</v>
      </c>
      <c r="D22" s="248"/>
      <c r="E22" s="34">
        <v>1.04</v>
      </c>
    </row>
    <row r="23" spans="1:9" ht="15.5" x14ac:dyDescent="0.35">
      <c r="A23" s="32">
        <v>2244</v>
      </c>
      <c r="B23" s="23" t="s">
        <v>139</v>
      </c>
      <c r="C23" s="250">
        <f>'[1]7._izmitināšana_GALA mpc'!$Y$12</f>
        <v>0.76012481278082866</v>
      </c>
      <c r="D23" s="248"/>
      <c r="E23" s="34">
        <v>22.35</v>
      </c>
    </row>
    <row r="24" spans="1:9" ht="15.5" x14ac:dyDescent="0.35">
      <c r="A24" s="32">
        <v>2250</v>
      </c>
      <c r="B24" s="23" t="s">
        <v>125</v>
      </c>
      <c r="C24" s="250">
        <f>'[1]7._izmitināšana_GALA mpc'!$Y$13</f>
        <v>0.19</v>
      </c>
      <c r="D24" s="276"/>
      <c r="E24" s="34">
        <v>5.7</v>
      </c>
    </row>
    <row r="25" spans="1:9" ht="15.5" x14ac:dyDescent="0.35">
      <c r="A25" s="32">
        <v>2311</v>
      </c>
      <c r="B25" s="63" t="s">
        <v>152</v>
      </c>
      <c r="C25" s="250">
        <f>'[1]7._izmitināšana_GALA mpc'!$Y$14</f>
        <v>1.7655716425361956</v>
      </c>
      <c r="D25" s="275"/>
      <c r="E25" s="34">
        <v>52.69</v>
      </c>
    </row>
    <row r="26" spans="1:9" ht="15.5" x14ac:dyDescent="0.35">
      <c r="A26" s="32">
        <v>2312</v>
      </c>
      <c r="B26" s="23" t="s">
        <v>117</v>
      </c>
      <c r="C26" s="250">
        <f>'[1]7._izmitināšana_GALA mpc'!$Y$15</f>
        <v>0.47219670494258614</v>
      </c>
      <c r="D26" s="248"/>
      <c r="E26" s="34">
        <v>14.04</v>
      </c>
    </row>
    <row r="27" spans="1:9" ht="15.5" x14ac:dyDescent="0.35">
      <c r="A27" s="32">
        <v>2321</v>
      </c>
      <c r="B27" s="63" t="s">
        <v>140</v>
      </c>
      <c r="C27" s="250">
        <f>'[1]7._izmitināšana_GALA mpc'!$Y$16</f>
        <v>0.43439340988517217</v>
      </c>
      <c r="D27" s="276"/>
      <c r="E27" s="34">
        <v>12.77</v>
      </c>
    </row>
    <row r="28" spans="1:9" ht="15.5" x14ac:dyDescent="0.35">
      <c r="A28" s="32">
        <v>2350</v>
      </c>
      <c r="B28" s="62" t="s">
        <v>126</v>
      </c>
      <c r="C28" s="250">
        <f>'[1]7._izmitināšana_GALA mpc'!$Y$17</f>
        <v>0.13681477783325011</v>
      </c>
      <c r="D28" s="275"/>
      <c r="E28" s="34">
        <v>4.0199999999999996</v>
      </c>
    </row>
    <row r="29" spans="1:9" ht="15.5" x14ac:dyDescent="0.35">
      <c r="A29" s="32">
        <v>2361</v>
      </c>
      <c r="B29" s="63" t="s">
        <v>142</v>
      </c>
      <c r="C29" s="250">
        <f>'[1]7._izmitināšana_GALA mpc'!$Y$18</f>
        <v>5.4458312531203187E-2</v>
      </c>
      <c r="D29" s="276"/>
      <c r="E29" s="34">
        <v>1.58</v>
      </c>
    </row>
    <row r="30" spans="1:9" ht="15.5" x14ac:dyDescent="0.35">
      <c r="A30" s="32">
        <v>2362</v>
      </c>
      <c r="B30" s="86" t="s">
        <v>157</v>
      </c>
      <c r="C30" s="250">
        <f>'[1]7._izmitināšana_GALA mpc'!$Y$19</f>
        <v>0.02</v>
      </c>
      <c r="D30" s="276"/>
      <c r="E30" s="34">
        <v>0.6</v>
      </c>
    </row>
    <row r="31" spans="1:9" ht="15.5" x14ac:dyDescent="0.35">
      <c r="A31" s="32">
        <v>2363</v>
      </c>
      <c r="B31" s="63" t="s">
        <v>143</v>
      </c>
      <c r="C31" s="249">
        <v>3.87</v>
      </c>
      <c r="D31" s="276"/>
      <c r="E31" s="34">
        <v>116.1</v>
      </c>
    </row>
    <row r="32" spans="1:9" ht="15.5" x14ac:dyDescent="0.35">
      <c r="A32" s="32">
        <v>5239</v>
      </c>
      <c r="B32" s="62" t="s">
        <v>131</v>
      </c>
      <c r="C32" s="250">
        <f>'[1]7._izmitināšana_GALA mpc'!$Y$21</f>
        <v>0.67018971542685957</v>
      </c>
      <c r="D32" s="276"/>
      <c r="E32" s="34">
        <v>19.87</v>
      </c>
    </row>
    <row r="33" spans="1:5" ht="15.5" x14ac:dyDescent="0.25">
      <c r="A33" s="32"/>
      <c r="B33" s="37" t="s">
        <v>6</v>
      </c>
      <c r="C33" s="266">
        <f>SUM(C18:C32)</f>
        <v>19.847921691263103</v>
      </c>
      <c r="D33" s="266"/>
      <c r="E33" s="38">
        <f>SUM(E18:E32)</f>
        <v>623.6</v>
      </c>
    </row>
    <row r="34" spans="1:5" ht="15.75" customHeight="1" x14ac:dyDescent="0.25">
      <c r="A34" s="39"/>
      <c r="B34" s="32" t="s">
        <v>7</v>
      </c>
      <c r="C34" s="249"/>
      <c r="D34" s="249"/>
      <c r="E34" s="34"/>
    </row>
    <row r="35" spans="1:5" ht="15.5" x14ac:dyDescent="0.35">
      <c r="A35" s="32">
        <v>1100</v>
      </c>
      <c r="B35" s="23" t="s">
        <v>133</v>
      </c>
      <c r="C35" s="248"/>
      <c r="D35" s="251">
        <v>0.48549999999999999</v>
      </c>
      <c r="E35" s="34">
        <v>178.43</v>
      </c>
    </row>
    <row r="36" spans="1:5" ht="15.5" x14ac:dyDescent="0.35">
      <c r="A36" s="32">
        <v>1200</v>
      </c>
      <c r="B36" s="23" t="s">
        <v>134</v>
      </c>
      <c r="C36" s="248"/>
      <c r="D36" s="251">
        <f>D35*0.2359</f>
        <v>0.11452944999999999</v>
      </c>
      <c r="E36" s="34">
        <v>42.09</v>
      </c>
    </row>
    <row r="37" spans="1:5" ht="15.5" x14ac:dyDescent="0.25">
      <c r="A37" s="32">
        <v>2100</v>
      </c>
      <c r="B37" s="25" t="s">
        <v>45</v>
      </c>
      <c r="C37" s="277"/>
      <c r="D37" s="251">
        <v>1.1659999999999999E-3</v>
      </c>
      <c r="E37" s="34">
        <v>0.47</v>
      </c>
    </row>
    <row r="38" spans="1:5" ht="15.5" x14ac:dyDescent="0.35">
      <c r="A38" s="35">
        <v>2210</v>
      </c>
      <c r="B38" s="63" t="s">
        <v>121</v>
      </c>
      <c r="C38" s="275"/>
      <c r="D38" s="251">
        <v>7.6E-3</v>
      </c>
      <c r="E38" s="34">
        <v>3.06</v>
      </c>
    </row>
    <row r="39" spans="1:5" ht="15.5" x14ac:dyDescent="0.35">
      <c r="A39" s="32">
        <v>2222</v>
      </c>
      <c r="B39" s="63" t="s">
        <v>136</v>
      </c>
      <c r="C39" s="275"/>
      <c r="D39" s="251">
        <f>0.0095*1.15</f>
        <v>1.0924999999999999E-2</v>
      </c>
      <c r="E39" s="34">
        <v>4.4000000000000004</v>
      </c>
    </row>
    <row r="40" spans="1:5" ht="15.75" customHeight="1" x14ac:dyDescent="0.35">
      <c r="A40" s="32">
        <v>2223</v>
      </c>
      <c r="B40" s="63" t="s">
        <v>137</v>
      </c>
      <c r="C40" s="275"/>
      <c r="D40" s="251">
        <f>0.01902*2.13</f>
        <v>4.0512599999999996E-2</v>
      </c>
      <c r="E40" s="34">
        <v>16.309999999999999</v>
      </c>
    </row>
    <row r="41" spans="1:5" ht="31" x14ac:dyDescent="0.35">
      <c r="A41" s="32">
        <v>2224</v>
      </c>
      <c r="B41" s="63" t="s">
        <v>144</v>
      </c>
      <c r="C41" s="275"/>
      <c r="D41" s="251">
        <f>0.00495*1.15</f>
        <v>5.6924999999999996E-3</v>
      </c>
      <c r="E41" s="34">
        <v>2.29</v>
      </c>
    </row>
    <row r="42" spans="1:5" ht="15.5" x14ac:dyDescent="0.35">
      <c r="A42" s="32">
        <v>2231</v>
      </c>
      <c r="B42" s="23" t="s">
        <v>127</v>
      </c>
      <c r="C42" s="248"/>
      <c r="D42" s="251">
        <v>1.5499999999999999E-3</v>
      </c>
      <c r="E42" s="34">
        <v>0.62</v>
      </c>
    </row>
    <row r="43" spans="1:5" ht="15.5" x14ac:dyDescent="0.25">
      <c r="A43" s="32">
        <v>2235</v>
      </c>
      <c r="B43" s="78" t="s">
        <v>128</v>
      </c>
      <c r="C43" s="278"/>
      <c r="D43" s="251">
        <v>1.65E-3</v>
      </c>
      <c r="E43" s="34">
        <v>0.66</v>
      </c>
    </row>
    <row r="44" spans="1:5" ht="15.5" x14ac:dyDescent="0.35">
      <c r="A44" s="32">
        <v>2239</v>
      </c>
      <c r="B44" s="23" t="s">
        <v>145</v>
      </c>
      <c r="C44" s="248"/>
      <c r="D44" s="251">
        <v>4.4099999999999999E-3</v>
      </c>
      <c r="E44" s="34">
        <v>1.78</v>
      </c>
    </row>
    <row r="45" spans="1:5" ht="15.5" x14ac:dyDescent="0.35">
      <c r="A45" s="32">
        <v>2241</v>
      </c>
      <c r="B45" s="23" t="s">
        <v>124</v>
      </c>
      <c r="C45" s="248"/>
      <c r="D45" s="251">
        <v>1.6500000000000001E-2</v>
      </c>
      <c r="E45" s="34">
        <v>6.82</v>
      </c>
    </row>
    <row r="46" spans="1:5" ht="15.5" x14ac:dyDescent="0.35">
      <c r="A46" s="32">
        <v>2242</v>
      </c>
      <c r="B46" s="63" t="s">
        <v>146</v>
      </c>
      <c r="C46" s="275"/>
      <c r="D46" s="251">
        <v>2.2599999999999999E-3</v>
      </c>
      <c r="E46" s="34">
        <v>0.91</v>
      </c>
    </row>
    <row r="47" spans="1:5" ht="15.5" x14ac:dyDescent="0.35">
      <c r="A47" s="32">
        <v>2243</v>
      </c>
      <c r="B47" s="23" t="s">
        <v>138</v>
      </c>
      <c r="C47" s="248"/>
      <c r="D47" s="251">
        <v>3.2599999999999997E-2</v>
      </c>
      <c r="E47" s="34">
        <v>13.1</v>
      </c>
    </row>
    <row r="48" spans="1:5" ht="15.5" x14ac:dyDescent="0.35">
      <c r="A48" s="32">
        <v>2244</v>
      </c>
      <c r="B48" s="23" t="s">
        <v>139</v>
      </c>
      <c r="C48" s="248"/>
      <c r="D48" s="251">
        <f>0.20397-0.09084</f>
        <v>0.11313000000000001</v>
      </c>
      <c r="E48" s="34">
        <v>45.55</v>
      </c>
    </row>
    <row r="49" spans="1:5" ht="15.5" x14ac:dyDescent="0.35">
      <c r="A49" s="32">
        <v>2247</v>
      </c>
      <c r="B49" s="23" t="s">
        <v>147</v>
      </c>
      <c r="C49" s="248"/>
      <c r="D49" s="251">
        <v>7.1900000000000002E-4</v>
      </c>
      <c r="E49" s="34">
        <v>0.28999999999999998</v>
      </c>
    </row>
    <row r="50" spans="1:5" ht="15.5" x14ac:dyDescent="0.35">
      <c r="A50" s="32">
        <v>2249</v>
      </c>
      <c r="B50" s="23" t="s">
        <v>172</v>
      </c>
      <c r="C50" s="248"/>
      <c r="D50" s="251">
        <v>2.32E-4</v>
      </c>
      <c r="E50" s="34">
        <v>0.09</v>
      </c>
    </row>
    <row r="51" spans="1:5" ht="15.5" x14ac:dyDescent="0.35">
      <c r="A51" s="32">
        <v>2250</v>
      </c>
      <c r="B51" s="23" t="s">
        <v>125</v>
      </c>
      <c r="C51" s="248"/>
      <c r="D51" s="251">
        <f>0.024026-0.005</f>
        <v>1.9025999999999998E-2</v>
      </c>
      <c r="E51" s="34">
        <v>7.66</v>
      </c>
    </row>
    <row r="52" spans="1:5" ht="15.5" hidden="1" x14ac:dyDescent="0.35">
      <c r="A52" s="32">
        <v>2261</v>
      </c>
      <c r="B52" s="63" t="s">
        <v>99</v>
      </c>
      <c r="C52" s="275"/>
      <c r="D52" s="251">
        <v>0</v>
      </c>
      <c r="E52" s="34">
        <f>D52*402.665</f>
        <v>0</v>
      </c>
    </row>
    <row r="53" spans="1:5" ht="15.5" x14ac:dyDescent="0.35">
      <c r="A53" s="32">
        <v>2262</v>
      </c>
      <c r="B53" s="63" t="s">
        <v>149</v>
      </c>
      <c r="C53" s="275"/>
      <c r="D53" s="251">
        <v>6.2599999999999999E-3</v>
      </c>
      <c r="E53" s="34">
        <v>2.52</v>
      </c>
    </row>
    <row r="54" spans="1:5" ht="15.5" x14ac:dyDescent="0.35">
      <c r="A54" s="32">
        <v>2263</v>
      </c>
      <c r="B54" s="63" t="s">
        <v>150</v>
      </c>
      <c r="C54" s="275"/>
      <c r="D54" s="251">
        <v>4.58E-2</v>
      </c>
      <c r="E54" s="34">
        <v>18.440000000000001</v>
      </c>
    </row>
    <row r="55" spans="1:5" ht="15.5" x14ac:dyDescent="0.35">
      <c r="A55" s="32">
        <v>2264</v>
      </c>
      <c r="B55" s="23" t="s">
        <v>151</v>
      </c>
      <c r="C55" s="248"/>
      <c r="D55" s="251">
        <v>1.49E-3</v>
      </c>
      <c r="E55" s="34">
        <v>0.6</v>
      </c>
    </row>
    <row r="56" spans="1:5" ht="15.5" x14ac:dyDescent="0.35">
      <c r="A56" s="32">
        <v>2311</v>
      </c>
      <c r="B56" s="63" t="s">
        <v>152</v>
      </c>
      <c r="C56" s="275"/>
      <c r="D56" s="251">
        <v>4.7699999999999999E-3</v>
      </c>
      <c r="E56" s="34">
        <v>1.92</v>
      </c>
    </row>
    <row r="57" spans="1:5" ht="15.5" x14ac:dyDescent="0.35">
      <c r="A57" s="32">
        <v>2312</v>
      </c>
      <c r="B57" s="63" t="s">
        <v>117</v>
      </c>
      <c r="C57" s="275"/>
      <c r="D57" s="251">
        <v>5.79E-3</v>
      </c>
      <c r="E57" s="34">
        <v>2.33</v>
      </c>
    </row>
    <row r="58" spans="1:5" ht="15.5" x14ac:dyDescent="0.25">
      <c r="A58" s="32">
        <v>2314</v>
      </c>
      <c r="B58" s="78" t="s">
        <v>153</v>
      </c>
      <c r="C58" s="278"/>
      <c r="D58" s="251">
        <v>2.2200000000000002E-3</v>
      </c>
      <c r="E58" s="34">
        <v>0.89</v>
      </c>
    </row>
    <row r="59" spans="1:5" ht="15.5" x14ac:dyDescent="0.35">
      <c r="A59" s="32">
        <v>2321</v>
      </c>
      <c r="B59" s="63" t="s">
        <v>140</v>
      </c>
      <c r="C59" s="275"/>
      <c r="D59" s="251">
        <f>0.0198*1.2+0.005</f>
        <v>2.8760000000000001E-2</v>
      </c>
      <c r="E59" s="34">
        <v>11.58</v>
      </c>
    </row>
    <row r="60" spans="1:5" ht="15.5" x14ac:dyDescent="0.35">
      <c r="A60" s="32">
        <v>2322</v>
      </c>
      <c r="B60" s="63" t="s">
        <v>154</v>
      </c>
      <c r="C60" s="275"/>
      <c r="D60" s="251">
        <f>0.0035*1.2</f>
        <v>4.1999999999999997E-3</v>
      </c>
      <c r="E60" s="34">
        <v>1.69</v>
      </c>
    </row>
    <row r="61" spans="1:5" ht="15.5" hidden="1" x14ac:dyDescent="0.35">
      <c r="A61" s="32">
        <v>2341</v>
      </c>
      <c r="B61" s="63" t="s">
        <v>141</v>
      </c>
      <c r="C61" s="275"/>
      <c r="D61" s="251"/>
      <c r="E61" s="34">
        <f>D61*402.665</f>
        <v>0</v>
      </c>
    </row>
    <row r="62" spans="1:5" ht="15.5" x14ac:dyDescent="0.35">
      <c r="A62" s="32">
        <v>2350</v>
      </c>
      <c r="B62" s="62" t="s">
        <v>126</v>
      </c>
      <c r="C62" s="251"/>
      <c r="D62" s="251">
        <v>8.5000000000000006E-3</v>
      </c>
      <c r="E62" s="34">
        <v>3.42</v>
      </c>
    </row>
    <row r="63" spans="1:5" ht="15.75" hidden="1" customHeight="1" x14ac:dyDescent="0.35">
      <c r="A63" s="32">
        <v>2512</v>
      </c>
      <c r="B63" s="63" t="s">
        <v>155</v>
      </c>
      <c r="C63" s="275"/>
      <c r="D63" s="251">
        <v>0</v>
      </c>
      <c r="E63" s="34">
        <f>D63*402.665</f>
        <v>0</v>
      </c>
    </row>
    <row r="64" spans="1:5" ht="15.75" customHeight="1" x14ac:dyDescent="0.35">
      <c r="A64" s="32">
        <v>2513</v>
      </c>
      <c r="B64" s="62" t="s">
        <v>122</v>
      </c>
      <c r="C64" s="251"/>
      <c r="D64" s="251">
        <v>1.4599999999999999E-3</v>
      </c>
      <c r="E64" s="34">
        <v>0.59</v>
      </c>
    </row>
    <row r="65" spans="1:9" ht="15.75" customHeight="1" x14ac:dyDescent="0.35">
      <c r="A65" s="32">
        <v>2515</v>
      </c>
      <c r="B65" s="63" t="s">
        <v>156</v>
      </c>
      <c r="C65" s="275"/>
      <c r="D65" s="251">
        <v>1.9E-3</v>
      </c>
      <c r="E65" s="34">
        <v>0.77</v>
      </c>
    </row>
    <row r="66" spans="1:9" ht="15.75" customHeight="1" x14ac:dyDescent="0.35">
      <c r="A66" s="32">
        <v>2519</v>
      </c>
      <c r="B66" s="63" t="s">
        <v>123</v>
      </c>
      <c r="C66" s="275"/>
      <c r="D66" s="251">
        <v>2E-3</v>
      </c>
      <c r="E66" s="34">
        <v>0.81</v>
      </c>
    </row>
    <row r="67" spans="1:9" ht="15.75" customHeight="1" x14ac:dyDescent="0.35">
      <c r="A67" s="32">
        <v>5220</v>
      </c>
      <c r="B67" s="63" t="s">
        <v>129</v>
      </c>
      <c r="C67" s="275"/>
      <c r="D67" s="251">
        <v>1.06E-2</v>
      </c>
      <c r="E67" s="34">
        <v>4.2699999999999996</v>
      </c>
    </row>
    <row r="68" spans="1:9" ht="15.75" customHeight="1" x14ac:dyDescent="0.35">
      <c r="A68" s="32">
        <v>5238</v>
      </c>
      <c r="B68" s="62" t="s">
        <v>130</v>
      </c>
      <c r="C68" s="251"/>
      <c r="D68" s="251">
        <v>1.65E-3</v>
      </c>
      <c r="E68" s="34">
        <v>0.66</v>
      </c>
    </row>
    <row r="69" spans="1:9" ht="15.75" customHeight="1" x14ac:dyDescent="0.35">
      <c r="A69" s="32">
        <v>5239</v>
      </c>
      <c r="B69" s="62" t="s">
        <v>131</v>
      </c>
      <c r="C69" s="251"/>
      <c r="D69" s="251">
        <v>9.5399999999999999E-3</v>
      </c>
      <c r="E69" s="34">
        <v>3.84</v>
      </c>
    </row>
    <row r="70" spans="1:9" ht="15.75" customHeight="1" x14ac:dyDescent="0.35">
      <c r="A70" s="32">
        <v>5250</v>
      </c>
      <c r="B70" s="63" t="s">
        <v>132</v>
      </c>
      <c r="C70" s="275"/>
      <c r="D70" s="251">
        <v>7.0600000000000003E-3</v>
      </c>
      <c r="E70" s="34">
        <v>2.84</v>
      </c>
    </row>
    <row r="71" spans="1:9" ht="15.5" x14ac:dyDescent="0.25">
      <c r="A71" s="39"/>
      <c r="B71" s="41" t="s">
        <v>8</v>
      </c>
      <c r="C71" s="267"/>
      <c r="D71" s="267">
        <f>SUM(D35:D70)</f>
        <v>1.00000255</v>
      </c>
      <c r="E71" s="38">
        <f>SUM(E35:E70)</f>
        <v>381.7</v>
      </c>
    </row>
    <row r="72" spans="1:9" ht="15.5" x14ac:dyDescent="0.25">
      <c r="A72" s="39"/>
      <c r="B72" s="41" t="s">
        <v>29</v>
      </c>
      <c r="C72" s="267"/>
      <c r="D72" s="267"/>
      <c r="E72" s="38">
        <f>E71+E33</f>
        <v>1005.3</v>
      </c>
    </row>
    <row r="73" spans="1:9" ht="15.5" x14ac:dyDescent="0.35">
      <c r="A73" s="16"/>
      <c r="B73" s="26"/>
      <c r="C73" s="256"/>
      <c r="D73" s="256"/>
      <c r="E73" s="60"/>
    </row>
    <row r="74" spans="1:9" ht="15.5" x14ac:dyDescent="0.25">
      <c r="A74" s="321" t="s">
        <v>57</v>
      </c>
      <c r="B74" s="321"/>
      <c r="C74" s="243"/>
      <c r="D74" s="243"/>
      <c r="E74" s="68">
        <v>30</v>
      </c>
    </row>
    <row r="75" spans="1:9" ht="15.5" x14ac:dyDescent="0.3">
      <c r="A75" s="321" t="s">
        <v>58</v>
      </c>
      <c r="B75" s="321"/>
      <c r="C75" s="243"/>
      <c r="D75" s="243"/>
      <c r="E75" s="69">
        <f>E72/E74</f>
        <v>33.51</v>
      </c>
    </row>
    <row r="76" spans="1:9" ht="15.5" x14ac:dyDescent="0.35">
      <c r="A76" s="26"/>
      <c r="B76" s="27"/>
      <c r="C76" s="279"/>
      <c r="D76" s="279"/>
      <c r="E76" s="59"/>
    </row>
    <row r="77" spans="1:9" s="2" customFormat="1" ht="15.5" x14ac:dyDescent="0.35">
      <c r="A77" s="319" t="s">
        <v>33</v>
      </c>
      <c r="B77" s="319"/>
      <c r="C77" s="257"/>
      <c r="D77" s="280"/>
      <c r="E77" s="88"/>
      <c r="G77" s="7"/>
      <c r="H77" s="7"/>
      <c r="I77" s="7"/>
    </row>
    <row r="78" spans="1:9" s="2" customFormat="1" ht="15.5" x14ac:dyDescent="0.35">
      <c r="A78" s="319" t="s">
        <v>64</v>
      </c>
      <c r="B78" s="319"/>
      <c r="C78" s="257"/>
      <c r="D78" s="280"/>
      <c r="E78" s="28"/>
      <c r="G78" s="7"/>
      <c r="H78" s="7"/>
      <c r="I78" s="7"/>
    </row>
    <row r="79" spans="1:9" s="2" customFormat="1" ht="15.5" x14ac:dyDescent="0.35">
      <c r="A79" s="29"/>
      <c r="B79" s="29"/>
      <c r="C79" s="260"/>
      <c r="D79" s="260"/>
      <c r="E79" s="84"/>
      <c r="G79" s="7"/>
      <c r="H79" s="7"/>
      <c r="I79" s="7"/>
    </row>
    <row r="80" spans="1:9" s="2" customFormat="1" ht="15.5" x14ac:dyDescent="0.35">
      <c r="A80" s="29" t="s">
        <v>34</v>
      </c>
      <c r="B80" s="29"/>
      <c r="C80" s="260"/>
      <c r="D80" s="260"/>
      <c r="E80" s="29"/>
      <c r="G80" s="7"/>
      <c r="H80" s="7"/>
      <c r="I80" s="7"/>
    </row>
    <row r="81" spans="1:9" s="2" customFormat="1" ht="15.5" x14ac:dyDescent="0.35">
      <c r="A81" s="29"/>
      <c r="B81" s="29"/>
      <c r="C81" s="260"/>
      <c r="D81" s="260"/>
      <c r="E81" s="84"/>
      <c r="F81" s="153"/>
      <c r="G81" s="7"/>
      <c r="H81" s="7"/>
      <c r="I81" s="7"/>
    </row>
    <row r="82" spans="1:9" s="2" customFormat="1" ht="15.5" x14ac:dyDescent="0.35">
      <c r="A82" s="29" t="s">
        <v>179</v>
      </c>
      <c r="B82" s="30"/>
      <c r="C82" s="261"/>
      <c r="D82" s="261"/>
      <c r="E82" s="84"/>
      <c r="G82" s="7"/>
      <c r="H82" s="7"/>
      <c r="I82" s="7"/>
    </row>
    <row r="83" spans="1:9" s="2" customFormat="1" ht="13.9" customHeight="1" x14ac:dyDescent="0.35">
      <c r="A83" s="29"/>
      <c r="B83" s="31"/>
      <c r="C83" s="273"/>
      <c r="D83" s="273"/>
      <c r="E83" s="29"/>
      <c r="G83" s="7"/>
      <c r="H83" s="7"/>
      <c r="I83" s="7"/>
    </row>
    <row r="84" spans="1:9" s="4" customFormat="1" ht="15.5" x14ac:dyDescent="0.35">
      <c r="A84" s="14"/>
      <c r="B84" s="14"/>
      <c r="C84" s="240"/>
      <c r="D84" s="240"/>
      <c r="E84" s="14"/>
      <c r="G84" s="7"/>
      <c r="H84" s="7"/>
      <c r="I84" s="7"/>
    </row>
  </sheetData>
  <mergeCells count="9">
    <mergeCell ref="A75:B75"/>
    <mergeCell ref="A77:B77"/>
    <mergeCell ref="A78:B78"/>
    <mergeCell ref="A9:B9"/>
    <mergeCell ref="A10:B10"/>
    <mergeCell ref="A7:E7"/>
    <mergeCell ref="B12:E12"/>
    <mergeCell ref="B13:E13"/>
    <mergeCell ref="A74:B74"/>
  </mergeCells>
  <hyperlinks>
    <hyperlink ref="A106" r:id="rId1" display="Inese.Kise@lm.gov.lv,"/>
  </hyperlinks>
  <pageMargins left="0.70866141732283472" right="0.70866141732283472" top="0.74803149606299213" bottom="0.74803149606299213" header="0.31496062992125984" footer="0.31496062992125984"/>
  <pageSetup paperSize="9" scale="57" orientation="portrait" r:id="rId2"/>
  <headerFooter>
    <oddFooter>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view="pageLayout" topLeftCell="A60" zoomScaleNormal="100" workbookViewId="0">
      <selection activeCell="B76" sqref="B76"/>
    </sheetView>
  </sheetViews>
  <sheetFormatPr defaultRowHeight="15.5" x14ac:dyDescent="0.35"/>
  <cols>
    <col min="1" max="1" width="13.26953125" style="14" customWidth="1"/>
    <col min="2" max="2" width="99.7265625" style="14" customWidth="1"/>
    <col min="3" max="3" width="32.26953125" style="14" customWidth="1"/>
  </cols>
  <sheetData>
    <row r="1" spans="1:6" x14ac:dyDescent="0.35">
      <c r="B1" s="15"/>
      <c r="C1" s="54" t="s">
        <v>10</v>
      </c>
    </row>
    <row r="2" spans="1:6" x14ac:dyDescent="0.35">
      <c r="B2" s="15"/>
      <c r="C2" s="55" t="s">
        <v>32</v>
      </c>
    </row>
    <row r="3" spans="1:6" x14ac:dyDescent="0.35">
      <c r="B3" s="15"/>
      <c r="C3" s="65" t="s">
        <v>118</v>
      </c>
    </row>
    <row r="4" spans="1:6" x14ac:dyDescent="0.35">
      <c r="B4" s="15"/>
      <c r="C4" s="64"/>
    </row>
    <row r="5" spans="1:6" x14ac:dyDescent="0.35">
      <c r="B5" s="18"/>
      <c r="C5" s="64" t="s">
        <v>119</v>
      </c>
    </row>
    <row r="6" spans="1:6" x14ac:dyDescent="0.35">
      <c r="C6" s="26"/>
    </row>
    <row r="7" spans="1:6" ht="15" x14ac:dyDescent="0.3">
      <c r="A7" s="318" t="s">
        <v>9</v>
      </c>
      <c r="B7" s="318"/>
      <c r="C7" s="318"/>
    </row>
    <row r="8" spans="1:6" x14ac:dyDescent="0.35">
      <c r="B8" s="19"/>
      <c r="C8" s="26"/>
    </row>
    <row r="9" spans="1:6" x14ac:dyDescent="0.35">
      <c r="A9" s="321" t="s">
        <v>1</v>
      </c>
      <c r="B9" s="321"/>
      <c r="C9" s="26"/>
    </row>
    <row r="10" spans="1:6" x14ac:dyDescent="0.35">
      <c r="A10" s="321" t="s">
        <v>0</v>
      </c>
      <c r="B10" s="321"/>
      <c r="C10" s="26"/>
    </row>
    <row r="11" spans="1:6" x14ac:dyDescent="0.35">
      <c r="A11" s="12"/>
      <c r="B11" s="12" t="s">
        <v>31</v>
      </c>
      <c r="C11" s="26"/>
    </row>
    <row r="12" spans="1:6" x14ac:dyDescent="0.35">
      <c r="A12" s="12"/>
      <c r="B12" s="321" t="s">
        <v>116</v>
      </c>
      <c r="C12" s="334"/>
      <c r="E12" s="53"/>
      <c r="F12" s="53"/>
    </row>
    <row r="13" spans="1:6" x14ac:dyDescent="0.35">
      <c r="A13" s="12"/>
      <c r="B13" s="321" t="s">
        <v>93</v>
      </c>
      <c r="C13" s="334"/>
    </row>
    <row r="14" spans="1:6" x14ac:dyDescent="0.25">
      <c r="A14" s="13" t="s">
        <v>2</v>
      </c>
      <c r="B14" s="12" t="str">
        <f>'4.3.4.'!B14</f>
        <v>2023.gadā un turpmāk</v>
      </c>
      <c r="C14" s="48"/>
    </row>
    <row r="15" spans="1:6" ht="46.5" x14ac:dyDescent="0.25">
      <c r="A15" s="52" t="s">
        <v>3</v>
      </c>
      <c r="B15" s="52" t="s">
        <v>4</v>
      </c>
      <c r="C15" s="52" t="s">
        <v>63</v>
      </c>
    </row>
    <row r="16" spans="1:6" ht="15" x14ac:dyDescent="0.25">
      <c r="A16" s="42">
        <v>1</v>
      </c>
      <c r="B16" s="49">
        <v>2</v>
      </c>
      <c r="C16" s="49">
        <v>3</v>
      </c>
    </row>
    <row r="17" spans="1:3" x14ac:dyDescent="0.25">
      <c r="A17" s="42"/>
      <c r="B17" s="40" t="s">
        <v>5</v>
      </c>
      <c r="C17" s="32"/>
    </row>
    <row r="18" spans="1:3" x14ac:dyDescent="0.25">
      <c r="A18" s="32">
        <v>1100</v>
      </c>
      <c r="B18" s="32" t="s">
        <v>68</v>
      </c>
      <c r="C18" s="34">
        <v>63.2</v>
      </c>
    </row>
    <row r="19" spans="1:3" x14ac:dyDescent="0.25">
      <c r="A19" s="32">
        <v>1200</v>
      </c>
      <c r="B19" s="33" t="s">
        <v>69</v>
      </c>
      <c r="C19" s="34">
        <v>15.22</v>
      </c>
    </row>
    <row r="20" spans="1:3" x14ac:dyDescent="0.25">
      <c r="A20" s="32">
        <v>2219</v>
      </c>
      <c r="B20" s="32" t="s">
        <v>77</v>
      </c>
      <c r="C20" s="34">
        <v>0.97</v>
      </c>
    </row>
    <row r="21" spans="1:3" x14ac:dyDescent="0.25">
      <c r="A21" s="32">
        <v>2222</v>
      </c>
      <c r="B21" s="33" t="s">
        <v>26</v>
      </c>
      <c r="C21" s="34">
        <v>38.020000000000003</v>
      </c>
    </row>
    <row r="22" spans="1:3" x14ac:dyDescent="0.25">
      <c r="A22" s="32">
        <v>2223</v>
      </c>
      <c r="B22" s="33" t="s">
        <v>27</v>
      </c>
      <c r="C22" s="34">
        <v>43.62</v>
      </c>
    </row>
    <row r="23" spans="1:3" x14ac:dyDescent="0.25">
      <c r="A23" s="32">
        <v>2243</v>
      </c>
      <c r="B23" s="33" t="s">
        <v>78</v>
      </c>
      <c r="C23" s="34">
        <v>0.52</v>
      </c>
    </row>
    <row r="24" spans="1:3" x14ac:dyDescent="0.25">
      <c r="A24" s="32">
        <v>2244</v>
      </c>
      <c r="B24" s="33" t="s">
        <v>14</v>
      </c>
      <c r="C24" s="34">
        <v>51.36</v>
      </c>
    </row>
    <row r="25" spans="1:3" hidden="1" x14ac:dyDescent="0.25">
      <c r="A25" s="32">
        <v>2249</v>
      </c>
      <c r="B25" s="33" t="s">
        <v>79</v>
      </c>
      <c r="C25" s="34">
        <v>0</v>
      </c>
    </row>
    <row r="26" spans="1:3" x14ac:dyDescent="0.25">
      <c r="A26" s="32">
        <v>2263</v>
      </c>
      <c r="B26" s="33" t="s">
        <v>80</v>
      </c>
      <c r="C26" s="34">
        <v>10.14</v>
      </c>
    </row>
    <row r="27" spans="1:3" x14ac:dyDescent="0.25">
      <c r="A27" s="32">
        <v>2264</v>
      </c>
      <c r="B27" s="33" t="s">
        <v>81</v>
      </c>
      <c r="C27" s="34">
        <v>0.06</v>
      </c>
    </row>
    <row r="28" spans="1:3" x14ac:dyDescent="0.25">
      <c r="A28" s="32">
        <v>2279</v>
      </c>
      <c r="B28" s="33" t="s">
        <v>16</v>
      </c>
      <c r="C28" s="34">
        <v>5.0599999999999996</v>
      </c>
    </row>
    <row r="29" spans="1:3" x14ac:dyDescent="0.25">
      <c r="A29" s="32">
        <v>2321</v>
      </c>
      <c r="B29" s="33" t="s">
        <v>19</v>
      </c>
      <c r="C29" s="34">
        <v>54.19</v>
      </c>
    </row>
    <row r="30" spans="1:3" x14ac:dyDescent="0.25">
      <c r="A30" s="32">
        <v>2363</v>
      </c>
      <c r="B30" s="33" t="s">
        <v>82</v>
      </c>
      <c r="C30" s="34">
        <v>107.4</v>
      </c>
    </row>
    <row r="31" spans="1:3" x14ac:dyDescent="0.25">
      <c r="A31" s="32">
        <v>2513</v>
      </c>
      <c r="B31" s="33" t="s">
        <v>23</v>
      </c>
      <c r="C31" s="34">
        <v>1.17</v>
      </c>
    </row>
    <row r="32" spans="1:3" x14ac:dyDescent="0.25">
      <c r="A32" s="32">
        <v>2519</v>
      </c>
      <c r="B32" s="33" t="s">
        <v>25</v>
      </c>
      <c r="C32" s="34">
        <v>0.65</v>
      </c>
    </row>
    <row r="33" spans="1:3" x14ac:dyDescent="0.25">
      <c r="A33" s="32"/>
      <c r="B33" s="37" t="s">
        <v>6</v>
      </c>
      <c r="C33" s="38">
        <f>SUM(C18:C32)</f>
        <v>391.58</v>
      </c>
    </row>
    <row r="34" spans="1:3" x14ac:dyDescent="0.25">
      <c r="A34" s="39"/>
      <c r="B34" s="32" t="s">
        <v>7</v>
      </c>
      <c r="C34" s="34"/>
    </row>
    <row r="35" spans="1:3" x14ac:dyDescent="0.25">
      <c r="A35" s="32">
        <v>1100</v>
      </c>
      <c r="B35" s="32" t="s">
        <v>68</v>
      </c>
      <c r="C35" s="34">
        <v>63.57</v>
      </c>
    </row>
    <row r="36" spans="1:3" x14ac:dyDescent="0.25">
      <c r="A36" s="32">
        <v>1200</v>
      </c>
      <c r="B36" s="33" t="s">
        <v>69</v>
      </c>
      <c r="C36" s="34">
        <v>15.31</v>
      </c>
    </row>
    <row r="37" spans="1:3" x14ac:dyDescent="0.25">
      <c r="A37" s="32">
        <v>2219</v>
      </c>
      <c r="B37" s="32" t="s">
        <v>77</v>
      </c>
      <c r="C37" s="34">
        <v>1.56</v>
      </c>
    </row>
    <row r="38" spans="1:3" x14ac:dyDescent="0.25">
      <c r="A38" s="32">
        <v>2234</v>
      </c>
      <c r="B38" s="33" t="s">
        <v>74</v>
      </c>
      <c r="C38" s="34">
        <v>0.13</v>
      </c>
    </row>
    <row r="39" spans="1:3" x14ac:dyDescent="0.25">
      <c r="A39" s="32">
        <v>2239</v>
      </c>
      <c r="B39" s="33" t="s">
        <v>75</v>
      </c>
      <c r="C39" s="34">
        <v>0.65</v>
      </c>
    </row>
    <row r="40" spans="1:3" x14ac:dyDescent="0.25">
      <c r="A40" s="32">
        <v>2241</v>
      </c>
      <c r="B40" s="33" t="s">
        <v>83</v>
      </c>
      <c r="C40" s="34">
        <v>0.14000000000000001</v>
      </c>
    </row>
    <row r="41" spans="1:3" hidden="1" x14ac:dyDescent="0.25">
      <c r="A41" s="32">
        <v>2242</v>
      </c>
      <c r="B41" s="33" t="s">
        <v>12</v>
      </c>
      <c r="C41" s="34">
        <v>0</v>
      </c>
    </row>
    <row r="42" spans="1:3" x14ac:dyDescent="0.25">
      <c r="A42" s="32">
        <v>2243</v>
      </c>
      <c r="B42" s="33" t="s">
        <v>13</v>
      </c>
      <c r="C42" s="34">
        <v>0.63</v>
      </c>
    </row>
    <row r="43" spans="1:3" x14ac:dyDescent="0.25">
      <c r="A43" s="32">
        <v>2244</v>
      </c>
      <c r="B43" s="33" t="s">
        <v>14</v>
      </c>
      <c r="C43" s="34">
        <v>25.39</v>
      </c>
    </row>
    <row r="44" spans="1:3" x14ac:dyDescent="0.25">
      <c r="A44" s="32">
        <v>2247</v>
      </c>
      <c r="B44" s="40" t="s">
        <v>71</v>
      </c>
      <c r="C44" s="34">
        <v>0.2</v>
      </c>
    </row>
    <row r="45" spans="1:3" x14ac:dyDescent="0.25">
      <c r="A45" s="32">
        <v>2251</v>
      </c>
      <c r="B45" s="33" t="s">
        <v>70</v>
      </c>
      <c r="C45" s="34">
        <v>7.81</v>
      </c>
    </row>
    <row r="46" spans="1:3" x14ac:dyDescent="0.25">
      <c r="A46" s="32">
        <v>2259</v>
      </c>
      <c r="B46" s="33" t="s">
        <v>72</v>
      </c>
      <c r="C46" s="34">
        <v>0.06</v>
      </c>
    </row>
    <row r="47" spans="1:3" x14ac:dyDescent="0.25">
      <c r="A47" s="32">
        <v>2262</v>
      </c>
      <c r="B47" s="33" t="s">
        <v>15</v>
      </c>
      <c r="C47" s="34">
        <v>1.23</v>
      </c>
    </row>
    <row r="48" spans="1:3" x14ac:dyDescent="0.25">
      <c r="A48" s="32">
        <v>2264</v>
      </c>
      <c r="B48" s="33" t="s">
        <v>81</v>
      </c>
      <c r="C48" s="34">
        <v>0.06</v>
      </c>
    </row>
    <row r="49" spans="1:3" x14ac:dyDescent="0.25">
      <c r="A49" s="32">
        <v>2279</v>
      </c>
      <c r="B49" s="33" t="s">
        <v>16</v>
      </c>
      <c r="C49" s="34">
        <v>0.13</v>
      </c>
    </row>
    <row r="50" spans="1:3" x14ac:dyDescent="0.25">
      <c r="A50" s="32">
        <v>2311</v>
      </c>
      <c r="B50" s="33" t="s">
        <v>17</v>
      </c>
      <c r="C50" s="34">
        <v>0.65</v>
      </c>
    </row>
    <row r="51" spans="1:3" x14ac:dyDescent="0.25">
      <c r="A51" s="32">
        <v>2312</v>
      </c>
      <c r="B51" s="33" t="s">
        <v>18</v>
      </c>
      <c r="C51" s="34">
        <v>0.3</v>
      </c>
    </row>
    <row r="52" spans="1:3" x14ac:dyDescent="0.25">
      <c r="A52" s="32">
        <v>2322</v>
      </c>
      <c r="B52" s="33" t="s">
        <v>20</v>
      </c>
      <c r="C52" s="34">
        <v>2.59</v>
      </c>
    </row>
    <row r="53" spans="1:3" x14ac:dyDescent="0.25">
      <c r="A53" s="32">
        <v>2350</v>
      </c>
      <c r="B53" s="33" t="s">
        <v>21</v>
      </c>
      <c r="C53" s="34">
        <v>9.48</v>
      </c>
    </row>
    <row r="54" spans="1:3" x14ac:dyDescent="0.25">
      <c r="A54" s="32">
        <v>2361</v>
      </c>
      <c r="B54" s="33" t="s">
        <v>22</v>
      </c>
      <c r="C54" s="34">
        <v>1.5</v>
      </c>
    </row>
    <row r="55" spans="1:3" x14ac:dyDescent="0.25">
      <c r="A55" s="32">
        <v>2362</v>
      </c>
      <c r="B55" s="33" t="s">
        <v>43</v>
      </c>
      <c r="C55" s="34">
        <v>1.6</v>
      </c>
    </row>
    <row r="56" spans="1:3" x14ac:dyDescent="0.25">
      <c r="A56" s="32">
        <v>2400</v>
      </c>
      <c r="B56" s="33" t="s">
        <v>28</v>
      </c>
      <c r="C56" s="34">
        <v>0.2</v>
      </c>
    </row>
    <row r="57" spans="1:3" x14ac:dyDescent="0.25">
      <c r="A57" s="32">
        <v>2512</v>
      </c>
      <c r="B57" s="33" t="s">
        <v>30</v>
      </c>
      <c r="C57" s="34">
        <v>65.400000000000006</v>
      </c>
    </row>
    <row r="58" spans="1:3" x14ac:dyDescent="0.25">
      <c r="A58" s="32">
        <v>2515</v>
      </c>
      <c r="B58" s="33" t="s">
        <v>73</v>
      </c>
      <c r="C58" s="34">
        <v>0.26</v>
      </c>
    </row>
    <row r="59" spans="1:3" x14ac:dyDescent="0.25">
      <c r="A59" s="32">
        <v>2519</v>
      </c>
      <c r="B59" s="33" t="s">
        <v>25</v>
      </c>
      <c r="C59" s="34">
        <v>0.06</v>
      </c>
    </row>
    <row r="60" spans="1:3" x14ac:dyDescent="0.25">
      <c r="A60" s="32">
        <v>5232</v>
      </c>
      <c r="B60" s="33" t="s">
        <v>24</v>
      </c>
      <c r="C60" s="34">
        <v>15.19</v>
      </c>
    </row>
    <row r="61" spans="1:3" x14ac:dyDescent="0.25">
      <c r="A61" s="32">
        <v>5240</v>
      </c>
      <c r="B61" s="33" t="s">
        <v>84</v>
      </c>
      <c r="C61" s="34">
        <v>1.64</v>
      </c>
    </row>
    <row r="62" spans="1:3" x14ac:dyDescent="0.25">
      <c r="A62" s="32">
        <v>5250</v>
      </c>
      <c r="B62" s="33" t="s">
        <v>85</v>
      </c>
      <c r="C62" s="34">
        <v>2.88</v>
      </c>
    </row>
    <row r="63" spans="1:3" x14ac:dyDescent="0.25">
      <c r="A63" s="39"/>
      <c r="B63" s="41" t="s">
        <v>8</v>
      </c>
      <c r="C63" s="38">
        <f>SUM(C35:C62)</f>
        <v>218.61999999999998</v>
      </c>
    </row>
    <row r="64" spans="1:3" x14ac:dyDescent="0.25">
      <c r="A64" s="39"/>
      <c r="B64" s="41" t="s">
        <v>29</v>
      </c>
      <c r="C64" s="38">
        <f>C63+C33</f>
        <v>610.19999999999993</v>
      </c>
    </row>
    <row r="65" spans="1:3" x14ac:dyDescent="0.35">
      <c r="A65" s="16"/>
      <c r="B65" s="26"/>
      <c r="C65" s="60"/>
    </row>
    <row r="66" spans="1:3" x14ac:dyDescent="0.25">
      <c r="A66" s="321" t="s">
        <v>57</v>
      </c>
      <c r="B66" s="321"/>
      <c r="C66" s="68">
        <v>30</v>
      </c>
    </row>
    <row r="67" spans="1:3" x14ac:dyDescent="0.3">
      <c r="A67" s="321" t="s">
        <v>58</v>
      </c>
      <c r="B67" s="321"/>
      <c r="C67" s="69">
        <f>C64/C66</f>
        <v>20.339999999999996</v>
      </c>
    </row>
    <row r="68" spans="1:3" x14ac:dyDescent="0.35">
      <c r="A68" s="26"/>
      <c r="B68" s="27"/>
      <c r="C68" s="59"/>
    </row>
    <row r="69" spans="1:3" x14ac:dyDescent="0.35">
      <c r="A69" s="332" t="s">
        <v>33</v>
      </c>
      <c r="B69" s="333"/>
      <c r="C69" s="28"/>
    </row>
    <row r="70" spans="1:3" x14ac:dyDescent="0.35">
      <c r="A70" s="332" t="s">
        <v>64</v>
      </c>
      <c r="B70" s="333"/>
      <c r="C70" s="28"/>
    </row>
    <row r="71" spans="1:3" x14ac:dyDescent="0.35">
      <c r="A71" s="29"/>
      <c r="B71" s="29"/>
      <c r="C71" s="29"/>
    </row>
    <row r="72" spans="1:3" x14ac:dyDescent="0.35">
      <c r="A72" s="29" t="s">
        <v>34</v>
      </c>
      <c r="B72" s="29"/>
      <c r="C72" s="29"/>
    </row>
    <row r="73" spans="1:3" x14ac:dyDescent="0.35">
      <c r="A73" s="29"/>
      <c r="B73" s="29"/>
      <c r="C73" s="29"/>
    </row>
    <row r="74" spans="1:3" x14ac:dyDescent="0.35">
      <c r="A74" s="29" t="s">
        <v>59</v>
      </c>
      <c r="B74" s="30"/>
      <c r="C74" s="29"/>
    </row>
    <row r="75" spans="1:3" x14ac:dyDescent="0.35">
      <c r="A75" s="29"/>
      <c r="B75" s="31"/>
      <c r="C75" s="29"/>
    </row>
    <row r="93" spans="5:6" x14ac:dyDescent="0.35">
      <c r="E93" s="2"/>
      <c r="F93" s="2"/>
    </row>
    <row r="94" spans="5:6" x14ac:dyDescent="0.35">
      <c r="E94" s="2"/>
      <c r="F94" s="2"/>
    </row>
    <row r="95" spans="5:6" x14ac:dyDescent="0.35">
      <c r="E95" s="2"/>
      <c r="F95" s="2"/>
    </row>
    <row r="96" spans="5:6" x14ac:dyDescent="0.35">
      <c r="E96" s="2"/>
      <c r="F96" s="2"/>
    </row>
    <row r="97" spans="5:6" x14ac:dyDescent="0.35">
      <c r="E97" s="2"/>
      <c r="F97" s="2"/>
    </row>
    <row r="98" spans="5:6" x14ac:dyDescent="0.35">
      <c r="E98" s="2"/>
      <c r="F98" s="2"/>
    </row>
    <row r="99" spans="5:6" x14ac:dyDescent="0.35">
      <c r="E99" s="2"/>
      <c r="F99" s="2"/>
    </row>
  </sheetData>
  <mergeCells count="9">
    <mergeCell ref="A67:B67"/>
    <mergeCell ref="A69:B69"/>
    <mergeCell ref="A70:B70"/>
    <mergeCell ref="A7:C7"/>
    <mergeCell ref="A9:B9"/>
    <mergeCell ref="A10:B10"/>
    <mergeCell ref="B12:C12"/>
    <mergeCell ref="B13:C13"/>
    <mergeCell ref="A66:B66"/>
  </mergeCells>
  <hyperlinks>
    <hyperlink ref="A107" r:id="rId1" display="Inese.Kise@lm.gov.lv,"/>
  </hyperlinks>
  <pageMargins left="0.70866141732283472" right="0.70866141732283472" top="0.74803149606299213" bottom="0.74803149606299213" header="0.31496062992125984" footer="0.31496062992125984"/>
  <pageSetup paperSize="9" scale="61" fitToHeight="0" orientation="portrait" r:id="rId2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"/>
  <sheetViews>
    <sheetView view="pageLayout" zoomScaleNormal="100" workbookViewId="0">
      <selection activeCell="B73" sqref="B73:B78"/>
    </sheetView>
  </sheetViews>
  <sheetFormatPr defaultRowHeight="15.5" x14ac:dyDescent="0.35"/>
  <cols>
    <col min="1" max="1" width="12" style="14" customWidth="1"/>
    <col min="2" max="2" width="95" style="14" customWidth="1"/>
    <col min="3" max="3" width="32.26953125" style="14" hidden="1" customWidth="1"/>
    <col min="4" max="4" width="32.26953125" style="14" customWidth="1"/>
  </cols>
  <sheetData>
    <row r="1" spans="1:7" x14ac:dyDescent="0.35">
      <c r="B1" s="15"/>
      <c r="C1" s="54" t="s">
        <v>10</v>
      </c>
      <c r="D1" s="54" t="s">
        <v>10</v>
      </c>
    </row>
    <row r="2" spans="1:7" x14ac:dyDescent="0.35">
      <c r="B2" s="15"/>
      <c r="C2" s="55" t="s">
        <v>32</v>
      </c>
      <c r="D2" s="55" t="s">
        <v>32</v>
      </c>
    </row>
    <row r="3" spans="1:7" x14ac:dyDescent="0.35">
      <c r="B3" s="15"/>
      <c r="C3" s="56" t="s">
        <v>66</v>
      </c>
      <c r="D3" s="65" t="s">
        <v>118</v>
      </c>
    </row>
    <row r="4" spans="1:7" x14ac:dyDescent="0.35">
      <c r="B4" s="15"/>
      <c r="C4" s="55"/>
      <c r="D4" s="64"/>
    </row>
    <row r="5" spans="1:7" x14ac:dyDescent="0.35">
      <c r="B5" s="18"/>
      <c r="C5" s="55" t="s">
        <v>67</v>
      </c>
      <c r="D5" s="64" t="s">
        <v>119</v>
      </c>
    </row>
    <row r="6" spans="1:7" x14ac:dyDescent="0.35">
      <c r="C6" s="26"/>
      <c r="D6" s="26"/>
    </row>
    <row r="7" spans="1:7" ht="15" x14ac:dyDescent="0.3">
      <c r="A7" s="318" t="s">
        <v>9</v>
      </c>
      <c r="B7" s="318"/>
      <c r="C7" s="318"/>
      <c r="D7"/>
    </row>
    <row r="8" spans="1:7" x14ac:dyDescent="0.35">
      <c r="B8" s="19"/>
      <c r="C8" s="26"/>
      <c r="D8" s="26"/>
    </row>
    <row r="9" spans="1:7" x14ac:dyDescent="0.35">
      <c r="A9" s="321" t="s">
        <v>1</v>
      </c>
      <c r="B9" s="321"/>
      <c r="C9" s="26"/>
      <c r="D9" s="26"/>
    </row>
    <row r="10" spans="1:7" x14ac:dyDescent="0.35">
      <c r="A10" s="321" t="s">
        <v>0</v>
      </c>
      <c r="B10" s="321"/>
      <c r="C10" s="26"/>
      <c r="D10" s="26"/>
    </row>
    <row r="11" spans="1:7" x14ac:dyDescent="0.35">
      <c r="A11" s="12"/>
      <c r="B11" s="12" t="s">
        <v>31</v>
      </c>
      <c r="C11" s="26"/>
      <c r="D11" s="26"/>
    </row>
    <row r="12" spans="1:7" x14ac:dyDescent="0.35">
      <c r="A12" s="12"/>
      <c r="B12" s="321" t="s">
        <v>116</v>
      </c>
      <c r="C12" s="334"/>
      <c r="D12"/>
      <c r="F12" s="53"/>
      <c r="G12" s="53"/>
    </row>
    <row r="13" spans="1:7" x14ac:dyDescent="0.35">
      <c r="A13" s="12"/>
      <c r="B13" s="321" t="s">
        <v>104</v>
      </c>
      <c r="C13" s="334"/>
      <c r="D13"/>
    </row>
    <row r="14" spans="1:7" x14ac:dyDescent="0.25">
      <c r="A14" s="13" t="s">
        <v>2</v>
      </c>
      <c r="B14" s="12" t="str">
        <f>'7.5.7.'!B14</f>
        <v>2023.gadā un turpmāk</v>
      </c>
      <c r="C14" s="48"/>
      <c r="D14" s="48"/>
    </row>
    <row r="15" spans="1:7" ht="46.5" x14ac:dyDescent="0.25">
      <c r="A15" s="52" t="s">
        <v>3</v>
      </c>
      <c r="B15" s="52" t="s">
        <v>4</v>
      </c>
      <c r="C15" s="52" t="s">
        <v>63</v>
      </c>
      <c r="D15" s="52" t="s">
        <v>63</v>
      </c>
    </row>
    <row r="16" spans="1:7" ht="15" x14ac:dyDescent="0.25">
      <c r="A16" s="42">
        <v>1</v>
      </c>
      <c r="B16" s="49">
        <v>2</v>
      </c>
      <c r="C16" s="49">
        <v>3</v>
      </c>
      <c r="D16" s="49">
        <v>3</v>
      </c>
    </row>
    <row r="17" spans="1:4" x14ac:dyDescent="0.25">
      <c r="A17" s="42"/>
      <c r="B17" s="40" t="s">
        <v>5</v>
      </c>
      <c r="C17" s="32"/>
      <c r="D17" s="32"/>
    </row>
    <row r="18" spans="1:4" x14ac:dyDescent="0.25">
      <c r="A18" s="32">
        <v>1100</v>
      </c>
      <c r="B18" s="32" t="s">
        <v>68</v>
      </c>
      <c r="C18" s="34">
        <v>76.150000000000006</v>
      </c>
      <c r="D18" s="34">
        <v>126.39</v>
      </c>
    </row>
    <row r="19" spans="1:4" ht="31" x14ac:dyDescent="0.25">
      <c r="A19" s="32">
        <v>1200</v>
      </c>
      <c r="B19" s="33" t="s">
        <v>69</v>
      </c>
      <c r="C19" s="34">
        <v>17.95</v>
      </c>
      <c r="D19" s="34">
        <v>30.45</v>
      </c>
    </row>
    <row r="20" spans="1:4" x14ac:dyDescent="0.25">
      <c r="A20" s="32">
        <v>2219</v>
      </c>
      <c r="B20" s="32" t="s">
        <v>77</v>
      </c>
      <c r="C20" s="34">
        <v>1.1599999999999999</v>
      </c>
      <c r="D20" s="34">
        <f t="shared" ref="D20:D32" si="0">C20/30*50</f>
        <v>1.9333333333333331</v>
      </c>
    </row>
    <row r="21" spans="1:4" x14ac:dyDescent="0.25">
      <c r="A21" s="32">
        <v>2222</v>
      </c>
      <c r="B21" s="33" t="s">
        <v>26</v>
      </c>
      <c r="C21" s="34">
        <v>48.62</v>
      </c>
      <c r="D21" s="34">
        <f t="shared" si="0"/>
        <v>81.033333333333317</v>
      </c>
    </row>
    <row r="22" spans="1:4" x14ac:dyDescent="0.25">
      <c r="A22" s="32">
        <v>2223</v>
      </c>
      <c r="B22" s="33" t="s">
        <v>27</v>
      </c>
      <c r="C22" s="34">
        <v>52.87</v>
      </c>
      <c r="D22" s="34">
        <f t="shared" si="0"/>
        <v>88.11666666666666</v>
      </c>
    </row>
    <row r="23" spans="1:4" x14ac:dyDescent="0.25">
      <c r="A23" s="32">
        <v>2243</v>
      </c>
      <c r="B23" s="33" t="s">
        <v>78</v>
      </c>
      <c r="C23" s="34">
        <v>0.62</v>
      </c>
      <c r="D23" s="34">
        <f t="shared" si="0"/>
        <v>1.0333333333333332</v>
      </c>
    </row>
    <row r="24" spans="1:4" x14ac:dyDescent="0.25">
      <c r="A24" s="32">
        <v>2244</v>
      </c>
      <c r="B24" s="33" t="s">
        <v>14</v>
      </c>
      <c r="C24" s="34">
        <v>69.25</v>
      </c>
      <c r="D24" s="34">
        <f t="shared" si="0"/>
        <v>115.41666666666666</v>
      </c>
    </row>
    <row r="25" spans="1:4" hidden="1" x14ac:dyDescent="0.25">
      <c r="A25" s="32">
        <v>2249</v>
      </c>
      <c r="B25" s="33" t="s">
        <v>79</v>
      </c>
      <c r="C25" s="34">
        <v>0</v>
      </c>
      <c r="D25" s="34">
        <f t="shared" si="0"/>
        <v>0</v>
      </c>
    </row>
    <row r="26" spans="1:4" x14ac:dyDescent="0.25">
      <c r="A26" s="32">
        <v>2263</v>
      </c>
      <c r="B26" s="33" t="s">
        <v>80</v>
      </c>
      <c r="C26" s="34">
        <v>12.17</v>
      </c>
      <c r="D26" s="34">
        <f t="shared" si="0"/>
        <v>20.283333333333335</v>
      </c>
    </row>
    <row r="27" spans="1:4" x14ac:dyDescent="0.25">
      <c r="A27" s="32">
        <v>2264</v>
      </c>
      <c r="B27" s="33" t="s">
        <v>81</v>
      </c>
      <c r="C27" s="34">
        <v>7.0000000000000007E-2</v>
      </c>
      <c r="D27" s="34">
        <f t="shared" si="0"/>
        <v>0.11666666666666668</v>
      </c>
    </row>
    <row r="28" spans="1:4" x14ac:dyDescent="0.25">
      <c r="A28" s="32">
        <v>2279</v>
      </c>
      <c r="B28" s="33" t="s">
        <v>16</v>
      </c>
      <c r="C28" s="34">
        <v>6.07</v>
      </c>
      <c r="D28" s="34">
        <f t="shared" si="0"/>
        <v>10.116666666666667</v>
      </c>
    </row>
    <row r="29" spans="1:4" x14ac:dyDescent="0.25">
      <c r="A29" s="32">
        <v>2321</v>
      </c>
      <c r="B29" s="33" t="s">
        <v>19</v>
      </c>
      <c r="C29" s="34">
        <v>73.25</v>
      </c>
      <c r="D29" s="34">
        <f t="shared" si="0"/>
        <v>122.08333333333334</v>
      </c>
    </row>
    <row r="30" spans="1:4" x14ac:dyDescent="0.25">
      <c r="A30" s="32">
        <v>2363</v>
      </c>
      <c r="B30" s="33" t="s">
        <v>82</v>
      </c>
      <c r="C30" s="34">
        <v>221.4</v>
      </c>
      <c r="D30" s="34">
        <v>406</v>
      </c>
    </row>
    <row r="31" spans="1:4" x14ac:dyDescent="0.25">
      <c r="A31" s="32">
        <v>2513</v>
      </c>
      <c r="B31" s="33" t="s">
        <v>23</v>
      </c>
      <c r="C31" s="34">
        <v>1.4</v>
      </c>
      <c r="D31" s="34">
        <f t="shared" si="0"/>
        <v>2.333333333333333</v>
      </c>
    </row>
    <row r="32" spans="1:4" x14ac:dyDescent="0.25">
      <c r="A32" s="32">
        <v>2519</v>
      </c>
      <c r="B32" s="33" t="s">
        <v>25</v>
      </c>
      <c r="C32" s="34">
        <v>0.78</v>
      </c>
      <c r="D32" s="34">
        <f t="shared" si="0"/>
        <v>1.3</v>
      </c>
    </row>
    <row r="33" spans="1:4" x14ac:dyDescent="0.25">
      <c r="A33" s="32"/>
      <c r="B33" s="37" t="s">
        <v>6</v>
      </c>
      <c r="C33" s="38">
        <f>SUM(C18:C32)</f>
        <v>581.76</v>
      </c>
      <c r="D33" s="38">
        <f>SUM(D18:D32)</f>
        <v>1006.6066666666667</v>
      </c>
    </row>
    <row r="34" spans="1:4" x14ac:dyDescent="0.25">
      <c r="A34" s="39"/>
      <c r="B34" s="32" t="s">
        <v>7</v>
      </c>
      <c r="C34" s="34"/>
      <c r="D34" s="34"/>
    </row>
    <row r="35" spans="1:4" x14ac:dyDescent="0.25">
      <c r="A35" s="32">
        <v>1100</v>
      </c>
      <c r="B35" s="32" t="s">
        <v>68</v>
      </c>
      <c r="C35" s="34">
        <v>76.58</v>
      </c>
      <c r="D35" s="34">
        <v>127.13</v>
      </c>
    </row>
    <row r="36" spans="1:4" ht="31" x14ac:dyDescent="0.25">
      <c r="A36" s="32">
        <v>1200</v>
      </c>
      <c r="B36" s="33" t="s">
        <v>69</v>
      </c>
      <c r="C36" s="34">
        <v>18.07</v>
      </c>
      <c r="D36" s="34">
        <v>30.62</v>
      </c>
    </row>
    <row r="37" spans="1:4" x14ac:dyDescent="0.25">
      <c r="A37" s="32">
        <v>2219</v>
      </c>
      <c r="B37" s="32" t="s">
        <v>77</v>
      </c>
      <c r="C37" s="34">
        <v>1.87</v>
      </c>
      <c r="D37" s="34">
        <f t="shared" ref="D37:D61" si="1">C37/30*50</f>
        <v>3.1166666666666667</v>
      </c>
    </row>
    <row r="38" spans="1:4" x14ac:dyDescent="0.25">
      <c r="A38" s="32">
        <v>2234</v>
      </c>
      <c r="B38" s="33" t="s">
        <v>74</v>
      </c>
      <c r="C38" s="34">
        <v>0.16</v>
      </c>
      <c r="D38" s="34">
        <f t="shared" si="1"/>
        <v>0.26666666666666666</v>
      </c>
    </row>
    <row r="39" spans="1:4" x14ac:dyDescent="0.25">
      <c r="A39" s="32">
        <v>2239</v>
      </c>
      <c r="B39" s="33" t="s">
        <v>75</v>
      </c>
      <c r="C39" s="34">
        <v>0.78</v>
      </c>
      <c r="D39" s="34">
        <f t="shared" si="1"/>
        <v>1.3</v>
      </c>
    </row>
    <row r="40" spans="1:4" x14ac:dyDescent="0.25">
      <c r="A40" s="32">
        <v>2241</v>
      </c>
      <c r="B40" s="33" t="s">
        <v>83</v>
      </c>
      <c r="C40" s="34">
        <v>0.17</v>
      </c>
      <c r="D40" s="34">
        <v>0.32</v>
      </c>
    </row>
    <row r="41" spans="1:4" hidden="1" x14ac:dyDescent="0.25">
      <c r="A41" s="32">
        <v>2242</v>
      </c>
      <c r="B41" s="33" t="s">
        <v>12</v>
      </c>
      <c r="C41" s="34">
        <v>0</v>
      </c>
      <c r="D41" s="34">
        <f t="shared" si="1"/>
        <v>0</v>
      </c>
    </row>
    <row r="42" spans="1:4" x14ac:dyDescent="0.25">
      <c r="A42" s="32">
        <v>2243</v>
      </c>
      <c r="B42" s="33" t="s">
        <v>13</v>
      </c>
      <c r="C42" s="34">
        <v>0.76</v>
      </c>
      <c r="D42" s="34">
        <v>1.33</v>
      </c>
    </row>
    <row r="43" spans="1:4" x14ac:dyDescent="0.25">
      <c r="A43" s="32">
        <v>2244</v>
      </c>
      <c r="B43" s="33" t="s">
        <v>14</v>
      </c>
      <c r="C43" s="34">
        <v>0.18</v>
      </c>
      <c r="D43" s="34">
        <v>74.3</v>
      </c>
    </row>
    <row r="44" spans="1:4" x14ac:dyDescent="0.25">
      <c r="A44" s="32">
        <v>2247</v>
      </c>
      <c r="B44" s="40" t="s">
        <v>71</v>
      </c>
      <c r="C44" s="34">
        <v>0.24</v>
      </c>
      <c r="D44" s="34">
        <f t="shared" si="1"/>
        <v>0.4</v>
      </c>
    </row>
    <row r="45" spans="1:4" x14ac:dyDescent="0.25">
      <c r="A45" s="32">
        <v>2251</v>
      </c>
      <c r="B45" s="33" t="s">
        <v>70</v>
      </c>
      <c r="C45" s="34">
        <v>12.39</v>
      </c>
      <c r="D45" s="34">
        <f t="shared" si="1"/>
        <v>20.650000000000002</v>
      </c>
    </row>
    <row r="46" spans="1:4" x14ac:dyDescent="0.25">
      <c r="A46" s="32">
        <v>2259</v>
      </c>
      <c r="B46" s="33" t="s">
        <v>72</v>
      </c>
      <c r="C46" s="34">
        <v>7.0000000000000007E-2</v>
      </c>
      <c r="D46" s="34">
        <v>0.15</v>
      </c>
    </row>
    <row r="47" spans="1:4" x14ac:dyDescent="0.25">
      <c r="A47" s="32">
        <v>2262</v>
      </c>
      <c r="B47" s="33" t="s">
        <v>15</v>
      </c>
      <c r="C47" s="34">
        <v>1.48</v>
      </c>
      <c r="D47" s="34">
        <f t="shared" si="1"/>
        <v>2.4666666666666668</v>
      </c>
    </row>
    <row r="48" spans="1:4" x14ac:dyDescent="0.25">
      <c r="A48" s="32">
        <v>2264</v>
      </c>
      <c r="B48" s="33" t="s">
        <v>81</v>
      </c>
      <c r="C48" s="34">
        <v>7.0000000000000007E-2</v>
      </c>
      <c r="D48" s="34">
        <f t="shared" si="1"/>
        <v>0.11666666666666668</v>
      </c>
    </row>
    <row r="49" spans="1:4" x14ac:dyDescent="0.25">
      <c r="A49" s="32">
        <v>2279</v>
      </c>
      <c r="B49" s="33" t="s">
        <v>16</v>
      </c>
      <c r="C49" s="34">
        <v>0.16</v>
      </c>
      <c r="D49" s="34">
        <f t="shared" si="1"/>
        <v>0.26666666666666666</v>
      </c>
    </row>
    <row r="50" spans="1:4" x14ac:dyDescent="0.25">
      <c r="A50" s="32">
        <v>2311</v>
      </c>
      <c r="B50" s="33" t="s">
        <v>17</v>
      </c>
      <c r="C50" s="34">
        <v>0.78</v>
      </c>
      <c r="D50" s="34">
        <f t="shared" si="1"/>
        <v>1.3</v>
      </c>
    </row>
    <row r="51" spans="1:4" x14ac:dyDescent="0.25">
      <c r="A51" s="32">
        <v>2312</v>
      </c>
      <c r="B51" s="33" t="s">
        <v>18</v>
      </c>
      <c r="C51" s="34">
        <v>0.36</v>
      </c>
      <c r="D51" s="34">
        <f t="shared" si="1"/>
        <v>0.6</v>
      </c>
    </row>
    <row r="52" spans="1:4" x14ac:dyDescent="0.25">
      <c r="A52" s="32">
        <v>2322</v>
      </c>
      <c r="B52" s="33" t="s">
        <v>20</v>
      </c>
      <c r="C52" s="34">
        <v>3.11</v>
      </c>
      <c r="D52" s="34">
        <f t="shared" si="1"/>
        <v>5.1833333333333327</v>
      </c>
    </row>
    <row r="53" spans="1:4" x14ac:dyDescent="0.25">
      <c r="A53" s="32">
        <v>2350</v>
      </c>
      <c r="B53" s="33" t="s">
        <v>21</v>
      </c>
      <c r="C53" s="34">
        <v>15.98</v>
      </c>
      <c r="D53" s="34">
        <f t="shared" si="1"/>
        <v>26.633333333333336</v>
      </c>
    </row>
    <row r="54" spans="1:4" x14ac:dyDescent="0.25">
      <c r="A54" s="32">
        <v>2361</v>
      </c>
      <c r="B54" s="33" t="s">
        <v>22</v>
      </c>
      <c r="C54" s="34">
        <v>3.5</v>
      </c>
      <c r="D54" s="34">
        <f t="shared" si="1"/>
        <v>5.833333333333333</v>
      </c>
    </row>
    <row r="55" spans="1:4" x14ac:dyDescent="0.25">
      <c r="A55" s="32">
        <v>2362</v>
      </c>
      <c r="B55" s="33" t="s">
        <v>43</v>
      </c>
      <c r="C55" s="34">
        <v>2.4</v>
      </c>
      <c r="D55" s="34">
        <f t="shared" si="1"/>
        <v>4</v>
      </c>
    </row>
    <row r="56" spans="1:4" x14ac:dyDescent="0.25">
      <c r="A56" s="32">
        <v>2400</v>
      </c>
      <c r="B56" s="33" t="s">
        <v>28</v>
      </c>
      <c r="C56" s="34">
        <v>0.24</v>
      </c>
      <c r="D56" s="34">
        <f t="shared" si="1"/>
        <v>0.4</v>
      </c>
    </row>
    <row r="57" spans="1:4" x14ac:dyDescent="0.25">
      <c r="A57" s="32">
        <v>2512</v>
      </c>
      <c r="B57" s="33" t="s">
        <v>30</v>
      </c>
      <c r="C57" s="34">
        <v>91.58</v>
      </c>
      <c r="D57" s="34">
        <v>166</v>
      </c>
    </row>
    <row r="58" spans="1:4" x14ac:dyDescent="0.25">
      <c r="A58" s="32">
        <v>2515</v>
      </c>
      <c r="B58" s="33" t="s">
        <v>73</v>
      </c>
      <c r="C58" s="34">
        <v>0.31</v>
      </c>
      <c r="D58" s="34">
        <f t="shared" si="1"/>
        <v>0.51666666666666661</v>
      </c>
    </row>
    <row r="59" spans="1:4" x14ac:dyDescent="0.25">
      <c r="A59" s="32">
        <v>2519</v>
      </c>
      <c r="B59" s="33" t="s">
        <v>25</v>
      </c>
      <c r="C59" s="34">
        <v>7.0000000000000007E-2</v>
      </c>
      <c r="D59" s="34">
        <f t="shared" si="1"/>
        <v>0.11666666666666668</v>
      </c>
    </row>
    <row r="60" spans="1:4" x14ac:dyDescent="0.25">
      <c r="A60" s="32">
        <v>5232</v>
      </c>
      <c r="B60" s="33" t="s">
        <v>24</v>
      </c>
      <c r="C60" s="34">
        <v>33.97</v>
      </c>
      <c r="D60" s="34">
        <f t="shared" si="1"/>
        <v>56.61666666666666</v>
      </c>
    </row>
    <row r="61" spans="1:4" x14ac:dyDescent="0.25">
      <c r="A61" s="32">
        <v>5240</v>
      </c>
      <c r="B61" s="33" t="s">
        <v>84</v>
      </c>
      <c r="C61" s="34">
        <v>1.97</v>
      </c>
      <c r="D61" s="34">
        <f t="shared" si="1"/>
        <v>3.2833333333333332</v>
      </c>
    </row>
    <row r="62" spans="1:4" x14ac:dyDescent="0.25">
      <c r="A62" s="32">
        <v>5250</v>
      </c>
      <c r="B62" s="33" t="s">
        <v>85</v>
      </c>
      <c r="C62" s="34">
        <v>5.69</v>
      </c>
      <c r="D62" s="34">
        <v>9.48</v>
      </c>
    </row>
    <row r="63" spans="1:4" x14ac:dyDescent="0.25">
      <c r="A63" s="39"/>
      <c r="B63" s="41" t="s">
        <v>8</v>
      </c>
      <c r="C63" s="38">
        <f>SUM(C35:C62)</f>
        <v>272.94</v>
      </c>
      <c r="D63" s="38">
        <f>SUM(D35:D62)</f>
        <v>542.39666666666665</v>
      </c>
    </row>
    <row r="64" spans="1:4" x14ac:dyDescent="0.25">
      <c r="A64" s="39"/>
      <c r="B64" s="41" t="s">
        <v>29</v>
      </c>
      <c r="C64" s="38">
        <f>C63+C33</f>
        <v>854.7</v>
      </c>
      <c r="D64" s="38">
        <f>D63+D33</f>
        <v>1549.0033333333333</v>
      </c>
    </row>
    <row r="65" spans="1:4" x14ac:dyDescent="0.35">
      <c r="A65" s="16"/>
      <c r="B65" s="26"/>
      <c r="C65" s="27"/>
      <c r="D65" s="60"/>
    </row>
    <row r="66" spans="1:4" x14ac:dyDescent="0.25">
      <c r="A66" s="321" t="s">
        <v>57</v>
      </c>
      <c r="B66" s="321"/>
      <c r="C66" s="20">
        <v>30</v>
      </c>
      <c r="D66" s="68">
        <v>50</v>
      </c>
    </row>
    <row r="67" spans="1:4" x14ac:dyDescent="0.3">
      <c r="A67" s="321" t="s">
        <v>58</v>
      </c>
      <c r="B67" s="321"/>
      <c r="C67" s="24">
        <f>C64/C66</f>
        <v>28.490000000000002</v>
      </c>
      <c r="D67" s="69">
        <f>D64/D66</f>
        <v>30.980066666666666</v>
      </c>
    </row>
    <row r="68" spans="1:4" x14ac:dyDescent="0.35">
      <c r="A68" s="26"/>
      <c r="B68" s="27"/>
      <c r="C68" s="59"/>
      <c r="D68" s="59"/>
    </row>
    <row r="69" spans="1:4" x14ac:dyDescent="0.35">
      <c r="A69" s="332" t="s">
        <v>33</v>
      </c>
      <c r="B69" s="333"/>
      <c r="C69" s="28"/>
      <c r="D69" s="28"/>
    </row>
    <row r="70" spans="1:4" x14ac:dyDescent="0.35">
      <c r="A70" s="332" t="s">
        <v>64</v>
      </c>
      <c r="B70" s="333"/>
      <c r="C70" s="28"/>
      <c r="D70" s="28"/>
    </row>
    <row r="71" spans="1:4" x14ac:dyDescent="0.35">
      <c r="A71" s="29"/>
      <c r="B71" s="29"/>
      <c r="C71" s="29"/>
      <c r="D71" s="29"/>
    </row>
    <row r="72" spans="1:4" x14ac:dyDescent="0.35">
      <c r="A72" s="29" t="s">
        <v>34</v>
      </c>
      <c r="B72" s="29"/>
      <c r="C72" s="29"/>
      <c r="D72" s="29"/>
    </row>
    <row r="73" spans="1:4" x14ac:dyDescent="0.35">
      <c r="A73" s="29"/>
      <c r="B73" s="29"/>
      <c r="C73" s="29"/>
      <c r="D73" s="29"/>
    </row>
    <row r="74" spans="1:4" x14ac:dyDescent="0.35">
      <c r="A74" s="29" t="s">
        <v>59</v>
      </c>
      <c r="B74" s="30"/>
      <c r="C74" s="29"/>
      <c r="D74" s="29"/>
    </row>
    <row r="75" spans="1:4" x14ac:dyDescent="0.35">
      <c r="A75" s="29"/>
      <c r="B75" s="31"/>
      <c r="C75" s="29"/>
      <c r="D75" s="29"/>
    </row>
    <row r="93" spans="6:7" x14ac:dyDescent="0.35">
      <c r="F93" s="2"/>
      <c r="G93" s="2"/>
    </row>
    <row r="94" spans="6:7" x14ac:dyDescent="0.35">
      <c r="F94" s="2"/>
      <c r="G94" s="2"/>
    </row>
    <row r="95" spans="6:7" x14ac:dyDescent="0.35">
      <c r="F95" s="2"/>
      <c r="G95" s="2"/>
    </row>
    <row r="96" spans="6:7" x14ac:dyDescent="0.35">
      <c r="F96" s="2"/>
      <c r="G96" s="2"/>
    </row>
    <row r="97" spans="6:7" x14ac:dyDescent="0.35">
      <c r="F97" s="2"/>
      <c r="G97" s="2"/>
    </row>
    <row r="98" spans="6:7" x14ac:dyDescent="0.35">
      <c r="F98" s="2"/>
      <c r="G98" s="2"/>
    </row>
    <row r="99" spans="6:7" x14ac:dyDescent="0.35">
      <c r="F99" s="2"/>
      <c r="G99" s="2"/>
    </row>
  </sheetData>
  <mergeCells count="9">
    <mergeCell ref="A67:B67"/>
    <mergeCell ref="A69:B69"/>
    <mergeCell ref="A70:B70"/>
    <mergeCell ref="A7:C7"/>
    <mergeCell ref="A9:B9"/>
    <mergeCell ref="A10:B10"/>
    <mergeCell ref="B12:C12"/>
    <mergeCell ref="B13:C13"/>
    <mergeCell ref="A66:B66"/>
  </mergeCells>
  <hyperlinks>
    <hyperlink ref="A107" r:id="rId1" display="Inese.Kise@lm.gov.lv,"/>
  </hyperlinks>
  <pageMargins left="0.70866141732283472" right="0.70866141732283472" top="0.74803149606299213" bottom="0.55118110236220474" header="0.31496062992125984" footer="0.31496062992125984"/>
  <pageSetup paperSize="9" scale="64" fitToHeight="0" orientation="portrait" r:id="rId2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view="pageLayout" zoomScale="80" zoomScaleNormal="100" zoomScalePageLayoutView="80" workbookViewId="0">
      <selection activeCell="A82" sqref="A82"/>
    </sheetView>
  </sheetViews>
  <sheetFormatPr defaultColWidth="9.1796875" defaultRowHeight="14" x14ac:dyDescent="0.3"/>
  <cols>
    <col min="1" max="1" width="13.453125" style="4" customWidth="1"/>
    <col min="2" max="2" width="94.453125" style="4" customWidth="1"/>
    <col min="3" max="4" width="8" style="240" hidden="1" customWidth="1"/>
    <col min="5" max="5" width="30" style="4" customWidth="1"/>
    <col min="6" max="16384" width="9.1796875" style="7"/>
  </cols>
  <sheetData>
    <row r="1" spans="1:7" ht="15.5" x14ac:dyDescent="0.35">
      <c r="A1" s="14"/>
      <c r="B1" s="15"/>
      <c r="C1" s="237"/>
      <c r="D1" s="237"/>
      <c r="E1" s="18" t="s">
        <v>10</v>
      </c>
    </row>
    <row r="2" spans="1:7" ht="15.5" x14ac:dyDescent="0.35">
      <c r="A2" s="14"/>
      <c r="B2" s="15"/>
      <c r="C2" s="237"/>
      <c r="D2" s="237"/>
      <c r="E2" s="15" t="s">
        <v>32</v>
      </c>
    </row>
    <row r="3" spans="1:7" ht="15.5" x14ac:dyDescent="0.35">
      <c r="A3" s="14"/>
      <c r="B3" s="15"/>
      <c r="C3" s="237"/>
      <c r="D3" s="237"/>
      <c r="E3" s="80" t="s">
        <v>66</v>
      </c>
    </row>
    <row r="4" spans="1:7" ht="15.5" x14ac:dyDescent="0.35">
      <c r="A4" s="14"/>
      <c r="B4" s="15"/>
      <c r="C4" s="237"/>
      <c r="D4" s="237"/>
      <c r="E4" s="64"/>
    </row>
    <row r="5" spans="1:7" ht="15.5" x14ac:dyDescent="0.35">
      <c r="A5" s="14"/>
      <c r="B5" s="18"/>
      <c r="C5" s="264"/>
      <c r="D5" s="264"/>
      <c r="E5" s="16" t="s">
        <v>230</v>
      </c>
    </row>
    <row r="6" spans="1:7" ht="15.5" x14ac:dyDescent="0.35">
      <c r="A6" s="14"/>
      <c r="B6" s="14"/>
      <c r="E6" s="26"/>
    </row>
    <row r="7" spans="1:7" ht="17.5" x14ac:dyDescent="0.35">
      <c r="A7" s="322" t="s">
        <v>9</v>
      </c>
      <c r="B7" s="322"/>
      <c r="C7" s="322"/>
      <c r="D7" s="322"/>
      <c r="E7" s="322"/>
    </row>
    <row r="8" spans="1:7" ht="15.5" x14ac:dyDescent="0.35">
      <c r="A8" s="14"/>
      <c r="B8" s="19"/>
      <c r="C8" s="242"/>
      <c r="D8" s="242"/>
      <c r="E8" s="26"/>
    </row>
    <row r="9" spans="1:7" ht="15.5" x14ac:dyDescent="0.35">
      <c r="A9" s="321" t="s">
        <v>1</v>
      </c>
      <c r="B9" s="321"/>
      <c r="C9" s="243"/>
      <c r="D9" s="243"/>
      <c r="E9" s="26"/>
    </row>
    <row r="10" spans="1:7" ht="15.5" x14ac:dyDescent="0.35">
      <c r="A10" s="321" t="s">
        <v>0</v>
      </c>
      <c r="B10" s="321"/>
      <c r="C10" s="243"/>
      <c r="D10" s="243"/>
      <c r="E10" s="26"/>
    </row>
    <row r="11" spans="1:7" ht="15.5" x14ac:dyDescent="0.35">
      <c r="A11" s="12"/>
      <c r="B11" s="12" t="s">
        <v>181</v>
      </c>
      <c r="C11" s="243"/>
      <c r="D11" s="243"/>
      <c r="E11" s="26"/>
    </row>
    <row r="12" spans="1:7" ht="15.5" x14ac:dyDescent="0.35">
      <c r="A12" s="12"/>
      <c r="B12" s="321" t="s">
        <v>207</v>
      </c>
      <c r="C12" s="321"/>
      <c r="D12" s="321"/>
      <c r="E12" s="334"/>
    </row>
    <row r="13" spans="1:7" ht="15.75" customHeight="1" x14ac:dyDescent="0.35">
      <c r="A13" s="12"/>
      <c r="B13" s="321" t="s">
        <v>211</v>
      </c>
      <c r="C13" s="321"/>
      <c r="D13" s="321"/>
      <c r="E13" s="334"/>
    </row>
    <row r="14" spans="1:7" ht="15.5" x14ac:dyDescent="0.25">
      <c r="A14" s="13" t="s">
        <v>2</v>
      </c>
      <c r="B14" s="12" t="s">
        <v>170</v>
      </c>
      <c r="C14" s="243"/>
      <c r="D14" s="243"/>
      <c r="E14" s="48"/>
    </row>
    <row r="15" spans="1:7" s="144" customFormat="1" ht="67.5" customHeight="1" x14ac:dyDescent="0.25">
      <c r="A15" s="52" t="s">
        <v>3</v>
      </c>
      <c r="B15" s="52" t="s">
        <v>4</v>
      </c>
      <c r="C15" s="246"/>
      <c r="D15" s="246"/>
      <c r="E15" s="52" t="s">
        <v>63</v>
      </c>
      <c r="F15" s="7"/>
      <c r="G15" s="7"/>
    </row>
    <row r="16" spans="1:7" ht="15" x14ac:dyDescent="0.25">
      <c r="A16" s="42">
        <v>1</v>
      </c>
      <c r="B16" s="49">
        <v>2</v>
      </c>
      <c r="C16" s="274"/>
      <c r="D16" s="274"/>
      <c r="E16" s="49">
        <v>3</v>
      </c>
    </row>
    <row r="17" spans="1:7" s="150" customFormat="1" ht="15.5" x14ac:dyDescent="0.25">
      <c r="A17" s="42"/>
      <c r="B17" s="40" t="s">
        <v>5</v>
      </c>
      <c r="C17" s="265"/>
      <c r="D17" s="265"/>
      <c r="E17" s="32"/>
      <c r="F17" s="7"/>
      <c r="G17" s="7"/>
    </row>
    <row r="18" spans="1:7" s="150" customFormat="1" ht="15.5" x14ac:dyDescent="0.25">
      <c r="A18" s="32">
        <v>1100</v>
      </c>
      <c r="B18" s="32" t="s">
        <v>133</v>
      </c>
      <c r="C18" s="250">
        <f>'[1]7._izmitināšana_GALA mpc'!$Z$6</f>
        <v>12.496871692461308</v>
      </c>
      <c r="D18" s="249"/>
      <c r="E18" s="34">
        <v>422.21</v>
      </c>
      <c r="F18" s="7"/>
      <c r="G18" s="7"/>
    </row>
    <row r="19" spans="1:7" s="150" customFormat="1" ht="15.5" x14ac:dyDescent="0.35">
      <c r="A19" s="32">
        <v>1200</v>
      </c>
      <c r="B19" s="62" t="s">
        <v>134</v>
      </c>
      <c r="C19" s="249">
        <f>C18*0.2359</f>
        <v>2.9480120322516226</v>
      </c>
      <c r="D19" s="251"/>
      <c r="E19" s="34">
        <v>99.6</v>
      </c>
      <c r="F19" s="7"/>
      <c r="G19" s="7"/>
    </row>
    <row r="20" spans="1:7" ht="15.75" customHeight="1" x14ac:dyDescent="0.35">
      <c r="A20" s="32">
        <v>2222</v>
      </c>
      <c r="B20" s="63" t="s">
        <v>136</v>
      </c>
      <c r="C20" s="250">
        <f>'[1]7._izmitināšana_GALA mpc'!$Z$8</f>
        <v>0.27219670494258608</v>
      </c>
      <c r="D20" s="275"/>
      <c r="E20" s="34">
        <v>8.0399999999999991</v>
      </c>
      <c r="F20" s="151"/>
    </row>
    <row r="21" spans="1:7" ht="15.5" x14ac:dyDescent="0.35">
      <c r="A21" s="32">
        <v>2223</v>
      </c>
      <c r="B21" s="63" t="s">
        <v>137</v>
      </c>
      <c r="C21" s="250">
        <f>'[1]7._izmitināšana_GALA mpc'!$Z$9</f>
        <v>0.66961557663504745</v>
      </c>
      <c r="D21" s="276"/>
      <c r="E21" s="34">
        <v>19.7</v>
      </c>
      <c r="F21" s="151"/>
    </row>
    <row r="22" spans="1:7" ht="15.5" x14ac:dyDescent="0.35">
      <c r="A22" s="32">
        <v>2243</v>
      </c>
      <c r="B22" s="23" t="s">
        <v>138</v>
      </c>
      <c r="C22" s="250">
        <f>'[1]7._izmitināšana_GALA mpc'!$Z$11</f>
        <v>4.8118148369292721E-2</v>
      </c>
      <c r="D22" s="248"/>
      <c r="E22" s="34">
        <v>1.43</v>
      </c>
    </row>
    <row r="23" spans="1:7" ht="15.5" x14ac:dyDescent="0.35">
      <c r="A23" s="32">
        <v>2244</v>
      </c>
      <c r="B23" s="23" t="s">
        <v>139</v>
      </c>
      <c r="C23" s="250">
        <f>'[1]7._izmitināšana_GALA mpc'!$Z$12</f>
        <v>0.85797593274015027</v>
      </c>
      <c r="D23" s="248"/>
      <c r="E23" s="34">
        <v>25.31</v>
      </c>
    </row>
    <row r="24" spans="1:7" ht="15.5" x14ac:dyDescent="0.35">
      <c r="A24" s="32">
        <v>2250</v>
      </c>
      <c r="B24" s="23" t="s">
        <v>125</v>
      </c>
      <c r="C24" s="250">
        <f>'[1]7._izmitināšana_GALA mpc'!$Z$13</f>
        <v>0.19</v>
      </c>
      <c r="D24" s="276"/>
      <c r="E24" s="34">
        <v>5.7</v>
      </c>
    </row>
    <row r="25" spans="1:7" ht="15.5" x14ac:dyDescent="0.35">
      <c r="A25" s="32">
        <v>2311</v>
      </c>
      <c r="B25" s="63" t="s">
        <v>152</v>
      </c>
      <c r="C25" s="250">
        <f>'[1]7._izmitināšana_GALA mpc'!$Z$14</f>
        <v>1.7655716425361956</v>
      </c>
      <c r="D25" s="275"/>
      <c r="E25" s="34">
        <v>52.69</v>
      </c>
    </row>
    <row r="26" spans="1:7" ht="15.5" x14ac:dyDescent="0.35">
      <c r="A26" s="32">
        <v>2312</v>
      </c>
      <c r="B26" s="23" t="s">
        <v>117</v>
      </c>
      <c r="C26" s="250">
        <f>'[1]7._izmitināšana_GALA mpc'!$Z$15</f>
        <v>0.59158858572875261</v>
      </c>
      <c r="D26" s="248"/>
      <c r="E26" s="34">
        <v>17.649999999999999</v>
      </c>
    </row>
    <row r="27" spans="1:7" ht="15.5" x14ac:dyDescent="0.35">
      <c r="A27" s="32">
        <v>2321</v>
      </c>
      <c r="B27" s="63" t="s">
        <v>140</v>
      </c>
      <c r="C27" s="250">
        <f>'[1]7._izmitināšana_GALA mpc'!$Z$16</f>
        <v>0.49585280518421282</v>
      </c>
      <c r="D27" s="276"/>
      <c r="E27" s="34">
        <v>14.63</v>
      </c>
    </row>
    <row r="28" spans="1:7" ht="15.5" x14ac:dyDescent="0.35">
      <c r="A28" s="32">
        <v>2350</v>
      </c>
      <c r="B28" s="62" t="s">
        <v>126</v>
      </c>
      <c r="C28" s="250">
        <f>'[1]7._izmitināšana_GALA mpc'!$Z$17</f>
        <v>0.18701369566052103</v>
      </c>
      <c r="D28" s="275"/>
      <c r="E28" s="34">
        <v>5.53</v>
      </c>
    </row>
    <row r="29" spans="1:7" ht="15.5" x14ac:dyDescent="0.35">
      <c r="A29" s="32">
        <v>2361</v>
      </c>
      <c r="B29" s="63" t="s">
        <v>142</v>
      </c>
      <c r="C29" s="250">
        <f>'[1]7._izmitināšana_GALA mpc'!$Z$18</f>
        <v>5.4458312531203187E-2</v>
      </c>
      <c r="D29" s="276"/>
      <c r="E29" s="34">
        <v>1.58</v>
      </c>
    </row>
    <row r="30" spans="1:7" ht="15.5" x14ac:dyDescent="0.35">
      <c r="A30" s="32">
        <v>2362</v>
      </c>
      <c r="B30" s="86" t="s">
        <v>157</v>
      </c>
      <c r="C30" s="250">
        <f>'[1]7._izmitināšana_GALA mpc'!$Z$19</f>
        <v>4.8496533819285675E-2</v>
      </c>
      <c r="D30" s="276"/>
      <c r="E30" s="34">
        <v>1.46</v>
      </c>
    </row>
    <row r="31" spans="1:7" ht="15.5" x14ac:dyDescent="0.35">
      <c r="A31" s="32">
        <v>2363</v>
      </c>
      <c r="B31" s="63" t="s">
        <v>143</v>
      </c>
      <c r="C31" s="249">
        <v>9.75</v>
      </c>
      <c r="D31" s="276"/>
      <c r="E31" s="34">
        <v>292.5</v>
      </c>
    </row>
    <row r="32" spans="1:7" ht="15.5" x14ac:dyDescent="0.35">
      <c r="A32" s="32">
        <v>5239</v>
      </c>
      <c r="B32" s="62" t="s">
        <v>131</v>
      </c>
      <c r="C32" s="250">
        <f>'[1]7._izmitināšana_GALA mpc'!$Z$21</f>
        <v>0.7733790901247648</v>
      </c>
      <c r="D32" s="276"/>
      <c r="E32" s="34">
        <v>22.99</v>
      </c>
    </row>
    <row r="33" spans="1:5" ht="15.5" x14ac:dyDescent="0.25">
      <c r="A33" s="32"/>
      <c r="B33" s="37" t="s">
        <v>6</v>
      </c>
      <c r="C33" s="266">
        <f>SUM(C18:C32)</f>
        <v>31.149150752984944</v>
      </c>
      <c r="D33" s="266"/>
      <c r="E33" s="38">
        <f>SUM(E18:E32)</f>
        <v>991.01999999999987</v>
      </c>
    </row>
    <row r="34" spans="1:5" ht="15.75" customHeight="1" x14ac:dyDescent="0.25">
      <c r="A34" s="39"/>
      <c r="B34" s="32" t="s">
        <v>7</v>
      </c>
      <c r="C34" s="249"/>
      <c r="D34" s="249"/>
      <c r="E34" s="34"/>
    </row>
    <row r="35" spans="1:5" ht="15.5" x14ac:dyDescent="0.35">
      <c r="A35" s="32">
        <v>1100</v>
      </c>
      <c r="B35" s="23" t="s">
        <v>133</v>
      </c>
      <c r="C35" s="248"/>
      <c r="D35" s="251">
        <v>0.48549999999999999</v>
      </c>
      <c r="E35" s="34">
        <v>214.75</v>
      </c>
    </row>
    <row r="36" spans="1:5" ht="15.5" x14ac:dyDescent="0.35">
      <c r="A36" s="32">
        <v>1200</v>
      </c>
      <c r="B36" s="23" t="s">
        <v>134</v>
      </c>
      <c r="C36" s="248"/>
      <c r="D36" s="251">
        <f>D35*0.2359</f>
        <v>0.11452944999999999</v>
      </c>
      <c r="E36" s="34">
        <v>50.66</v>
      </c>
    </row>
    <row r="37" spans="1:5" ht="15.5" x14ac:dyDescent="0.25">
      <c r="A37" s="32">
        <v>2100</v>
      </c>
      <c r="B37" s="25" t="s">
        <v>45</v>
      </c>
      <c r="C37" s="277"/>
      <c r="D37" s="251">
        <v>1.1659999999999999E-3</v>
      </c>
      <c r="E37" s="34">
        <v>0.61</v>
      </c>
    </row>
    <row r="38" spans="1:5" ht="15.5" x14ac:dyDescent="0.35">
      <c r="A38" s="35">
        <v>2210</v>
      </c>
      <c r="B38" s="63" t="s">
        <v>121</v>
      </c>
      <c r="C38" s="275"/>
      <c r="D38" s="251">
        <v>7.6E-3</v>
      </c>
      <c r="E38" s="34">
        <v>3.99</v>
      </c>
    </row>
    <row r="39" spans="1:5" ht="15.5" x14ac:dyDescent="0.35">
      <c r="A39" s="32">
        <v>2222</v>
      </c>
      <c r="B39" s="63" t="s">
        <v>136</v>
      </c>
      <c r="C39" s="275"/>
      <c r="D39" s="251">
        <f>0.0095*1.15</f>
        <v>1.0924999999999999E-2</v>
      </c>
      <c r="E39" s="34">
        <v>5.73</v>
      </c>
    </row>
    <row r="40" spans="1:5" ht="15.75" customHeight="1" x14ac:dyDescent="0.35">
      <c r="A40" s="32">
        <v>2223</v>
      </c>
      <c r="B40" s="63" t="s">
        <v>137</v>
      </c>
      <c r="C40" s="275"/>
      <c r="D40" s="251">
        <f>0.01902*2.13</f>
        <v>4.0512599999999996E-2</v>
      </c>
      <c r="E40" s="34">
        <v>21.25</v>
      </c>
    </row>
    <row r="41" spans="1:5" ht="31" x14ac:dyDescent="0.35">
      <c r="A41" s="32">
        <v>2224</v>
      </c>
      <c r="B41" s="63" t="s">
        <v>144</v>
      </c>
      <c r="C41" s="275"/>
      <c r="D41" s="251">
        <f>0.00495*1.15</f>
        <v>5.6924999999999996E-3</v>
      </c>
      <c r="E41" s="34">
        <v>2.99</v>
      </c>
    </row>
    <row r="42" spans="1:5" ht="15.5" x14ac:dyDescent="0.35">
      <c r="A42" s="32">
        <v>2231</v>
      </c>
      <c r="B42" s="23" t="s">
        <v>127</v>
      </c>
      <c r="C42" s="248"/>
      <c r="D42" s="251">
        <v>1.5499999999999999E-3</v>
      </c>
      <c r="E42" s="34">
        <v>0.81</v>
      </c>
    </row>
    <row r="43" spans="1:5" ht="15.5" x14ac:dyDescent="0.25">
      <c r="A43" s="32">
        <v>2235</v>
      </c>
      <c r="B43" s="78" t="s">
        <v>128</v>
      </c>
      <c r="C43" s="278"/>
      <c r="D43" s="251">
        <v>1.65E-3</v>
      </c>
      <c r="E43" s="34">
        <v>0.87</v>
      </c>
    </row>
    <row r="44" spans="1:5" ht="15.5" x14ac:dyDescent="0.35">
      <c r="A44" s="32">
        <v>2239</v>
      </c>
      <c r="B44" s="23" t="s">
        <v>145</v>
      </c>
      <c r="C44" s="248"/>
      <c r="D44" s="251">
        <v>4.4099999999999999E-3</v>
      </c>
      <c r="E44" s="34">
        <v>2.31</v>
      </c>
    </row>
    <row r="45" spans="1:5" ht="15.5" x14ac:dyDescent="0.35">
      <c r="A45" s="32">
        <v>2241</v>
      </c>
      <c r="B45" s="23" t="s">
        <v>124</v>
      </c>
      <c r="C45" s="248"/>
      <c r="D45" s="251">
        <v>1.6500000000000001E-2</v>
      </c>
      <c r="E45" s="34">
        <v>8.8000000000000007</v>
      </c>
    </row>
    <row r="46" spans="1:5" ht="15.5" x14ac:dyDescent="0.35">
      <c r="A46" s="32">
        <v>2242</v>
      </c>
      <c r="B46" s="63" t="s">
        <v>146</v>
      </c>
      <c r="C46" s="275"/>
      <c r="D46" s="251">
        <v>2.2599999999999999E-3</v>
      </c>
      <c r="E46" s="34">
        <v>1.19</v>
      </c>
    </row>
    <row r="47" spans="1:5" ht="15.5" x14ac:dyDescent="0.35">
      <c r="A47" s="32">
        <v>2243</v>
      </c>
      <c r="B47" s="23" t="s">
        <v>138</v>
      </c>
      <c r="C47" s="248"/>
      <c r="D47" s="251">
        <v>3.2599999999999997E-2</v>
      </c>
      <c r="E47" s="34">
        <v>17.100000000000001</v>
      </c>
    </row>
    <row r="48" spans="1:5" ht="15.5" x14ac:dyDescent="0.35">
      <c r="A48" s="32">
        <v>2244</v>
      </c>
      <c r="B48" s="23" t="s">
        <v>139</v>
      </c>
      <c r="C48" s="248"/>
      <c r="D48" s="251">
        <f>0.20397-0.09084</f>
        <v>0.11313000000000001</v>
      </c>
      <c r="E48" s="34">
        <v>59.35</v>
      </c>
    </row>
    <row r="49" spans="1:5" ht="15.5" x14ac:dyDescent="0.35">
      <c r="A49" s="32">
        <v>2247</v>
      </c>
      <c r="B49" s="23" t="s">
        <v>147</v>
      </c>
      <c r="C49" s="248"/>
      <c r="D49" s="251">
        <v>7.1900000000000002E-4</v>
      </c>
      <c r="E49" s="34">
        <v>0.38</v>
      </c>
    </row>
    <row r="50" spans="1:5" ht="15.5" x14ac:dyDescent="0.35">
      <c r="A50" s="32">
        <v>2249</v>
      </c>
      <c r="B50" s="23" t="s">
        <v>172</v>
      </c>
      <c r="C50" s="248"/>
      <c r="D50" s="251">
        <v>2.32E-4</v>
      </c>
      <c r="E50" s="34">
        <v>0.12</v>
      </c>
    </row>
    <row r="51" spans="1:5" ht="15.5" x14ac:dyDescent="0.35">
      <c r="A51" s="32">
        <v>2250</v>
      </c>
      <c r="B51" s="23" t="s">
        <v>125</v>
      </c>
      <c r="C51" s="248"/>
      <c r="D51" s="251">
        <f>0.024026-0.005</f>
        <v>1.9025999999999998E-2</v>
      </c>
      <c r="E51" s="34">
        <v>9.98</v>
      </c>
    </row>
    <row r="52" spans="1:5" ht="15.5" hidden="1" x14ac:dyDescent="0.35">
      <c r="A52" s="32">
        <v>2261</v>
      </c>
      <c r="B52" s="63" t="s">
        <v>99</v>
      </c>
      <c r="C52" s="275"/>
      <c r="D52" s="251">
        <v>0</v>
      </c>
      <c r="E52" s="34">
        <v>0</v>
      </c>
    </row>
    <row r="53" spans="1:5" ht="15.5" x14ac:dyDescent="0.35">
      <c r="A53" s="32">
        <v>2262</v>
      </c>
      <c r="B53" s="63" t="s">
        <v>149</v>
      </c>
      <c r="C53" s="275"/>
      <c r="D53" s="251">
        <v>6.2599999999999999E-3</v>
      </c>
      <c r="E53" s="34">
        <v>3.28</v>
      </c>
    </row>
    <row r="54" spans="1:5" ht="15.5" x14ac:dyDescent="0.35">
      <c r="A54" s="32">
        <v>2263</v>
      </c>
      <c r="B54" s="63" t="s">
        <v>150</v>
      </c>
      <c r="C54" s="275"/>
      <c r="D54" s="251">
        <v>4.58E-2</v>
      </c>
      <c r="E54" s="34">
        <v>24.03</v>
      </c>
    </row>
    <row r="55" spans="1:5" ht="15.5" x14ac:dyDescent="0.35">
      <c r="A55" s="32">
        <v>2264</v>
      </c>
      <c r="B55" s="23" t="s">
        <v>151</v>
      </c>
      <c r="C55" s="248"/>
      <c r="D55" s="251">
        <v>1.49E-3</v>
      </c>
      <c r="E55" s="34">
        <v>0.78</v>
      </c>
    </row>
    <row r="56" spans="1:5" ht="15.5" x14ac:dyDescent="0.35">
      <c r="A56" s="32">
        <v>2311</v>
      </c>
      <c r="B56" s="63" t="s">
        <v>152</v>
      </c>
      <c r="C56" s="275"/>
      <c r="D56" s="251">
        <v>4.7699999999999999E-3</v>
      </c>
      <c r="E56" s="34">
        <v>2.5</v>
      </c>
    </row>
    <row r="57" spans="1:5" ht="15.5" x14ac:dyDescent="0.35">
      <c r="A57" s="32">
        <v>2312</v>
      </c>
      <c r="B57" s="63" t="s">
        <v>117</v>
      </c>
      <c r="C57" s="275"/>
      <c r="D57" s="251">
        <v>5.79E-3</v>
      </c>
      <c r="E57" s="34">
        <v>3.04</v>
      </c>
    </row>
    <row r="58" spans="1:5" ht="15.5" x14ac:dyDescent="0.25">
      <c r="A58" s="32">
        <v>2314</v>
      </c>
      <c r="B58" s="78" t="s">
        <v>153</v>
      </c>
      <c r="C58" s="278"/>
      <c r="D58" s="251">
        <v>2.2200000000000002E-3</v>
      </c>
      <c r="E58" s="34">
        <v>1.1599999999999999</v>
      </c>
    </row>
    <row r="59" spans="1:5" ht="15.5" x14ac:dyDescent="0.35">
      <c r="A59" s="32">
        <v>2321</v>
      </c>
      <c r="B59" s="63" t="s">
        <v>140</v>
      </c>
      <c r="C59" s="275"/>
      <c r="D59" s="251">
        <f>0.0198*1.2+0.005</f>
        <v>2.8760000000000001E-2</v>
      </c>
      <c r="E59" s="34">
        <v>15.09</v>
      </c>
    </row>
    <row r="60" spans="1:5" ht="15.5" x14ac:dyDescent="0.35">
      <c r="A60" s="32">
        <v>2322</v>
      </c>
      <c r="B60" s="63" t="s">
        <v>154</v>
      </c>
      <c r="C60" s="275"/>
      <c r="D60" s="251">
        <f>0.0035*1.2</f>
        <v>4.1999999999999997E-3</v>
      </c>
      <c r="E60" s="34">
        <v>2.2000000000000002</v>
      </c>
    </row>
    <row r="61" spans="1:5" ht="15.5" hidden="1" x14ac:dyDescent="0.35">
      <c r="A61" s="32">
        <v>2341</v>
      </c>
      <c r="B61" s="63" t="s">
        <v>141</v>
      </c>
      <c r="C61" s="275"/>
      <c r="D61" s="251"/>
      <c r="E61" s="34">
        <v>0</v>
      </c>
    </row>
    <row r="62" spans="1:5" ht="15.5" x14ac:dyDescent="0.35">
      <c r="A62" s="32">
        <v>2350</v>
      </c>
      <c r="B62" s="62" t="s">
        <v>126</v>
      </c>
      <c r="C62" s="251"/>
      <c r="D62" s="251">
        <v>8.5000000000000006E-3</v>
      </c>
      <c r="E62" s="34">
        <v>4.46</v>
      </c>
    </row>
    <row r="63" spans="1:5" ht="15.75" hidden="1" customHeight="1" x14ac:dyDescent="0.35">
      <c r="A63" s="32">
        <v>2512</v>
      </c>
      <c r="B63" s="63" t="s">
        <v>155</v>
      </c>
      <c r="C63" s="275"/>
      <c r="D63" s="251">
        <v>0</v>
      </c>
      <c r="E63" s="34">
        <v>0</v>
      </c>
    </row>
    <row r="64" spans="1:5" ht="15.75" customHeight="1" x14ac:dyDescent="0.35">
      <c r="A64" s="32">
        <v>2513</v>
      </c>
      <c r="B64" s="62" t="s">
        <v>122</v>
      </c>
      <c r="C64" s="251"/>
      <c r="D64" s="251">
        <v>1.4599999999999999E-3</v>
      </c>
      <c r="E64" s="34">
        <v>0.77</v>
      </c>
    </row>
    <row r="65" spans="1:7" ht="15.75" customHeight="1" x14ac:dyDescent="0.35">
      <c r="A65" s="32">
        <v>2515</v>
      </c>
      <c r="B65" s="63" t="s">
        <v>156</v>
      </c>
      <c r="C65" s="275"/>
      <c r="D65" s="251">
        <v>1.9E-3</v>
      </c>
      <c r="E65" s="34">
        <v>1</v>
      </c>
    </row>
    <row r="66" spans="1:7" ht="15.75" customHeight="1" x14ac:dyDescent="0.35">
      <c r="A66" s="32">
        <v>2519</v>
      </c>
      <c r="B66" s="63" t="s">
        <v>123</v>
      </c>
      <c r="C66" s="275"/>
      <c r="D66" s="251">
        <v>2E-3</v>
      </c>
      <c r="E66" s="34">
        <v>1.05</v>
      </c>
    </row>
    <row r="67" spans="1:7" ht="15.75" customHeight="1" x14ac:dyDescent="0.35">
      <c r="A67" s="32">
        <v>5220</v>
      </c>
      <c r="B67" s="63" t="s">
        <v>129</v>
      </c>
      <c r="C67" s="275"/>
      <c r="D67" s="251">
        <v>1.06E-2</v>
      </c>
      <c r="E67" s="34">
        <v>5.56</v>
      </c>
    </row>
    <row r="68" spans="1:7" ht="15.75" customHeight="1" x14ac:dyDescent="0.35">
      <c r="A68" s="32">
        <v>5238</v>
      </c>
      <c r="B68" s="62" t="s">
        <v>130</v>
      </c>
      <c r="C68" s="251"/>
      <c r="D68" s="251">
        <v>1.65E-3</v>
      </c>
      <c r="E68" s="34">
        <v>0.87</v>
      </c>
    </row>
    <row r="69" spans="1:7" ht="15.75" customHeight="1" x14ac:dyDescent="0.35">
      <c r="A69" s="32">
        <v>5239</v>
      </c>
      <c r="B69" s="62" t="s">
        <v>131</v>
      </c>
      <c r="C69" s="251"/>
      <c r="D69" s="251">
        <v>9.5399999999999999E-3</v>
      </c>
      <c r="E69" s="34">
        <v>5</v>
      </c>
    </row>
    <row r="70" spans="1:7" ht="15.75" customHeight="1" x14ac:dyDescent="0.35">
      <c r="A70" s="32">
        <v>5250</v>
      </c>
      <c r="B70" s="63" t="s">
        <v>132</v>
      </c>
      <c r="C70" s="275"/>
      <c r="D70" s="251">
        <v>7.0600000000000003E-3</v>
      </c>
      <c r="E70" s="34">
        <v>3.7</v>
      </c>
    </row>
    <row r="71" spans="1:7" ht="15.5" x14ac:dyDescent="0.25">
      <c r="A71" s="39"/>
      <c r="B71" s="41" t="s">
        <v>8</v>
      </c>
      <c r="C71" s="267"/>
      <c r="D71" s="267">
        <f>SUM(D35:D70)</f>
        <v>1.00000255</v>
      </c>
      <c r="E71" s="38">
        <f>SUM(E35:E70)</f>
        <v>475.38</v>
      </c>
    </row>
    <row r="72" spans="1:7" ht="15.5" x14ac:dyDescent="0.25">
      <c r="A72" s="39"/>
      <c r="B72" s="41" t="s">
        <v>29</v>
      </c>
      <c r="C72" s="267"/>
      <c r="D72" s="267"/>
      <c r="E72" s="38">
        <f>E71+E33</f>
        <v>1466.3999999999999</v>
      </c>
    </row>
    <row r="73" spans="1:7" ht="15.5" x14ac:dyDescent="0.35">
      <c r="A73" s="16"/>
      <c r="B73" s="26"/>
      <c r="C73" s="256"/>
      <c r="D73" s="256"/>
      <c r="E73" s="60"/>
    </row>
    <row r="74" spans="1:7" ht="15.5" x14ac:dyDescent="0.25">
      <c r="A74" s="321" t="s">
        <v>57</v>
      </c>
      <c r="B74" s="321"/>
      <c r="C74" s="243"/>
      <c r="D74" s="243"/>
      <c r="E74" s="68">
        <v>30</v>
      </c>
    </row>
    <row r="75" spans="1:7" ht="15.5" x14ac:dyDescent="0.3">
      <c r="A75" s="321" t="s">
        <v>58</v>
      </c>
      <c r="B75" s="321"/>
      <c r="C75" s="243"/>
      <c r="D75" s="243"/>
      <c r="E75" s="69">
        <f>E72/E74</f>
        <v>48.879999999999995</v>
      </c>
    </row>
    <row r="76" spans="1:7" ht="15.5" x14ac:dyDescent="0.35">
      <c r="A76" s="26"/>
      <c r="B76" s="27"/>
      <c r="C76" s="279"/>
      <c r="D76" s="279"/>
      <c r="E76" s="59"/>
    </row>
    <row r="77" spans="1:7" s="2" customFormat="1" ht="15.5" x14ac:dyDescent="0.35">
      <c r="A77" s="319" t="s">
        <v>33</v>
      </c>
      <c r="B77" s="319"/>
      <c r="C77" s="257"/>
      <c r="D77" s="280"/>
      <c r="E77" s="88"/>
      <c r="F77" s="7"/>
      <c r="G77" s="7"/>
    </row>
    <row r="78" spans="1:7" s="2" customFormat="1" ht="15.5" x14ac:dyDescent="0.35">
      <c r="A78" s="319" t="s">
        <v>64</v>
      </c>
      <c r="B78" s="319"/>
      <c r="C78" s="257"/>
      <c r="D78" s="280"/>
      <c r="E78" s="28"/>
      <c r="F78" s="7"/>
      <c r="G78" s="7"/>
    </row>
    <row r="79" spans="1:7" s="2" customFormat="1" ht="15.5" x14ac:dyDescent="0.35">
      <c r="A79" s="29"/>
      <c r="B79" s="29"/>
      <c r="C79" s="260"/>
      <c r="D79" s="260"/>
      <c r="E79" s="84"/>
      <c r="F79" s="7"/>
      <c r="G79" s="7"/>
    </row>
    <row r="80" spans="1:7" s="2" customFormat="1" ht="15.5" x14ac:dyDescent="0.35">
      <c r="A80" s="29" t="s">
        <v>34</v>
      </c>
      <c r="B80" s="29"/>
      <c r="C80" s="260"/>
      <c r="D80" s="260"/>
      <c r="E80" s="282"/>
      <c r="F80" s="7"/>
      <c r="G80" s="7"/>
    </row>
    <row r="81" spans="1:7" s="2" customFormat="1" ht="15.5" x14ac:dyDescent="0.35">
      <c r="A81" s="29"/>
      <c r="B81" s="29"/>
      <c r="C81" s="260"/>
      <c r="D81" s="260"/>
      <c r="E81" s="84"/>
      <c r="F81" s="7"/>
      <c r="G81" s="7"/>
    </row>
    <row r="82" spans="1:7" s="2" customFormat="1" ht="15.5" x14ac:dyDescent="0.35">
      <c r="A82" s="29" t="s">
        <v>179</v>
      </c>
      <c r="B82" s="30"/>
      <c r="C82" s="261"/>
      <c r="D82" s="261"/>
      <c r="E82" s="84"/>
      <c r="F82" s="7"/>
      <c r="G82" s="7"/>
    </row>
    <row r="83" spans="1:7" s="2" customFormat="1" ht="13.9" customHeight="1" x14ac:dyDescent="0.35">
      <c r="A83" s="29"/>
      <c r="B83" s="31"/>
      <c r="C83" s="273"/>
      <c r="D83" s="273"/>
      <c r="E83" s="29"/>
      <c r="F83" s="7"/>
      <c r="G83" s="7"/>
    </row>
    <row r="84" spans="1:7" s="4" customFormat="1" ht="15.5" x14ac:dyDescent="0.35">
      <c r="A84" s="14"/>
      <c r="B84" s="14"/>
      <c r="C84" s="240"/>
      <c r="D84" s="240"/>
      <c r="E84" s="14"/>
      <c r="F84" s="7"/>
      <c r="G84" s="7"/>
    </row>
  </sheetData>
  <mergeCells count="9">
    <mergeCell ref="A75:B75"/>
    <mergeCell ref="A77:B77"/>
    <mergeCell ref="A78:B78"/>
    <mergeCell ref="A9:B9"/>
    <mergeCell ref="A10:B10"/>
    <mergeCell ref="A7:E7"/>
    <mergeCell ref="B12:E12"/>
    <mergeCell ref="B13:E13"/>
    <mergeCell ref="A74:B74"/>
  </mergeCells>
  <hyperlinks>
    <hyperlink ref="A106" r:id="rId1" display="Inese.Kise@lm.gov.lv,"/>
  </hyperlinks>
  <pageMargins left="0.70866141732283472" right="0.70866141732283472" top="0.74803149606299213" bottom="0.74803149606299213" header="0.31496062992125984" footer="0.31496062992125984"/>
  <pageSetup paperSize="9" scale="57" orientation="portrait" r:id="rId2"/>
  <headerFooter>
    <oddFooter>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3"/>
  <sheetViews>
    <sheetView view="pageLayout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453125" style="14" customWidth="1"/>
    <col min="2" max="2" width="93.453125" style="14" customWidth="1"/>
    <col min="3" max="3" width="13.1796875" style="14" hidden="1" customWidth="1"/>
    <col min="4" max="4" width="12.54296875" style="14" hidden="1" customWidth="1"/>
    <col min="5" max="5" width="32" style="14" hidden="1" customWidth="1"/>
    <col min="6" max="6" width="32" style="14" customWidth="1"/>
    <col min="7" max="16384" width="9.1796875" style="7"/>
  </cols>
  <sheetData>
    <row r="1" spans="1:9" x14ac:dyDescent="0.35">
      <c r="C1" s="54" t="s">
        <v>10</v>
      </c>
      <c r="D1" s="54"/>
      <c r="E1" s="54" t="s">
        <v>10</v>
      </c>
      <c r="F1" s="54" t="s">
        <v>10</v>
      </c>
    </row>
    <row r="2" spans="1:9" x14ac:dyDescent="0.35">
      <c r="C2" s="55" t="s">
        <v>32</v>
      </c>
      <c r="D2" s="55"/>
      <c r="E2" s="55" t="s">
        <v>32</v>
      </c>
      <c r="F2" s="55" t="s">
        <v>32</v>
      </c>
    </row>
    <row r="3" spans="1:9" ht="20.25" customHeight="1" x14ac:dyDescent="0.35">
      <c r="C3" s="56" t="s">
        <v>66</v>
      </c>
      <c r="D3" s="56"/>
      <c r="E3" s="65" t="s">
        <v>66</v>
      </c>
      <c r="F3" s="314" t="s">
        <v>66</v>
      </c>
    </row>
    <row r="4" spans="1:9" x14ac:dyDescent="0.35">
      <c r="C4" s="55"/>
      <c r="D4" s="55"/>
      <c r="E4" s="64"/>
      <c r="F4" s="64"/>
    </row>
    <row r="5" spans="1:9" x14ac:dyDescent="0.35">
      <c r="B5" s="18"/>
      <c r="C5" s="55" t="s">
        <v>67</v>
      </c>
      <c r="D5" s="55"/>
      <c r="E5" s="64" t="s">
        <v>169</v>
      </c>
      <c r="F5" s="16" t="s">
        <v>230</v>
      </c>
    </row>
    <row r="7" spans="1:9" ht="15" x14ac:dyDescent="0.3">
      <c r="A7" s="318" t="s">
        <v>9</v>
      </c>
      <c r="B7" s="318"/>
      <c r="C7" s="318"/>
      <c r="D7" s="73"/>
      <c r="E7" s="7"/>
      <c r="F7" s="7"/>
    </row>
    <row r="8" spans="1:9" x14ac:dyDescent="0.35">
      <c r="B8" s="19"/>
    </row>
    <row r="9" spans="1:9" ht="15" customHeight="1" x14ac:dyDescent="0.35">
      <c r="A9" s="321" t="s">
        <v>1</v>
      </c>
      <c r="B9" s="321"/>
    </row>
    <row r="10" spans="1:9" ht="15" customHeight="1" x14ac:dyDescent="0.35">
      <c r="A10" s="321" t="s">
        <v>0</v>
      </c>
      <c r="B10" s="321"/>
    </row>
    <row r="11" spans="1:9" x14ac:dyDescent="0.35">
      <c r="A11" s="12"/>
      <c r="B11" s="12" t="s">
        <v>181</v>
      </c>
    </row>
    <row r="12" spans="1:9" x14ac:dyDescent="0.25">
      <c r="A12" s="12"/>
      <c r="B12" s="321" t="s">
        <v>239</v>
      </c>
      <c r="C12" s="321"/>
      <c r="D12" s="12"/>
      <c r="E12" s="7"/>
      <c r="F12" s="7"/>
      <c r="H12" s="53"/>
      <c r="I12" s="53"/>
    </row>
    <row r="13" spans="1:9" x14ac:dyDescent="0.25">
      <c r="A13" s="12"/>
      <c r="B13" s="12" t="s">
        <v>232</v>
      </c>
      <c r="C13" s="12"/>
      <c r="D13" s="12"/>
      <c r="E13" s="7"/>
      <c r="F13" s="7"/>
      <c r="H13" s="53"/>
      <c r="I13" s="53"/>
    </row>
    <row r="14" spans="1:9" x14ac:dyDescent="0.35">
      <c r="A14" s="12" t="s">
        <v>2</v>
      </c>
      <c r="B14" s="12" t="str">
        <f>'7.5.8.'!B14</f>
        <v>2023.gadā un turpmāk</v>
      </c>
    </row>
    <row r="15" spans="1:9" hidden="1" x14ac:dyDescent="0.35">
      <c r="B15" s="139"/>
    </row>
    <row r="16" spans="1:9" ht="139.5" x14ac:dyDescent="0.25">
      <c r="A16" s="52" t="s">
        <v>3</v>
      </c>
      <c r="B16" s="52" t="s">
        <v>4</v>
      </c>
      <c r="C16" s="52" t="s">
        <v>63</v>
      </c>
      <c r="D16" s="52"/>
      <c r="E16" s="52" t="s">
        <v>63</v>
      </c>
      <c r="F16" s="52" t="s">
        <v>63</v>
      </c>
      <c r="H16" s="144"/>
      <c r="I16" s="144"/>
    </row>
    <row r="17" spans="1:6" ht="15" x14ac:dyDescent="0.25">
      <c r="A17" s="21">
        <v>1</v>
      </c>
      <c r="B17" s="22">
        <v>2</v>
      </c>
      <c r="C17" s="21">
        <v>3</v>
      </c>
      <c r="D17" s="21"/>
      <c r="E17" s="21">
        <v>3</v>
      </c>
      <c r="F17" s="21">
        <v>3</v>
      </c>
    </row>
    <row r="18" spans="1:6" x14ac:dyDescent="0.25">
      <c r="A18" s="42"/>
      <c r="B18" s="40" t="s">
        <v>5</v>
      </c>
      <c r="C18" s="32"/>
      <c r="D18" s="32"/>
      <c r="E18" s="32"/>
      <c r="F18" s="32"/>
    </row>
    <row r="19" spans="1:6" x14ac:dyDescent="0.25">
      <c r="A19" s="32">
        <v>1100</v>
      </c>
      <c r="B19" s="32" t="s">
        <v>133</v>
      </c>
      <c r="C19" s="34">
        <v>3034.7</v>
      </c>
      <c r="D19" s="34"/>
      <c r="E19" s="34">
        <v>1086.77</v>
      </c>
      <c r="F19" s="34">
        <f>E19/100*200</f>
        <v>2173.54</v>
      </c>
    </row>
    <row r="20" spans="1:6" ht="15.75" customHeight="1" x14ac:dyDescent="0.35">
      <c r="A20" s="32">
        <v>1200</v>
      </c>
      <c r="B20" s="62" t="s">
        <v>134</v>
      </c>
      <c r="C20" s="34">
        <v>715.87</v>
      </c>
      <c r="D20" s="34"/>
      <c r="E20" s="34">
        <v>256.37</v>
      </c>
      <c r="F20" s="34">
        <f t="shared" ref="F20:F34" si="0">E20/100*200</f>
        <v>512.74</v>
      </c>
    </row>
    <row r="21" spans="1:6" ht="15.75" customHeight="1" x14ac:dyDescent="0.35">
      <c r="A21" s="32">
        <v>2210</v>
      </c>
      <c r="B21" s="63" t="s">
        <v>121</v>
      </c>
      <c r="C21" s="34">
        <v>153.78</v>
      </c>
      <c r="D21" s="34"/>
      <c r="E21" s="34">
        <v>46.6</v>
      </c>
      <c r="F21" s="34">
        <f t="shared" si="0"/>
        <v>93.2</v>
      </c>
    </row>
    <row r="22" spans="1:6" ht="15.75" customHeight="1" x14ac:dyDescent="0.35">
      <c r="A22" s="32">
        <v>2222</v>
      </c>
      <c r="B22" s="63" t="s">
        <v>136</v>
      </c>
      <c r="C22" s="34">
        <v>2549.5700000000002</v>
      </c>
      <c r="D22" s="34"/>
      <c r="E22" s="34">
        <v>772.65</v>
      </c>
      <c r="F22" s="34">
        <f t="shared" si="0"/>
        <v>1545.3</v>
      </c>
    </row>
    <row r="23" spans="1:6" ht="15.75" customHeight="1" x14ac:dyDescent="0.25">
      <c r="A23" s="32">
        <v>2223</v>
      </c>
      <c r="B23" s="33" t="s">
        <v>137</v>
      </c>
      <c r="C23" s="34">
        <v>1184.2</v>
      </c>
      <c r="D23" s="34"/>
      <c r="E23" s="34">
        <v>1480.25</v>
      </c>
      <c r="F23" s="34">
        <f t="shared" si="0"/>
        <v>2960.5</v>
      </c>
    </row>
    <row r="24" spans="1:6" x14ac:dyDescent="0.25">
      <c r="A24" s="32">
        <v>2243</v>
      </c>
      <c r="B24" s="33" t="s">
        <v>138</v>
      </c>
      <c r="C24" s="34">
        <v>141.49</v>
      </c>
      <c r="D24" s="34"/>
      <c r="E24" s="34">
        <v>42.88</v>
      </c>
      <c r="F24" s="34">
        <f t="shared" si="0"/>
        <v>85.76</v>
      </c>
    </row>
    <row r="25" spans="1:6" x14ac:dyDescent="0.35">
      <c r="A25" s="32">
        <v>2244</v>
      </c>
      <c r="B25" s="23" t="s">
        <v>139</v>
      </c>
      <c r="C25" s="34">
        <v>3095.49</v>
      </c>
      <c r="D25" s="34"/>
      <c r="E25" s="34">
        <f>1183.4</f>
        <v>1183.4000000000001</v>
      </c>
      <c r="F25" s="34">
        <f t="shared" si="0"/>
        <v>2366.8000000000002</v>
      </c>
    </row>
    <row r="26" spans="1:6" hidden="1" x14ac:dyDescent="0.35">
      <c r="A26" s="32">
        <v>2249</v>
      </c>
      <c r="B26" s="23" t="s">
        <v>172</v>
      </c>
      <c r="C26" s="34">
        <v>580.36</v>
      </c>
      <c r="D26" s="34"/>
      <c r="E26" s="34">
        <v>0</v>
      </c>
      <c r="F26" s="34">
        <f t="shared" si="0"/>
        <v>0</v>
      </c>
    </row>
    <row r="27" spans="1:6" hidden="1" x14ac:dyDescent="0.25">
      <c r="A27" s="32">
        <v>2261</v>
      </c>
      <c r="B27" s="33" t="s">
        <v>100</v>
      </c>
      <c r="C27" s="34">
        <v>0</v>
      </c>
      <c r="D27" s="34"/>
      <c r="E27" s="34">
        <f>C27/330*200</f>
        <v>0</v>
      </c>
      <c r="F27" s="34">
        <f t="shared" si="0"/>
        <v>0</v>
      </c>
    </row>
    <row r="28" spans="1:6" x14ac:dyDescent="0.25">
      <c r="A28" s="32">
        <v>2263</v>
      </c>
      <c r="B28" s="33" t="s">
        <v>150</v>
      </c>
      <c r="C28" s="34">
        <v>1311.76</v>
      </c>
      <c r="D28" s="34"/>
      <c r="E28" s="34">
        <v>552.53</v>
      </c>
      <c r="F28" s="34">
        <f t="shared" si="0"/>
        <v>1105.06</v>
      </c>
    </row>
    <row r="29" spans="1:6" x14ac:dyDescent="0.25">
      <c r="A29" s="32">
        <v>2312</v>
      </c>
      <c r="B29" s="33" t="s">
        <v>117</v>
      </c>
      <c r="C29" s="34">
        <v>391.92</v>
      </c>
      <c r="D29" s="34"/>
      <c r="E29" s="34">
        <v>118.76</v>
      </c>
      <c r="F29" s="34">
        <f t="shared" si="0"/>
        <v>237.52</v>
      </c>
    </row>
    <row r="30" spans="1:6" x14ac:dyDescent="0.25">
      <c r="A30" s="32">
        <v>2321</v>
      </c>
      <c r="B30" s="33" t="s">
        <v>140</v>
      </c>
      <c r="C30" s="34">
        <v>5398.86</v>
      </c>
      <c r="D30" s="34"/>
      <c r="E30" s="34">
        <v>1363.22</v>
      </c>
      <c r="F30" s="34">
        <f t="shared" si="0"/>
        <v>2726.44</v>
      </c>
    </row>
    <row r="31" spans="1:6" x14ac:dyDescent="0.35">
      <c r="A31" s="32">
        <v>2350</v>
      </c>
      <c r="B31" s="62" t="s">
        <v>126</v>
      </c>
      <c r="C31" s="34">
        <v>327.51</v>
      </c>
      <c r="D31" s="34"/>
      <c r="E31" s="34">
        <v>99.28</v>
      </c>
      <c r="F31" s="34">
        <f t="shared" si="0"/>
        <v>198.56</v>
      </c>
    </row>
    <row r="32" spans="1:6" x14ac:dyDescent="0.25">
      <c r="A32" s="145">
        <v>2361</v>
      </c>
      <c r="B32" s="33" t="s">
        <v>142</v>
      </c>
      <c r="C32" s="34">
        <v>274.92</v>
      </c>
      <c r="D32" s="34"/>
      <c r="E32" s="34">
        <v>83.39</v>
      </c>
      <c r="F32" s="34">
        <f t="shared" si="0"/>
        <v>166.78</v>
      </c>
    </row>
    <row r="33" spans="1:6" x14ac:dyDescent="0.35">
      <c r="A33" s="32">
        <v>2513</v>
      </c>
      <c r="B33" s="62" t="s">
        <v>122</v>
      </c>
      <c r="C33" s="34">
        <v>617.46</v>
      </c>
      <c r="D33" s="34"/>
      <c r="E33" s="34">
        <v>187.11</v>
      </c>
      <c r="F33" s="34">
        <f t="shared" si="0"/>
        <v>374.22</v>
      </c>
    </row>
    <row r="34" spans="1:6" x14ac:dyDescent="0.25">
      <c r="A34" s="32">
        <v>2519</v>
      </c>
      <c r="B34" s="33" t="s">
        <v>123</v>
      </c>
      <c r="C34" s="34">
        <v>437.23</v>
      </c>
      <c r="D34" s="34"/>
      <c r="E34" s="34">
        <v>132.49</v>
      </c>
      <c r="F34" s="34">
        <f t="shared" si="0"/>
        <v>264.98</v>
      </c>
    </row>
    <row r="35" spans="1:6" x14ac:dyDescent="0.25">
      <c r="A35" s="32"/>
      <c r="B35" s="37" t="s">
        <v>6</v>
      </c>
      <c r="C35" s="38">
        <f>SUM(C19:C34)</f>
        <v>20215.119999999995</v>
      </c>
      <c r="D35" s="38"/>
      <c r="E35" s="38">
        <f>SUM(E19:E34)</f>
        <v>7405.7</v>
      </c>
      <c r="F35" s="38">
        <f>SUM(F19:F34)</f>
        <v>14811.4</v>
      </c>
    </row>
    <row r="36" spans="1:6" x14ac:dyDescent="0.25">
      <c r="A36" s="39"/>
      <c r="B36" s="32" t="s">
        <v>7</v>
      </c>
      <c r="C36" s="34"/>
      <c r="D36" s="34"/>
      <c r="E36" s="34"/>
      <c r="F36" s="34"/>
    </row>
    <row r="37" spans="1:6" x14ac:dyDescent="0.25">
      <c r="A37" s="32">
        <v>1100</v>
      </c>
      <c r="B37" s="32" t="s">
        <v>133</v>
      </c>
      <c r="C37" s="34">
        <v>2930.86</v>
      </c>
      <c r="D37" s="34"/>
      <c r="E37" s="34">
        <v>1049.53</v>
      </c>
      <c r="F37" s="34">
        <f t="shared" ref="F37:F58" si="1">E37/100*200</f>
        <v>2099.06</v>
      </c>
    </row>
    <row r="38" spans="1:6" ht="15.75" customHeight="1" x14ac:dyDescent="0.35">
      <c r="A38" s="32">
        <v>1200</v>
      </c>
      <c r="B38" s="62" t="s">
        <v>134</v>
      </c>
      <c r="C38" s="34">
        <v>691.39</v>
      </c>
      <c r="D38" s="34"/>
      <c r="E38" s="34">
        <v>247.58</v>
      </c>
      <c r="F38" s="34">
        <f t="shared" si="1"/>
        <v>495.16</v>
      </c>
    </row>
    <row r="39" spans="1:6" ht="15.75" customHeight="1" x14ac:dyDescent="0.35">
      <c r="A39" s="32">
        <v>2210</v>
      </c>
      <c r="B39" s="63" t="s">
        <v>121</v>
      </c>
      <c r="C39" s="34">
        <v>28.33</v>
      </c>
      <c r="D39" s="34"/>
      <c r="E39" s="34">
        <v>8.58</v>
      </c>
      <c r="F39" s="34">
        <f t="shared" si="1"/>
        <v>17.16</v>
      </c>
    </row>
    <row r="40" spans="1:6" ht="35.25" customHeight="1" x14ac:dyDescent="0.35">
      <c r="A40" s="32">
        <v>2224</v>
      </c>
      <c r="B40" s="63" t="s">
        <v>175</v>
      </c>
      <c r="C40" s="34"/>
      <c r="D40" s="34" t="s">
        <v>176</v>
      </c>
      <c r="E40" s="34">
        <v>24.3</v>
      </c>
      <c r="F40" s="34">
        <f t="shared" si="1"/>
        <v>48.6</v>
      </c>
    </row>
    <row r="41" spans="1:6" ht="15.75" customHeight="1" x14ac:dyDescent="0.25">
      <c r="A41" s="32">
        <v>2239</v>
      </c>
      <c r="B41" s="33" t="s">
        <v>173</v>
      </c>
      <c r="C41" s="34">
        <v>35.14</v>
      </c>
      <c r="D41" s="34"/>
      <c r="E41" s="34">
        <v>10.65</v>
      </c>
      <c r="F41" s="34">
        <f t="shared" si="1"/>
        <v>21.3</v>
      </c>
    </row>
    <row r="42" spans="1:6" x14ac:dyDescent="0.35">
      <c r="A42" s="32">
        <v>2241</v>
      </c>
      <c r="B42" s="23" t="s">
        <v>124</v>
      </c>
      <c r="C42" s="34">
        <v>7.36</v>
      </c>
      <c r="D42" s="34"/>
      <c r="E42" s="34">
        <f>2.23+175.87</f>
        <v>178.1</v>
      </c>
      <c r="F42" s="34">
        <f t="shared" si="1"/>
        <v>356.2</v>
      </c>
    </row>
    <row r="43" spans="1:6" x14ac:dyDescent="0.25">
      <c r="A43" s="32">
        <v>2242</v>
      </c>
      <c r="B43" s="33" t="s">
        <v>146</v>
      </c>
      <c r="C43" s="34">
        <v>28.64</v>
      </c>
      <c r="D43" s="34"/>
      <c r="E43" s="34">
        <v>8.68</v>
      </c>
      <c r="F43" s="34">
        <f t="shared" si="1"/>
        <v>17.36</v>
      </c>
    </row>
    <row r="44" spans="1:6" x14ac:dyDescent="0.25">
      <c r="A44" s="32">
        <v>2243</v>
      </c>
      <c r="B44" s="33" t="s">
        <v>138</v>
      </c>
      <c r="C44" s="34">
        <v>28.09</v>
      </c>
      <c r="D44" s="34"/>
      <c r="E44" s="34">
        <f>8.51+1.97</f>
        <v>10.48</v>
      </c>
      <c r="F44" s="34">
        <f t="shared" si="1"/>
        <v>20.96</v>
      </c>
    </row>
    <row r="45" spans="1:6" x14ac:dyDescent="0.35">
      <c r="A45" s="32">
        <v>2244</v>
      </c>
      <c r="B45" s="23" t="s">
        <v>139</v>
      </c>
      <c r="C45" s="34">
        <v>5.95</v>
      </c>
      <c r="D45" s="34"/>
      <c r="E45" s="34">
        <f>2.47+18.79+0.25</f>
        <v>21.509999999999998</v>
      </c>
      <c r="F45" s="34">
        <f t="shared" si="1"/>
        <v>43.019999999999996</v>
      </c>
    </row>
    <row r="46" spans="1:6" x14ac:dyDescent="0.35">
      <c r="A46" s="32">
        <v>2249</v>
      </c>
      <c r="B46" s="23" t="s">
        <v>172</v>
      </c>
      <c r="C46" s="34">
        <v>7.51</v>
      </c>
      <c r="D46" s="34"/>
      <c r="E46" s="34">
        <f>2.28</f>
        <v>2.2799999999999998</v>
      </c>
      <c r="F46" s="34">
        <f t="shared" si="1"/>
        <v>4.5599999999999996</v>
      </c>
    </row>
    <row r="47" spans="1:6" x14ac:dyDescent="0.35">
      <c r="A47" s="32">
        <v>2250</v>
      </c>
      <c r="B47" s="23" t="s">
        <v>125</v>
      </c>
      <c r="C47" s="34">
        <v>64.95</v>
      </c>
      <c r="D47" s="34"/>
      <c r="E47" s="34">
        <f>19.68+0.28</f>
        <v>19.96</v>
      </c>
      <c r="F47" s="34">
        <f t="shared" si="1"/>
        <v>39.92</v>
      </c>
    </row>
    <row r="48" spans="1:6" x14ac:dyDescent="0.25">
      <c r="A48" s="32">
        <v>2262</v>
      </c>
      <c r="B48" s="33" t="s">
        <v>149</v>
      </c>
      <c r="C48" s="34">
        <v>68.319999999999993</v>
      </c>
      <c r="D48" s="34"/>
      <c r="E48" s="34">
        <v>20.7</v>
      </c>
      <c r="F48" s="34">
        <f t="shared" si="1"/>
        <v>41.4</v>
      </c>
    </row>
    <row r="49" spans="1:6" x14ac:dyDescent="0.25">
      <c r="A49" s="32">
        <v>2264</v>
      </c>
      <c r="B49" s="33" t="s">
        <v>174</v>
      </c>
      <c r="C49" s="34">
        <v>0.63</v>
      </c>
      <c r="D49" s="34"/>
      <c r="E49" s="34">
        <v>0.2</v>
      </c>
      <c r="F49" s="34">
        <f t="shared" si="1"/>
        <v>0.4</v>
      </c>
    </row>
    <row r="50" spans="1:6" x14ac:dyDescent="0.25">
      <c r="A50" s="32">
        <v>2311</v>
      </c>
      <c r="B50" s="33" t="s">
        <v>152</v>
      </c>
      <c r="C50" s="34">
        <v>37.33</v>
      </c>
      <c r="D50" s="34"/>
      <c r="E50" s="34">
        <v>11.31</v>
      </c>
      <c r="F50" s="34">
        <f t="shared" si="1"/>
        <v>22.62</v>
      </c>
    </row>
    <row r="51" spans="1:6" hidden="1" x14ac:dyDescent="0.25">
      <c r="A51" s="32">
        <v>2312</v>
      </c>
      <c r="B51" s="33" t="s">
        <v>117</v>
      </c>
      <c r="C51" s="34">
        <v>8.4499999999999993</v>
      </c>
      <c r="D51" s="34"/>
      <c r="E51" s="34"/>
      <c r="F51" s="34">
        <f t="shared" si="1"/>
        <v>0</v>
      </c>
    </row>
    <row r="52" spans="1:6" x14ac:dyDescent="0.25">
      <c r="A52" s="32">
        <v>2322</v>
      </c>
      <c r="B52" s="33" t="s">
        <v>154</v>
      </c>
      <c r="C52" s="34">
        <v>174.59</v>
      </c>
      <c r="D52" s="34"/>
      <c r="E52" s="34">
        <v>63.49</v>
      </c>
      <c r="F52" s="34">
        <f t="shared" si="1"/>
        <v>126.98</v>
      </c>
    </row>
    <row r="53" spans="1:6" x14ac:dyDescent="0.35">
      <c r="A53" s="32">
        <v>2350</v>
      </c>
      <c r="B53" s="62" t="s">
        <v>126</v>
      </c>
      <c r="C53" s="34">
        <v>174.28</v>
      </c>
      <c r="D53" s="34"/>
      <c r="E53" s="34">
        <f>52.81+0.28</f>
        <v>53.09</v>
      </c>
      <c r="F53" s="34">
        <f t="shared" si="1"/>
        <v>106.18</v>
      </c>
    </row>
    <row r="54" spans="1:6" x14ac:dyDescent="0.25">
      <c r="A54" s="32">
        <v>2515</v>
      </c>
      <c r="B54" s="33" t="s">
        <v>156</v>
      </c>
      <c r="C54" s="34">
        <v>11.97</v>
      </c>
      <c r="D54" s="34"/>
      <c r="E54" s="34">
        <v>3.63</v>
      </c>
      <c r="F54" s="34">
        <f t="shared" si="1"/>
        <v>7.26</v>
      </c>
    </row>
    <row r="55" spans="1:6" x14ac:dyDescent="0.25">
      <c r="A55" s="32">
        <v>2519</v>
      </c>
      <c r="B55" s="33" t="s">
        <v>123</v>
      </c>
      <c r="C55" s="34">
        <v>0.55000000000000004</v>
      </c>
      <c r="D55" s="34"/>
      <c r="E55" s="34">
        <v>0.17</v>
      </c>
      <c r="F55" s="34">
        <f t="shared" si="1"/>
        <v>0.34</v>
      </c>
    </row>
    <row r="56" spans="1:6" x14ac:dyDescent="0.35">
      <c r="A56" s="32">
        <v>5238</v>
      </c>
      <c r="B56" s="62" t="s">
        <v>130</v>
      </c>
      <c r="C56" s="34">
        <v>480.39</v>
      </c>
      <c r="D56" s="34"/>
      <c r="E56" s="34">
        <v>25.3</v>
      </c>
      <c r="F56" s="34">
        <f t="shared" si="1"/>
        <v>50.6</v>
      </c>
    </row>
    <row r="57" spans="1:6" x14ac:dyDescent="0.35">
      <c r="A57" s="32">
        <v>5239</v>
      </c>
      <c r="B57" s="62" t="s">
        <v>131</v>
      </c>
      <c r="C57" s="34">
        <v>84.36</v>
      </c>
      <c r="D57" s="34"/>
      <c r="E57" s="34">
        <v>142.15</v>
      </c>
      <c r="F57" s="34">
        <f t="shared" si="1"/>
        <v>284.3</v>
      </c>
    </row>
    <row r="58" spans="1:6" x14ac:dyDescent="0.25">
      <c r="A58" s="32">
        <v>5250</v>
      </c>
      <c r="B58" s="33" t="s">
        <v>132</v>
      </c>
      <c r="C58" s="34">
        <v>337.53</v>
      </c>
      <c r="D58" s="34"/>
      <c r="E58" s="34">
        <v>106.61</v>
      </c>
      <c r="F58" s="34">
        <f t="shared" si="1"/>
        <v>213.22</v>
      </c>
    </row>
    <row r="59" spans="1:6" x14ac:dyDescent="0.25">
      <c r="A59" s="39"/>
      <c r="B59" s="41" t="s">
        <v>8</v>
      </c>
      <c r="C59" s="38">
        <f>SUM(C37:C58)</f>
        <v>5206.62</v>
      </c>
      <c r="D59" s="38"/>
      <c r="E59" s="38">
        <f>SUM(E37:E58)</f>
        <v>2008.3</v>
      </c>
      <c r="F59" s="38">
        <f>SUM(F37:F58)</f>
        <v>4016.6</v>
      </c>
    </row>
    <row r="60" spans="1:6" x14ac:dyDescent="0.25">
      <c r="A60" s="39"/>
      <c r="B60" s="41" t="s">
        <v>29</v>
      </c>
      <c r="C60" s="38">
        <f>C59+C35</f>
        <v>25421.739999999994</v>
      </c>
      <c r="D60" s="38"/>
      <c r="E60" s="38">
        <f>E59+E35</f>
        <v>9414</v>
      </c>
      <c r="F60" s="38">
        <f>F59+F35</f>
        <v>18828</v>
      </c>
    </row>
    <row r="61" spans="1:6" x14ac:dyDescent="0.35">
      <c r="A61" s="16"/>
      <c r="B61" s="26"/>
    </row>
    <row r="62" spans="1:6" ht="15" customHeight="1" x14ac:dyDescent="0.25">
      <c r="A62" s="321" t="s">
        <v>57</v>
      </c>
      <c r="B62" s="321"/>
      <c r="C62" s="20">
        <v>330</v>
      </c>
      <c r="D62" s="20"/>
      <c r="E62" s="68">
        <v>100</v>
      </c>
      <c r="F62" s="68">
        <v>200</v>
      </c>
    </row>
    <row r="63" spans="1:6" ht="15" customHeight="1" x14ac:dyDescent="0.3">
      <c r="A63" s="321" t="s">
        <v>58</v>
      </c>
      <c r="B63" s="321"/>
      <c r="C63" s="24">
        <f>C60/C62</f>
        <v>77.035575757575742</v>
      </c>
      <c r="D63" s="24"/>
      <c r="E63" s="69">
        <f>E60/E62</f>
        <v>94.14</v>
      </c>
      <c r="F63" s="69">
        <f>F60/F62</f>
        <v>94.14</v>
      </c>
    </row>
    <row r="64" spans="1:6" x14ac:dyDescent="0.35">
      <c r="A64" s="26"/>
      <c r="B64" s="27"/>
    </row>
    <row r="65" spans="1:6" x14ac:dyDescent="0.35">
      <c r="A65" s="332" t="s">
        <v>33</v>
      </c>
      <c r="B65" s="333"/>
      <c r="C65" s="28"/>
      <c r="D65" s="28"/>
      <c r="E65" s="28"/>
      <c r="F65" s="28"/>
    </row>
    <row r="66" spans="1:6" x14ac:dyDescent="0.35">
      <c r="A66" s="332" t="s">
        <v>64</v>
      </c>
      <c r="B66" s="333"/>
      <c r="C66" s="28"/>
      <c r="D66" s="28"/>
      <c r="E66" s="28"/>
      <c r="F66" s="28"/>
    </row>
    <row r="67" spans="1:6" x14ac:dyDescent="0.35">
      <c r="A67" s="29"/>
      <c r="B67" s="29"/>
      <c r="C67" s="29"/>
      <c r="D67" s="29"/>
      <c r="E67" s="29"/>
      <c r="F67" s="29"/>
    </row>
    <row r="68" spans="1:6" x14ac:dyDescent="0.35">
      <c r="A68" s="29" t="s">
        <v>34</v>
      </c>
      <c r="B68" s="29"/>
      <c r="C68" s="29"/>
      <c r="D68" s="29"/>
      <c r="E68" s="29"/>
      <c r="F68" s="29"/>
    </row>
    <row r="69" spans="1:6" x14ac:dyDescent="0.35">
      <c r="A69" s="29"/>
      <c r="B69" s="29"/>
      <c r="C69" s="29"/>
      <c r="D69" s="29"/>
      <c r="E69" s="29"/>
      <c r="F69" s="29"/>
    </row>
    <row r="70" spans="1:6" x14ac:dyDescent="0.35">
      <c r="A70" s="29" t="s">
        <v>179</v>
      </c>
      <c r="B70" s="30"/>
      <c r="C70" s="29"/>
      <c r="D70" s="29"/>
      <c r="E70" s="84"/>
      <c r="F70" s="84"/>
    </row>
    <row r="71" spans="1:6" ht="12" customHeight="1" x14ac:dyDescent="0.35">
      <c r="A71" s="29"/>
      <c r="B71" s="31"/>
      <c r="C71" s="29"/>
      <c r="D71" s="29"/>
      <c r="E71" s="29"/>
      <c r="F71" s="29"/>
    </row>
    <row r="72" spans="1:6" ht="13.5" customHeight="1" x14ac:dyDescent="0.35"/>
    <row r="87" spans="8:9" x14ac:dyDescent="0.35">
      <c r="H87" s="2"/>
      <c r="I87" s="2"/>
    </row>
    <row r="88" spans="8:9" x14ac:dyDescent="0.35">
      <c r="H88" s="2"/>
      <c r="I88" s="2"/>
    </row>
    <row r="89" spans="8:9" x14ac:dyDescent="0.35">
      <c r="H89" s="2"/>
      <c r="I89" s="2"/>
    </row>
    <row r="90" spans="8:9" x14ac:dyDescent="0.35">
      <c r="H90" s="2"/>
      <c r="I90" s="2"/>
    </row>
    <row r="91" spans="8:9" x14ac:dyDescent="0.35">
      <c r="H91" s="2"/>
      <c r="I91" s="2"/>
    </row>
    <row r="92" spans="8:9" x14ac:dyDescent="0.35">
      <c r="H92" s="2"/>
      <c r="I92" s="2"/>
    </row>
    <row r="93" spans="8:9" x14ac:dyDescent="0.35">
      <c r="H93" s="2"/>
      <c r="I93" s="2"/>
    </row>
  </sheetData>
  <mergeCells count="8">
    <mergeCell ref="A65:B65"/>
    <mergeCell ref="A66:B66"/>
    <mergeCell ref="A7:C7"/>
    <mergeCell ref="A9:B9"/>
    <mergeCell ref="A10:B10"/>
    <mergeCell ref="B12:C12"/>
    <mergeCell ref="A62:B62"/>
    <mergeCell ref="A63:B63"/>
  </mergeCells>
  <pageMargins left="0.70866141732283472" right="0.70866141732283472" top="0.74803149606299213" bottom="0.46666666666666667" header="0.31496062992125984" footer="0.31496062992125984"/>
  <pageSetup paperSize="9" scale="64" orientation="portrait" r:id="rId1"/>
  <headerFooter>
    <oddFooter>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"/>
  <sheetViews>
    <sheetView view="pageLayout" topLeftCell="A8" zoomScale="80" zoomScaleNormal="100" zoomScalePageLayoutView="80" workbookViewId="0">
      <selection activeCell="B16" sqref="B16"/>
    </sheetView>
  </sheetViews>
  <sheetFormatPr defaultColWidth="9.1796875" defaultRowHeight="15.5" x14ac:dyDescent="0.35"/>
  <cols>
    <col min="1" max="1" width="16.81640625" style="14" customWidth="1"/>
    <col min="2" max="2" width="88.81640625" style="14" customWidth="1"/>
    <col min="3" max="3" width="9.7265625" style="14" hidden="1" customWidth="1"/>
    <col min="4" max="4" width="28.26953125" style="138" customWidth="1"/>
    <col min="5" max="16384" width="9.1796875" style="7"/>
  </cols>
  <sheetData>
    <row r="1" spans="1:4" ht="20.25" customHeight="1" x14ac:dyDescent="0.35">
      <c r="D1" s="18" t="s">
        <v>10</v>
      </c>
    </row>
    <row r="2" spans="1:4" ht="20.25" customHeight="1" x14ac:dyDescent="0.35">
      <c r="D2" s="15" t="s">
        <v>32</v>
      </c>
    </row>
    <row r="3" spans="1:4" ht="20.25" customHeight="1" x14ac:dyDescent="0.35">
      <c r="D3" s="80" t="s">
        <v>66</v>
      </c>
    </row>
    <row r="4" spans="1:4" x14ac:dyDescent="0.35">
      <c r="D4" s="64"/>
    </row>
    <row r="5" spans="1:4" x14ac:dyDescent="0.35">
      <c r="B5" s="18"/>
      <c r="C5" s="18"/>
      <c r="D5" s="16" t="s">
        <v>230</v>
      </c>
    </row>
    <row r="6" spans="1:4" ht="9.75" customHeight="1" x14ac:dyDescent="0.35"/>
    <row r="7" spans="1:4" ht="15" x14ac:dyDescent="0.3">
      <c r="A7" s="318" t="s">
        <v>9</v>
      </c>
      <c r="B7" s="318"/>
      <c r="C7" s="73"/>
      <c r="D7" s="156"/>
    </row>
    <row r="8" spans="1:4" ht="12" customHeight="1" x14ac:dyDescent="0.35">
      <c r="B8" s="19"/>
      <c r="C8" s="19"/>
    </row>
    <row r="9" spans="1:4" ht="15" customHeight="1" x14ac:dyDescent="0.35">
      <c r="A9" s="321" t="s">
        <v>1</v>
      </c>
      <c r="B9" s="321"/>
      <c r="C9" s="12"/>
    </row>
    <row r="10" spans="1:4" ht="15" customHeight="1" x14ac:dyDescent="0.35">
      <c r="A10" s="321" t="s">
        <v>0</v>
      </c>
      <c r="B10" s="321"/>
      <c r="C10" s="12"/>
    </row>
    <row r="11" spans="1:4" x14ac:dyDescent="0.35">
      <c r="A11" s="12"/>
      <c r="B11" s="12" t="s">
        <v>181</v>
      </c>
      <c r="C11" s="12"/>
    </row>
    <row r="12" spans="1:4" x14ac:dyDescent="0.25">
      <c r="A12" s="12"/>
      <c r="B12" s="12" t="s">
        <v>212</v>
      </c>
      <c r="C12" s="12"/>
      <c r="D12" s="156"/>
    </row>
    <row r="13" spans="1:4" x14ac:dyDescent="0.25">
      <c r="A13" s="12"/>
      <c r="B13" s="12" t="s">
        <v>233</v>
      </c>
      <c r="C13" s="12"/>
      <c r="D13" s="156"/>
    </row>
    <row r="14" spans="1:4" x14ac:dyDescent="0.35">
      <c r="A14" s="12" t="s">
        <v>2</v>
      </c>
      <c r="B14" s="12" t="s">
        <v>170</v>
      </c>
      <c r="C14" s="12"/>
    </row>
    <row r="15" spans="1:4" hidden="1" x14ac:dyDescent="0.35">
      <c r="B15" s="139"/>
      <c r="C15" s="139"/>
    </row>
    <row r="16" spans="1:4" ht="62.25" customHeight="1" x14ac:dyDescent="0.25">
      <c r="A16" s="52" t="s">
        <v>3</v>
      </c>
      <c r="B16" s="52" t="s">
        <v>4</v>
      </c>
      <c r="C16" s="52"/>
      <c r="D16" s="52" t="s">
        <v>63</v>
      </c>
    </row>
    <row r="17" spans="1:6" ht="15" x14ac:dyDescent="0.25">
      <c r="A17" s="21">
        <v>1</v>
      </c>
      <c r="B17" s="22">
        <v>2</v>
      </c>
      <c r="C17" s="22"/>
      <c r="D17" s="21">
        <v>3</v>
      </c>
    </row>
    <row r="18" spans="1:6" x14ac:dyDescent="0.25">
      <c r="A18" s="42"/>
      <c r="B18" s="40" t="s">
        <v>5</v>
      </c>
      <c r="C18" s="40"/>
      <c r="D18" s="36"/>
    </row>
    <row r="19" spans="1:6" x14ac:dyDescent="0.35">
      <c r="A19" s="32">
        <v>1100</v>
      </c>
      <c r="B19" s="32" t="s">
        <v>133</v>
      </c>
      <c r="C19" s="32"/>
      <c r="D19" s="136">
        <v>315.42</v>
      </c>
    </row>
    <row r="20" spans="1:6" x14ac:dyDescent="0.35">
      <c r="A20" s="32">
        <v>1200</v>
      </c>
      <c r="B20" s="62" t="s">
        <v>134</v>
      </c>
      <c r="C20" s="62"/>
      <c r="D20" s="136">
        <v>74.41</v>
      </c>
    </row>
    <row r="21" spans="1:6" ht="15.75" customHeight="1" x14ac:dyDescent="0.35">
      <c r="A21" s="32">
        <v>2210</v>
      </c>
      <c r="B21" s="63" t="s">
        <v>121</v>
      </c>
      <c r="C21" s="63"/>
      <c r="D21" s="136">
        <v>15.55</v>
      </c>
    </row>
    <row r="22" spans="1:6" ht="15.75" customHeight="1" x14ac:dyDescent="0.35">
      <c r="A22" s="32">
        <v>2222</v>
      </c>
      <c r="B22" s="63" t="s">
        <v>136</v>
      </c>
      <c r="C22" s="63"/>
      <c r="D22" s="136">
        <v>355.42</v>
      </c>
    </row>
    <row r="23" spans="1:6" ht="15.75" customHeight="1" x14ac:dyDescent="0.35">
      <c r="A23" s="32">
        <v>2223</v>
      </c>
      <c r="B23" s="33" t="s">
        <v>137</v>
      </c>
      <c r="C23" s="33"/>
      <c r="D23" s="136">
        <v>816.03</v>
      </c>
    </row>
    <row r="24" spans="1:6" x14ac:dyDescent="0.35">
      <c r="A24" s="32">
        <v>2243</v>
      </c>
      <c r="B24" s="154" t="s">
        <v>138</v>
      </c>
      <c r="C24" s="154"/>
      <c r="D24" s="136">
        <v>17.149999999999999</v>
      </c>
      <c r="F24" s="151"/>
    </row>
    <row r="25" spans="1:6" x14ac:dyDescent="0.35">
      <c r="A25" s="32">
        <v>2244</v>
      </c>
      <c r="B25" s="23" t="s">
        <v>139</v>
      </c>
      <c r="C25" s="23"/>
      <c r="D25" s="136">
        <v>236.6</v>
      </c>
    </row>
    <row r="26" spans="1:6" x14ac:dyDescent="0.35">
      <c r="A26" s="32">
        <v>2263</v>
      </c>
      <c r="B26" s="33" t="s">
        <v>150</v>
      </c>
      <c r="C26" s="33"/>
      <c r="D26" s="136">
        <v>127.08</v>
      </c>
    </row>
    <row r="27" spans="1:6" x14ac:dyDescent="0.35">
      <c r="A27" s="32">
        <v>2312</v>
      </c>
      <c r="B27" s="33" t="s">
        <v>117</v>
      </c>
      <c r="C27" s="33"/>
      <c r="D27" s="136">
        <v>54.63</v>
      </c>
    </row>
    <row r="28" spans="1:6" x14ac:dyDescent="0.35">
      <c r="A28" s="32">
        <v>2321</v>
      </c>
      <c r="B28" s="33" t="s">
        <v>140</v>
      </c>
      <c r="C28" s="33"/>
      <c r="D28" s="136">
        <v>751.51</v>
      </c>
    </row>
    <row r="29" spans="1:6" x14ac:dyDescent="0.35">
      <c r="A29" s="32">
        <v>2350</v>
      </c>
      <c r="B29" s="62" t="s">
        <v>126</v>
      </c>
      <c r="C29" s="62"/>
      <c r="D29" s="136">
        <v>45.67</v>
      </c>
    </row>
    <row r="30" spans="1:6" x14ac:dyDescent="0.35">
      <c r="A30" s="145">
        <v>2361</v>
      </c>
      <c r="B30" s="33" t="s">
        <v>142</v>
      </c>
      <c r="C30" s="33"/>
      <c r="D30" s="136">
        <v>66.709999999999994</v>
      </c>
    </row>
    <row r="31" spans="1:6" x14ac:dyDescent="0.35">
      <c r="A31" s="32">
        <v>2513</v>
      </c>
      <c r="B31" s="62" t="s">
        <v>122</v>
      </c>
      <c r="C31" s="62"/>
      <c r="D31" s="136">
        <v>43.04</v>
      </c>
    </row>
    <row r="32" spans="1:6" x14ac:dyDescent="0.35">
      <c r="A32" s="32">
        <v>2519</v>
      </c>
      <c r="B32" s="33" t="s">
        <v>123</v>
      </c>
      <c r="C32" s="33"/>
      <c r="D32" s="136">
        <v>30.48</v>
      </c>
    </row>
    <row r="33" spans="1:5" x14ac:dyDescent="0.25">
      <c r="A33" s="32"/>
      <c r="B33" s="37" t="s">
        <v>6</v>
      </c>
      <c r="C33" s="37"/>
      <c r="D33" s="38">
        <f>SUM(D19:D32)</f>
        <v>2949.7000000000003</v>
      </c>
    </row>
    <row r="34" spans="1:5" x14ac:dyDescent="0.25">
      <c r="A34" s="39"/>
      <c r="B34" s="32" t="s">
        <v>7</v>
      </c>
      <c r="C34" s="32"/>
      <c r="D34" s="34"/>
    </row>
    <row r="35" spans="1:5" x14ac:dyDescent="0.35">
      <c r="A35" s="32">
        <v>1100</v>
      </c>
      <c r="B35" s="32" t="s">
        <v>133</v>
      </c>
      <c r="C35" s="32">
        <v>0.50648000000000004</v>
      </c>
      <c r="D35" s="136">
        <v>345.76</v>
      </c>
    </row>
    <row r="36" spans="1:5" ht="15.75" customHeight="1" x14ac:dyDescent="0.35">
      <c r="A36" s="32">
        <v>1200</v>
      </c>
      <c r="B36" s="62" t="s">
        <v>134</v>
      </c>
      <c r="C36" s="32">
        <f>C35*0.2359</f>
        <v>0.11947863200000002</v>
      </c>
      <c r="D36" s="136">
        <v>81.56</v>
      </c>
    </row>
    <row r="37" spans="1:5" ht="15.75" customHeight="1" x14ac:dyDescent="0.35">
      <c r="A37" s="32">
        <v>2210</v>
      </c>
      <c r="B37" s="63" t="s">
        <v>121</v>
      </c>
      <c r="C37" s="32">
        <v>4.6800000000000001E-3</v>
      </c>
      <c r="D37" s="136">
        <v>2.83</v>
      </c>
    </row>
    <row r="38" spans="1:5" ht="30" customHeight="1" x14ac:dyDescent="0.35">
      <c r="A38" s="32">
        <v>2224</v>
      </c>
      <c r="B38" s="63" t="s">
        <v>175</v>
      </c>
      <c r="C38" s="63">
        <v>0.24299999999999999</v>
      </c>
      <c r="D38" s="136">
        <v>9.7200000000000006</v>
      </c>
      <c r="E38" s="151"/>
    </row>
    <row r="39" spans="1:5" ht="15.75" customHeight="1" x14ac:dyDescent="0.35">
      <c r="A39" s="32">
        <v>2239</v>
      </c>
      <c r="B39" s="33" t="s">
        <v>173</v>
      </c>
      <c r="C39" s="32">
        <v>5.8100000000000001E-3</v>
      </c>
      <c r="D39" s="136">
        <v>3.51</v>
      </c>
    </row>
    <row r="40" spans="1:5" x14ac:dyDescent="0.35">
      <c r="A40" s="32">
        <v>2241</v>
      </c>
      <c r="B40" s="23" t="s">
        <v>124</v>
      </c>
      <c r="C40" s="32">
        <v>9.7119999999999998E-2</v>
      </c>
      <c r="D40" s="136">
        <v>58.67</v>
      </c>
    </row>
    <row r="41" spans="1:5" x14ac:dyDescent="0.35">
      <c r="A41" s="32">
        <v>2242</v>
      </c>
      <c r="B41" s="33" t="s">
        <v>146</v>
      </c>
      <c r="C41" s="32">
        <v>4.7299999999999998E-3</v>
      </c>
      <c r="D41" s="136">
        <v>2.86</v>
      </c>
    </row>
    <row r="42" spans="1:5" x14ac:dyDescent="0.35">
      <c r="A42" s="32">
        <v>2243</v>
      </c>
      <c r="B42" s="33" t="s">
        <v>138</v>
      </c>
      <c r="C42" s="32">
        <f>0.00571+0.03045</f>
        <v>3.6159999999999998E-2</v>
      </c>
      <c r="D42" s="136">
        <v>21.85</v>
      </c>
    </row>
    <row r="43" spans="1:5" x14ac:dyDescent="0.35">
      <c r="A43" s="32">
        <v>2244</v>
      </c>
      <c r="B43" s="23" t="s">
        <v>139</v>
      </c>
      <c r="C43" s="32">
        <v>1.3500000000000001E-3</v>
      </c>
      <c r="D43" s="136">
        <f>0.82+6.19</f>
        <v>7.0100000000000007</v>
      </c>
    </row>
    <row r="44" spans="1:5" x14ac:dyDescent="0.35">
      <c r="A44" s="32">
        <v>2249</v>
      </c>
      <c r="B44" s="23" t="s">
        <v>172</v>
      </c>
      <c r="C44" s="32">
        <v>1.24E-3</v>
      </c>
      <c r="D44" s="136">
        <v>0.75</v>
      </c>
    </row>
    <row r="45" spans="1:5" x14ac:dyDescent="0.35">
      <c r="A45" s="32">
        <v>2250</v>
      </c>
      <c r="B45" s="23" t="s">
        <v>125</v>
      </c>
      <c r="C45" s="32">
        <v>1.0880000000000001E-2</v>
      </c>
      <c r="D45" s="136">
        <v>6.57</v>
      </c>
    </row>
    <row r="46" spans="1:5" x14ac:dyDescent="0.35">
      <c r="A46" s="32">
        <v>2262</v>
      </c>
      <c r="B46" s="33" t="s">
        <v>149</v>
      </c>
      <c r="C46" s="32">
        <v>1.129E-2</v>
      </c>
      <c r="D46" s="136">
        <v>6.82</v>
      </c>
    </row>
    <row r="47" spans="1:5" x14ac:dyDescent="0.35">
      <c r="A47" s="32">
        <v>2264</v>
      </c>
      <c r="B47" s="33" t="s">
        <v>174</v>
      </c>
      <c r="C47" s="32">
        <v>1.1E-4</v>
      </c>
      <c r="D47" s="136">
        <v>7.0000000000000007E-2</v>
      </c>
    </row>
    <row r="48" spans="1:5" x14ac:dyDescent="0.35">
      <c r="A48" s="32">
        <v>2311</v>
      </c>
      <c r="B48" s="33" t="s">
        <v>152</v>
      </c>
      <c r="C48" s="32">
        <v>6.1700000000000001E-3</v>
      </c>
      <c r="D48" s="136">
        <v>3.72</v>
      </c>
    </row>
    <row r="49" spans="1:4" hidden="1" x14ac:dyDescent="0.35">
      <c r="A49" s="32">
        <v>2312</v>
      </c>
      <c r="B49" s="33" t="s">
        <v>117</v>
      </c>
      <c r="C49" s="32">
        <v>1.025E-2</v>
      </c>
      <c r="D49" s="136">
        <v>0</v>
      </c>
    </row>
    <row r="50" spans="1:4" x14ac:dyDescent="0.35">
      <c r="A50" s="32">
        <v>2322</v>
      </c>
      <c r="B50" s="33" t="s">
        <v>154</v>
      </c>
      <c r="C50" s="32">
        <v>4.1999999999999997E-3</v>
      </c>
      <c r="D50" s="136">
        <v>3.67</v>
      </c>
    </row>
    <row r="51" spans="1:4" x14ac:dyDescent="0.35">
      <c r="A51" s="32">
        <v>2350</v>
      </c>
      <c r="B51" s="62" t="s">
        <v>126</v>
      </c>
      <c r="C51" s="32">
        <v>2.895E-2</v>
      </c>
      <c r="D51" s="136">
        <v>17.440000000000001</v>
      </c>
    </row>
    <row r="52" spans="1:4" x14ac:dyDescent="0.35">
      <c r="A52" s="32">
        <v>2515</v>
      </c>
      <c r="B52" s="33" t="s">
        <v>156</v>
      </c>
      <c r="C52" s="155">
        <v>2E-3</v>
      </c>
      <c r="D52" s="136">
        <v>1.21</v>
      </c>
    </row>
    <row r="53" spans="1:4" x14ac:dyDescent="0.35">
      <c r="A53" s="32">
        <v>2519</v>
      </c>
      <c r="B53" s="33" t="s">
        <v>123</v>
      </c>
      <c r="C53" s="155">
        <v>1E-4</v>
      </c>
      <c r="D53" s="136">
        <v>0.06</v>
      </c>
    </row>
    <row r="54" spans="1:4" x14ac:dyDescent="0.35">
      <c r="A54" s="32">
        <v>5238</v>
      </c>
      <c r="B54" s="62" t="s">
        <v>130</v>
      </c>
      <c r="C54" s="155">
        <v>1.34E-2</v>
      </c>
      <c r="D54" s="136">
        <v>8.1</v>
      </c>
    </row>
    <row r="55" spans="1:4" x14ac:dyDescent="0.35">
      <c r="A55" s="32">
        <v>5239</v>
      </c>
      <c r="B55" s="62" t="s">
        <v>131</v>
      </c>
      <c r="C55" s="155">
        <v>7.7499999999999999E-2</v>
      </c>
      <c r="D55" s="136">
        <v>46.82</v>
      </c>
    </row>
    <row r="56" spans="1:4" x14ac:dyDescent="0.35">
      <c r="A56" s="32">
        <v>5250</v>
      </c>
      <c r="B56" s="33" t="s">
        <v>132</v>
      </c>
      <c r="C56" s="155">
        <v>5.8099999999999999E-2</v>
      </c>
      <c r="D56" s="136">
        <v>35.1</v>
      </c>
    </row>
    <row r="57" spans="1:4" x14ac:dyDescent="0.25">
      <c r="A57" s="39"/>
      <c r="B57" s="41" t="s">
        <v>8</v>
      </c>
      <c r="C57" s="158">
        <f>SUM(C35:C56)</f>
        <v>1.2429986320000002</v>
      </c>
      <c r="D57" s="38">
        <f>SUM(D35:D56)</f>
        <v>664.10000000000025</v>
      </c>
    </row>
    <row r="58" spans="1:4" x14ac:dyDescent="0.25">
      <c r="A58" s="39"/>
      <c r="B58" s="41" t="s">
        <v>29</v>
      </c>
      <c r="C58" s="41"/>
      <c r="D58" s="140">
        <f>D33+D57</f>
        <v>3613.8000000000006</v>
      </c>
    </row>
    <row r="59" spans="1:4" ht="15" customHeight="1" x14ac:dyDescent="0.35">
      <c r="A59" s="16"/>
      <c r="B59" s="26"/>
      <c r="C59" s="26"/>
      <c r="D59" s="163"/>
    </row>
    <row r="60" spans="1:4" ht="15" customHeight="1" x14ac:dyDescent="0.25">
      <c r="A60" s="321" t="s">
        <v>57</v>
      </c>
      <c r="B60" s="321"/>
      <c r="C60" s="12"/>
      <c r="D60" s="162">
        <v>20</v>
      </c>
    </row>
    <row r="61" spans="1:4" ht="18.75" customHeight="1" x14ac:dyDescent="0.3">
      <c r="A61" s="321" t="s">
        <v>58</v>
      </c>
      <c r="B61" s="321"/>
      <c r="C61" s="12"/>
      <c r="D61" s="69">
        <f>D58/D60</f>
        <v>180.69000000000003</v>
      </c>
    </row>
    <row r="62" spans="1:4" x14ac:dyDescent="0.35">
      <c r="A62" s="26"/>
      <c r="B62" s="27"/>
      <c r="C62" s="27"/>
      <c r="D62" s="27"/>
    </row>
    <row r="63" spans="1:4" x14ac:dyDescent="0.35">
      <c r="A63" s="332" t="s">
        <v>33</v>
      </c>
      <c r="B63" s="333"/>
      <c r="C63" s="146"/>
      <c r="D63" s="165"/>
    </row>
    <row r="64" spans="1:4" x14ac:dyDescent="0.35">
      <c r="A64" s="332" t="s">
        <v>64</v>
      </c>
      <c r="B64" s="333"/>
      <c r="C64" s="146"/>
      <c r="D64" s="141"/>
    </row>
    <row r="65" spans="1:4" ht="14.25" customHeight="1" x14ac:dyDescent="0.35">
      <c r="A65" s="29"/>
      <c r="B65" s="29"/>
      <c r="C65" s="29"/>
      <c r="D65" s="164"/>
    </row>
    <row r="66" spans="1:4" x14ac:dyDescent="0.35">
      <c r="A66" s="29" t="s">
        <v>34</v>
      </c>
      <c r="B66" s="29"/>
      <c r="C66" s="29"/>
      <c r="D66" s="157"/>
    </row>
    <row r="67" spans="1:4" x14ac:dyDescent="0.35">
      <c r="A67" s="29"/>
      <c r="B67" s="29"/>
      <c r="C67" s="29"/>
      <c r="D67" s="31"/>
    </row>
    <row r="68" spans="1:4" x14ac:dyDescent="0.35">
      <c r="A68" s="29" t="s">
        <v>179</v>
      </c>
      <c r="B68" s="30"/>
      <c r="C68" s="30"/>
      <c r="D68" s="157"/>
    </row>
    <row r="69" spans="1:4" x14ac:dyDescent="0.35">
      <c r="A69" s="29"/>
      <c r="B69" s="31"/>
      <c r="C69" s="31"/>
      <c r="D69" s="31"/>
    </row>
  </sheetData>
  <mergeCells count="7">
    <mergeCell ref="A63:B63"/>
    <mergeCell ref="A7:B7"/>
    <mergeCell ref="A9:B9"/>
    <mergeCell ref="A10:B10"/>
    <mergeCell ref="A64:B64"/>
    <mergeCell ref="A60:B60"/>
    <mergeCell ref="A61:B61"/>
  </mergeCells>
  <pageMargins left="0.70866141732283472" right="0.70866141732283472" top="0.69" bottom="0.5395833333333333" header="0.31496062992125984" footer="0.31496062992125984"/>
  <pageSetup paperSize="9" scale="66" orientation="portrait" r:id="rId1"/>
  <headerFooter>
    <oddFooter>&amp;C&amp;"Times New Roman,Regular"&amp;F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1"/>
  <sheetViews>
    <sheetView view="pageLayout" zoomScale="80" zoomScaleNormal="100" zoomScalePageLayoutView="80" workbookViewId="0">
      <selection activeCell="B24" sqref="B24"/>
    </sheetView>
  </sheetViews>
  <sheetFormatPr defaultColWidth="9.1796875" defaultRowHeight="15.5" x14ac:dyDescent="0.35"/>
  <cols>
    <col min="1" max="1" width="11.54296875" style="14" customWidth="1"/>
    <col min="2" max="2" width="94.453125" style="14" customWidth="1"/>
    <col min="3" max="3" width="36.1796875" style="14" hidden="1" customWidth="1"/>
    <col min="4" max="4" width="32.26953125" style="14" hidden="1" customWidth="1"/>
    <col min="5" max="5" width="31.7265625" style="14" customWidth="1"/>
    <col min="6" max="16384" width="9.1796875" style="7"/>
  </cols>
  <sheetData>
    <row r="1" spans="1:7" x14ac:dyDescent="0.35">
      <c r="C1" s="54" t="s">
        <v>10</v>
      </c>
      <c r="D1" s="18" t="s">
        <v>10</v>
      </c>
      <c r="E1" s="18" t="s">
        <v>10</v>
      </c>
    </row>
    <row r="2" spans="1:7" x14ac:dyDescent="0.35">
      <c r="C2" s="55" t="s">
        <v>32</v>
      </c>
      <c r="D2" s="15" t="s">
        <v>32</v>
      </c>
      <c r="E2" s="15" t="s">
        <v>32</v>
      </c>
    </row>
    <row r="3" spans="1:7" x14ac:dyDescent="0.35">
      <c r="C3" s="56" t="s">
        <v>66</v>
      </c>
      <c r="D3" s="80" t="s">
        <v>66</v>
      </c>
      <c r="E3" s="80" t="s">
        <v>66</v>
      </c>
    </row>
    <row r="4" spans="1:7" x14ac:dyDescent="0.35">
      <c r="C4" s="55"/>
      <c r="D4" s="64"/>
      <c r="E4" s="64"/>
    </row>
    <row r="5" spans="1:7" x14ac:dyDescent="0.35">
      <c r="C5" s="55" t="s">
        <v>67</v>
      </c>
      <c r="D5" s="16" t="s">
        <v>180</v>
      </c>
      <c r="E5" s="16" t="s">
        <v>230</v>
      </c>
    </row>
    <row r="7" spans="1:7" ht="15" x14ac:dyDescent="0.3">
      <c r="A7" s="318" t="s">
        <v>9</v>
      </c>
      <c r="B7" s="318"/>
      <c r="C7" s="318"/>
      <c r="D7" s="7"/>
      <c r="E7" s="7"/>
    </row>
    <row r="8" spans="1:7" x14ac:dyDescent="0.35">
      <c r="B8" s="19"/>
    </row>
    <row r="9" spans="1:7" x14ac:dyDescent="0.35">
      <c r="A9" s="321" t="s">
        <v>1</v>
      </c>
      <c r="B9" s="321"/>
    </row>
    <row r="10" spans="1:7" x14ac:dyDescent="0.35">
      <c r="A10" s="321" t="s">
        <v>0</v>
      </c>
      <c r="B10" s="321"/>
    </row>
    <row r="11" spans="1:7" x14ac:dyDescent="0.35">
      <c r="A11" s="12"/>
      <c r="B11" s="12" t="s">
        <v>181</v>
      </c>
    </row>
    <row r="12" spans="1:7" x14ac:dyDescent="0.25">
      <c r="A12" s="12"/>
      <c r="B12" s="321" t="s">
        <v>237</v>
      </c>
      <c r="C12" s="321"/>
      <c r="D12" s="7"/>
      <c r="E12" s="7"/>
      <c r="F12" s="53"/>
      <c r="G12" s="53"/>
    </row>
    <row r="13" spans="1:7" x14ac:dyDescent="0.25">
      <c r="A13" s="12"/>
      <c r="B13" s="12" t="s">
        <v>234</v>
      </c>
      <c r="C13" s="12"/>
      <c r="D13" s="7"/>
      <c r="E13" s="7"/>
      <c r="F13" s="53"/>
      <c r="G13" s="53"/>
    </row>
    <row r="14" spans="1:7" x14ac:dyDescent="0.35">
      <c r="A14" s="12" t="s">
        <v>2</v>
      </c>
      <c r="B14" s="12" t="str">
        <f>'4.4.2.'!B14</f>
        <v>2023.gadā un turpmāk</v>
      </c>
    </row>
    <row r="15" spans="1:7" hidden="1" x14ac:dyDescent="0.35">
      <c r="B15" s="139"/>
    </row>
    <row r="16" spans="1:7" ht="62" x14ac:dyDescent="0.25">
      <c r="A16" s="52" t="s">
        <v>3</v>
      </c>
      <c r="B16" s="52" t="s">
        <v>4</v>
      </c>
      <c r="C16" s="52" t="s">
        <v>63</v>
      </c>
      <c r="D16" s="52" t="s">
        <v>63</v>
      </c>
      <c r="E16" s="52" t="s">
        <v>63</v>
      </c>
    </row>
    <row r="17" spans="1:5" ht="15" x14ac:dyDescent="0.25">
      <c r="A17" s="21">
        <v>1</v>
      </c>
      <c r="B17" s="22">
        <v>2</v>
      </c>
      <c r="C17" s="21">
        <v>4</v>
      </c>
      <c r="D17" s="21">
        <v>3</v>
      </c>
      <c r="E17" s="21">
        <v>3</v>
      </c>
    </row>
    <row r="18" spans="1:5" x14ac:dyDescent="0.25">
      <c r="A18" s="42"/>
      <c r="B18" s="40" t="s">
        <v>5</v>
      </c>
      <c r="C18" s="32"/>
      <c r="D18" s="32"/>
      <c r="E18" s="32"/>
    </row>
    <row r="19" spans="1:5" x14ac:dyDescent="0.25">
      <c r="A19" s="32">
        <v>1100</v>
      </c>
      <c r="B19" s="32" t="s">
        <v>133</v>
      </c>
      <c r="C19" s="34">
        <v>2493.25</v>
      </c>
      <c r="D19" s="34">
        <v>701.52</v>
      </c>
      <c r="E19" s="34">
        <f>D19/100*200</f>
        <v>1403.04</v>
      </c>
    </row>
    <row r="20" spans="1:5" ht="15.75" customHeight="1" x14ac:dyDescent="0.35">
      <c r="A20" s="32">
        <v>1200</v>
      </c>
      <c r="B20" s="62" t="s">
        <v>134</v>
      </c>
      <c r="C20" s="34">
        <v>588.16</v>
      </c>
      <c r="D20" s="34">
        <v>165.49</v>
      </c>
      <c r="E20" s="34">
        <f t="shared" ref="E20:E32" si="0">D20/100*200</f>
        <v>330.98</v>
      </c>
    </row>
    <row r="21" spans="1:5" x14ac:dyDescent="0.35">
      <c r="A21" s="32">
        <v>2210</v>
      </c>
      <c r="B21" s="63" t="s">
        <v>121</v>
      </c>
      <c r="C21" s="34">
        <v>89.93</v>
      </c>
      <c r="D21" s="34">
        <v>22.48</v>
      </c>
      <c r="E21" s="34">
        <f t="shared" si="0"/>
        <v>44.96</v>
      </c>
    </row>
    <row r="22" spans="1:5" x14ac:dyDescent="0.35">
      <c r="A22" s="32">
        <v>2222</v>
      </c>
      <c r="B22" s="63" t="s">
        <v>136</v>
      </c>
      <c r="C22" s="34">
        <v>2866.3</v>
      </c>
      <c r="D22" s="34">
        <v>824.07</v>
      </c>
      <c r="E22" s="34">
        <f t="shared" si="0"/>
        <v>1648.14</v>
      </c>
    </row>
    <row r="23" spans="1:5" x14ac:dyDescent="0.25">
      <c r="A23" s="32">
        <v>2223</v>
      </c>
      <c r="B23" s="33" t="s">
        <v>137</v>
      </c>
      <c r="C23" s="34">
        <v>1839.08</v>
      </c>
      <c r="D23" s="34">
        <v>1064.29</v>
      </c>
      <c r="E23" s="34">
        <f t="shared" si="0"/>
        <v>2128.58</v>
      </c>
    </row>
    <row r="24" spans="1:5" x14ac:dyDescent="0.25">
      <c r="A24" s="32">
        <v>2243</v>
      </c>
      <c r="B24" s="154" t="s">
        <v>138</v>
      </c>
      <c r="C24" s="34">
        <v>82.81</v>
      </c>
      <c r="D24" s="34">
        <v>20.7</v>
      </c>
      <c r="E24" s="34">
        <f t="shared" si="0"/>
        <v>41.4</v>
      </c>
    </row>
    <row r="25" spans="1:5" x14ac:dyDescent="0.35">
      <c r="A25" s="32">
        <v>2244</v>
      </c>
      <c r="B25" s="23" t="s">
        <v>139</v>
      </c>
      <c r="C25" s="34">
        <v>1810.72</v>
      </c>
      <c r="D25" s="34">
        <f>588.48</f>
        <v>588.48</v>
      </c>
      <c r="E25" s="34">
        <f t="shared" si="0"/>
        <v>1176.96</v>
      </c>
    </row>
    <row r="26" spans="1:5" x14ac:dyDescent="0.25">
      <c r="A26" s="32">
        <v>2263</v>
      </c>
      <c r="B26" s="33" t="s">
        <v>150</v>
      </c>
      <c r="C26" s="34">
        <v>767.31</v>
      </c>
      <c r="D26" s="34">
        <v>266.64</v>
      </c>
      <c r="E26" s="34">
        <f t="shared" si="0"/>
        <v>533.28</v>
      </c>
    </row>
    <row r="27" spans="1:5" x14ac:dyDescent="0.25">
      <c r="A27" s="32">
        <v>2312</v>
      </c>
      <c r="B27" s="33" t="s">
        <v>117</v>
      </c>
      <c r="C27" s="34">
        <v>229.18</v>
      </c>
      <c r="D27" s="34">
        <v>57.3</v>
      </c>
      <c r="E27" s="34">
        <f t="shared" si="0"/>
        <v>114.6</v>
      </c>
    </row>
    <row r="28" spans="1:5" x14ac:dyDescent="0.25">
      <c r="A28" s="32">
        <v>2321</v>
      </c>
      <c r="B28" s="33" t="s">
        <v>140</v>
      </c>
      <c r="C28" s="34">
        <v>4737.21</v>
      </c>
      <c r="D28" s="34">
        <v>1184.3</v>
      </c>
      <c r="E28" s="34">
        <f t="shared" si="0"/>
        <v>2368.6</v>
      </c>
    </row>
    <row r="29" spans="1:5" x14ac:dyDescent="0.35">
      <c r="A29" s="32">
        <v>2350</v>
      </c>
      <c r="B29" s="62" t="s">
        <v>126</v>
      </c>
      <c r="C29" s="34">
        <v>191.52</v>
      </c>
      <c r="D29" s="34">
        <v>47.88</v>
      </c>
      <c r="E29" s="34">
        <f t="shared" si="0"/>
        <v>95.76</v>
      </c>
    </row>
    <row r="30" spans="1:5" x14ac:dyDescent="0.25">
      <c r="A30" s="145">
        <v>2361</v>
      </c>
      <c r="B30" s="33" t="s">
        <v>142</v>
      </c>
      <c r="C30" s="34">
        <v>160.88</v>
      </c>
      <c r="D30" s="34">
        <v>51.96</v>
      </c>
      <c r="E30" s="34">
        <f t="shared" si="0"/>
        <v>103.92000000000002</v>
      </c>
    </row>
    <row r="31" spans="1:5" ht="15.75" customHeight="1" x14ac:dyDescent="0.35">
      <c r="A31" s="32">
        <v>2513</v>
      </c>
      <c r="B31" s="62" t="s">
        <v>122</v>
      </c>
      <c r="C31" s="34">
        <v>361.22</v>
      </c>
      <c r="D31" s="34">
        <v>90.31</v>
      </c>
      <c r="E31" s="34">
        <f t="shared" si="0"/>
        <v>180.62</v>
      </c>
    </row>
    <row r="32" spans="1:5" x14ac:dyDescent="0.25">
      <c r="A32" s="32">
        <v>2519</v>
      </c>
      <c r="B32" s="33" t="s">
        <v>123</v>
      </c>
      <c r="C32" s="34">
        <v>255.83</v>
      </c>
      <c r="D32" s="34">
        <v>63.96</v>
      </c>
      <c r="E32" s="34">
        <f t="shared" si="0"/>
        <v>127.92000000000002</v>
      </c>
    </row>
    <row r="33" spans="1:5" x14ac:dyDescent="0.25">
      <c r="A33" s="32"/>
      <c r="B33" s="37" t="s">
        <v>6</v>
      </c>
      <c r="C33" s="38">
        <f>SUM(C19:C32)</f>
        <v>16473.400000000001</v>
      </c>
      <c r="D33" s="38">
        <f>SUM(D19:D32)</f>
        <v>5149.38</v>
      </c>
      <c r="E33" s="38">
        <f>SUM(E19:E32)</f>
        <v>10298.76</v>
      </c>
    </row>
    <row r="34" spans="1:5" x14ac:dyDescent="0.25">
      <c r="A34" s="39"/>
      <c r="B34" s="32" t="s">
        <v>7</v>
      </c>
      <c r="C34" s="34"/>
      <c r="D34" s="34"/>
      <c r="E34" s="34"/>
    </row>
    <row r="35" spans="1:5" x14ac:dyDescent="0.25">
      <c r="A35" s="32">
        <v>1100</v>
      </c>
      <c r="B35" s="32" t="s">
        <v>133</v>
      </c>
      <c r="C35" s="34">
        <v>2577.8000000000002</v>
      </c>
      <c r="D35" s="34">
        <v>725.3</v>
      </c>
      <c r="E35" s="34">
        <f t="shared" ref="E35:E56" si="1">D35/100*200</f>
        <v>1450.6</v>
      </c>
    </row>
    <row r="36" spans="1:5" ht="15.75" customHeight="1" x14ac:dyDescent="0.35">
      <c r="A36" s="32">
        <v>1200</v>
      </c>
      <c r="B36" s="62" t="s">
        <v>134</v>
      </c>
      <c r="C36" s="34">
        <v>608.1</v>
      </c>
      <c r="D36" s="34">
        <v>171.1</v>
      </c>
      <c r="E36" s="34">
        <f t="shared" si="1"/>
        <v>342.2</v>
      </c>
    </row>
    <row r="37" spans="1:5" ht="15.75" customHeight="1" x14ac:dyDescent="0.35">
      <c r="A37" s="32">
        <v>2210</v>
      </c>
      <c r="B37" s="63" t="s">
        <v>121</v>
      </c>
      <c r="C37" s="34">
        <v>76.930000000000007</v>
      </c>
      <c r="D37" s="34">
        <v>19.23</v>
      </c>
      <c r="E37" s="34">
        <f t="shared" si="1"/>
        <v>38.46</v>
      </c>
    </row>
    <row r="38" spans="1:5" ht="31" x14ac:dyDescent="0.35">
      <c r="A38" s="32">
        <v>2224</v>
      </c>
      <c r="B38" s="63" t="s">
        <v>175</v>
      </c>
      <c r="C38" s="34"/>
      <c r="D38" s="34">
        <v>24.3</v>
      </c>
      <c r="E38" s="34">
        <f t="shared" si="1"/>
        <v>48.6</v>
      </c>
    </row>
    <row r="39" spans="1:5" ht="15.75" customHeight="1" x14ac:dyDescent="0.35">
      <c r="A39" s="32">
        <v>2241</v>
      </c>
      <c r="B39" s="23" t="s">
        <v>124</v>
      </c>
      <c r="C39" s="34">
        <v>6.45</v>
      </c>
      <c r="D39" s="34">
        <v>1.61</v>
      </c>
      <c r="E39" s="34">
        <f t="shared" si="1"/>
        <v>3.2199999999999998</v>
      </c>
    </row>
    <row r="40" spans="1:5" x14ac:dyDescent="0.25">
      <c r="A40" s="32">
        <v>2242</v>
      </c>
      <c r="B40" s="33" t="s">
        <v>146</v>
      </c>
      <c r="C40" s="34">
        <v>25.23</v>
      </c>
      <c r="D40" s="34">
        <v>6.23</v>
      </c>
      <c r="E40" s="34">
        <f t="shared" si="1"/>
        <v>12.46</v>
      </c>
    </row>
    <row r="41" spans="1:5" ht="15.75" customHeight="1" x14ac:dyDescent="0.25">
      <c r="A41" s="32">
        <v>2243</v>
      </c>
      <c r="B41" s="33" t="s">
        <v>138</v>
      </c>
      <c r="C41" s="34">
        <v>24.76</v>
      </c>
      <c r="D41" s="34">
        <v>6.19</v>
      </c>
      <c r="E41" s="34">
        <f t="shared" si="1"/>
        <v>12.38</v>
      </c>
    </row>
    <row r="42" spans="1:5" x14ac:dyDescent="0.35">
      <c r="A42" s="32">
        <v>2244</v>
      </c>
      <c r="B42" s="23" t="s">
        <v>139</v>
      </c>
      <c r="C42" s="34">
        <v>5.12</v>
      </c>
      <c r="D42" s="34">
        <f>2.67+1.85+0.13</f>
        <v>4.6499999999999995</v>
      </c>
      <c r="E42" s="34">
        <f t="shared" si="1"/>
        <v>9.2999999999999989</v>
      </c>
    </row>
    <row r="43" spans="1:5" x14ac:dyDescent="0.35">
      <c r="A43" s="32">
        <v>2249</v>
      </c>
      <c r="B43" s="23" t="s">
        <v>172</v>
      </c>
      <c r="C43" s="34">
        <v>7.3</v>
      </c>
      <c r="D43" s="34">
        <v>1.83</v>
      </c>
      <c r="E43" s="34">
        <f t="shared" si="1"/>
        <v>3.66</v>
      </c>
    </row>
    <row r="44" spans="1:5" x14ac:dyDescent="0.35">
      <c r="A44" s="32">
        <v>2250</v>
      </c>
      <c r="B44" s="23" t="s">
        <v>125</v>
      </c>
      <c r="C44" s="34">
        <v>57.1</v>
      </c>
      <c r="D44" s="34">
        <v>14.28</v>
      </c>
      <c r="E44" s="34">
        <f t="shared" si="1"/>
        <v>28.559999999999995</v>
      </c>
    </row>
    <row r="45" spans="1:5" x14ac:dyDescent="0.25">
      <c r="A45" s="32">
        <v>2262</v>
      </c>
      <c r="B45" s="33" t="s">
        <v>149</v>
      </c>
      <c r="C45" s="34">
        <v>60.05</v>
      </c>
      <c r="D45" s="34">
        <v>15</v>
      </c>
      <c r="E45" s="34">
        <f t="shared" si="1"/>
        <v>30</v>
      </c>
    </row>
    <row r="46" spans="1:5" x14ac:dyDescent="0.25">
      <c r="A46" s="32">
        <v>2264</v>
      </c>
      <c r="B46" s="33" t="s">
        <v>174</v>
      </c>
      <c r="C46" s="34">
        <v>0.47</v>
      </c>
      <c r="D46" s="34">
        <v>0.12</v>
      </c>
      <c r="E46" s="34">
        <f t="shared" si="1"/>
        <v>0.24</v>
      </c>
    </row>
    <row r="47" spans="1:5" x14ac:dyDescent="0.25">
      <c r="A47" s="32">
        <v>2311</v>
      </c>
      <c r="B47" s="33" t="s">
        <v>152</v>
      </c>
      <c r="C47" s="34">
        <v>32.92</v>
      </c>
      <c r="D47" s="34">
        <v>8.1999999999999993</v>
      </c>
      <c r="E47" s="34">
        <f t="shared" si="1"/>
        <v>16.399999999999999</v>
      </c>
    </row>
    <row r="48" spans="1:5" hidden="1" x14ac:dyDescent="0.25">
      <c r="A48" s="32">
        <v>2312</v>
      </c>
      <c r="B48" s="33" t="s">
        <v>117</v>
      </c>
      <c r="C48" s="34">
        <v>7.4</v>
      </c>
      <c r="D48" s="34">
        <v>0</v>
      </c>
      <c r="E48" s="34">
        <f t="shared" si="1"/>
        <v>0</v>
      </c>
    </row>
    <row r="49" spans="1:5" x14ac:dyDescent="0.25">
      <c r="A49" s="32">
        <v>2322</v>
      </c>
      <c r="B49" s="33" t="s">
        <v>154</v>
      </c>
      <c r="C49" s="34">
        <v>153.58000000000001</v>
      </c>
      <c r="D49" s="34">
        <v>45.97</v>
      </c>
      <c r="E49" s="34">
        <f t="shared" si="1"/>
        <v>91.94</v>
      </c>
    </row>
    <row r="50" spans="1:5" x14ac:dyDescent="0.35">
      <c r="A50" s="32">
        <v>2350</v>
      </c>
      <c r="B50" s="62" t="s">
        <v>126</v>
      </c>
      <c r="C50" s="34">
        <v>153.29</v>
      </c>
      <c r="D50" s="34">
        <v>38.32</v>
      </c>
      <c r="E50" s="34">
        <f t="shared" si="1"/>
        <v>76.64</v>
      </c>
    </row>
    <row r="51" spans="1:5" hidden="1" x14ac:dyDescent="0.25">
      <c r="A51" s="32">
        <v>2512</v>
      </c>
      <c r="B51" s="33" t="s">
        <v>30</v>
      </c>
      <c r="C51" s="34">
        <v>2579.14</v>
      </c>
      <c r="D51" s="34">
        <v>0</v>
      </c>
      <c r="E51" s="34">
        <f t="shared" si="1"/>
        <v>0</v>
      </c>
    </row>
    <row r="52" spans="1:5" x14ac:dyDescent="0.25">
      <c r="A52" s="32">
        <v>2515</v>
      </c>
      <c r="B52" s="33" t="s">
        <v>156</v>
      </c>
      <c r="C52" s="34">
        <v>10.53</v>
      </c>
      <c r="D52" s="34">
        <v>2.63</v>
      </c>
      <c r="E52" s="34">
        <f t="shared" si="1"/>
        <v>5.26</v>
      </c>
    </row>
    <row r="53" spans="1:5" x14ac:dyDescent="0.25">
      <c r="A53" s="32">
        <v>2519</v>
      </c>
      <c r="B53" s="33" t="s">
        <v>123</v>
      </c>
      <c r="C53" s="34">
        <v>0.47</v>
      </c>
      <c r="D53" s="34">
        <v>0.12</v>
      </c>
      <c r="E53" s="34">
        <f t="shared" si="1"/>
        <v>0.24</v>
      </c>
    </row>
    <row r="54" spans="1:5" x14ac:dyDescent="0.35">
      <c r="A54" s="32">
        <v>5238</v>
      </c>
      <c r="B54" s="62" t="s">
        <v>130</v>
      </c>
      <c r="C54" s="34">
        <v>371.08</v>
      </c>
      <c r="D54" s="34">
        <v>18.75</v>
      </c>
      <c r="E54" s="34">
        <f t="shared" si="1"/>
        <v>37.5</v>
      </c>
    </row>
    <row r="55" spans="1:5" x14ac:dyDescent="0.35">
      <c r="A55" s="32">
        <v>5239</v>
      </c>
      <c r="B55" s="62" t="s">
        <v>131</v>
      </c>
      <c r="C55" s="34">
        <v>74.180000000000007</v>
      </c>
      <c r="D55" s="34">
        <v>92.77</v>
      </c>
      <c r="E55" s="34">
        <f t="shared" si="1"/>
        <v>185.54</v>
      </c>
    </row>
    <row r="56" spans="1:5" x14ac:dyDescent="0.25">
      <c r="A56" s="32">
        <v>5250</v>
      </c>
      <c r="B56" s="33" t="s">
        <v>132</v>
      </c>
      <c r="C56" s="34">
        <v>327.43</v>
      </c>
      <c r="D56" s="34">
        <v>81.02</v>
      </c>
      <c r="E56" s="34">
        <f t="shared" si="1"/>
        <v>162.04</v>
      </c>
    </row>
    <row r="57" spans="1:5" x14ac:dyDescent="0.25">
      <c r="A57" s="39"/>
      <c r="B57" s="41" t="s">
        <v>8</v>
      </c>
      <c r="C57" s="38">
        <f>SUM(C35:C56)</f>
        <v>7159.33</v>
      </c>
      <c r="D57" s="38">
        <f>SUM(D35:D56)</f>
        <v>1277.6199999999999</v>
      </c>
      <c r="E57" s="38">
        <f>SUM(E35:E56)</f>
        <v>2555.2399999999998</v>
      </c>
    </row>
    <row r="58" spans="1:5" x14ac:dyDescent="0.25">
      <c r="A58" s="39"/>
      <c r="B58" s="41" t="s">
        <v>29</v>
      </c>
      <c r="C58" s="38">
        <f>C57+C33</f>
        <v>23632.730000000003</v>
      </c>
      <c r="D58" s="38">
        <f>D57+D33</f>
        <v>6427</v>
      </c>
      <c r="E58" s="38">
        <f>E57+E33</f>
        <v>12854</v>
      </c>
    </row>
    <row r="59" spans="1:5" x14ac:dyDescent="0.35">
      <c r="A59" s="16"/>
      <c r="B59" s="26"/>
      <c r="C59" s="60"/>
      <c r="D59" s="60"/>
      <c r="E59" s="60"/>
    </row>
    <row r="60" spans="1:5" ht="15.75" customHeight="1" x14ac:dyDescent="0.35">
      <c r="A60" s="321" t="s">
        <v>57</v>
      </c>
      <c r="B60" s="321"/>
      <c r="C60" s="166">
        <v>400</v>
      </c>
      <c r="D60" s="167">
        <v>100</v>
      </c>
      <c r="E60" s="167">
        <v>200</v>
      </c>
    </row>
    <row r="61" spans="1:5" ht="15.75" customHeight="1" x14ac:dyDescent="0.3">
      <c r="A61" s="321" t="s">
        <v>58</v>
      </c>
      <c r="B61" s="321"/>
      <c r="C61" s="24">
        <f>C58/C60</f>
        <v>59.081825000000009</v>
      </c>
      <c r="D61" s="69">
        <f>D58/D60</f>
        <v>64.27</v>
      </c>
      <c r="E61" s="69">
        <f>E58/E60</f>
        <v>64.27</v>
      </c>
    </row>
    <row r="62" spans="1:5" x14ac:dyDescent="0.35">
      <c r="A62" s="26"/>
      <c r="B62" s="27"/>
      <c r="C62" s="61"/>
      <c r="D62" s="61"/>
      <c r="E62" s="61"/>
    </row>
    <row r="63" spans="1:5" x14ac:dyDescent="0.35">
      <c r="A63" s="332" t="s">
        <v>33</v>
      </c>
      <c r="B63" s="333"/>
      <c r="C63" s="28"/>
      <c r="D63" s="28"/>
      <c r="E63" s="28"/>
    </row>
    <row r="64" spans="1:5" x14ac:dyDescent="0.35">
      <c r="A64" s="332" t="s">
        <v>64</v>
      </c>
      <c r="B64" s="333"/>
      <c r="C64" s="28"/>
      <c r="D64" s="28"/>
      <c r="E64" s="28"/>
    </row>
    <row r="65" spans="1:5" x14ac:dyDescent="0.35">
      <c r="A65" s="29"/>
      <c r="B65" s="29"/>
      <c r="C65" s="29"/>
      <c r="D65" s="29"/>
      <c r="E65" s="29"/>
    </row>
    <row r="66" spans="1:5" x14ac:dyDescent="0.35">
      <c r="A66" s="29" t="s">
        <v>34</v>
      </c>
      <c r="B66" s="29"/>
      <c r="C66" s="29"/>
      <c r="D66" s="29"/>
      <c r="E66" s="29"/>
    </row>
    <row r="67" spans="1:5" x14ac:dyDescent="0.35">
      <c r="A67" s="29"/>
      <c r="B67" s="29"/>
      <c r="C67" s="29"/>
      <c r="D67" s="29"/>
      <c r="E67" s="29"/>
    </row>
    <row r="68" spans="1:5" x14ac:dyDescent="0.35">
      <c r="A68" s="29" t="s">
        <v>179</v>
      </c>
      <c r="B68" s="30"/>
      <c r="C68" s="29"/>
      <c r="D68" s="29"/>
      <c r="E68" s="29"/>
    </row>
    <row r="69" spans="1:5" x14ac:dyDescent="0.35">
      <c r="A69" s="29"/>
      <c r="B69" s="31"/>
      <c r="C69" s="29"/>
      <c r="D69" s="29"/>
      <c r="E69" s="29"/>
    </row>
    <row r="85" spans="6:7" x14ac:dyDescent="0.35">
      <c r="F85" s="2"/>
      <c r="G85" s="2"/>
    </row>
    <row r="86" spans="6:7" x14ac:dyDescent="0.35">
      <c r="F86" s="2"/>
      <c r="G86" s="2"/>
    </row>
    <row r="87" spans="6:7" x14ac:dyDescent="0.35">
      <c r="F87" s="2"/>
      <c r="G87" s="2"/>
    </row>
    <row r="88" spans="6:7" x14ac:dyDescent="0.35">
      <c r="F88" s="2"/>
      <c r="G88" s="2"/>
    </row>
    <row r="89" spans="6:7" x14ac:dyDescent="0.35">
      <c r="F89" s="2"/>
      <c r="G89" s="2"/>
    </row>
    <row r="90" spans="6:7" x14ac:dyDescent="0.35">
      <c r="F90" s="2"/>
      <c r="G90" s="2"/>
    </row>
    <row r="91" spans="6:7" x14ac:dyDescent="0.35">
      <c r="F91" s="2"/>
      <c r="G91" s="2"/>
    </row>
  </sheetData>
  <mergeCells count="8">
    <mergeCell ref="A63:B63"/>
    <mergeCell ref="A64:B64"/>
    <mergeCell ref="A7:C7"/>
    <mergeCell ref="A9:B9"/>
    <mergeCell ref="A10:B10"/>
    <mergeCell ref="B12:C12"/>
    <mergeCell ref="A60:B60"/>
    <mergeCell ref="A61:B61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Footer>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0"/>
  <sheetViews>
    <sheetView view="pageLayout" topLeftCell="A2" zoomScale="80" zoomScaleNormal="100" zoomScalePageLayoutView="80" workbookViewId="0">
      <selection activeCell="B17" sqref="B17"/>
    </sheetView>
  </sheetViews>
  <sheetFormatPr defaultColWidth="9.1796875" defaultRowHeight="15.5" x14ac:dyDescent="0.35"/>
  <cols>
    <col min="1" max="1" width="17.81640625" style="14" customWidth="1"/>
    <col min="2" max="2" width="95.1796875" style="14" customWidth="1"/>
    <col min="3" max="3" width="28.54296875" style="138" customWidth="1"/>
    <col min="4" max="16384" width="9.1796875" style="7"/>
  </cols>
  <sheetData>
    <row r="1" spans="1:3" x14ac:dyDescent="0.35">
      <c r="C1" s="18" t="s">
        <v>10</v>
      </c>
    </row>
    <row r="2" spans="1:3" x14ac:dyDescent="0.35">
      <c r="C2" s="15" t="s">
        <v>32</v>
      </c>
    </row>
    <row r="3" spans="1:3" x14ac:dyDescent="0.35">
      <c r="C3" s="80" t="s">
        <v>66</v>
      </c>
    </row>
    <row r="4" spans="1:3" ht="15" customHeight="1" x14ac:dyDescent="0.35">
      <c r="C4" s="64"/>
    </row>
    <row r="5" spans="1:3" x14ac:dyDescent="0.35">
      <c r="B5" s="18"/>
      <c r="C5" s="16" t="s">
        <v>230</v>
      </c>
    </row>
    <row r="6" spans="1:3" ht="10.5" customHeight="1" x14ac:dyDescent="0.35"/>
    <row r="7" spans="1:3" x14ac:dyDescent="0.35">
      <c r="A7" s="318" t="s">
        <v>9</v>
      </c>
      <c r="B7" s="318"/>
      <c r="C7" s="142"/>
    </row>
    <row r="8" spans="1:3" ht="9" customHeight="1" x14ac:dyDescent="0.35">
      <c r="B8" s="19"/>
    </row>
    <row r="9" spans="1:3" ht="15" customHeight="1" x14ac:dyDescent="0.35">
      <c r="A9" s="321" t="s">
        <v>1</v>
      </c>
      <c r="B9" s="321"/>
    </row>
    <row r="10" spans="1:3" ht="15" customHeight="1" x14ac:dyDescent="0.35">
      <c r="A10" s="321" t="s">
        <v>0</v>
      </c>
      <c r="B10" s="321"/>
    </row>
    <row r="11" spans="1:3" x14ac:dyDescent="0.35">
      <c r="A11" s="12"/>
      <c r="B11" s="12" t="s">
        <v>181</v>
      </c>
    </row>
    <row r="12" spans="1:3" x14ac:dyDescent="0.35">
      <c r="A12" s="12"/>
      <c r="B12" s="12" t="s">
        <v>238</v>
      </c>
      <c r="C12" s="142"/>
    </row>
    <row r="13" spans="1:3" x14ac:dyDescent="0.35">
      <c r="A13" s="12"/>
      <c r="B13" s="12" t="s">
        <v>235</v>
      </c>
      <c r="C13" s="142"/>
    </row>
    <row r="14" spans="1:3" x14ac:dyDescent="0.35">
      <c r="A14" s="12" t="s">
        <v>2</v>
      </c>
      <c r="B14" s="12" t="s">
        <v>170</v>
      </c>
    </row>
    <row r="15" spans="1:3" hidden="1" x14ac:dyDescent="0.35">
      <c r="B15" s="139"/>
    </row>
    <row r="16" spans="1:3" ht="63" customHeight="1" x14ac:dyDescent="0.25">
      <c r="A16" s="52" t="s">
        <v>3</v>
      </c>
      <c r="B16" s="52" t="s">
        <v>4</v>
      </c>
      <c r="C16" s="52" t="s">
        <v>63</v>
      </c>
    </row>
    <row r="17" spans="1:3" ht="15" customHeight="1" x14ac:dyDescent="0.25">
      <c r="A17" s="21">
        <v>1</v>
      </c>
      <c r="B17" s="22">
        <v>2</v>
      </c>
      <c r="C17" s="21">
        <v>3</v>
      </c>
    </row>
    <row r="18" spans="1:3" x14ac:dyDescent="0.25">
      <c r="A18" s="42"/>
      <c r="B18" s="40" t="s">
        <v>5</v>
      </c>
      <c r="C18" s="36"/>
    </row>
    <row r="19" spans="1:3" ht="17.25" customHeight="1" x14ac:dyDescent="0.35">
      <c r="A19" s="32">
        <v>1100</v>
      </c>
      <c r="B19" s="32" t="s">
        <v>133</v>
      </c>
      <c r="C19" s="136">
        <v>177.98</v>
      </c>
    </row>
    <row r="20" spans="1:3" ht="15.75" customHeight="1" x14ac:dyDescent="0.35">
      <c r="A20" s="32">
        <v>1200</v>
      </c>
      <c r="B20" s="62" t="s">
        <v>134</v>
      </c>
      <c r="C20" s="136">
        <v>41.99</v>
      </c>
    </row>
    <row r="21" spans="1:3" ht="15.75" customHeight="1" x14ac:dyDescent="0.35">
      <c r="A21" s="32">
        <v>2210</v>
      </c>
      <c r="B21" s="63" t="s">
        <v>121</v>
      </c>
      <c r="C21" s="137">
        <v>10.039999999999999</v>
      </c>
    </row>
    <row r="22" spans="1:3" ht="15.75" customHeight="1" x14ac:dyDescent="0.35">
      <c r="A22" s="32">
        <v>2222</v>
      </c>
      <c r="B22" s="63" t="s">
        <v>136</v>
      </c>
      <c r="C22" s="137">
        <v>285.52999999999997</v>
      </c>
    </row>
    <row r="23" spans="1:3" ht="15.75" customHeight="1" x14ac:dyDescent="0.35">
      <c r="A23" s="32">
        <v>2223</v>
      </c>
      <c r="B23" s="33" t="s">
        <v>137</v>
      </c>
      <c r="C23" s="137">
        <v>339.33</v>
      </c>
    </row>
    <row r="24" spans="1:3" x14ac:dyDescent="0.35">
      <c r="A24" s="32">
        <v>2243</v>
      </c>
      <c r="B24" s="154" t="s">
        <v>138</v>
      </c>
      <c r="C24" s="137">
        <v>12.87</v>
      </c>
    </row>
    <row r="25" spans="1:3" x14ac:dyDescent="0.35">
      <c r="A25" s="32">
        <v>2244</v>
      </c>
      <c r="B25" s="23" t="s">
        <v>139</v>
      </c>
      <c r="C25" s="137">
        <v>203.91</v>
      </c>
    </row>
    <row r="26" spans="1:3" x14ac:dyDescent="0.35">
      <c r="A26" s="32">
        <v>2263</v>
      </c>
      <c r="B26" s="33" t="s">
        <v>150</v>
      </c>
      <c r="C26" s="137">
        <v>61.59</v>
      </c>
    </row>
    <row r="27" spans="1:3" x14ac:dyDescent="0.35">
      <c r="A27" s="32">
        <v>2312</v>
      </c>
      <c r="B27" s="33" t="s">
        <v>117</v>
      </c>
      <c r="C27" s="137">
        <v>22.84</v>
      </c>
    </row>
    <row r="28" spans="1:3" x14ac:dyDescent="0.35">
      <c r="A28" s="32">
        <v>2321</v>
      </c>
      <c r="B28" s="33" t="s">
        <v>140</v>
      </c>
      <c r="C28" s="137">
        <v>328.28</v>
      </c>
    </row>
    <row r="29" spans="1:3" x14ac:dyDescent="0.35">
      <c r="A29" s="32">
        <v>2350</v>
      </c>
      <c r="B29" s="62" t="s">
        <v>126</v>
      </c>
      <c r="C29" s="137">
        <v>34.25</v>
      </c>
    </row>
    <row r="30" spans="1:3" x14ac:dyDescent="0.35">
      <c r="A30" s="145">
        <v>2361</v>
      </c>
      <c r="B30" s="33" t="s">
        <v>142</v>
      </c>
      <c r="C30" s="137">
        <f>28.89+5.59</f>
        <v>34.480000000000004</v>
      </c>
    </row>
    <row r="31" spans="1:3" x14ac:dyDescent="0.35">
      <c r="A31" s="32">
        <v>2513</v>
      </c>
      <c r="B31" s="62" t="s">
        <v>122</v>
      </c>
      <c r="C31" s="137">
        <v>20.86</v>
      </c>
    </row>
    <row r="32" spans="1:3" x14ac:dyDescent="0.35">
      <c r="A32" s="32">
        <v>2519</v>
      </c>
      <c r="B32" s="33" t="s">
        <v>123</v>
      </c>
      <c r="C32" s="137">
        <v>14.77</v>
      </c>
    </row>
    <row r="33" spans="1:3" x14ac:dyDescent="0.25">
      <c r="A33" s="32"/>
      <c r="B33" s="37" t="s">
        <v>6</v>
      </c>
      <c r="C33" s="38">
        <f>SUM(C19:C32)</f>
        <v>1588.7199999999996</v>
      </c>
    </row>
    <row r="34" spans="1:3" x14ac:dyDescent="0.25">
      <c r="A34" s="39"/>
      <c r="B34" s="32" t="s">
        <v>7</v>
      </c>
      <c r="C34" s="34"/>
    </row>
    <row r="35" spans="1:3" x14ac:dyDescent="0.35">
      <c r="A35" s="32">
        <v>1100</v>
      </c>
      <c r="B35" s="32" t="s">
        <v>133</v>
      </c>
      <c r="C35" s="136">
        <v>228.46</v>
      </c>
    </row>
    <row r="36" spans="1:3" ht="15.75" customHeight="1" x14ac:dyDescent="0.35">
      <c r="A36" s="32">
        <v>1200</v>
      </c>
      <c r="B36" s="62" t="s">
        <v>134</v>
      </c>
      <c r="C36" s="136">
        <v>53.89</v>
      </c>
    </row>
    <row r="37" spans="1:3" ht="15.75" customHeight="1" x14ac:dyDescent="0.35">
      <c r="A37" s="32">
        <v>2210</v>
      </c>
      <c r="B37" s="63" t="s">
        <v>121</v>
      </c>
      <c r="C37" s="137">
        <v>6.65</v>
      </c>
    </row>
    <row r="38" spans="1:3" ht="30.75" customHeight="1" x14ac:dyDescent="0.35">
      <c r="A38" s="32">
        <v>2224</v>
      </c>
      <c r="B38" s="63" t="s">
        <v>177</v>
      </c>
      <c r="C38" s="137">
        <v>29.41</v>
      </c>
    </row>
    <row r="39" spans="1:3" ht="15.75" customHeight="1" x14ac:dyDescent="0.35">
      <c r="A39" s="32">
        <v>2239</v>
      </c>
      <c r="B39" s="33" t="s">
        <v>145</v>
      </c>
      <c r="C39" s="137">
        <v>2.68</v>
      </c>
    </row>
    <row r="40" spans="1:3" x14ac:dyDescent="0.35">
      <c r="A40" s="32">
        <v>2241</v>
      </c>
      <c r="B40" s="23" t="s">
        <v>124</v>
      </c>
      <c r="C40" s="137">
        <v>0.77</v>
      </c>
    </row>
    <row r="41" spans="1:3" x14ac:dyDescent="0.35">
      <c r="A41" s="32">
        <v>2242</v>
      </c>
      <c r="B41" s="33" t="s">
        <v>146</v>
      </c>
      <c r="C41" s="137">
        <v>2.16</v>
      </c>
    </row>
    <row r="42" spans="1:3" x14ac:dyDescent="0.35">
      <c r="A42" s="32">
        <v>2243</v>
      </c>
      <c r="B42" s="33" t="s">
        <v>138</v>
      </c>
      <c r="C42" s="137">
        <f>4.85+3.45</f>
        <v>8.3000000000000007</v>
      </c>
    </row>
    <row r="43" spans="1:3" x14ac:dyDescent="0.35">
      <c r="A43" s="32">
        <v>2244</v>
      </c>
      <c r="B43" s="23" t="s">
        <v>139</v>
      </c>
      <c r="C43" s="137">
        <f>3.16+3.79</f>
        <v>6.95</v>
      </c>
    </row>
    <row r="44" spans="1:3" x14ac:dyDescent="0.35">
      <c r="A44" s="32">
        <v>2249</v>
      </c>
      <c r="B44" s="23" t="s">
        <v>172</v>
      </c>
      <c r="C44" s="137">
        <v>0.55000000000000004</v>
      </c>
    </row>
    <row r="45" spans="1:3" x14ac:dyDescent="0.35">
      <c r="A45" s="32">
        <v>2250</v>
      </c>
      <c r="B45" s="23" t="s">
        <v>125</v>
      </c>
      <c r="C45" s="137">
        <f>7.09+0.68</f>
        <v>7.77</v>
      </c>
    </row>
    <row r="46" spans="1:3" x14ac:dyDescent="0.35">
      <c r="A46" s="32">
        <v>2262</v>
      </c>
      <c r="B46" s="33" t="s">
        <v>149</v>
      </c>
      <c r="C46" s="136">
        <v>5.2</v>
      </c>
    </row>
    <row r="47" spans="1:3" x14ac:dyDescent="0.35">
      <c r="A47" s="32">
        <v>2264</v>
      </c>
      <c r="B47" s="33" t="s">
        <v>174</v>
      </c>
      <c r="C47" s="136">
        <v>0.1</v>
      </c>
    </row>
    <row r="48" spans="1:3" x14ac:dyDescent="0.35">
      <c r="A48" s="32">
        <v>2311</v>
      </c>
      <c r="B48" s="33" t="s">
        <v>152</v>
      </c>
      <c r="C48" s="136">
        <v>5.2</v>
      </c>
    </row>
    <row r="49" spans="1:5" hidden="1" x14ac:dyDescent="0.35">
      <c r="A49" s="32">
        <v>2312</v>
      </c>
      <c r="B49" s="33" t="s">
        <v>117</v>
      </c>
      <c r="C49" s="137">
        <v>0</v>
      </c>
    </row>
    <row r="50" spans="1:5" x14ac:dyDescent="0.35">
      <c r="A50" s="32">
        <v>2322</v>
      </c>
      <c r="B50" s="33" t="s">
        <v>154</v>
      </c>
      <c r="C50" s="137">
        <f>17.47-0.55</f>
        <v>16.919999999999998</v>
      </c>
    </row>
    <row r="51" spans="1:5" x14ac:dyDescent="0.35">
      <c r="A51" s="32">
        <v>2350</v>
      </c>
      <c r="B51" s="62" t="s">
        <v>126</v>
      </c>
      <c r="C51" s="137">
        <v>18.21</v>
      </c>
    </row>
    <row r="52" spans="1:5" hidden="1" x14ac:dyDescent="0.35">
      <c r="A52" s="32"/>
      <c r="B52" s="33"/>
      <c r="C52" s="136"/>
    </row>
    <row r="53" spans="1:5" x14ac:dyDescent="0.35">
      <c r="A53" s="32">
        <v>2515</v>
      </c>
      <c r="B53" s="33" t="s">
        <v>156</v>
      </c>
      <c r="C53" s="137">
        <v>1.25</v>
      </c>
    </row>
    <row r="54" spans="1:5" x14ac:dyDescent="0.35">
      <c r="A54" s="32">
        <v>2519</v>
      </c>
      <c r="B54" s="33" t="s">
        <v>123</v>
      </c>
      <c r="C54" s="137">
        <f>0.08</f>
        <v>0.08</v>
      </c>
    </row>
    <row r="55" spans="1:5" x14ac:dyDescent="0.35">
      <c r="A55" s="32">
        <v>5238</v>
      </c>
      <c r="B55" s="62" t="s">
        <v>130</v>
      </c>
      <c r="C55" s="136">
        <v>7.21</v>
      </c>
    </row>
    <row r="56" spans="1:5" x14ac:dyDescent="0.35">
      <c r="A56" s="32">
        <v>5239</v>
      </c>
      <c r="B56" s="62" t="s">
        <v>131</v>
      </c>
      <c r="C56" s="137">
        <v>20.25</v>
      </c>
    </row>
    <row r="57" spans="1:5" x14ac:dyDescent="0.35">
      <c r="A57" s="32">
        <v>5250</v>
      </c>
      <c r="B57" s="33" t="s">
        <v>132</v>
      </c>
      <c r="C57" s="137">
        <v>15.27</v>
      </c>
    </row>
    <row r="58" spans="1:5" x14ac:dyDescent="0.25">
      <c r="A58" s="39"/>
      <c r="B58" s="41" t="s">
        <v>8</v>
      </c>
      <c r="C58" s="38">
        <f>SUM(C35:C57)</f>
        <v>437.28</v>
      </c>
    </row>
    <row r="59" spans="1:5" x14ac:dyDescent="0.25">
      <c r="A59" s="39"/>
      <c r="B59" s="41" t="s">
        <v>29</v>
      </c>
      <c r="C59" s="140">
        <f>C33+C58</f>
        <v>2025.9999999999995</v>
      </c>
      <c r="D59" s="151"/>
    </row>
    <row r="60" spans="1:5" ht="14.25" customHeight="1" x14ac:dyDescent="0.35">
      <c r="A60" s="16"/>
      <c r="B60" s="26"/>
      <c r="C60" s="27"/>
    </row>
    <row r="61" spans="1:5" ht="14.25" customHeight="1" x14ac:dyDescent="0.25">
      <c r="A61" s="321" t="s">
        <v>57</v>
      </c>
      <c r="B61" s="321"/>
      <c r="C61" s="68">
        <v>20</v>
      </c>
    </row>
    <row r="62" spans="1:5" ht="14.25" customHeight="1" x14ac:dyDescent="0.3">
      <c r="A62" s="321" t="s">
        <v>58</v>
      </c>
      <c r="B62" s="321"/>
      <c r="C62" s="69">
        <f>C59/C61</f>
        <v>101.29999999999998</v>
      </c>
      <c r="E62" s="151"/>
    </row>
    <row r="63" spans="1:5" ht="14.25" customHeight="1" x14ac:dyDescent="0.35">
      <c r="A63" s="26"/>
      <c r="B63" s="27"/>
      <c r="C63" s="27"/>
    </row>
    <row r="64" spans="1:5" ht="14.25" customHeight="1" x14ac:dyDescent="0.35">
      <c r="A64" s="332" t="s">
        <v>33</v>
      </c>
      <c r="B64" s="333"/>
      <c r="C64" s="141"/>
    </row>
    <row r="65" spans="1:3" ht="14.25" customHeight="1" x14ac:dyDescent="0.35">
      <c r="A65" s="332" t="s">
        <v>64</v>
      </c>
      <c r="B65" s="333"/>
      <c r="C65" s="141"/>
    </row>
    <row r="66" spans="1:3" ht="14.25" customHeight="1" x14ac:dyDescent="0.35">
      <c r="A66" s="29"/>
      <c r="B66" s="29"/>
      <c r="C66" s="164"/>
    </row>
    <row r="67" spans="1:3" ht="14.25" customHeight="1" x14ac:dyDescent="0.35">
      <c r="A67" s="29" t="s">
        <v>34</v>
      </c>
      <c r="B67" s="29"/>
      <c r="C67" s="164"/>
    </row>
    <row r="68" spans="1:3" ht="14.25" customHeight="1" x14ac:dyDescent="0.35">
      <c r="A68" s="29"/>
      <c r="B68" s="29"/>
      <c r="C68" s="31"/>
    </row>
    <row r="69" spans="1:3" ht="14.25" customHeight="1" x14ac:dyDescent="0.35">
      <c r="A69" s="29" t="s">
        <v>179</v>
      </c>
      <c r="B69" s="30"/>
      <c r="C69" s="31"/>
    </row>
    <row r="70" spans="1:3" x14ac:dyDescent="0.35">
      <c r="A70" s="29"/>
      <c r="B70" s="31"/>
      <c r="C70" s="31"/>
    </row>
  </sheetData>
  <mergeCells count="7">
    <mergeCell ref="A7:B7"/>
    <mergeCell ref="A9:B9"/>
    <mergeCell ref="A10:B10"/>
    <mergeCell ref="A64:B64"/>
    <mergeCell ref="A65:B65"/>
    <mergeCell ref="A61:B61"/>
    <mergeCell ref="A62:B62"/>
  </mergeCells>
  <pageMargins left="0.70866141732283461" right="0.70866141732283461" top="0.69" bottom="0.5395833333333333" header="0.31496062992125984" footer="0.31496062992125984"/>
  <pageSetup paperSize="9" scale="62" orientation="portrait" r:id="rId1"/>
  <headerFooter>
    <oddFooter>&amp;C&amp;F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1"/>
  <sheetViews>
    <sheetView view="pageLayout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1.54296875" style="14" customWidth="1"/>
    <col min="2" max="2" width="93.81640625" style="14" customWidth="1"/>
    <col min="3" max="3" width="26.1796875" style="14" hidden="1" customWidth="1"/>
    <col min="4" max="4" width="32.26953125" style="14" hidden="1" customWidth="1"/>
    <col min="5" max="5" width="32.26953125" style="14" customWidth="1"/>
    <col min="6" max="16384" width="9.1796875" style="7"/>
  </cols>
  <sheetData>
    <row r="1" spans="1:5" x14ac:dyDescent="0.35">
      <c r="C1" s="54" t="s">
        <v>10</v>
      </c>
      <c r="D1" s="18" t="s">
        <v>10</v>
      </c>
      <c r="E1" s="18" t="s">
        <v>10</v>
      </c>
    </row>
    <row r="2" spans="1:5" x14ac:dyDescent="0.35">
      <c r="C2" s="55" t="s">
        <v>32</v>
      </c>
      <c r="D2" s="15" t="s">
        <v>32</v>
      </c>
      <c r="E2" s="15" t="s">
        <v>32</v>
      </c>
    </row>
    <row r="3" spans="1:5" x14ac:dyDescent="0.35">
      <c r="C3" s="56" t="s">
        <v>66</v>
      </c>
      <c r="D3" s="80" t="s">
        <v>66</v>
      </c>
      <c r="E3" s="80" t="s">
        <v>66</v>
      </c>
    </row>
    <row r="4" spans="1:5" x14ac:dyDescent="0.35">
      <c r="C4" s="55"/>
      <c r="D4" s="64"/>
      <c r="E4" s="64"/>
    </row>
    <row r="5" spans="1:5" x14ac:dyDescent="0.35">
      <c r="C5" s="55" t="s">
        <v>67</v>
      </c>
      <c r="D5" s="16" t="s">
        <v>180</v>
      </c>
      <c r="E5" s="16" t="s">
        <v>230</v>
      </c>
    </row>
    <row r="7" spans="1:5" ht="15" x14ac:dyDescent="0.3">
      <c r="A7" s="318" t="s">
        <v>9</v>
      </c>
      <c r="B7" s="318"/>
      <c r="C7" s="318"/>
      <c r="D7" s="7"/>
      <c r="E7" s="7"/>
    </row>
    <row r="8" spans="1:5" x14ac:dyDescent="0.35">
      <c r="B8" s="19"/>
    </row>
    <row r="9" spans="1:5" x14ac:dyDescent="0.35">
      <c r="A9" s="321" t="s">
        <v>1</v>
      </c>
      <c r="B9" s="321"/>
    </row>
    <row r="10" spans="1:5" x14ac:dyDescent="0.35">
      <c r="A10" s="321" t="s">
        <v>0</v>
      </c>
      <c r="B10" s="321"/>
    </row>
    <row r="11" spans="1:5" x14ac:dyDescent="0.35">
      <c r="A11" s="12"/>
      <c r="B11" s="12" t="s">
        <v>181</v>
      </c>
    </row>
    <row r="12" spans="1:5" x14ac:dyDescent="0.25">
      <c r="A12" s="12"/>
      <c r="B12" s="321" t="s">
        <v>240</v>
      </c>
      <c r="C12" s="321"/>
      <c r="D12" s="7"/>
      <c r="E12" s="7"/>
    </row>
    <row r="13" spans="1:5" x14ac:dyDescent="0.25">
      <c r="A13" s="12"/>
      <c r="B13" s="12" t="s">
        <v>236</v>
      </c>
      <c r="C13" s="12"/>
      <c r="D13" s="7"/>
      <c r="E13" s="7"/>
    </row>
    <row r="14" spans="1:5" x14ac:dyDescent="0.35">
      <c r="A14" s="12" t="s">
        <v>2</v>
      </c>
      <c r="B14" s="12" t="str">
        <f>'4.5.2.'!B14</f>
        <v>2023.gadā un turpmāk</v>
      </c>
    </row>
    <row r="15" spans="1:5" hidden="1" x14ac:dyDescent="0.35">
      <c r="B15" s="139"/>
    </row>
    <row r="16" spans="1:5" ht="62" x14ac:dyDescent="0.25">
      <c r="A16" s="52" t="s">
        <v>3</v>
      </c>
      <c r="B16" s="52" t="s">
        <v>4</v>
      </c>
      <c r="C16" s="52" t="s">
        <v>63</v>
      </c>
      <c r="D16" s="52" t="s">
        <v>63</v>
      </c>
      <c r="E16" s="52" t="s">
        <v>63</v>
      </c>
    </row>
    <row r="17" spans="1:5" ht="15" x14ac:dyDescent="0.25">
      <c r="A17" s="21">
        <v>1</v>
      </c>
      <c r="B17" s="22">
        <v>2</v>
      </c>
      <c r="C17" s="21">
        <v>3</v>
      </c>
      <c r="D17" s="21">
        <v>3</v>
      </c>
      <c r="E17" s="21">
        <v>3</v>
      </c>
    </row>
    <row r="18" spans="1:5" x14ac:dyDescent="0.35">
      <c r="A18" s="21"/>
      <c r="B18" s="23" t="s">
        <v>5</v>
      </c>
      <c r="C18" s="62"/>
      <c r="D18" s="62"/>
      <c r="E18" s="62"/>
    </row>
    <row r="19" spans="1:5" x14ac:dyDescent="0.35">
      <c r="A19" s="32">
        <v>1100</v>
      </c>
      <c r="B19" s="32" t="s">
        <v>133</v>
      </c>
      <c r="C19" s="136">
        <v>1169.1300000000001</v>
      </c>
      <c r="D19" s="136">
        <v>614.04</v>
      </c>
      <c r="E19" s="136">
        <f>D19/140*200</f>
        <v>877.2</v>
      </c>
    </row>
    <row r="20" spans="1:5" ht="15.75" customHeight="1" x14ac:dyDescent="0.35">
      <c r="A20" s="32">
        <v>1200</v>
      </c>
      <c r="B20" s="62" t="s">
        <v>134</v>
      </c>
      <c r="C20" s="34">
        <v>275.8</v>
      </c>
      <c r="D20" s="136">
        <v>144.85</v>
      </c>
      <c r="E20" s="136">
        <f t="shared" ref="E20:E33" si="0">D20/140*200</f>
        <v>206.92857142857144</v>
      </c>
    </row>
    <row r="21" spans="1:5" x14ac:dyDescent="0.35">
      <c r="A21" s="32">
        <v>2210</v>
      </c>
      <c r="B21" s="63" t="s">
        <v>121</v>
      </c>
      <c r="C21" s="34">
        <v>59.19</v>
      </c>
      <c r="D21" s="136">
        <v>27.62</v>
      </c>
      <c r="E21" s="136">
        <f t="shared" si="0"/>
        <v>39.457142857142856</v>
      </c>
    </row>
    <row r="22" spans="1:5" x14ac:dyDescent="0.35">
      <c r="A22" s="32">
        <v>2222</v>
      </c>
      <c r="B22" s="63" t="s">
        <v>136</v>
      </c>
      <c r="C22" s="34">
        <v>1474.86</v>
      </c>
      <c r="D22" s="136">
        <v>688.27</v>
      </c>
      <c r="E22" s="136">
        <f t="shared" si="0"/>
        <v>983.24285714285702</v>
      </c>
    </row>
    <row r="23" spans="1:5" x14ac:dyDescent="0.35">
      <c r="A23" s="32">
        <v>2223</v>
      </c>
      <c r="B23" s="33" t="s">
        <v>137</v>
      </c>
      <c r="C23" s="34">
        <v>989.66</v>
      </c>
      <c r="D23" s="136">
        <v>983.72</v>
      </c>
      <c r="E23" s="136">
        <f t="shared" si="0"/>
        <v>1405.3142857142857</v>
      </c>
    </row>
    <row r="24" spans="1:5" x14ac:dyDescent="0.35">
      <c r="A24" s="32">
        <v>2243</v>
      </c>
      <c r="B24" s="154" t="s">
        <v>138</v>
      </c>
      <c r="C24" s="34">
        <v>54.5</v>
      </c>
      <c r="D24" s="136">
        <v>25.43</v>
      </c>
      <c r="E24" s="136">
        <f t="shared" si="0"/>
        <v>36.328571428571429</v>
      </c>
    </row>
    <row r="25" spans="1:5" x14ac:dyDescent="0.35">
      <c r="A25" s="32">
        <v>2244</v>
      </c>
      <c r="B25" s="23" t="s">
        <v>139</v>
      </c>
      <c r="C25" s="34">
        <v>1192.57</v>
      </c>
      <c r="D25" s="136">
        <v>723.49</v>
      </c>
      <c r="E25" s="136">
        <f t="shared" si="0"/>
        <v>1033.5571428571429</v>
      </c>
    </row>
    <row r="26" spans="1:5" hidden="1" x14ac:dyDescent="0.35">
      <c r="A26" s="32">
        <v>2261</v>
      </c>
      <c r="B26" s="33" t="s">
        <v>99</v>
      </c>
      <c r="C26" s="34">
        <v>0</v>
      </c>
      <c r="D26" s="136">
        <f>C26/300*200</f>
        <v>0</v>
      </c>
      <c r="E26" s="136">
        <f t="shared" si="0"/>
        <v>0</v>
      </c>
    </row>
    <row r="27" spans="1:5" x14ac:dyDescent="0.35">
      <c r="A27" s="32">
        <v>2263</v>
      </c>
      <c r="B27" s="33" t="s">
        <v>150</v>
      </c>
      <c r="C27" s="34">
        <v>505.33</v>
      </c>
      <c r="D27" s="136">
        <v>327.79</v>
      </c>
      <c r="E27" s="136">
        <f t="shared" si="0"/>
        <v>468.2714285714286</v>
      </c>
    </row>
    <row r="28" spans="1:5" x14ac:dyDescent="0.35">
      <c r="A28" s="32">
        <v>2312</v>
      </c>
      <c r="B28" s="33" t="s">
        <v>117</v>
      </c>
      <c r="C28" s="34">
        <v>150.97</v>
      </c>
      <c r="D28" s="136">
        <v>70.45</v>
      </c>
      <c r="E28" s="136">
        <f t="shared" si="0"/>
        <v>100.64285714285714</v>
      </c>
    </row>
    <row r="29" spans="1:5" x14ac:dyDescent="0.35">
      <c r="A29" s="32">
        <v>2321</v>
      </c>
      <c r="B29" s="33" t="s">
        <v>140</v>
      </c>
      <c r="C29" s="34">
        <v>2179.88</v>
      </c>
      <c r="D29" s="136">
        <v>1017.28</v>
      </c>
      <c r="E29" s="136">
        <f t="shared" si="0"/>
        <v>1453.2571428571428</v>
      </c>
    </row>
    <row r="30" spans="1:5" x14ac:dyDescent="0.35">
      <c r="A30" s="32">
        <v>2350</v>
      </c>
      <c r="B30" s="62" t="s">
        <v>126</v>
      </c>
      <c r="C30" s="34">
        <v>126.14</v>
      </c>
      <c r="D30" s="136">
        <v>58.87</v>
      </c>
      <c r="E30" s="136">
        <f t="shared" si="0"/>
        <v>84.1</v>
      </c>
    </row>
    <row r="31" spans="1:5" x14ac:dyDescent="0.35">
      <c r="A31" s="145">
        <v>2361</v>
      </c>
      <c r="B31" s="33" t="s">
        <v>142</v>
      </c>
      <c r="C31" s="34">
        <v>105.93</v>
      </c>
      <c r="D31" s="136">
        <v>49.43</v>
      </c>
      <c r="E31" s="136">
        <f t="shared" si="0"/>
        <v>70.614285714285714</v>
      </c>
    </row>
    <row r="32" spans="1:5" x14ac:dyDescent="0.35">
      <c r="A32" s="32">
        <v>2513</v>
      </c>
      <c r="B32" s="62" t="s">
        <v>122</v>
      </c>
      <c r="C32" s="34">
        <v>237.9</v>
      </c>
      <c r="D32" s="136">
        <v>111.02</v>
      </c>
      <c r="E32" s="136">
        <f t="shared" si="0"/>
        <v>158.6</v>
      </c>
    </row>
    <row r="33" spans="1:5" x14ac:dyDescent="0.35">
      <c r="A33" s="32">
        <v>2519</v>
      </c>
      <c r="B33" s="33" t="s">
        <v>123</v>
      </c>
      <c r="C33" s="34">
        <v>168.47</v>
      </c>
      <c r="D33" s="136">
        <v>78.62</v>
      </c>
      <c r="E33" s="136">
        <f t="shared" si="0"/>
        <v>112.31428571428572</v>
      </c>
    </row>
    <row r="34" spans="1:5" x14ac:dyDescent="0.25">
      <c r="A34" s="32"/>
      <c r="B34" s="37" t="s">
        <v>6</v>
      </c>
      <c r="C34" s="38">
        <f>SUM(C19:C33)</f>
        <v>8690.33</v>
      </c>
      <c r="D34" s="38">
        <f>SUM(D19:D33)</f>
        <v>4920.88</v>
      </c>
      <c r="E34" s="38">
        <f>SUM(E19:E33)</f>
        <v>7029.8285714285712</v>
      </c>
    </row>
    <row r="35" spans="1:5" x14ac:dyDescent="0.25">
      <c r="A35" s="39"/>
      <c r="B35" s="32" t="s">
        <v>7</v>
      </c>
      <c r="C35" s="34"/>
      <c r="D35" s="34"/>
      <c r="E35" s="34"/>
    </row>
    <row r="36" spans="1:5" x14ac:dyDescent="0.35">
      <c r="A36" s="32">
        <v>1100</v>
      </c>
      <c r="B36" s="32" t="s">
        <v>133</v>
      </c>
      <c r="C36" s="34">
        <v>1137.24</v>
      </c>
      <c r="D36" s="34">
        <v>660.49</v>
      </c>
      <c r="E36" s="136">
        <f t="shared" ref="E36:E58" si="1">D36/140*200</f>
        <v>943.55714285714282</v>
      </c>
    </row>
    <row r="37" spans="1:5" ht="15.75" customHeight="1" x14ac:dyDescent="0.35">
      <c r="A37" s="32">
        <v>1200</v>
      </c>
      <c r="B37" s="62" t="s">
        <v>134</v>
      </c>
      <c r="C37" s="34">
        <v>268.27999999999997</v>
      </c>
      <c r="D37" s="34">
        <v>155.81</v>
      </c>
      <c r="E37" s="136">
        <f t="shared" si="1"/>
        <v>222.58571428571429</v>
      </c>
    </row>
    <row r="38" spans="1:5" x14ac:dyDescent="0.35">
      <c r="A38" s="32">
        <v>2210</v>
      </c>
      <c r="B38" s="63" t="s">
        <v>121</v>
      </c>
      <c r="C38" s="34">
        <v>33.94</v>
      </c>
      <c r="D38" s="34">
        <v>17.52</v>
      </c>
      <c r="E38" s="136">
        <f t="shared" si="1"/>
        <v>25.028571428571428</v>
      </c>
    </row>
    <row r="39" spans="1:5" ht="31" x14ac:dyDescent="0.35">
      <c r="A39" s="32">
        <v>2224</v>
      </c>
      <c r="B39" s="63" t="s">
        <v>177</v>
      </c>
      <c r="C39" s="34"/>
      <c r="D39" s="34">
        <v>18.809999999999999</v>
      </c>
      <c r="E39" s="136">
        <f t="shared" si="1"/>
        <v>26.871428571428567</v>
      </c>
    </row>
    <row r="40" spans="1:5" x14ac:dyDescent="0.35">
      <c r="A40" s="32">
        <v>2239</v>
      </c>
      <c r="B40" s="33" t="s">
        <v>145</v>
      </c>
      <c r="C40" s="34">
        <v>13.59</v>
      </c>
      <c r="D40" s="34">
        <v>7.01</v>
      </c>
      <c r="E40" s="136">
        <f t="shared" si="1"/>
        <v>10.014285714285714</v>
      </c>
    </row>
    <row r="41" spans="1:5" x14ac:dyDescent="0.35">
      <c r="A41" s="32">
        <v>2241</v>
      </c>
      <c r="B41" s="23" t="s">
        <v>124</v>
      </c>
      <c r="C41" s="136">
        <v>2.85</v>
      </c>
      <c r="D41" s="34">
        <v>1.47</v>
      </c>
      <c r="E41" s="136">
        <f t="shared" si="1"/>
        <v>2.1</v>
      </c>
    </row>
    <row r="42" spans="1:5" x14ac:dyDescent="0.35">
      <c r="A42" s="32">
        <v>2242</v>
      </c>
      <c r="B42" s="33" t="s">
        <v>146</v>
      </c>
      <c r="C42" s="34">
        <v>11.1</v>
      </c>
      <c r="D42" s="34">
        <v>5.73</v>
      </c>
      <c r="E42" s="136">
        <f t="shared" si="1"/>
        <v>8.1857142857142868</v>
      </c>
    </row>
    <row r="43" spans="1:5" x14ac:dyDescent="0.35">
      <c r="A43" s="32">
        <v>2243</v>
      </c>
      <c r="B43" s="33" t="s">
        <v>138</v>
      </c>
      <c r="C43" s="34">
        <v>10.88</v>
      </c>
      <c r="D43" s="34">
        <v>5.62</v>
      </c>
      <c r="E43" s="136">
        <f t="shared" si="1"/>
        <v>8.0285714285714285</v>
      </c>
    </row>
    <row r="44" spans="1:5" x14ac:dyDescent="0.35">
      <c r="A44" s="32">
        <v>2244</v>
      </c>
      <c r="B44" s="23" t="s">
        <v>139</v>
      </c>
      <c r="C44" s="34">
        <v>2.42</v>
      </c>
      <c r="D44" s="34">
        <f>1.63+1.07</f>
        <v>2.7</v>
      </c>
      <c r="E44" s="136">
        <f t="shared" si="1"/>
        <v>3.8571428571428577</v>
      </c>
    </row>
    <row r="45" spans="1:5" x14ac:dyDescent="0.35">
      <c r="A45" s="32">
        <v>2249</v>
      </c>
      <c r="B45" s="23" t="s">
        <v>172</v>
      </c>
      <c r="C45" s="34">
        <v>223.6</v>
      </c>
      <c r="D45" s="136">
        <v>1.42</v>
      </c>
      <c r="E45" s="136">
        <f t="shared" si="1"/>
        <v>2.0285714285714285</v>
      </c>
    </row>
    <row r="46" spans="1:5" x14ac:dyDescent="0.35">
      <c r="A46" s="32">
        <v>2250</v>
      </c>
      <c r="B46" s="23" t="s">
        <v>125</v>
      </c>
      <c r="C46" s="34">
        <v>25.18</v>
      </c>
      <c r="D46" s="34">
        <v>12.98</v>
      </c>
      <c r="E46" s="136">
        <f t="shared" si="1"/>
        <v>18.542857142857144</v>
      </c>
    </row>
    <row r="47" spans="1:5" x14ac:dyDescent="0.35">
      <c r="A47" s="32">
        <v>2262</v>
      </c>
      <c r="B47" s="33" t="s">
        <v>149</v>
      </c>
      <c r="C47" s="34">
        <v>26.54</v>
      </c>
      <c r="D47" s="34">
        <v>13.7</v>
      </c>
      <c r="E47" s="136">
        <f t="shared" si="1"/>
        <v>19.571428571428569</v>
      </c>
    </row>
    <row r="48" spans="1:5" x14ac:dyDescent="0.35">
      <c r="A48" s="32">
        <v>2264</v>
      </c>
      <c r="B48" s="33" t="s">
        <v>174</v>
      </c>
      <c r="C48" s="34">
        <v>0.28000000000000003</v>
      </c>
      <c r="D48" s="34">
        <v>0.14000000000000001</v>
      </c>
      <c r="E48" s="136">
        <f t="shared" si="1"/>
        <v>0.2</v>
      </c>
    </row>
    <row r="49" spans="1:5" x14ac:dyDescent="0.35">
      <c r="A49" s="32">
        <v>2311</v>
      </c>
      <c r="B49" s="33" t="s">
        <v>152</v>
      </c>
      <c r="C49" s="34">
        <v>14.51</v>
      </c>
      <c r="D49" s="34">
        <v>7.49</v>
      </c>
      <c r="E49" s="136">
        <f t="shared" si="1"/>
        <v>10.7</v>
      </c>
    </row>
    <row r="50" spans="1:5" hidden="1" x14ac:dyDescent="0.35">
      <c r="A50" s="32">
        <v>2312</v>
      </c>
      <c r="B50" s="33" t="s">
        <v>117</v>
      </c>
      <c r="C50" s="34">
        <v>3.27</v>
      </c>
      <c r="D50" s="34"/>
      <c r="E50" s="136">
        <f t="shared" si="1"/>
        <v>0</v>
      </c>
    </row>
    <row r="51" spans="1:5" x14ac:dyDescent="0.35">
      <c r="A51" s="32">
        <v>2322</v>
      </c>
      <c r="B51" s="33" t="s">
        <v>154</v>
      </c>
      <c r="C51" s="34">
        <v>67.73</v>
      </c>
      <c r="D51" s="34">
        <v>34.950000000000003</v>
      </c>
      <c r="E51" s="136">
        <f t="shared" si="1"/>
        <v>49.928571428571431</v>
      </c>
    </row>
    <row r="52" spans="1:5" x14ac:dyDescent="0.35">
      <c r="A52" s="32">
        <v>2350</v>
      </c>
      <c r="B52" s="62" t="s">
        <v>126</v>
      </c>
      <c r="C52" s="34">
        <v>67.66</v>
      </c>
      <c r="D52" s="34">
        <v>34.909999999999997</v>
      </c>
      <c r="E52" s="136">
        <f t="shared" si="1"/>
        <v>49.871428571428567</v>
      </c>
    </row>
    <row r="53" spans="1:5" hidden="1" x14ac:dyDescent="0.35">
      <c r="A53" s="32">
        <v>2512</v>
      </c>
      <c r="B53" s="33" t="s">
        <v>178</v>
      </c>
      <c r="C53" s="34">
        <v>1316.25</v>
      </c>
      <c r="D53" s="34">
        <v>0</v>
      </c>
      <c r="E53" s="136">
        <f t="shared" si="1"/>
        <v>0</v>
      </c>
    </row>
    <row r="54" spans="1:5" x14ac:dyDescent="0.35">
      <c r="A54" s="32">
        <v>2515</v>
      </c>
      <c r="B54" s="33" t="s">
        <v>156</v>
      </c>
      <c r="C54" s="34">
        <v>4.7</v>
      </c>
      <c r="D54" s="34">
        <v>2.42</v>
      </c>
      <c r="E54" s="136">
        <f t="shared" si="1"/>
        <v>3.4571428571428573</v>
      </c>
    </row>
    <row r="55" spans="1:5" x14ac:dyDescent="0.35">
      <c r="A55" s="32">
        <v>2519</v>
      </c>
      <c r="B55" s="33" t="s">
        <v>123</v>
      </c>
      <c r="C55" s="34">
        <v>0.21</v>
      </c>
      <c r="D55" s="34">
        <v>0.11</v>
      </c>
      <c r="E55" s="136">
        <f t="shared" si="1"/>
        <v>0.15714285714285714</v>
      </c>
    </row>
    <row r="56" spans="1:5" x14ac:dyDescent="0.35">
      <c r="A56" s="32">
        <v>5238</v>
      </c>
      <c r="B56" s="62" t="s">
        <v>130</v>
      </c>
      <c r="C56" s="34">
        <v>166.87</v>
      </c>
      <c r="D56" s="34">
        <v>17.23</v>
      </c>
      <c r="E56" s="136">
        <f t="shared" si="1"/>
        <v>24.614285714285714</v>
      </c>
    </row>
    <row r="57" spans="1:5" x14ac:dyDescent="0.35">
      <c r="A57" s="32">
        <v>5239</v>
      </c>
      <c r="B57" s="62" t="s">
        <v>131</v>
      </c>
      <c r="C57" s="34">
        <v>32.729999999999997</v>
      </c>
      <c r="D57" s="34">
        <v>85.92</v>
      </c>
      <c r="E57" s="136">
        <f t="shared" si="1"/>
        <v>122.74285714285715</v>
      </c>
    </row>
    <row r="58" spans="1:5" x14ac:dyDescent="0.35">
      <c r="A58" s="32">
        <v>5250</v>
      </c>
      <c r="B58" s="33" t="s">
        <v>132</v>
      </c>
      <c r="C58" s="34">
        <v>130.97999999999999</v>
      </c>
      <c r="D58" s="34">
        <v>67.290000000000006</v>
      </c>
      <c r="E58" s="136">
        <f t="shared" si="1"/>
        <v>96.128571428571448</v>
      </c>
    </row>
    <row r="59" spans="1:5" x14ac:dyDescent="0.25">
      <c r="A59" s="39"/>
      <c r="B59" s="41" t="s">
        <v>8</v>
      </c>
      <c r="C59" s="38">
        <f>SUM(C36:C58)</f>
        <v>3560.8099999999995</v>
      </c>
      <c r="D59" s="38">
        <f>SUM(D36:D58)</f>
        <v>1153.72</v>
      </c>
      <c r="E59" s="38">
        <f>SUM(E36:E58)</f>
        <v>1648.1714285714288</v>
      </c>
    </row>
    <row r="60" spans="1:5" x14ac:dyDescent="0.25">
      <c r="A60" s="39"/>
      <c r="B60" s="41" t="s">
        <v>29</v>
      </c>
      <c r="C60" s="38">
        <f>C59+C34</f>
        <v>12251.14</v>
      </c>
      <c r="D60" s="38">
        <f>D59+D34</f>
        <v>6074.6</v>
      </c>
      <c r="E60" s="38">
        <f>E59+E34</f>
        <v>8678</v>
      </c>
    </row>
    <row r="61" spans="1:5" x14ac:dyDescent="0.35">
      <c r="A61" s="16"/>
      <c r="B61" s="26"/>
      <c r="C61" s="60"/>
      <c r="D61" s="60"/>
      <c r="E61" s="60"/>
    </row>
    <row r="62" spans="1:5" ht="15" customHeight="1" x14ac:dyDescent="0.25">
      <c r="A62" s="321" t="s">
        <v>57</v>
      </c>
      <c r="B62" s="321"/>
      <c r="C62" s="20">
        <v>300</v>
      </c>
      <c r="D62" s="68">
        <v>140</v>
      </c>
      <c r="E62" s="68">
        <v>200</v>
      </c>
    </row>
    <row r="63" spans="1:5" ht="15" customHeight="1" x14ac:dyDescent="0.3">
      <c r="A63" s="321" t="s">
        <v>58</v>
      </c>
      <c r="B63" s="321"/>
      <c r="C63" s="24">
        <f>C60/C62</f>
        <v>40.837133333333334</v>
      </c>
      <c r="D63" s="69">
        <f>D60/D62</f>
        <v>43.39</v>
      </c>
      <c r="E63" s="69">
        <f>E60/E62</f>
        <v>43.39</v>
      </c>
    </row>
    <row r="64" spans="1:5" x14ac:dyDescent="0.35">
      <c r="A64" s="26"/>
      <c r="B64" s="27"/>
      <c r="C64" s="61"/>
      <c r="D64" s="61"/>
      <c r="E64" s="61"/>
    </row>
    <row r="65" spans="1:5" x14ac:dyDescent="0.35">
      <c r="A65" s="332" t="s">
        <v>33</v>
      </c>
      <c r="B65" s="333"/>
      <c r="C65" s="28"/>
      <c r="D65" s="28"/>
      <c r="E65" s="28"/>
    </row>
    <row r="66" spans="1:5" x14ac:dyDescent="0.35">
      <c r="A66" s="332" t="s">
        <v>64</v>
      </c>
      <c r="B66" s="333"/>
      <c r="C66" s="28"/>
      <c r="D66" s="28"/>
      <c r="E66" s="28"/>
    </row>
    <row r="67" spans="1:5" x14ac:dyDescent="0.35">
      <c r="A67" s="29"/>
      <c r="B67" s="29"/>
      <c r="C67" s="29"/>
      <c r="D67" s="29"/>
      <c r="E67" s="29"/>
    </row>
    <row r="68" spans="1:5" x14ac:dyDescent="0.35">
      <c r="A68" s="29" t="s">
        <v>34</v>
      </c>
      <c r="B68" s="29"/>
      <c r="C68" s="29"/>
      <c r="D68" s="29"/>
      <c r="E68" s="29"/>
    </row>
    <row r="69" spans="1:5" x14ac:dyDescent="0.35">
      <c r="A69" s="29"/>
      <c r="B69" s="29"/>
      <c r="C69" s="29"/>
      <c r="D69" s="84"/>
      <c r="E69" s="84"/>
    </row>
    <row r="70" spans="1:5" x14ac:dyDescent="0.35">
      <c r="A70" s="29" t="s">
        <v>179</v>
      </c>
      <c r="B70" s="30"/>
      <c r="C70" s="29"/>
      <c r="D70" s="29"/>
      <c r="E70" s="29"/>
    </row>
    <row r="71" spans="1:5" x14ac:dyDescent="0.35">
      <c r="A71" s="29"/>
      <c r="B71" s="31"/>
      <c r="C71" s="29"/>
      <c r="D71" s="29"/>
      <c r="E71" s="29"/>
    </row>
  </sheetData>
  <mergeCells count="8">
    <mergeCell ref="A65:B65"/>
    <mergeCell ref="A66:B66"/>
    <mergeCell ref="A7:C7"/>
    <mergeCell ref="A9:B9"/>
    <mergeCell ref="A10:B10"/>
    <mergeCell ref="B12:C12"/>
    <mergeCell ref="A62:B62"/>
    <mergeCell ref="A63:B63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Footer>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2"/>
  <sheetViews>
    <sheetView view="pageLayout" zoomScale="80" zoomScaleNormal="100" zoomScalePageLayoutView="80" workbookViewId="0">
      <selection activeCell="B21" sqref="B21"/>
    </sheetView>
  </sheetViews>
  <sheetFormatPr defaultColWidth="9.1796875" defaultRowHeight="15.5" x14ac:dyDescent="0.35"/>
  <cols>
    <col min="1" max="1" width="17.26953125" style="14" customWidth="1"/>
    <col min="2" max="2" width="95" style="14" customWidth="1"/>
    <col min="3" max="3" width="28.54296875" style="138" customWidth="1"/>
    <col min="4" max="4" width="10.26953125" style="7" customWidth="1"/>
    <col min="5" max="16384" width="9.1796875" style="7"/>
  </cols>
  <sheetData>
    <row r="1" spans="1:3" x14ac:dyDescent="0.35">
      <c r="C1" s="18" t="s">
        <v>10</v>
      </c>
    </row>
    <row r="2" spans="1:3" x14ac:dyDescent="0.35">
      <c r="C2" s="15" t="s">
        <v>32</v>
      </c>
    </row>
    <row r="3" spans="1:3" x14ac:dyDescent="0.35">
      <c r="C3" s="80" t="s">
        <v>66</v>
      </c>
    </row>
    <row r="4" spans="1:3" x14ac:dyDescent="0.35">
      <c r="C4" s="64"/>
    </row>
    <row r="5" spans="1:3" x14ac:dyDescent="0.35">
      <c r="B5" s="18"/>
      <c r="C5" s="16" t="s">
        <v>230</v>
      </c>
    </row>
    <row r="6" spans="1:3" ht="12" customHeight="1" x14ac:dyDescent="0.35"/>
    <row r="7" spans="1:3" x14ac:dyDescent="0.35">
      <c r="A7" s="318" t="s">
        <v>9</v>
      </c>
      <c r="B7" s="318"/>
      <c r="C7" s="142"/>
    </row>
    <row r="8" spans="1:3" ht="13.5" customHeight="1" x14ac:dyDescent="0.35">
      <c r="B8" s="19"/>
    </row>
    <row r="9" spans="1:3" ht="15" customHeight="1" x14ac:dyDescent="0.35">
      <c r="A9" s="321" t="s">
        <v>1</v>
      </c>
      <c r="B9" s="321"/>
    </row>
    <row r="10" spans="1:3" ht="15" customHeight="1" x14ac:dyDescent="0.35">
      <c r="A10" s="321" t="s">
        <v>0</v>
      </c>
      <c r="B10" s="321"/>
    </row>
    <row r="11" spans="1:3" x14ac:dyDescent="0.35">
      <c r="A11" s="12"/>
      <c r="B11" s="12" t="s">
        <v>181</v>
      </c>
    </row>
    <row r="12" spans="1:3" x14ac:dyDescent="0.35">
      <c r="A12" s="12"/>
      <c r="B12" s="12" t="s">
        <v>241</v>
      </c>
      <c r="C12" s="142"/>
    </row>
    <row r="13" spans="1:3" x14ac:dyDescent="0.35">
      <c r="A13" s="12"/>
      <c r="B13" s="12" t="s">
        <v>242</v>
      </c>
      <c r="C13" s="142"/>
    </row>
    <row r="14" spans="1:3" x14ac:dyDescent="0.35">
      <c r="A14" s="12" t="s">
        <v>2</v>
      </c>
      <c r="B14" s="12" t="s">
        <v>170</v>
      </c>
    </row>
    <row r="15" spans="1:3" hidden="1" x14ac:dyDescent="0.35">
      <c r="B15" s="139"/>
    </row>
    <row r="16" spans="1:3" ht="67.5" customHeight="1" x14ac:dyDescent="0.25">
      <c r="A16" s="52" t="s">
        <v>3</v>
      </c>
      <c r="B16" s="52" t="s">
        <v>4</v>
      </c>
      <c r="C16" s="52" t="s">
        <v>63</v>
      </c>
    </row>
    <row r="17" spans="1:3" ht="15" x14ac:dyDescent="0.25">
      <c r="A17" s="21">
        <v>1</v>
      </c>
      <c r="B17" s="22">
        <v>2</v>
      </c>
      <c r="C17" s="21">
        <v>3</v>
      </c>
    </row>
    <row r="18" spans="1:3" x14ac:dyDescent="0.25">
      <c r="A18" s="42"/>
      <c r="B18" s="40" t="s">
        <v>5</v>
      </c>
      <c r="C18" s="36"/>
    </row>
    <row r="19" spans="1:3" ht="15.75" customHeight="1" x14ac:dyDescent="0.35">
      <c r="A19" s="32">
        <v>1100</v>
      </c>
      <c r="B19" s="32" t="s">
        <v>133</v>
      </c>
      <c r="C19" s="136">
        <v>177.98</v>
      </c>
    </row>
    <row r="20" spans="1:3" ht="15.75" customHeight="1" x14ac:dyDescent="0.35">
      <c r="A20" s="32">
        <v>1200</v>
      </c>
      <c r="B20" s="62" t="s">
        <v>134</v>
      </c>
      <c r="C20" s="136">
        <v>41.99</v>
      </c>
    </row>
    <row r="21" spans="1:3" ht="15.75" customHeight="1" x14ac:dyDescent="0.35">
      <c r="A21" s="32">
        <v>2210</v>
      </c>
      <c r="B21" s="63" t="s">
        <v>121</v>
      </c>
      <c r="C21" s="137">
        <v>10.039999999999999</v>
      </c>
    </row>
    <row r="22" spans="1:3" ht="15.75" customHeight="1" x14ac:dyDescent="0.35">
      <c r="A22" s="32">
        <v>2222</v>
      </c>
      <c r="B22" s="63" t="s">
        <v>136</v>
      </c>
      <c r="C22" s="137">
        <v>237.83</v>
      </c>
    </row>
    <row r="23" spans="1:3" ht="15.75" customHeight="1" x14ac:dyDescent="0.35">
      <c r="A23" s="32">
        <v>2223</v>
      </c>
      <c r="B23" s="33" t="s">
        <v>137</v>
      </c>
      <c r="C23" s="137">
        <v>339.33</v>
      </c>
    </row>
    <row r="24" spans="1:3" x14ac:dyDescent="0.35">
      <c r="A24" s="32">
        <v>2243</v>
      </c>
      <c r="B24" s="154" t="s">
        <v>138</v>
      </c>
      <c r="C24" s="137">
        <v>12.87</v>
      </c>
    </row>
    <row r="25" spans="1:3" x14ac:dyDescent="0.35">
      <c r="A25" s="32">
        <v>2244</v>
      </c>
      <c r="B25" s="23" t="s">
        <v>139</v>
      </c>
      <c r="C25" s="137">
        <v>203.91</v>
      </c>
    </row>
    <row r="26" spans="1:3" hidden="1" x14ac:dyDescent="0.35">
      <c r="A26" s="32">
        <v>2250</v>
      </c>
      <c r="B26" s="63" t="s">
        <v>120</v>
      </c>
      <c r="C26" s="137"/>
    </row>
    <row r="27" spans="1:3" hidden="1" x14ac:dyDescent="0.35">
      <c r="A27" s="32">
        <v>2261</v>
      </c>
      <c r="B27" s="33" t="s">
        <v>100</v>
      </c>
      <c r="C27" s="137">
        <v>0</v>
      </c>
    </row>
    <row r="28" spans="1:3" x14ac:dyDescent="0.35">
      <c r="A28" s="32">
        <v>2263</v>
      </c>
      <c r="B28" s="33" t="s">
        <v>150</v>
      </c>
      <c r="C28" s="137">
        <v>61.59</v>
      </c>
    </row>
    <row r="29" spans="1:3" x14ac:dyDescent="0.35">
      <c r="A29" s="32">
        <v>2312</v>
      </c>
      <c r="B29" s="33" t="s">
        <v>117</v>
      </c>
      <c r="C29" s="137">
        <v>28.84</v>
      </c>
    </row>
    <row r="30" spans="1:3" x14ac:dyDescent="0.35">
      <c r="A30" s="32">
        <v>2321</v>
      </c>
      <c r="B30" s="33" t="s">
        <v>140</v>
      </c>
      <c r="C30" s="137">
        <v>328.28</v>
      </c>
    </row>
    <row r="31" spans="1:3" x14ac:dyDescent="0.35">
      <c r="A31" s="32">
        <v>2350</v>
      </c>
      <c r="B31" s="62" t="s">
        <v>126</v>
      </c>
      <c r="C31" s="137">
        <v>34.25</v>
      </c>
    </row>
    <row r="32" spans="1:3" x14ac:dyDescent="0.35">
      <c r="A32" s="145">
        <v>2361</v>
      </c>
      <c r="B32" s="33" t="s">
        <v>142</v>
      </c>
      <c r="C32" s="137">
        <v>28.89</v>
      </c>
    </row>
    <row r="33" spans="1:3" x14ac:dyDescent="0.35">
      <c r="A33" s="32">
        <v>2513</v>
      </c>
      <c r="B33" s="62" t="s">
        <v>122</v>
      </c>
      <c r="C33" s="137">
        <v>20.86</v>
      </c>
    </row>
    <row r="34" spans="1:3" x14ac:dyDescent="0.35">
      <c r="A34" s="32">
        <v>2519</v>
      </c>
      <c r="B34" s="33" t="s">
        <v>123</v>
      </c>
      <c r="C34" s="137">
        <v>14.77</v>
      </c>
    </row>
    <row r="35" spans="1:3" x14ac:dyDescent="0.25">
      <c r="A35" s="32"/>
      <c r="B35" s="37" t="s">
        <v>6</v>
      </c>
      <c r="C35" s="38">
        <f>SUM(C19:C34)</f>
        <v>1541.4299999999998</v>
      </c>
    </row>
    <row r="36" spans="1:3" x14ac:dyDescent="0.25">
      <c r="A36" s="39"/>
      <c r="B36" s="32" t="s">
        <v>7</v>
      </c>
      <c r="C36" s="34"/>
    </row>
    <row r="37" spans="1:3" x14ac:dyDescent="0.35">
      <c r="A37" s="32">
        <v>1100</v>
      </c>
      <c r="B37" s="32" t="s">
        <v>133</v>
      </c>
      <c r="C37" s="136">
        <v>221.71</v>
      </c>
    </row>
    <row r="38" spans="1:3" ht="15.75" customHeight="1" x14ac:dyDescent="0.35">
      <c r="A38" s="32">
        <v>1200</v>
      </c>
      <c r="B38" s="62" t="s">
        <v>134</v>
      </c>
      <c r="C38" s="136">
        <v>52.3</v>
      </c>
    </row>
    <row r="39" spans="1:3" ht="15.75" customHeight="1" x14ac:dyDescent="0.35">
      <c r="A39" s="32">
        <v>2210</v>
      </c>
      <c r="B39" s="63" t="s">
        <v>121</v>
      </c>
      <c r="C39" s="137">
        <v>4.99</v>
      </c>
    </row>
    <row r="40" spans="1:3" ht="30" customHeight="1" x14ac:dyDescent="0.35">
      <c r="A40" s="32">
        <v>2224</v>
      </c>
      <c r="B40" s="63" t="s">
        <v>177</v>
      </c>
      <c r="C40" s="137">
        <v>29.41</v>
      </c>
    </row>
    <row r="41" spans="1:3" ht="15.75" customHeight="1" x14ac:dyDescent="0.35">
      <c r="A41" s="32">
        <v>2239</v>
      </c>
      <c r="B41" s="33" t="s">
        <v>145</v>
      </c>
      <c r="C41" s="137">
        <v>2.0099999999999998</v>
      </c>
    </row>
    <row r="42" spans="1:3" x14ac:dyDescent="0.35">
      <c r="A42" s="32">
        <v>2241</v>
      </c>
      <c r="B42" s="23" t="s">
        <v>124</v>
      </c>
      <c r="C42" s="137">
        <v>0.88</v>
      </c>
    </row>
    <row r="43" spans="1:3" x14ac:dyDescent="0.35">
      <c r="A43" s="32">
        <v>2242</v>
      </c>
      <c r="B43" s="33" t="s">
        <v>146</v>
      </c>
      <c r="C43" s="137">
        <v>1.62</v>
      </c>
    </row>
    <row r="44" spans="1:3" x14ac:dyDescent="0.35">
      <c r="A44" s="32">
        <v>2243</v>
      </c>
      <c r="B44" s="33" t="s">
        <v>138</v>
      </c>
      <c r="C44" s="137">
        <v>5.04</v>
      </c>
    </row>
    <row r="45" spans="1:3" x14ac:dyDescent="0.35">
      <c r="A45" s="32">
        <v>2244</v>
      </c>
      <c r="B45" s="23" t="s">
        <v>139</v>
      </c>
      <c r="C45" s="137">
        <f>3.71+2.84</f>
        <v>6.55</v>
      </c>
    </row>
    <row r="46" spans="1:3" x14ac:dyDescent="0.35">
      <c r="A46" s="32">
        <v>2249</v>
      </c>
      <c r="B46" s="23" t="s">
        <v>172</v>
      </c>
      <c r="C46" s="137">
        <v>2.25</v>
      </c>
    </row>
    <row r="47" spans="1:3" x14ac:dyDescent="0.35">
      <c r="A47" s="32">
        <v>2250</v>
      </c>
      <c r="B47" s="23" t="s">
        <v>125</v>
      </c>
      <c r="C47" s="137">
        <v>6.32</v>
      </c>
    </row>
    <row r="48" spans="1:3" x14ac:dyDescent="0.35">
      <c r="A48" s="32">
        <v>2262</v>
      </c>
      <c r="B48" s="33" t="s">
        <v>149</v>
      </c>
      <c r="C48" s="136">
        <v>3.9</v>
      </c>
    </row>
    <row r="49" spans="1:5" x14ac:dyDescent="0.35">
      <c r="A49" s="32">
        <v>2264</v>
      </c>
      <c r="B49" s="33" t="s">
        <v>174</v>
      </c>
      <c r="C49" s="136">
        <v>0.08</v>
      </c>
    </row>
    <row r="50" spans="1:5" x14ac:dyDescent="0.35">
      <c r="A50" s="32">
        <v>2311</v>
      </c>
      <c r="B50" s="33" t="s">
        <v>152</v>
      </c>
      <c r="C50" s="136">
        <f>3.9-0.14</f>
        <v>3.76</v>
      </c>
    </row>
    <row r="51" spans="1:5" hidden="1" x14ac:dyDescent="0.35">
      <c r="A51" s="32">
        <v>2312</v>
      </c>
      <c r="B51" s="33" t="s">
        <v>117</v>
      </c>
      <c r="C51" s="136">
        <v>0</v>
      </c>
    </row>
    <row r="52" spans="1:5" x14ac:dyDescent="0.35">
      <c r="A52" s="32">
        <v>2322</v>
      </c>
      <c r="B52" s="33" t="s">
        <v>154</v>
      </c>
      <c r="C52" s="137">
        <v>10.92</v>
      </c>
    </row>
    <row r="53" spans="1:5" x14ac:dyDescent="0.35">
      <c r="A53" s="32">
        <v>2350</v>
      </c>
      <c r="B53" s="62" t="s">
        <v>126</v>
      </c>
      <c r="C53" s="137">
        <v>13.66</v>
      </c>
    </row>
    <row r="54" spans="1:5" hidden="1" x14ac:dyDescent="0.35">
      <c r="A54" s="32"/>
      <c r="B54" s="33"/>
      <c r="C54" s="136"/>
    </row>
    <row r="55" spans="1:5" x14ac:dyDescent="0.35">
      <c r="A55" s="32">
        <v>2515</v>
      </c>
      <c r="B55" s="33" t="s">
        <v>156</v>
      </c>
      <c r="C55" s="137">
        <v>0.94</v>
      </c>
    </row>
    <row r="56" spans="1:5" x14ac:dyDescent="0.35">
      <c r="A56" s="32">
        <v>2519</v>
      </c>
      <c r="B56" s="33" t="s">
        <v>123</v>
      </c>
      <c r="C56" s="137">
        <v>0.08</v>
      </c>
    </row>
    <row r="57" spans="1:5" x14ac:dyDescent="0.35">
      <c r="A57" s="32">
        <v>5238</v>
      </c>
      <c r="B57" s="62" t="s">
        <v>130</v>
      </c>
      <c r="C57" s="137">
        <v>6.51</v>
      </c>
    </row>
    <row r="58" spans="1:5" x14ac:dyDescent="0.35">
      <c r="A58" s="32">
        <v>5239</v>
      </c>
      <c r="B58" s="62" t="s">
        <v>131</v>
      </c>
      <c r="C58" s="137">
        <v>15.23</v>
      </c>
    </row>
    <row r="59" spans="1:5" x14ac:dyDescent="0.35">
      <c r="A59" s="32">
        <v>5250</v>
      </c>
      <c r="B59" s="33" t="s">
        <v>132</v>
      </c>
      <c r="C59" s="137">
        <v>11.41</v>
      </c>
      <c r="E59" s="151"/>
    </row>
    <row r="60" spans="1:5" x14ac:dyDescent="0.25">
      <c r="A60" s="39"/>
      <c r="B60" s="41" t="s">
        <v>8</v>
      </c>
      <c r="C60" s="38">
        <f>SUM(C37:C59)</f>
        <v>399.57000000000005</v>
      </c>
    </row>
    <row r="61" spans="1:5" x14ac:dyDescent="0.25">
      <c r="A61" s="39"/>
      <c r="B61" s="41" t="s">
        <v>29</v>
      </c>
      <c r="C61" s="140">
        <f>C35+C60</f>
        <v>1941</v>
      </c>
      <c r="E61" s="151"/>
    </row>
    <row r="62" spans="1:5" ht="15" customHeight="1" x14ac:dyDescent="0.35">
      <c r="A62" s="16"/>
      <c r="B62" s="26"/>
      <c r="C62" s="27"/>
    </row>
    <row r="63" spans="1:5" ht="15" customHeight="1" x14ac:dyDescent="0.25">
      <c r="A63" s="321" t="s">
        <v>57</v>
      </c>
      <c r="B63" s="321"/>
      <c r="C63" s="68">
        <v>30</v>
      </c>
    </row>
    <row r="64" spans="1:5" ht="15" customHeight="1" x14ac:dyDescent="0.3">
      <c r="A64" s="321" t="s">
        <v>58</v>
      </c>
      <c r="B64" s="321"/>
      <c r="C64" s="69">
        <f>C61/C63</f>
        <v>64.7</v>
      </c>
    </row>
    <row r="65" spans="1:3" ht="15" customHeight="1" x14ac:dyDescent="0.35">
      <c r="A65" s="26"/>
      <c r="B65" s="27"/>
      <c r="C65" s="27"/>
    </row>
    <row r="66" spans="1:3" ht="15" customHeight="1" x14ac:dyDescent="0.35">
      <c r="A66" s="332" t="s">
        <v>33</v>
      </c>
      <c r="B66" s="319"/>
      <c r="C66" s="141"/>
    </row>
    <row r="67" spans="1:3" ht="15" customHeight="1" x14ac:dyDescent="0.35">
      <c r="A67" s="332" t="s">
        <v>64</v>
      </c>
      <c r="B67" s="319"/>
      <c r="C67" s="141"/>
    </row>
    <row r="68" spans="1:3" ht="15" customHeight="1" x14ac:dyDescent="0.35">
      <c r="A68" s="29"/>
      <c r="B68" s="29"/>
      <c r="C68" s="164"/>
    </row>
    <row r="69" spans="1:3" ht="15" customHeight="1" x14ac:dyDescent="0.35">
      <c r="A69" s="29" t="s">
        <v>34</v>
      </c>
      <c r="B69" s="29"/>
      <c r="C69" s="164"/>
    </row>
    <row r="70" spans="1:3" ht="15" customHeight="1" x14ac:dyDescent="0.35">
      <c r="A70" s="29"/>
      <c r="B70" s="29"/>
      <c r="C70" s="31"/>
    </row>
    <row r="71" spans="1:3" ht="15" customHeight="1" x14ac:dyDescent="0.35">
      <c r="A71" s="29" t="s">
        <v>179</v>
      </c>
      <c r="B71" s="30"/>
      <c r="C71" s="31"/>
    </row>
    <row r="72" spans="1:3" x14ac:dyDescent="0.35">
      <c r="A72" s="29"/>
      <c r="B72" s="31"/>
      <c r="C72" s="157"/>
    </row>
  </sheetData>
  <mergeCells count="7">
    <mergeCell ref="A7:B7"/>
    <mergeCell ref="A9:B9"/>
    <mergeCell ref="A10:B10"/>
    <mergeCell ref="A66:B66"/>
    <mergeCell ref="A67:B67"/>
    <mergeCell ref="A63:B63"/>
    <mergeCell ref="A64:B64"/>
  </mergeCells>
  <pageMargins left="0.70866141732283461" right="0.70866141732283461" top="0.69" bottom="0.5395833333333333" header="0.31496062992125984" footer="0.31496062992125984"/>
  <pageSetup paperSize="9" scale="63" orientation="portrait" r:id="rId1"/>
  <headerFooter>
    <oddFooter>&amp;C&amp;"Times New Roman,Regular"&amp;F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0"/>
  <sheetViews>
    <sheetView view="pageLayout" zoomScale="80" zoomScaleNormal="100" zoomScalePageLayoutView="80" workbookViewId="0">
      <selection activeCell="A69" sqref="A69"/>
    </sheetView>
  </sheetViews>
  <sheetFormatPr defaultColWidth="9.1796875" defaultRowHeight="15.5" x14ac:dyDescent="0.35"/>
  <cols>
    <col min="1" max="1" width="15.7265625" style="14" customWidth="1"/>
    <col min="2" max="2" width="95.453125" style="14" customWidth="1"/>
    <col min="3" max="3" width="27" style="14" hidden="1" customWidth="1"/>
    <col min="4" max="4" width="29.7265625" style="14" hidden="1" customWidth="1"/>
    <col min="5" max="5" width="29.7265625" style="14" customWidth="1"/>
    <col min="6" max="16384" width="9.1796875" style="7"/>
  </cols>
  <sheetData>
    <row r="1" spans="1:5" x14ac:dyDescent="0.35">
      <c r="C1" s="54" t="s">
        <v>10</v>
      </c>
      <c r="D1" s="18" t="s">
        <v>10</v>
      </c>
      <c r="E1" s="18" t="s">
        <v>10</v>
      </c>
    </row>
    <row r="2" spans="1:5" x14ac:dyDescent="0.35">
      <c r="C2" s="55" t="s">
        <v>32</v>
      </c>
      <c r="D2" s="15" t="s">
        <v>32</v>
      </c>
      <c r="E2" s="15" t="s">
        <v>32</v>
      </c>
    </row>
    <row r="3" spans="1:5" x14ac:dyDescent="0.35">
      <c r="C3" s="56" t="s">
        <v>66</v>
      </c>
      <c r="D3" s="80" t="s">
        <v>66</v>
      </c>
      <c r="E3" s="80" t="s">
        <v>66</v>
      </c>
    </row>
    <row r="4" spans="1:5" x14ac:dyDescent="0.35">
      <c r="C4" s="55"/>
      <c r="D4" s="64"/>
      <c r="E4" s="64"/>
    </row>
    <row r="5" spans="1:5" x14ac:dyDescent="0.35">
      <c r="C5" s="55" t="s">
        <v>67</v>
      </c>
      <c r="D5" s="16" t="s">
        <v>180</v>
      </c>
      <c r="E5" s="16" t="s">
        <v>230</v>
      </c>
    </row>
    <row r="7" spans="1:5" ht="13" x14ac:dyDescent="0.3">
      <c r="A7" s="335" t="s">
        <v>9</v>
      </c>
      <c r="B7" s="336"/>
      <c r="C7" s="336"/>
      <c r="D7" s="7"/>
      <c r="E7" s="7"/>
    </row>
    <row r="8" spans="1:5" x14ac:dyDescent="0.35">
      <c r="B8" s="19"/>
    </row>
    <row r="9" spans="1:5" x14ac:dyDescent="0.35">
      <c r="A9" s="321" t="s">
        <v>1</v>
      </c>
      <c r="B9" s="321"/>
    </row>
    <row r="10" spans="1:5" x14ac:dyDescent="0.35">
      <c r="A10" s="321" t="s">
        <v>0</v>
      </c>
      <c r="B10" s="321"/>
    </row>
    <row r="11" spans="1:5" x14ac:dyDescent="0.35">
      <c r="A11" s="12"/>
      <c r="B11" s="12" t="s">
        <v>181</v>
      </c>
    </row>
    <row r="12" spans="1:5" x14ac:dyDescent="0.35">
      <c r="A12" s="12"/>
      <c r="B12" s="14" t="s">
        <v>225</v>
      </c>
    </row>
    <row r="13" spans="1:5" x14ac:dyDescent="0.35">
      <c r="A13" s="12" t="s">
        <v>2</v>
      </c>
      <c r="B13" s="12" t="str">
        <f>'4.6.2.'!B14</f>
        <v>2023.gadā un turpmāk</v>
      </c>
    </row>
    <row r="14" spans="1:5" hidden="1" x14ac:dyDescent="0.35">
      <c r="B14" s="139"/>
    </row>
    <row r="15" spans="1:5" ht="62" x14ac:dyDescent="0.25">
      <c r="A15" s="52" t="s">
        <v>3</v>
      </c>
      <c r="B15" s="52" t="s">
        <v>4</v>
      </c>
      <c r="C15" s="52" t="s">
        <v>63</v>
      </c>
      <c r="D15" s="52" t="s">
        <v>63</v>
      </c>
      <c r="E15" s="52" t="s">
        <v>63</v>
      </c>
    </row>
    <row r="16" spans="1:5" ht="15" x14ac:dyDescent="0.25">
      <c r="A16" s="21">
        <v>1</v>
      </c>
      <c r="B16" s="22">
        <v>2</v>
      </c>
      <c r="C16" s="21">
        <v>3</v>
      </c>
      <c r="D16" s="21">
        <v>3</v>
      </c>
      <c r="E16" s="21">
        <v>3</v>
      </c>
    </row>
    <row r="17" spans="1:5" x14ac:dyDescent="0.25">
      <c r="A17" s="42"/>
      <c r="B17" s="40" t="s">
        <v>5</v>
      </c>
      <c r="C17" s="32"/>
      <c r="D17" s="32"/>
      <c r="E17" s="32"/>
    </row>
    <row r="18" spans="1:5" x14ac:dyDescent="0.25">
      <c r="A18" s="32">
        <v>1100</v>
      </c>
      <c r="B18" s="32" t="s">
        <v>133</v>
      </c>
      <c r="C18" s="34">
        <v>1053.98</v>
      </c>
      <c r="D18" s="34">
        <v>499.45</v>
      </c>
      <c r="E18" s="34">
        <f>D18/400*100</f>
        <v>124.86249999999998</v>
      </c>
    </row>
    <row r="19" spans="1:5" ht="15.75" customHeight="1" x14ac:dyDescent="0.35">
      <c r="A19" s="32">
        <v>1200</v>
      </c>
      <c r="B19" s="62" t="s">
        <v>134</v>
      </c>
      <c r="C19" s="34">
        <v>248.63</v>
      </c>
      <c r="D19" s="34">
        <v>117.82</v>
      </c>
      <c r="E19" s="34">
        <f t="shared" ref="E19:E32" si="0">D19/400*100</f>
        <v>29.454999999999998</v>
      </c>
    </row>
    <row r="20" spans="1:5" x14ac:dyDescent="0.35">
      <c r="A20" s="32">
        <v>2210</v>
      </c>
      <c r="B20" s="63" t="s">
        <v>121</v>
      </c>
      <c r="C20" s="34">
        <v>53.39</v>
      </c>
      <c r="D20" s="34">
        <v>22.48</v>
      </c>
      <c r="E20" s="34">
        <f t="shared" si="0"/>
        <v>5.62</v>
      </c>
    </row>
    <row r="21" spans="1:5" x14ac:dyDescent="0.35">
      <c r="A21" s="32">
        <v>2222</v>
      </c>
      <c r="B21" s="63" t="s">
        <v>136</v>
      </c>
      <c r="C21" s="34">
        <v>1785.65</v>
      </c>
      <c r="D21" s="34">
        <f>751.85</f>
        <v>751.85</v>
      </c>
      <c r="E21" s="34">
        <f t="shared" si="0"/>
        <v>187.96250000000001</v>
      </c>
    </row>
    <row r="22" spans="1:5" x14ac:dyDescent="0.25">
      <c r="A22" s="32">
        <v>2223</v>
      </c>
      <c r="B22" s="33" t="s">
        <v>137</v>
      </c>
      <c r="C22" s="34">
        <v>1178.33</v>
      </c>
      <c r="D22" s="34">
        <v>1421.16</v>
      </c>
      <c r="E22" s="34">
        <f t="shared" si="0"/>
        <v>355.29</v>
      </c>
    </row>
    <row r="23" spans="1:5" x14ac:dyDescent="0.25">
      <c r="A23" s="32">
        <v>2243</v>
      </c>
      <c r="B23" s="154" t="s">
        <v>138</v>
      </c>
      <c r="C23" s="34">
        <v>49.11</v>
      </c>
      <c r="D23" s="34">
        <v>20.68</v>
      </c>
      <c r="E23" s="34">
        <f t="shared" si="0"/>
        <v>5.17</v>
      </c>
    </row>
    <row r="24" spans="1:5" x14ac:dyDescent="0.35">
      <c r="A24" s="32">
        <v>2244</v>
      </c>
      <c r="B24" s="23" t="s">
        <v>139</v>
      </c>
      <c r="C24" s="34">
        <v>1436.36</v>
      </c>
      <c r="D24" s="34">
        <v>1300.78</v>
      </c>
      <c r="E24" s="34">
        <f t="shared" si="0"/>
        <v>325.19499999999999</v>
      </c>
    </row>
    <row r="25" spans="1:5" hidden="1" x14ac:dyDescent="0.25">
      <c r="A25" s="32">
        <v>2261</v>
      </c>
      <c r="B25" s="33" t="s">
        <v>99</v>
      </c>
      <c r="C25" s="34">
        <v>0</v>
      </c>
      <c r="D25" s="34">
        <f>C25/950*400</f>
        <v>0</v>
      </c>
      <c r="E25" s="34">
        <f t="shared" si="0"/>
        <v>0</v>
      </c>
    </row>
    <row r="26" spans="1:5" x14ac:dyDescent="0.25">
      <c r="A26" s="32">
        <v>2263</v>
      </c>
      <c r="B26" s="33" t="s">
        <v>150</v>
      </c>
      <c r="C26" s="34">
        <v>455.53</v>
      </c>
      <c r="D26" s="34">
        <v>411.8</v>
      </c>
      <c r="E26" s="34">
        <f t="shared" si="0"/>
        <v>102.95</v>
      </c>
    </row>
    <row r="27" spans="1:5" x14ac:dyDescent="0.25">
      <c r="A27" s="32">
        <v>2312</v>
      </c>
      <c r="B27" s="33" t="s">
        <v>117</v>
      </c>
      <c r="C27" s="34">
        <v>136.07</v>
      </c>
      <c r="D27" s="34">
        <v>57.29</v>
      </c>
      <c r="E27" s="34">
        <f t="shared" si="0"/>
        <v>14.3225</v>
      </c>
    </row>
    <row r="28" spans="1:5" x14ac:dyDescent="0.25">
      <c r="A28" s="32">
        <v>2321</v>
      </c>
      <c r="B28" s="33" t="s">
        <v>140</v>
      </c>
      <c r="C28" s="34">
        <v>2812.72</v>
      </c>
      <c r="D28" s="34">
        <v>1056.78</v>
      </c>
      <c r="E28" s="34">
        <f t="shared" si="0"/>
        <v>264.19499999999999</v>
      </c>
    </row>
    <row r="29" spans="1:5" x14ac:dyDescent="0.35">
      <c r="A29" s="32">
        <v>2350</v>
      </c>
      <c r="B29" s="62" t="s">
        <v>126</v>
      </c>
      <c r="C29" s="34">
        <v>113.77</v>
      </c>
      <c r="D29" s="34">
        <v>47.9</v>
      </c>
      <c r="E29" s="34">
        <f t="shared" si="0"/>
        <v>11.975</v>
      </c>
    </row>
    <row r="30" spans="1:5" x14ac:dyDescent="0.25">
      <c r="A30" s="145">
        <v>2361</v>
      </c>
      <c r="B30" s="33" t="s">
        <v>142</v>
      </c>
      <c r="C30" s="34">
        <v>95.52</v>
      </c>
      <c r="D30" s="34">
        <v>40.22</v>
      </c>
      <c r="E30" s="34">
        <f t="shared" si="0"/>
        <v>10.055</v>
      </c>
    </row>
    <row r="31" spans="1:5" x14ac:dyDescent="0.35">
      <c r="A31" s="32">
        <v>2513</v>
      </c>
      <c r="B31" s="62" t="s">
        <v>122</v>
      </c>
      <c r="C31" s="34">
        <v>214.47</v>
      </c>
      <c r="D31" s="34">
        <v>90.3</v>
      </c>
      <c r="E31" s="34">
        <f t="shared" si="0"/>
        <v>22.574999999999999</v>
      </c>
    </row>
    <row r="32" spans="1:5" x14ac:dyDescent="0.25">
      <c r="A32" s="32">
        <v>2519</v>
      </c>
      <c r="B32" s="33" t="s">
        <v>123</v>
      </c>
      <c r="C32" s="34">
        <v>151.84</v>
      </c>
      <c r="D32" s="34">
        <v>63.93</v>
      </c>
      <c r="E32" s="34">
        <f t="shared" si="0"/>
        <v>15.9825</v>
      </c>
    </row>
    <row r="33" spans="1:5" x14ac:dyDescent="0.25">
      <c r="A33" s="32"/>
      <c r="B33" s="37" t="s">
        <v>6</v>
      </c>
      <c r="C33" s="38">
        <f>SUM(C18:C32)</f>
        <v>9785.369999999999</v>
      </c>
      <c r="D33" s="38">
        <f>SUM(D18:D32)</f>
        <v>5902.4400000000005</v>
      </c>
      <c r="E33" s="38">
        <f>SUM(E18:E32)</f>
        <v>1475.6100000000001</v>
      </c>
    </row>
    <row r="34" spans="1:5" x14ac:dyDescent="0.25">
      <c r="A34" s="39"/>
      <c r="B34" s="32" t="s">
        <v>7</v>
      </c>
      <c r="C34" s="34"/>
      <c r="D34" s="34"/>
      <c r="E34" s="34"/>
    </row>
    <row r="35" spans="1:5" x14ac:dyDescent="0.25">
      <c r="A35" s="32">
        <v>1100</v>
      </c>
      <c r="B35" s="32" t="s">
        <v>133</v>
      </c>
      <c r="C35" s="34">
        <v>1530.48</v>
      </c>
      <c r="D35" s="34">
        <v>725.26</v>
      </c>
      <c r="E35" s="34">
        <f t="shared" ref="E35:E57" si="1">D35/400*100</f>
        <v>181.315</v>
      </c>
    </row>
    <row r="36" spans="1:5" ht="15.75" customHeight="1" x14ac:dyDescent="0.35">
      <c r="A36" s="32">
        <v>1200</v>
      </c>
      <c r="B36" s="62" t="s">
        <v>134</v>
      </c>
      <c r="C36" s="34">
        <v>361.04</v>
      </c>
      <c r="D36" s="34">
        <v>171.09</v>
      </c>
      <c r="E36" s="34">
        <f t="shared" si="1"/>
        <v>42.772500000000001</v>
      </c>
    </row>
    <row r="37" spans="1:5" x14ac:dyDescent="0.35">
      <c r="A37" s="32">
        <v>2210</v>
      </c>
      <c r="B37" s="63" t="s">
        <v>121</v>
      </c>
      <c r="C37" s="34">
        <v>45.73</v>
      </c>
      <c r="D37" s="34">
        <v>19.25</v>
      </c>
      <c r="E37" s="34">
        <f t="shared" si="1"/>
        <v>4.8125</v>
      </c>
    </row>
    <row r="38" spans="1:5" ht="31" x14ac:dyDescent="0.35">
      <c r="A38" s="32">
        <v>2224</v>
      </c>
      <c r="B38" s="63" t="s">
        <v>177</v>
      </c>
      <c r="C38" s="34"/>
      <c r="D38" s="34">
        <v>24.3</v>
      </c>
      <c r="E38" s="34">
        <f t="shared" si="1"/>
        <v>6.0750000000000002</v>
      </c>
    </row>
    <row r="39" spans="1:5" x14ac:dyDescent="0.25">
      <c r="A39" s="32">
        <v>2239</v>
      </c>
      <c r="B39" s="33" t="s">
        <v>145</v>
      </c>
      <c r="C39" s="34">
        <v>18.47</v>
      </c>
      <c r="D39" s="34">
        <v>7.78</v>
      </c>
      <c r="E39" s="34">
        <f t="shared" si="1"/>
        <v>1.9450000000000003</v>
      </c>
    </row>
    <row r="40" spans="1:5" x14ac:dyDescent="0.35">
      <c r="A40" s="32">
        <v>2241</v>
      </c>
      <c r="B40" s="23" t="s">
        <v>124</v>
      </c>
      <c r="C40" s="34">
        <v>4.7300000000000004</v>
      </c>
      <c r="D40" s="34">
        <v>2.99</v>
      </c>
      <c r="E40" s="34">
        <f t="shared" si="1"/>
        <v>0.74750000000000005</v>
      </c>
    </row>
    <row r="41" spans="1:5" x14ac:dyDescent="0.25">
      <c r="A41" s="32">
        <v>2242</v>
      </c>
      <c r="B41" s="33" t="s">
        <v>146</v>
      </c>
      <c r="C41" s="34">
        <v>14.87</v>
      </c>
      <c r="D41" s="34">
        <v>6.26</v>
      </c>
      <c r="E41" s="34">
        <f t="shared" si="1"/>
        <v>1.5650000000000002</v>
      </c>
    </row>
    <row r="42" spans="1:5" x14ac:dyDescent="0.25">
      <c r="A42" s="32">
        <v>2243</v>
      </c>
      <c r="B42" s="33" t="s">
        <v>138</v>
      </c>
      <c r="C42" s="34">
        <v>14.64</v>
      </c>
      <c r="D42" s="34">
        <v>7.16</v>
      </c>
      <c r="E42" s="34">
        <f t="shared" si="1"/>
        <v>1.79</v>
      </c>
    </row>
    <row r="43" spans="1:5" x14ac:dyDescent="0.35">
      <c r="A43" s="32">
        <v>2244</v>
      </c>
      <c r="B43" s="23" t="s">
        <v>139</v>
      </c>
      <c r="C43" s="34">
        <v>4.7300000000000004</v>
      </c>
      <c r="D43" s="34">
        <f>4.29+1.9+1.87</f>
        <v>8.0599999999999987</v>
      </c>
      <c r="E43" s="34">
        <f t="shared" si="1"/>
        <v>2.0149999999999997</v>
      </c>
    </row>
    <row r="44" spans="1:5" x14ac:dyDescent="0.35">
      <c r="A44" s="32">
        <v>2249</v>
      </c>
      <c r="B44" s="23" t="s">
        <v>172</v>
      </c>
      <c r="C44" s="34">
        <v>201.63</v>
      </c>
      <c r="D44" s="34">
        <v>84.9</v>
      </c>
      <c r="E44" s="34">
        <f t="shared" si="1"/>
        <v>21.225000000000001</v>
      </c>
    </row>
    <row r="45" spans="1:5" x14ac:dyDescent="0.35">
      <c r="A45" s="32">
        <v>2250</v>
      </c>
      <c r="B45" s="23" t="s">
        <v>125</v>
      </c>
      <c r="C45" s="34">
        <v>34.020000000000003</v>
      </c>
      <c r="D45" s="34">
        <v>14.42</v>
      </c>
      <c r="E45" s="34">
        <f t="shared" si="1"/>
        <v>3.605</v>
      </c>
    </row>
    <row r="46" spans="1:5" x14ac:dyDescent="0.25">
      <c r="A46" s="32">
        <v>2262</v>
      </c>
      <c r="B46" s="33" t="s">
        <v>149</v>
      </c>
      <c r="C46" s="34">
        <v>35.6</v>
      </c>
      <c r="D46" s="34">
        <v>14.99</v>
      </c>
      <c r="E46" s="34">
        <f t="shared" si="1"/>
        <v>3.7475000000000001</v>
      </c>
    </row>
    <row r="47" spans="1:5" x14ac:dyDescent="0.25">
      <c r="A47" s="32">
        <v>2264</v>
      </c>
      <c r="B47" s="33" t="s">
        <v>174</v>
      </c>
      <c r="C47" s="34">
        <v>0.23</v>
      </c>
      <c r="D47" s="34">
        <v>0.1</v>
      </c>
      <c r="E47" s="34">
        <f t="shared" si="1"/>
        <v>2.5000000000000001E-2</v>
      </c>
    </row>
    <row r="48" spans="1:5" x14ac:dyDescent="0.25">
      <c r="A48" s="32">
        <v>2311</v>
      </c>
      <c r="B48" s="33" t="s">
        <v>152</v>
      </c>
      <c r="C48" s="34">
        <v>19.600000000000001</v>
      </c>
      <c r="D48" s="34">
        <v>8.25</v>
      </c>
      <c r="E48" s="34">
        <f t="shared" si="1"/>
        <v>2.0625</v>
      </c>
    </row>
    <row r="49" spans="1:5" hidden="1" x14ac:dyDescent="0.25">
      <c r="A49" s="32">
        <v>2312</v>
      </c>
      <c r="B49" s="33" t="s">
        <v>117</v>
      </c>
      <c r="C49" s="34">
        <v>4.51</v>
      </c>
      <c r="D49" s="34">
        <v>0</v>
      </c>
      <c r="E49" s="34">
        <f t="shared" si="1"/>
        <v>0</v>
      </c>
    </row>
    <row r="50" spans="1:5" x14ac:dyDescent="0.25">
      <c r="A50" s="32">
        <v>2322</v>
      </c>
      <c r="B50" s="33" t="s">
        <v>154</v>
      </c>
      <c r="C50" s="34">
        <v>91.24</v>
      </c>
      <c r="D50" s="34">
        <v>46.1</v>
      </c>
      <c r="E50" s="34">
        <f t="shared" si="1"/>
        <v>11.525</v>
      </c>
    </row>
    <row r="51" spans="1:5" x14ac:dyDescent="0.35">
      <c r="A51" s="32">
        <v>2350</v>
      </c>
      <c r="B51" s="62" t="s">
        <v>126</v>
      </c>
      <c r="C51" s="34">
        <v>94.4</v>
      </c>
      <c r="D51" s="34">
        <v>39.75</v>
      </c>
      <c r="E51" s="34">
        <f t="shared" si="1"/>
        <v>9.9375</v>
      </c>
    </row>
    <row r="52" spans="1:5" x14ac:dyDescent="0.25">
      <c r="A52" s="32">
        <v>2512</v>
      </c>
      <c r="B52" s="33" t="s">
        <v>178</v>
      </c>
      <c r="C52" s="34">
        <v>1531.88</v>
      </c>
      <c r="D52" s="34">
        <v>0</v>
      </c>
      <c r="E52" s="34">
        <f t="shared" si="1"/>
        <v>0</v>
      </c>
    </row>
    <row r="53" spans="1:5" x14ac:dyDescent="0.25">
      <c r="A53" s="32">
        <v>2515</v>
      </c>
      <c r="B53" s="33" t="s">
        <v>156</v>
      </c>
      <c r="C53" s="34">
        <v>6.31</v>
      </c>
      <c r="D53" s="34">
        <v>2.66</v>
      </c>
      <c r="E53" s="34">
        <f t="shared" si="1"/>
        <v>0.66500000000000004</v>
      </c>
    </row>
    <row r="54" spans="1:5" x14ac:dyDescent="0.25">
      <c r="A54" s="32">
        <v>2519</v>
      </c>
      <c r="B54" s="33" t="s">
        <v>123</v>
      </c>
      <c r="C54" s="34">
        <v>0.23</v>
      </c>
      <c r="D54" s="34">
        <v>0.1</v>
      </c>
      <c r="E54" s="34">
        <f t="shared" si="1"/>
        <v>2.5000000000000001E-2</v>
      </c>
    </row>
    <row r="55" spans="1:5" x14ac:dyDescent="0.35">
      <c r="A55" s="32">
        <v>5238</v>
      </c>
      <c r="B55" s="62" t="s">
        <v>130</v>
      </c>
      <c r="C55" s="34">
        <v>220.33</v>
      </c>
      <c r="D55" s="34">
        <v>23.19</v>
      </c>
      <c r="E55" s="34">
        <f t="shared" si="1"/>
        <v>5.7975000000000003</v>
      </c>
    </row>
    <row r="56" spans="1:5" x14ac:dyDescent="0.35">
      <c r="A56" s="32">
        <v>5239</v>
      </c>
      <c r="B56" s="62" t="s">
        <v>131</v>
      </c>
      <c r="C56" s="34">
        <v>55.08</v>
      </c>
      <c r="D56" s="34">
        <v>92.77</v>
      </c>
      <c r="E56" s="34">
        <f t="shared" si="1"/>
        <v>23.192499999999999</v>
      </c>
    </row>
    <row r="57" spans="1:5" x14ac:dyDescent="0.25">
      <c r="A57" s="32">
        <v>5250</v>
      </c>
      <c r="B57" s="33" t="s">
        <v>132</v>
      </c>
      <c r="C57" s="34">
        <v>176.18</v>
      </c>
      <c r="D57" s="34">
        <v>74.180000000000007</v>
      </c>
      <c r="E57" s="34">
        <f t="shared" si="1"/>
        <v>18.545000000000002</v>
      </c>
    </row>
    <row r="58" spans="1:5" x14ac:dyDescent="0.25">
      <c r="A58" s="39"/>
      <c r="B58" s="41" t="s">
        <v>8</v>
      </c>
      <c r="C58" s="38">
        <f>SUM(C35:C57)</f>
        <v>4465.93</v>
      </c>
      <c r="D58" s="38">
        <f>SUM(D35:D57)</f>
        <v>1373.56</v>
      </c>
      <c r="E58" s="38">
        <f>SUM(E35:E57)</f>
        <v>343.39</v>
      </c>
    </row>
    <row r="59" spans="1:5" x14ac:dyDescent="0.25">
      <c r="A59" s="39"/>
      <c r="B59" s="41" t="s">
        <v>29</v>
      </c>
      <c r="C59" s="38">
        <f>C58+C33</f>
        <v>14251.3</v>
      </c>
      <c r="D59" s="38">
        <f>D58+D33</f>
        <v>7276</v>
      </c>
      <c r="E59" s="38">
        <f>E58+E33</f>
        <v>1819</v>
      </c>
    </row>
    <row r="60" spans="1:5" x14ac:dyDescent="0.35">
      <c r="A60" s="16"/>
      <c r="B60" s="26"/>
      <c r="C60" s="60"/>
      <c r="D60" s="60"/>
      <c r="E60" s="60"/>
    </row>
    <row r="61" spans="1:5" ht="15" customHeight="1" x14ac:dyDescent="0.25">
      <c r="A61" s="321" t="s">
        <v>57</v>
      </c>
      <c r="B61" s="321"/>
      <c r="C61" s="20">
        <v>950</v>
      </c>
      <c r="D61" s="68">
        <v>400</v>
      </c>
      <c r="E61" s="68">
        <v>100</v>
      </c>
    </row>
    <row r="62" spans="1:5" ht="15" customHeight="1" x14ac:dyDescent="0.3">
      <c r="A62" s="321" t="s">
        <v>58</v>
      </c>
      <c r="B62" s="321"/>
      <c r="C62" s="24">
        <f>C59/C61</f>
        <v>15.00136842105263</v>
      </c>
      <c r="D62" s="69">
        <f>D59/D61</f>
        <v>18.190000000000001</v>
      </c>
      <c r="E62" s="69">
        <f>E59/E61</f>
        <v>18.190000000000001</v>
      </c>
    </row>
    <row r="63" spans="1:5" ht="15" customHeight="1" x14ac:dyDescent="0.35">
      <c r="A63" s="12"/>
      <c r="B63" s="12"/>
      <c r="C63" s="60"/>
      <c r="D63" s="60"/>
      <c r="E63" s="60"/>
    </row>
    <row r="64" spans="1:5" x14ac:dyDescent="0.35">
      <c r="A64" s="332" t="s">
        <v>33</v>
      </c>
      <c r="B64" s="333"/>
      <c r="C64" s="28"/>
      <c r="D64" s="28"/>
      <c r="E64" s="28"/>
    </row>
    <row r="65" spans="1:5" x14ac:dyDescent="0.35">
      <c r="A65" s="332" t="s">
        <v>64</v>
      </c>
      <c r="B65" s="333"/>
      <c r="C65" s="28"/>
      <c r="D65" s="88"/>
      <c r="E65" s="88"/>
    </row>
    <row r="66" spans="1:5" x14ac:dyDescent="0.35">
      <c r="A66" s="29"/>
      <c r="B66" s="29"/>
      <c r="C66" s="29"/>
      <c r="D66" s="29"/>
      <c r="E66" s="29"/>
    </row>
    <row r="67" spans="1:5" x14ac:dyDescent="0.35">
      <c r="A67" s="29" t="s">
        <v>34</v>
      </c>
      <c r="B67" s="29"/>
      <c r="C67" s="29"/>
      <c r="D67" s="29"/>
      <c r="E67" s="29"/>
    </row>
    <row r="68" spans="1:5" x14ac:dyDescent="0.35">
      <c r="A68" s="29"/>
      <c r="B68" s="29"/>
      <c r="C68" s="29"/>
      <c r="D68" s="29"/>
      <c r="E68" s="29"/>
    </row>
    <row r="69" spans="1:5" x14ac:dyDescent="0.35">
      <c r="A69" s="29" t="s">
        <v>179</v>
      </c>
      <c r="B69" s="30"/>
      <c r="C69" s="29"/>
      <c r="D69" s="29"/>
      <c r="E69" s="29"/>
    </row>
    <row r="70" spans="1:5" x14ac:dyDescent="0.35">
      <c r="A70" s="29"/>
      <c r="B70" s="31"/>
      <c r="C70" s="29"/>
      <c r="D70" s="29"/>
      <c r="E70" s="29"/>
    </row>
  </sheetData>
  <mergeCells count="7">
    <mergeCell ref="A7:C7"/>
    <mergeCell ref="A65:B65"/>
    <mergeCell ref="A9:B9"/>
    <mergeCell ref="A10:B10"/>
    <mergeCell ref="A61:B61"/>
    <mergeCell ref="A62:B62"/>
    <mergeCell ref="A64:B64"/>
  </mergeCells>
  <pageMargins left="0.70866141732283472" right="0.70866141732283472" top="0.74803149606299213" bottom="0.74803149606299213" header="0.31496062992125984" footer="0.31496062992125984"/>
  <pageSetup paperSize="9" scale="63" fitToHeight="0" orientation="portrait" r:id="rId1"/>
  <headerFooter>
    <oddFooter>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view="pageLayout" zoomScale="80" zoomScaleNormal="100" zoomScalePageLayoutView="80" workbookViewId="0">
      <selection activeCell="B15" sqref="B15"/>
    </sheetView>
  </sheetViews>
  <sheetFormatPr defaultColWidth="9.1796875" defaultRowHeight="15.5" x14ac:dyDescent="0.35"/>
  <cols>
    <col min="1" max="1" width="11.1796875" style="14" customWidth="1"/>
    <col min="2" max="2" width="92.7265625" style="14" customWidth="1"/>
    <col min="3" max="3" width="7.26953125" style="14" hidden="1" customWidth="1"/>
    <col min="4" max="4" width="10.7265625" style="14" hidden="1" customWidth="1"/>
    <col min="5" max="5" width="31.54296875" style="14" customWidth="1"/>
    <col min="6" max="16384" width="9.1796875" style="17"/>
  </cols>
  <sheetData>
    <row r="1" spans="1:5" x14ac:dyDescent="0.35">
      <c r="E1" s="18" t="s">
        <v>10</v>
      </c>
    </row>
    <row r="2" spans="1:5" x14ac:dyDescent="0.35">
      <c r="E2" s="15" t="s">
        <v>32</v>
      </c>
    </row>
    <row r="3" spans="1:5" x14ac:dyDescent="0.35">
      <c r="E3" s="80" t="s">
        <v>66</v>
      </c>
    </row>
    <row r="4" spans="1:5" x14ac:dyDescent="0.35">
      <c r="E4" s="55"/>
    </row>
    <row r="5" spans="1:5" x14ac:dyDescent="0.35">
      <c r="E5" s="16" t="s">
        <v>230</v>
      </c>
    </row>
    <row r="7" spans="1:5" x14ac:dyDescent="0.35">
      <c r="A7" s="318" t="s">
        <v>9</v>
      </c>
      <c r="B7" s="318"/>
      <c r="C7" s="318"/>
      <c r="D7" s="318"/>
      <c r="E7" s="318"/>
    </row>
    <row r="8" spans="1:5" x14ac:dyDescent="0.35">
      <c r="B8" s="19"/>
      <c r="C8" s="19"/>
      <c r="D8" s="19"/>
    </row>
    <row r="9" spans="1:5" ht="15" customHeight="1" x14ac:dyDescent="0.35">
      <c r="A9" s="321" t="s">
        <v>1</v>
      </c>
      <c r="B9" s="321"/>
      <c r="C9" s="12"/>
      <c r="D9" s="12"/>
    </row>
    <row r="10" spans="1:5" ht="15" customHeight="1" x14ac:dyDescent="0.35">
      <c r="A10" s="321" t="s">
        <v>0</v>
      </c>
      <c r="B10" s="321"/>
      <c r="C10" s="12"/>
      <c r="D10" s="12"/>
    </row>
    <row r="11" spans="1:5" x14ac:dyDescent="0.35">
      <c r="A11" s="12"/>
      <c r="B11" s="12" t="s">
        <v>181</v>
      </c>
      <c r="C11" s="12"/>
      <c r="D11" s="12"/>
    </row>
    <row r="12" spans="1:5" ht="15.75" customHeight="1" x14ac:dyDescent="0.35">
      <c r="A12" s="12"/>
      <c r="B12" s="321" t="s">
        <v>247</v>
      </c>
      <c r="C12" s="321"/>
      <c r="D12" s="321"/>
      <c r="E12" s="321"/>
    </row>
    <row r="13" spans="1:5" x14ac:dyDescent="0.35">
      <c r="A13" s="12" t="s">
        <v>2</v>
      </c>
      <c r="B13" s="12" t="str">
        <f>'4.7.'!B13</f>
        <v>2023.gadā un turpmāk</v>
      </c>
      <c r="C13" s="12"/>
      <c r="D13" s="12"/>
    </row>
    <row r="14" spans="1:5" ht="15" hidden="1" customHeight="1" x14ac:dyDescent="0.35">
      <c r="B14" s="139"/>
      <c r="C14" s="139"/>
      <c r="D14" s="139"/>
    </row>
    <row r="15" spans="1:5" ht="62" x14ac:dyDescent="0.35">
      <c r="A15" s="52" t="s">
        <v>3</v>
      </c>
      <c r="B15" s="52" t="s">
        <v>4</v>
      </c>
      <c r="C15" s="198"/>
      <c r="D15" s="207"/>
      <c r="E15" s="52" t="s">
        <v>63</v>
      </c>
    </row>
    <row r="16" spans="1:5" x14ac:dyDescent="0.35">
      <c r="A16" s="21">
        <v>1</v>
      </c>
      <c r="B16" s="188">
        <v>2</v>
      </c>
      <c r="C16" s="159"/>
      <c r="D16" s="200">
        <f>95.42/5.45</f>
        <v>17.508256880733946</v>
      </c>
      <c r="E16" s="21">
        <v>3</v>
      </c>
    </row>
    <row r="17" spans="1:5" x14ac:dyDescent="0.35">
      <c r="A17" s="42"/>
      <c r="B17" s="189" t="s">
        <v>5</v>
      </c>
      <c r="C17" s="187"/>
      <c r="D17" s="26"/>
      <c r="E17" s="32"/>
    </row>
    <row r="18" spans="1:5" x14ac:dyDescent="0.35">
      <c r="A18" s="32">
        <v>1100</v>
      </c>
      <c r="B18" s="190" t="s">
        <v>133</v>
      </c>
      <c r="C18" s="44"/>
      <c r="D18" s="44">
        <f>'4.9.'!D18*'4.8.'!D16</f>
        <v>27.633281834862387</v>
      </c>
      <c r="E18" s="34">
        <v>342.29</v>
      </c>
    </row>
    <row r="19" spans="1:5" ht="17.25" customHeight="1" x14ac:dyDescent="0.35">
      <c r="A19" s="32">
        <v>1200</v>
      </c>
      <c r="B19" s="191" t="s">
        <v>134</v>
      </c>
      <c r="C19" s="26"/>
      <c r="D19" s="26">
        <f>D18*0.2359</f>
        <v>6.5186911848440374</v>
      </c>
      <c r="E19" s="34">
        <v>80.75</v>
      </c>
    </row>
    <row r="20" spans="1:5" x14ac:dyDescent="0.35">
      <c r="A20" s="32">
        <v>2210</v>
      </c>
      <c r="B20" s="192" t="s">
        <v>121</v>
      </c>
      <c r="C20" s="201"/>
      <c r="D20" s="201">
        <f>'4.9.'!D20*'4.8.'!D16</f>
        <v>0.11555449541284404</v>
      </c>
      <c r="E20" s="34">
        <v>1.31</v>
      </c>
    </row>
    <row r="21" spans="1:5" x14ac:dyDescent="0.35">
      <c r="A21" s="32">
        <v>2222</v>
      </c>
      <c r="B21" s="192" t="s">
        <v>136</v>
      </c>
      <c r="C21" s="201"/>
      <c r="D21" s="201">
        <f>'4.9.'!D21*'4.8.'!D16</f>
        <v>2.1867812844036698</v>
      </c>
      <c r="E21" s="34">
        <v>61.93</v>
      </c>
    </row>
    <row r="22" spans="1:5" x14ac:dyDescent="0.35">
      <c r="A22" s="32">
        <v>2223</v>
      </c>
      <c r="B22" s="193" t="s">
        <v>137</v>
      </c>
      <c r="C22" s="202"/>
      <c r="D22" s="202">
        <f>'4.9.'!D22*'4.8.'!D16</f>
        <v>7.7894234862385323</v>
      </c>
      <c r="E22" s="34">
        <v>117.87</v>
      </c>
    </row>
    <row r="23" spans="1:5" x14ac:dyDescent="0.35">
      <c r="A23" s="32">
        <v>2243</v>
      </c>
      <c r="B23" s="194" t="s">
        <v>138</v>
      </c>
      <c r="C23" s="203"/>
      <c r="D23" s="203">
        <f>'4.9.'!D23*'4.8.'!D16</f>
        <v>0.11030201834862385</v>
      </c>
      <c r="E23" s="34">
        <v>0.53</v>
      </c>
    </row>
    <row r="24" spans="1:5" x14ac:dyDescent="0.35">
      <c r="A24" s="32">
        <v>2244</v>
      </c>
      <c r="B24" s="195" t="s">
        <v>139</v>
      </c>
      <c r="C24" s="19"/>
      <c r="D24" s="19">
        <f>'4.9.'!D24*'4.8.'!D16</f>
        <v>11.709522201834861</v>
      </c>
      <c r="E24" s="34">
        <v>112.93</v>
      </c>
    </row>
    <row r="25" spans="1:5" x14ac:dyDescent="0.35">
      <c r="A25" s="32">
        <v>2263</v>
      </c>
      <c r="B25" s="193" t="s">
        <v>150</v>
      </c>
      <c r="C25" s="202"/>
      <c r="D25" s="202">
        <f>'4.9.'!D27*'4.8.'!D16</f>
        <v>12.054434862385319</v>
      </c>
      <c r="E25" s="34">
        <v>93.76</v>
      </c>
    </row>
    <row r="26" spans="1:5" x14ac:dyDescent="0.35">
      <c r="A26" s="32">
        <v>2312</v>
      </c>
      <c r="B26" s="193" t="s">
        <v>117</v>
      </c>
      <c r="C26" s="202"/>
      <c r="D26" s="202">
        <f>'4.9.'!D28*'4.8.'!D16</f>
        <v>4.7587442201834858</v>
      </c>
      <c r="E26" s="34">
        <v>62.5</v>
      </c>
    </row>
    <row r="27" spans="1:5" x14ac:dyDescent="0.35">
      <c r="A27" s="32">
        <v>2321</v>
      </c>
      <c r="B27" s="193" t="s">
        <v>140</v>
      </c>
      <c r="C27" s="202"/>
      <c r="D27" s="202">
        <f>'4.9.'!D29*'4.8.'!D16</f>
        <v>7.4987864220183482</v>
      </c>
      <c r="E27" s="34">
        <v>104</v>
      </c>
    </row>
    <row r="28" spans="1:5" x14ac:dyDescent="0.35">
      <c r="A28" s="32">
        <v>2350</v>
      </c>
      <c r="B28" s="191" t="s">
        <v>126</v>
      </c>
      <c r="C28" s="26"/>
      <c r="D28" s="26">
        <f>'4.9.'!D30*'4.8.'!D16</f>
        <v>0.23110899082568809</v>
      </c>
      <c r="E28" s="34">
        <v>40.71</v>
      </c>
    </row>
    <row r="29" spans="1:5" x14ac:dyDescent="0.35">
      <c r="A29" s="145">
        <v>2361</v>
      </c>
      <c r="B29" s="193" t="s">
        <v>142</v>
      </c>
      <c r="C29" s="202"/>
      <c r="D29" s="202">
        <f>'4.9.'!D31*'4.8.'!D16</f>
        <v>0.43245394495412853</v>
      </c>
      <c r="E29" s="34">
        <v>51.47</v>
      </c>
    </row>
    <row r="30" spans="1:5" x14ac:dyDescent="0.35">
      <c r="A30" s="32">
        <v>2513</v>
      </c>
      <c r="B30" s="191" t="s">
        <v>122</v>
      </c>
      <c r="C30" s="26"/>
      <c r="D30" s="26">
        <f>'4.9.'!D32*'4.8.'!D16</f>
        <v>1.0890135779816514</v>
      </c>
      <c r="E30" s="34">
        <v>25.84</v>
      </c>
    </row>
    <row r="31" spans="1:5" x14ac:dyDescent="0.35">
      <c r="A31" s="32">
        <v>2519</v>
      </c>
      <c r="B31" s="193" t="s">
        <v>123</v>
      </c>
      <c r="C31" s="202"/>
      <c r="D31" s="202">
        <f>'4.9.'!D33*'4.8.'!D16</f>
        <v>1.0820102752293577</v>
      </c>
      <c r="E31" s="34">
        <v>10.029999999999999</v>
      </c>
    </row>
    <row r="32" spans="1:5" x14ac:dyDescent="0.35">
      <c r="A32" s="32"/>
      <c r="B32" s="196" t="s">
        <v>6</v>
      </c>
      <c r="C32" s="204"/>
      <c r="D32" s="204">
        <f>SUM(D18:D31)</f>
        <v>83.210108799522928</v>
      </c>
      <c r="E32" s="38">
        <f>SUM(E18:E31)</f>
        <v>1105.92</v>
      </c>
    </row>
    <row r="33" spans="1:5" x14ac:dyDescent="0.35">
      <c r="A33" s="39"/>
      <c r="B33" s="190" t="s">
        <v>7</v>
      </c>
      <c r="C33" s="44"/>
      <c r="D33" s="44"/>
      <c r="E33" s="34"/>
    </row>
    <row r="34" spans="1:5" x14ac:dyDescent="0.35">
      <c r="A34" s="32">
        <v>1100</v>
      </c>
      <c r="B34" s="190" t="s">
        <v>133</v>
      </c>
      <c r="C34" s="205">
        <f>'4.9.'!D36</f>
        <v>0.20480000000000001</v>
      </c>
      <c r="D34" s="44">
        <f t="shared" ref="D34:D56" si="0">C34*$D$16</f>
        <v>3.5856910091743122</v>
      </c>
      <c r="E34" s="34">
        <v>60.57</v>
      </c>
    </row>
    <row r="35" spans="1:5" x14ac:dyDescent="0.35">
      <c r="A35" s="32">
        <v>1200</v>
      </c>
      <c r="B35" s="191" t="s">
        <v>134</v>
      </c>
      <c r="C35" s="205">
        <f>'4.9.'!D37</f>
        <v>4.8300000000000003E-2</v>
      </c>
      <c r="D35" s="44">
        <f t="shared" si="0"/>
        <v>0.84564880733944958</v>
      </c>
      <c r="E35" s="34">
        <v>14.29</v>
      </c>
    </row>
    <row r="36" spans="1:5" x14ac:dyDescent="0.35">
      <c r="A36" s="32">
        <v>2210</v>
      </c>
      <c r="B36" s="192" t="s">
        <v>121</v>
      </c>
      <c r="C36" s="205">
        <f>'4.9.'!D38</f>
        <v>4.3E-3</v>
      </c>
      <c r="D36" s="44">
        <f t="shared" si="0"/>
        <v>7.5285504587155966E-2</v>
      </c>
      <c r="E36" s="34">
        <v>1.26</v>
      </c>
    </row>
    <row r="37" spans="1:5" ht="31" x14ac:dyDescent="0.35">
      <c r="A37" s="32">
        <v>2224</v>
      </c>
      <c r="B37" s="192" t="s">
        <v>177</v>
      </c>
      <c r="C37" s="205">
        <f>'4.9.'!D39</f>
        <v>4.7300000000000002E-2</v>
      </c>
      <c r="D37" s="44">
        <f t="shared" si="0"/>
        <v>0.82814055045871571</v>
      </c>
      <c r="E37" s="34">
        <f>18.36-10</f>
        <v>8.36</v>
      </c>
    </row>
    <row r="38" spans="1:5" x14ac:dyDescent="0.35">
      <c r="A38" s="32">
        <v>2239</v>
      </c>
      <c r="B38" s="193" t="s">
        <v>145</v>
      </c>
      <c r="C38" s="205">
        <f>'4.9.'!D40</f>
        <v>6.4000000000000003E-3</v>
      </c>
      <c r="D38" s="44">
        <f t="shared" si="0"/>
        <v>0.11205284403669726</v>
      </c>
      <c r="E38" s="34">
        <v>1.89</v>
      </c>
    </row>
    <row r="39" spans="1:5" x14ac:dyDescent="0.35">
      <c r="A39" s="32">
        <v>2241</v>
      </c>
      <c r="B39" s="195" t="s">
        <v>124</v>
      </c>
      <c r="C39" s="205">
        <f>'4.9.'!D41</f>
        <v>5.9999999999999995E-4</v>
      </c>
      <c r="D39" s="44">
        <f t="shared" si="0"/>
        <v>1.0504954128440366E-2</v>
      </c>
      <c r="E39" s="34">
        <v>0.18</v>
      </c>
    </row>
    <row r="40" spans="1:5" x14ac:dyDescent="0.35">
      <c r="A40" s="32">
        <v>2242</v>
      </c>
      <c r="B40" s="193" t="s">
        <v>146</v>
      </c>
      <c r="C40" s="205">
        <f>'4.9.'!D42</f>
        <v>2.7000000000000001E-3</v>
      </c>
      <c r="D40" s="44">
        <f t="shared" si="0"/>
        <v>4.7272293577981656E-2</v>
      </c>
      <c r="E40" s="34">
        <v>0.79</v>
      </c>
    </row>
    <row r="41" spans="1:5" x14ac:dyDescent="0.35">
      <c r="A41" s="32">
        <v>2243</v>
      </c>
      <c r="B41" s="193" t="s">
        <v>138</v>
      </c>
      <c r="C41" s="205">
        <f>'4.9.'!D43</f>
        <v>2.7000000000000001E-3</v>
      </c>
      <c r="D41" s="44">
        <f t="shared" si="0"/>
        <v>4.7272293577981656E-2</v>
      </c>
      <c r="E41" s="34">
        <v>0.79</v>
      </c>
    </row>
    <row r="42" spans="1:5" x14ac:dyDescent="0.35">
      <c r="A42" s="32">
        <v>2244</v>
      </c>
      <c r="B42" s="195" t="s">
        <v>139</v>
      </c>
      <c r="C42" s="205">
        <f>'4.9.'!D44</f>
        <v>5.5999999999999994E-2</v>
      </c>
      <c r="D42" s="44">
        <f t="shared" si="0"/>
        <v>0.98046238532110086</v>
      </c>
      <c r="E42" s="34">
        <f>0.55+5.49+8+2</f>
        <v>16.04</v>
      </c>
    </row>
    <row r="43" spans="1:5" x14ac:dyDescent="0.35">
      <c r="A43" s="32">
        <v>2249</v>
      </c>
      <c r="B43" s="195" t="s">
        <v>172</v>
      </c>
      <c r="C43" s="205">
        <f>'4.9.'!D45</f>
        <v>1.8E-3</v>
      </c>
      <c r="D43" s="44">
        <f t="shared" si="0"/>
        <v>3.1514862385321099E-2</v>
      </c>
      <c r="E43" s="34">
        <v>0.53</v>
      </c>
    </row>
    <row r="44" spans="1:5" x14ac:dyDescent="0.35">
      <c r="A44" s="32">
        <v>2250</v>
      </c>
      <c r="B44" s="195" t="s">
        <v>125</v>
      </c>
      <c r="C44" s="205">
        <f>'4.9.'!D46</f>
        <v>5.4000000000000006E-2</v>
      </c>
      <c r="D44" s="44">
        <f t="shared" si="0"/>
        <v>0.94544587155963322</v>
      </c>
      <c r="E44" s="34">
        <v>15.97</v>
      </c>
    </row>
    <row r="45" spans="1:5" x14ac:dyDescent="0.35">
      <c r="A45" s="32">
        <v>2262</v>
      </c>
      <c r="B45" s="193" t="s">
        <v>149</v>
      </c>
      <c r="C45" s="205">
        <f>'4.9.'!D47</f>
        <v>5.3E-3</v>
      </c>
      <c r="D45" s="44">
        <f t="shared" si="0"/>
        <v>9.279376146788991E-2</v>
      </c>
      <c r="E45" s="34">
        <v>1.58</v>
      </c>
    </row>
    <row r="46" spans="1:5" x14ac:dyDescent="0.35">
      <c r="A46" s="32">
        <v>2264</v>
      </c>
      <c r="B46" s="193" t="s">
        <v>174</v>
      </c>
      <c r="C46" s="205">
        <f>'4.9.'!D48</f>
        <v>1.4000000000000002E-3</v>
      </c>
      <c r="D46" s="44">
        <f t="shared" si="0"/>
        <v>2.4511559633027528E-2</v>
      </c>
      <c r="E46" s="34">
        <v>0.03</v>
      </c>
    </row>
    <row r="47" spans="1:5" x14ac:dyDescent="0.35">
      <c r="A47" s="32">
        <v>2311</v>
      </c>
      <c r="B47" s="193" t="s">
        <v>152</v>
      </c>
      <c r="C47" s="205">
        <f>'4.9.'!D49</f>
        <v>2.5000000000000001E-3</v>
      </c>
      <c r="D47" s="44">
        <f t="shared" si="0"/>
        <v>4.3770642201834867E-2</v>
      </c>
      <c r="E47" s="34">
        <v>0.74</v>
      </c>
    </row>
    <row r="48" spans="1:5" hidden="1" x14ac:dyDescent="0.35">
      <c r="A48" s="32">
        <v>2312</v>
      </c>
      <c r="B48" s="193" t="s">
        <v>117</v>
      </c>
      <c r="C48" s="205">
        <f>'4.9.'!D50</f>
        <v>0</v>
      </c>
      <c r="D48" s="44">
        <f t="shared" si="0"/>
        <v>0</v>
      </c>
      <c r="E48" s="34">
        <v>0</v>
      </c>
    </row>
    <row r="49" spans="1:6" x14ac:dyDescent="0.35">
      <c r="A49" s="32">
        <v>2322</v>
      </c>
      <c r="B49" s="193" t="s">
        <v>154</v>
      </c>
      <c r="C49" s="205">
        <f>'4.9.'!D51</f>
        <v>9.3999999999999986E-3</v>
      </c>
      <c r="D49" s="44">
        <f t="shared" si="0"/>
        <v>0.16457761467889906</v>
      </c>
      <c r="E49" s="34">
        <v>2.78</v>
      </c>
    </row>
    <row r="50" spans="1:6" x14ac:dyDescent="0.35">
      <c r="A50" s="32">
        <v>2350</v>
      </c>
      <c r="B50" s="191" t="s">
        <v>126</v>
      </c>
      <c r="C50" s="205">
        <f>'4.9.'!D52</f>
        <v>1.24E-2</v>
      </c>
      <c r="D50" s="44">
        <f t="shared" si="0"/>
        <v>0.2171023853211009</v>
      </c>
      <c r="E50" s="34">
        <v>3.68</v>
      </c>
    </row>
    <row r="51" spans="1:6" hidden="1" x14ac:dyDescent="0.35">
      <c r="A51" s="32">
        <v>2512</v>
      </c>
      <c r="B51" s="193" t="s">
        <v>178</v>
      </c>
      <c r="C51" s="205">
        <f>'4.9.'!D53</f>
        <v>0</v>
      </c>
      <c r="D51" s="44">
        <f t="shared" si="0"/>
        <v>0</v>
      </c>
      <c r="E51" s="34">
        <v>0</v>
      </c>
    </row>
    <row r="52" spans="1:6" x14ac:dyDescent="0.35">
      <c r="A52" s="32">
        <v>2515</v>
      </c>
      <c r="B52" s="193" t="s">
        <v>156</v>
      </c>
      <c r="C52" s="205">
        <f>'4.9.'!D54</f>
        <v>7.000000000000001E-4</v>
      </c>
      <c r="D52" s="44">
        <f t="shared" si="0"/>
        <v>1.2255779816513764E-2</v>
      </c>
      <c r="E52" s="34">
        <v>0.23</v>
      </c>
    </row>
    <row r="53" spans="1:6" x14ac:dyDescent="0.35">
      <c r="A53" s="32">
        <v>2519</v>
      </c>
      <c r="B53" s="193" t="s">
        <v>123</v>
      </c>
      <c r="C53" s="205">
        <f>'4.9.'!D55</f>
        <v>1E-4</v>
      </c>
      <c r="D53" s="44">
        <f t="shared" si="0"/>
        <v>1.7508256880733946E-3</v>
      </c>
      <c r="E53" s="34">
        <v>0.03</v>
      </c>
    </row>
    <row r="54" spans="1:6" x14ac:dyDescent="0.35">
      <c r="A54" s="32">
        <v>5238</v>
      </c>
      <c r="B54" s="191" t="s">
        <v>130</v>
      </c>
      <c r="C54" s="205">
        <f>'4.9.'!D56</f>
        <v>0.10539999999999999</v>
      </c>
      <c r="D54" s="44">
        <f t="shared" si="0"/>
        <v>1.8453702752293577</v>
      </c>
      <c r="E54" s="34">
        <v>31.17</v>
      </c>
    </row>
    <row r="55" spans="1:6" x14ac:dyDescent="0.35">
      <c r="A55" s="32">
        <v>5239</v>
      </c>
      <c r="B55" s="191" t="s">
        <v>131</v>
      </c>
      <c r="C55" s="205">
        <f>'4.9.'!D57</f>
        <v>0.56909999999999994</v>
      </c>
      <c r="D55" s="44">
        <f t="shared" si="0"/>
        <v>9.9639489908256866</v>
      </c>
      <c r="E55" s="34">
        <v>124.4</v>
      </c>
    </row>
    <row r="56" spans="1:6" x14ac:dyDescent="0.35">
      <c r="A56" s="32">
        <v>5250</v>
      </c>
      <c r="B56" s="193" t="s">
        <v>132</v>
      </c>
      <c r="C56" s="205">
        <f>'4.9.'!D58</f>
        <v>0.25219999999999998</v>
      </c>
      <c r="D56" s="44">
        <f t="shared" si="0"/>
        <v>4.4155823853211009</v>
      </c>
      <c r="E56" s="34">
        <v>74.569999999999993</v>
      </c>
    </row>
    <row r="57" spans="1:6" x14ac:dyDescent="0.35">
      <c r="A57" s="39"/>
      <c r="B57" s="197" t="s">
        <v>8</v>
      </c>
      <c r="C57" s="200">
        <f>E57/15</f>
        <v>23.992000000000004</v>
      </c>
      <c r="D57" s="206">
        <f>SUM(D34:D56)</f>
        <v>24.290955596330278</v>
      </c>
      <c r="E57" s="38">
        <f>SUM(E34:E56)</f>
        <v>359.88000000000005</v>
      </c>
    </row>
    <row r="58" spans="1:6" ht="15" customHeight="1" x14ac:dyDescent="0.35">
      <c r="A58" s="39"/>
      <c r="B58" s="41" t="s">
        <v>29</v>
      </c>
      <c r="C58" s="199"/>
      <c r="D58" s="208"/>
      <c r="E58" s="38">
        <f>E57+E32</f>
        <v>1465.8000000000002</v>
      </c>
      <c r="F58" s="185"/>
    </row>
    <row r="59" spans="1:6" ht="15" customHeight="1" x14ac:dyDescent="0.35">
      <c r="A59" s="16"/>
      <c r="B59" s="26"/>
      <c r="C59" s="26"/>
      <c r="D59" s="26"/>
      <c r="E59" s="60"/>
      <c r="F59" s="185"/>
    </row>
    <row r="60" spans="1:6" ht="15.75" customHeight="1" x14ac:dyDescent="0.35">
      <c r="A60" s="321" t="s">
        <v>57</v>
      </c>
      <c r="B60" s="321"/>
      <c r="C60" s="12"/>
      <c r="D60" s="12"/>
      <c r="E60" s="68">
        <v>15</v>
      </c>
    </row>
    <row r="61" spans="1:6" ht="15" customHeight="1" x14ac:dyDescent="0.35">
      <c r="A61" s="321" t="s">
        <v>58</v>
      </c>
      <c r="B61" s="321"/>
      <c r="C61" s="12"/>
      <c r="D61" s="12"/>
      <c r="E61" s="69">
        <f>(E58/E60)</f>
        <v>97.720000000000013</v>
      </c>
    </row>
    <row r="62" spans="1:6" ht="15" customHeight="1" x14ac:dyDescent="0.35">
      <c r="A62" s="26"/>
      <c r="B62" s="27"/>
      <c r="C62" s="27"/>
      <c r="D62" s="27"/>
    </row>
    <row r="63" spans="1:6" x14ac:dyDescent="0.35">
      <c r="A63" s="319" t="s">
        <v>33</v>
      </c>
      <c r="B63" s="319"/>
      <c r="C63" s="83"/>
      <c r="D63" s="146"/>
      <c r="E63" s="28"/>
    </row>
    <row r="64" spans="1:6" x14ac:dyDescent="0.35">
      <c r="A64" s="319" t="s">
        <v>64</v>
      </c>
      <c r="B64" s="319"/>
      <c r="C64" s="83"/>
      <c r="D64" s="146"/>
      <c r="E64" s="28"/>
    </row>
    <row r="65" spans="1:5" x14ac:dyDescent="0.35">
      <c r="A65" s="30"/>
      <c r="B65" s="30"/>
      <c r="C65" s="30"/>
      <c r="D65" s="29"/>
      <c r="E65" s="29"/>
    </row>
    <row r="66" spans="1:5" x14ac:dyDescent="0.35">
      <c r="A66" s="29" t="s">
        <v>34</v>
      </c>
      <c r="B66" s="29"/>
      <c r="C66" s="29"/>
      <c r="D66" s="29"/>
      <c r="E66" s="29"/>
    </row>
    <row r="67" spans="1:5" x14ac:dyDescent="0.35">
      <c r="A67" s="29"/>
      <c r="B67" s="29"/>
      <c r="C67" s="29"/>
      <c r="D67" s="29"/>
      <c r="E67" s="29"/>
    </row>
    <row r="68" spans="1:5" x14ac:dyDescent="0.35">
      <c r="A68" s="29" t="s">
        <v>179</v>
      </c>
      <c r="B68" s="30"/>
      <c r="C68" s="30"/>
      <c r="D68" s="30"/>
      <c r="E68" s="29"/>
    </row>
    <row r="69" spans="1:5" x14ac:dyDescent="0.35">
      <c r="A69" s="29"/>
      <c r="B69" s="31"/>
      <c r="C69" s="31"/>
      <c r="D69" s="31"/>
      <c r="E69" s="29"/>
    </row>
    <row r="72" spans="1:5" x14ac:dyDescent="0.35">
      <c r="A72" s="337"/>
      <c r="B72" s="337"/>
      <c r="C72" s="76"/>
      <c r="D72" s="76"/>
      <c r="E72" s="138"/>
    </row>
    <row r="73" spans="1:5" x14ac:dyDescent="0.35">
      <c r="A73" s="76"/>
      <c r="B73" s="76"/>
      <c r="C73" s="76"/>
      <c r="D73" s="76"/>
    </row>
    <row r="74" spans="1:5" x14ac:dyDescent="0.35">
      <c r="A74" s="76"/>
      <c r="B74" s="76"/>
      <c r="C74" s="76"/>
      <c r="D74" s="76"/>
    </row>
    <row r="75" spans="1:5" x14ac:dyDescent="0.35">
      <c r="A75" s="337"/>
      <c r="B75" s="337"/>
      <c r="C75" s="76"/>
      <c r="D75" s="76"/>
    </row>
    <row r="76" spans="1:5" x14ac:dyDescent="0.35">
      <c r="A76" s="76"/>
      <c r="B76" s="76"/>
      <c r="C76" s="76"/>
      <c r="D76" s="76"/>
    </row>
    <row r="77" spans="1:5" x14ac:dyDescent="0.35">
      <c r="A77" s="337"/>
      <c r="B77" s="337"/>
      <c r="C77" s="76"/>
      <c r="D77" s="76"/>
    </row>
    <row r="78" spans="1:5" x14ac:dyDescent="0.35">
      <c r="A78" s="338"/>
      <c r="B78" s="337"/>
      <c r="C78" s="76"/>
      <c r="D78" s="76"/>
    </row>
    <row r="79" spans="1:5" x14ac:dyDescent="0.35">
      <c r="A79" s="337"/>
      <c r="B79" s="337"/>
      <c r="C79" s="76"/>
      <c r="D79" s="76"/>
    </row>
  </sheetData>
  <mergeCells count="13">
    <mergeCell ref="A79:B79"/>
    <mergeCell ref="A63:B63"/>
    <mergeCell ref="A64:B64"/>
    <mergeCell ref="A72:B72"/>
    <mergeCell ref="A75:B75"/>
    <mergeCell ref="A77:B77"/>
    <mergeCell ref="A78:B78"/>
    <mergeCell ref="A61:B61"/>
    <mergeCell ref="A7:E7"/>
    <mergeCell ref="A9:B9"/>
    <mergeCell ref="A10:B10"/>
    <mergeCell ref="B12:E12"/>
    <mergeCell ref="A60:B60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r:id="rId1"/>
  <headerFooter>
    <oddFooter>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1"/>
  <sheetViews>
    <sheetView view="pageLayout" topLeftCell="A3" zoomScale="80" zoomScaleNormal="100" zoomScalePageLayoutView="80" workbookViewId="0">
      <selection activeCell="B20" sqref="B20"/>
    </sheetView>
  </sheetViews>
  <sheetFormatPr defaultColWidth="9.1796875" defaultRowHeight="14" x14ac:dyDescent="0.3"/>
  <cols>
    <col min="1" max="1" width="14.54296875" style="4" customWidth="1"/>
    <col min="2" max="2" width="93.453125" style="4" customWidth="1"/>
    <col min="3" max="3" width="24.1796875" style="4" hidden="1" customWidth="1"/>
    <col min="4" max="4" width="8.81640625" style="4" hidden="1" customWidth="1"/>
    <col min="5" max="5" width="29.1796875" style="4" customWidth="1"/>
    <col min="6" max="16384" width="9.1796875" style="7"/>
  </cols>
  <sheetData>
    <row r="1" spans="1:5" ht="15.5" x14ac:dyDescent="0.35">
      <c r="C1" s="54" t="s">
        <v>10</v>
      </c>
      <c r="D1" s="54"/>
      <c r="E1" s="18" t="s">
        <v>10</v>
      </c>
    </row>
    <row r="2" spans="1:5" ht="15.5" x14ac:dyDescent="0.35">
      <c r="C2" s="55" t="s">
        <v>32</v>
      </c>
      <c r="D2" s="55"/>
      <c r="E2" s="15" t="s">
        <v>32</v>
      </c>
    </row>
    <row r="3" spans="1:5" ht="15.5" x14ac:dyDescent="0.35">
      <c r="C3" s="56" t="s">
        <v>66</v>
      </c>
      <c r="D3" s="56"/>
      <c r="E3" s="80" t="s">
        <v>66</v>
      </c>
    </row>
    <row r="4" spans="1:5" ht="15.5" x14ac:dyDescent="0.35">
      <c r="C4" s="55"/>
      <c r="D4" s="55"/>
      <c r="E4" s="55"/>
    </row>
    <row r="5" spans="1:5" ht="15.5" x14ac:dyDescent="0.35">
      <c r="C5" s="55" t="s">
        <v>67</v>
      </c>
      <c r="D5" s="55"/>
      <c r="E5" s="16" t="s">
        <v>230</v>
      </c>
    </row>
    <row r="7" spans="1:5" ht="15" x14ac:dyDescent="0.3">
      <c r="A7" s="318" t="s">
        <v>9</v>
      </c>
      <c r="B7" s="318"/>
      <c r="C7" s="318"/>
      <c r="D7" s="73"/>
      <c r="E7" s="7"/>
    </row>
    <row r="8" spans="1:5" x14ac:dyDescent="0.3">
      <c r="B8" s="3"/>
    </row>
    <row r="9" spans="1:5" ht="15.75" customHeight="1" x14ac:dyDescent="0.3">
      <c r="A9" s="342" t="s">
        <v>1</v>
      </c>
      <c r="B9" s="342"/>
    </row>
    <row r="10" spans="1:5" ht="15.75" customHeight="1" x14ac:dyDescent="0.3">
      <c r="A10" s="342" t="s">
        <v>0</v>
      </c>
      <c r="B10" s="342"/>
    </row>
    <row r="11" spans="1:5" ht="15.75" customHeight="1" x14ac:dyDescent="0.3">
      <c r="A11" s="168"/>
      <c r="B11" s="168" t="s">
        <v>181</v>
      </c>
    </row>
    <row r="12" spans="1:5" ht="34.5" customHeight="1" x14ac:dyDescent="0.25">
      <c r="A12" s="168"/>
      <c r="B12" s="342" t="s">
        <v>246</v>
      </c>
      <c r="C12" s="342"/>
      <c r="D12" s="342"/>
      <c r="E12" s="7"/>
    </row>
    <row r="13" spans="1:5" ht="15.75" customHeight="1" x14ac:dyDescent="0.3">
      <c r="A13" s="168" t="s">
        <v>2</v>
      </c>
      <c r="B13" s="168" t="str">
        <f>'4.8.'!B13</f>
        <v>2023.gadā un turpmāk</v>
      </c>
    </row>
    <row r="14" spans="1:5" hidden="1" x14ac:dyDescent="0.3">
      <c r="B14" s="169"/>
    </row>
    <row r="15" spans="1:5" ht="62" x14ac:dyDescent="0.25">
      <c r="A15" s="52" t="s">
        <v>3</v>
      </c>
      <c r="B15" s="52" t="s">
        <v>4</v>
      </c>
      <c r="C15" s="52" t="s">
        <v>63</v>
      </c>
      <c r="D15" s="52"/>
      <c r="E15" s="52" t="s">
        <v>63</v>
      </c>
    </row>
    <row r="16" spans="1:5" x14ac:dyDescent="0.25">
      <c r="A16" s="10">
        <v>1</v>
      </c>
      <c r="B16" s="11">
        <v>2</v>
      </c>
      <c r="C16" s="10">
        <v>3</v>
      </c>
      <c r="D16" s="10"/>
      <c r="E16" s="10">
        <v>3</v>
      </c>
    </row>
    <row r="17" spans="1:5" x14ac:dyDescent="0.25">
      <c r="A17" s="170"/>
      <c r="B17" s="171" t="s">
        <v>5</v>
      </c>
      <c r="C17" s="172"/>
      <c r="D17" s="172"/>
      <c r="E17" s="172"/>
    </row>
    <row r="18" spans="1:5" ht="15.75" customHeight="1" x14ac:dyDescent="0.25">
      <c r="A18" s="32">
        <v>1100</v>
      </c>
      <c r="B18" s="32" t="s">
        <v>133</v>
      </c>
      <c r="C18" s="173">
        <v>289.52</v>
      </c>
      <c r="D18" s="173">
        <f>E18/100</f>
        <v>1.5783</v>
      </c>
      <c r="E18" s="34">
        <v>157.83000000000001</v>
      </c>
    </row>
    <row r="19" spans="1:5" ht="15.75" customHeight="1" x14ac:dyDescent="0.35">
      <c r="A19" s="32">
        <v>1200</v>
      </c>
      <c r="B19" s="62" t="s">
        <v>134</v>
      </c>
      <c r="C19" s="173">
        <v>68.3</v>
      </c>
      <c r="D19" s="173">
        <f t="shared" ref="D19:D33" si="0">E19/100</f>
        <v>0.37229999999999996</v>
      </c>
      <c r="E19" s="34">
        <v>37.229999999999997</v>
      </c>
    </row>
    <row r="20" spans="1:5" ht="15.75" customHeight="1" x14ac:dyDescent="0.35">
      <c r="A20" s="32">
        <v>2210</v>
      </c>
      <c r="B20" s="63" t="s">
        <v>121</v>
      </c>
      <c r="C20" s="173">
        <v>1.25</v>
      </c>
      <c r="D20" s="173">
        <f t="shared" si="0"/>
        <v>6.6E-3</v>
      </c>
      <c r="E20" s="34">
        <v>0.66</v>
      </c>
    </row>
    <row r="21" spans="1:5" ht="15.75" customHeight="1" x14ac:dyDescent="0.35">
      <c r="A21" s="32">
        <v>2222</v>
      </c>
      <c r="B21" s="63" t="s">
        <v>136</v>
      </c>
      <c r="C21" s="173">
        <v>51.25</v>
      </c>
      <c r="D21" s="173">
        <f t="shared" si="0"/>
        <v>0.1249</v>
      </c>
      <c r="E21" s="34">
        <v>12.49</v>
      </c>
    </row>
    <row r="22" spans="1:5" ht="15.75" customHeight="1" x14ac:dyDescent="0.25">
      <c r="A22" s="32">
        <v>2223</v>
      </c>
      <c r="B22" s="33" t="s">
        <v>137</v>
      </c>
      <c r="C22" s="173">
        <v>52.6</v>
      </c>
      <c r="D22" s="173">
        <f t="shared" si="0"/>
        <v>0.44490000000000002</v>
      </c>
      <c r="E22" s="34">
        <v>44.49</v>
      </c>
    </row>
    <row r="23" spans="1:5" ht="15.75" customHeight="1" x14ac:dyDescent="0.25">
      <c r="A23" s="32">
        <v>2243</v>
      </c>
      <c r="B23" s="154" t="s">
        <v>138</v>
      </c>
      <c r="C23" s="173">
        <v>0.5</v>
      </c>
      <c r="D23" s="173">
        <f t="shared" si="0"/>
        <v>6.3E-3</v>
      </c>
      <c r="E23" s="34">
        <v>0.63</v>
      </c>
    </row>
    <row r="24" spans="1:5" ht="15.75" customHeight="1" x14ac:dyDescent="0.35">
      <c r="A24" s="32">
        <v>2244</v>
      </c>
      <c r="B24" s="23" t="s">
        <v>139</v>
      </c>
      <c r="C24" s="173">
        <v>82.5</v>
      </c>
      <c r="D24" s="173">
        <f t="shared" si="0"/>
        <v>0.66879999999999995</v>
      </c>
      <c r="E24" s="34">
        <v>66.88</v>
      </c>
    </row>
    <row r="25" spans="1:5" ht="15.75" hidden="1" customHeight="1" x14ac:dyDescent="0.25">
      <c r="A25" s="172">
        <v>2252</v>
      </c>
      <c r="B25" s="174" t="s">
        <v>11</v>
      </c>
      <c r="C25" s="173">
        <v>0</v>
      </c>
      <c r="D25" s="173">
        <f t="shared" si="0"/>
        <v>0</v>
      </c>
      <c r="E25" s="34">
        <f>C25/250*100</f>
        <v>0</v>
      </c>
    </row>
    <row r="26" spans="1:5" ht="15.75" hidden="1" customHeight="1" x14ac:dyDescent="0.25">
      <c r="A26" s="172">
        <v>2261</v>
      </c>
      <c r="B26" s="174" t="s">
        <v>99</v>
      </c>
      <c r="C26" s="173">
        <v>0</v>
      </c>
      <c r="D26" s="173">
        <f t="shared" si="0"/>
        <v>0</v>
      </c>
      <c r="E26" s="34">
        <f>C26/250*100</f>
        <v>0</v>
      </c>
    </row>
    <row r="27" spans="1:5" ht="15.75" customHeight="1" x14ac:dyDescent="0.25">
      <c r="A27" s="32">
        <v>2263</v>
      </c>
      <c r="B27" s="33" t="s">
        <v>150</v>
      </c>
      <c r="C27" s="173">
        <v>64.25</v>
      </c>
      <c r="D27" s="173">
        <f t="shared" si="0"/>
        <v>0.68849999999999989</v>
      </c>
      <c r="E27" s="34">
        <v>68.849999999999994</v>
      </c>
    </row>
    <row r="28" spans="1:5" ht="15.75" customHeight="1" x14ac:dyDescent="0.25">
      <c r="A28" s="32">
        <v>2312</v>
      </c>
      <c r="B28" s="33" t="s">
        <v>117</v>
      </c>
      <c r="C28" s="173">
        <v>59.5</v>
      </c>
      <c r="D28" s="173">
        <f t="shared" si="0"/>
        <v>0.27179999999999999</v>
      </c>
      <c r="E28" s="34">
        <v>27.18</v>
      </c>
    </row>
    <row r="29" spans="1:5" ht="15.75" customHeight="1" x14ac:dyDescent="0.25">
      <c r="A29" s="32">
        <v>2321</v>
      </c>
      <c r="B29" s="33" t="s">
        <v>140</v>
      </c>
      <c r="C29" s="173">
        <v>82.5</v>
      </c>
      <c r="D29" s="173">
        <f t="shared" si="0"/>
        <v>0.42829999999999996</v>
      </c>
      <c r="E29" s="34">
        <v>42.83</v>
      </c>
    </row>
    <row r="30" spans="1:5" ht="15.75" customHeight="1" x14ac:dyDescent="0.35">
      <c r="A30" s="32">
        <v>2350</v>
      </c>
      <c r="B30" s="62" t="s">
        <v>126</v>
      </c>
      <c r="C30" s="173">
        <v>38.75</v>
      </c>
      <c r="D30" s="173">
        <f t="shared" si="0"/>
        <v>1.32E-2</v>
      </c>
      <c r="E30" s="34">
        <v>1.32</v>
      </c>
    </row>
    <row r="31" spans="1:5" ht="15.75" customHeight="1" x14ac:dyDescent="0.25">
      <c r="A31" s="145">
        <v>2361</v>
      </c>
      <c r="B31" s="33" t="s">
        <v>142</v>
      </c>
      <c r="C31" s="173">
        <v>49</v>
      </c>
      <c r="D31" s="173">
        <f t="shared" si="0"/>
        <v>2.4700000000000003E-2</v>
      </c>
      <c r="E31" s="34">
        <v>2.4700000000000002</v>
      </c>
    </row>
    <row r="32" spans="1:5" ht="15.75" customHeight="1" x14ac:dyDescent="0.35">
      <c r="A32" s="32">
        <v>2513</v>
      </c>
      <c r="B32" s="62" t="s">
        <v>122</v>
      </c>
      <c r="C32" s="173">
        <v>24.58</v>
      </c>
      <c r="D32" s="173">
        <f t="shared" si="0"/>
        <v>6.2199999999999998E-2</v>
      </c>
      <c r="E32" s="34">
        <v>6.22</v>
      </c>
    </row>
    <row r="33" spans="1:5" ht="15.75" customHeight="1" x14ac:dyDescent="0.25">
      <c r="A33" s="32">
        <v>2519</v>
      </c>
      <c r="B33" s="33" t="s">
        <v>123</v>
      </c>
      <c r="C33" s="173">
        <v>9.5500000000000007</v>
      </c>
      <c r="D33" s="173">
        <f t="shared" si="0"/>
        <v>6.1799999999999994E-2</v>
      </c>
      <c r="E33" s="34">
        <v>6.18</v>
      </c>
    </row>
    <row r="34" spans="1:5" ht="15.75" customHeight="1" x14ac:dyDescent="0.25">
      <c r="A34" s="172"/>
      <c r="B34" s="175" t="s">
        <v>6</v>
      </c>
      <c r="C34" s="176">
        <f>SUM(C18:C33)</f>
        <v>874.05000000000007</v>
      </c>
      <c r="D34" s="176">
        <f>SUM(D18:D33)</f>
        <v>4.7526000000000002</v>
      </c>
      <c r="E34" s="38">
        <f>SUM(E18:E33)</f>
        <v>475.2600000000001</v>
      </c>
    </row>
    <row r="35" spans="1:5" ht="15.75" customHeight="1" x14ac:dyDescent="0.25">
      <c r="A35" s="177"/>
      <c r="B35" s="172" t="s">
        <v>7</v>
      </c>
      <c r="C35" s="173"/>
      <c r="D35" s="173"/>
      <c r="E35" s="34"/>
    </row>
    <row r="36" spans="1:5" ht="15.75" customHeight="1" x14ac:dyDescent="0.25">
      <c r="A36" s="32">
        <v>1100</v>
      </c>
      <c r="B36" s="32" t="s">
        <v>133</v>
      </c>
      <c r="C36" s="173">
        <v>51.23</v>
      </c>
      <c r="D36" s="173">
        <f>E36/100</f>
        <v>0.20480000000000001</v>
      </c>
      <c r="E36" s="34">
        <v>20.48</v>
      </c>
    </row>
    <row r="37" spans="1:5" ht="15.75" customHeight="1" x14ac:dyDescent="0.35">
      <c r="A37" s="32">
        <v>1200</v>
      </c>
      <c r="B37" s="62" t="s">
        <v>134</v>
      </c>
      <c r="C37" s="173">
        <v>12.09</v>
      </c>
      <c r="D37" s="173">
        <f t="shared" ref="D37:D58" si="1">E37/100</f>
        <v>4.8300000000000003E-2</v>
      </c>
      <c r="E37" s="34">
        <v>4.83</v>
      </c>
    </row>
    <row r="38" spans="1:5" ht="15.75" customHeight="1" x14ac:dyDescent="0.35">
      <c r="A38" s="32">
        <v>2210</v>
      </c>
      <c r="B38" s="63" t="s">
        <v>121</v>
      </c>
      <c r="C38" s="173">
        <v>1.2</v>
      </c>
      <c r="D38" s="173">
        <f t="shared" si="1"/>
        <v>4.3E-3</v>
      </c>
      <c r="E38" s="34">
        <v>0.43</v>
      </c>
    </row>
    <row r="39" spans="1:5" ht="15.75" customHeight="1" x14ac:dyDescent="0.35">
      <c r="A39" s="32">
        <v>2224</v>
      </c>
      <c r="B39" s="63" t="s">
        <v>177</v>
      </c>
      <c r="C39" s="173"/>
      <c r="D39" s="173">
        <f t="shared" si="1"/>
        <v>4.7300000000000002E-2</v>
      </c>
      <c r="E39" s="34">
        <v>4.7300000000000004</v>
      </c>
    </row>
    <row r="40" spans="1:5" ht="15.75" customHeight="1" x14ac:dyDescent="0.25">
      <c r="A40" s="32">
        <v>2239</v>
      </c>
      <c r="B40" s="33" t="s">
        <v>145</v>
      </c>
      <c r="C40" s="173">
        <v>1.8</v>
      </c>
      <c r="D40" s="173">
        <f t="shared" si="1"/>
        <v>6.4000000000000003E-3</v>
      </c>
      <c r="E40" s="34">
        <v>0.64</v>
      </c>
    </row>
    <row r="41" spans="1:5" ht="15.75" customHeight="1" x14ac:dyDescent="0.35">
      <c r="A41" s="32">
        <v>2241</v>
      </c>
      <c r="B41" s="23" t="s">
        <v>124</v>
      </c>
      <c r="C41" s="173">
        <v>0</v>
      </c>
      <c r="D41" s="173">
        <f t="shared" si="1"/>
        <v>5.9999999999999995E-4</v>
      </c>
      <c r="E41" s="34">
        <v>0.06</v>
      </c>
    </row>
    <row r="42" spans="1:5" ht="15.75" customHeight="1" x14ac:dyDescent="0.25">
      <c r="A42" s="32">
        <v>2242</v>
      </c>
      <c r="B42" s="33" t="s">
        <v>146</v>
      </c>
      <c r="C42" s="173">
        <v>0.75</v>
      </c>
      <c r="D42" s="173">
        <f t="shared" si="1"/>
        <v>2.7000000000000001E-3</v>
      </c>
      <c r="E42" s="34">
        <v>0.27</v>
      </c>
    </row>
    <row r="43" spans="1:5" ht="15.75" customHeight="1" x14ac:dyDescent="0.25">
      <c r="A43" s="32">
        <v>2243</v>
      </c>
      <c r="B43" s="33" t="s">
        <v>138</v>
      </c>
      <c r="C43" s="173">
        <v>0.75</v>
      </c>
      <c r="D43" s="173">
        <f t="shared" si="1"/>
        <v>2.7000000000000001E-3</v>
      </c>
      <c r="E43" s="34">
        <v>0.27</v>
      </c>
    </row>
    <row r="44" spans="1:5" ht="15.75" customHeight="1" x14ac:dyDescent="0.35">
      <c r="A44" s="32">
        <v>2244</v>
      </c>
      <c r="B44" s="23" t="s">
        <v>139</v>
      </c>
      <c r="C44" s="173">
        <v>0</v>
      </c>
      <c r="D44" s="173">
        <f t="shared" si="1"/>
        <v>5.5999999999999994E-2</v>
      </c>
      <c r="E44" s="34">
        <v>5.6</v>
      </c>
    </row>
    <row r="45" spans="1:5" ht="15.75" customHeight="1" x14ac:dyDescent="0.35">
      <c r="A45" s="32">
        <v>2249</v>
      </c>
      <c r="B45" s="23" t="s">
        <v>172</v>
      </c>
      <c r="C45" s="173">
        <v>0.5</v>
      </c>
      <c r="D45" s="173">
        <f t="shared" si="1"/>
        <v>1.8E-3</v>
      </c>
      <c r="E45" s="34">
        <v>0.18</v>
      </c>
    </row>
    <row r="46" spans="1:5" ht="15.75" customHeight="1" x14ac:dyDescent="0.35">
      <c r="A46" s="32">
        <v>2250</v>
      </c>
      <c r="B46" s="23" t="s">
        <v>125</v>
      </c>
      <c r="C46" s="173">
        <v>15.2</v>
      </c>
      <c r="D46" s="173">
        <f t="shared" si="1"/>
        <v>5.4000000000000006E-2</v>
      </c>
      <c r="E46" s="34">
        <v>5.4</v>
      </c>
    </row>
    <row r="47" spans="1:5" ht="15.75" customHeight="1" x14ac:dyDescent="0.25">
      <c r="A47" s="32">
        <v>2262</v>
      </c>
      <c r="B47" s="33" t="s">
        <v>149</v>
      </c>
      <c r="C47" s="173">
        <v>1.5</v>
      </c>
      <c r="D47" s="173">
        <f t="shared" si="1"/>
        <v>5.3E-3</v>
      </c>
      <c r="E47" s="34">
        <v>0.53</v>
      </c>
    </row>
    <row r="48" spans="1:5" ht="15.75" customHeight="1" x14ac:dyDescent="0.25">
      <c r="A48" s="32">
        <v>2264</v>
      </c>
      <c r="B48" s="33" t="s">
        <v>174</v>
      </c>
      <c r="C48" s="173">
        <v>0</v>
      </c>
      <c r="D48" s="173">
        <f t="shared" si="1"/>
        <v>1.4000000000000002E-3</v>
      </c>
      <c r="E48" s="34">
        <v>0.14000000000000001</v>
      </c>
    </row>
    <row r="49" spans="1:5" ht="15.75" customHeight="1" x14ac:dyDescent="0.25">
      <c r="A49" s="32">
        <v>2311</v>
      </c>
      <c r="B49" s="33" t="s">
        <v>152</v>
      </c>
      <c r="C49" s="173">
        <v>0.7</v>
      </c>
      <c r="D49" s="173">
        <f t="shared" si="1"/>
        <v>2.5000000000000001E-3</v>
      </c>
      <c r="E49" s="34">
        <v>0.25</v>
      </c>
    </row>
    <row r="50" spans="1:5" ht="15.75" hidden="1" customHeight="1" x14ac:dyDescent="0.25">
      <c r="A50" s="32">
        <v>2312</v>
      </c>
      <c r="B50" s="33" t="s">
        <v>117</v>
      </c>
      <c r="C50" s="173">
        <v>5.23</v>
      </c>
      <c r="D50" s="173">
        <f t="shared" si="1"/>
        <v>0</v>
      </c>
      <c r="E50" s="34">
        <v>0</v>
      </c>
    </row>
    <row r="51" spans="1:5" ht="15.75" customHeight="1" x14ac:dyDescent="0.25">
      <c r="A51" s="32">
        <v>2322</v>
      </c>
      <c r="B51" s="33" t="s">
        <v>154</v>
      </c>
      <c r="C51" s="173">
        <v>2.2000000000000002</v>
      </c>
      <c r="D51" s="173">
        <f t="shared" si="1"/>
        <v>9.3999999999999986E-3</v>
      </c>
      <c r="E51" s="34">
        <v>0.94</v>
      </c>
    </row>
    <row r="52" spans="1:5" ht="15.75" customHeight="1" x14ac:dyDescent="0.35">
      <c r="A52" s="32">
        <v>2350</v>
      </c>
      <c r="B52" s="62" t="s">
        <v>126</v>
      </c>
      <c r="C52" s="173">
        <v>3.5</v>
      </c>
      <c r="D52" s="173">
        <f t="shared" si="1"/>
        <v>1.24E-2</v>
      </c>
      <c r="E52" s="34">
        <v>1.24</v>
      </c>
    </row>
    <row r="53" spans="1:5" ht="15.75" hidden="1" customHeight="1" x14ac:dyDescent="0.25">
      <c r="A53" s="32">
        <v>2512</v>
      </c>
      <c r="B53" s="33" t="s">
        <v>178</v>
      </c>
      <c r="C53" s="173">
        <v>140.09</v>
      </c>
      <c r="D53" s="173">
        <f t="shared" si="1"/>
        <v>0</v>
      </c>
      <c r="E53" s="173">
        <v>0</v>
      </c>
    </row>
    <row r="54" spans="1:5" ht="15.75" customHeight="1" x14ac:dyDescent="0.25">
      <c r="A54" s="32">
        <v>2515</v>
      </c>
      <c r="B54" s="33" t="s">
        <v>156</v>
      </c>
      <c r="C54" s="173">
        <v>0.2</v>
      </c>
      <c r="D54" s="173">
        <f t="shared" si="1"/>
        <v>7.000000000000001E-4</v>
      </c>
      <c r="E54" s="34">
        <v>7.0000000000000007E-2</v>
      </c>
    </row>
    <row r="55" spans="1:5" ht="15.75" customHeight="1" x14ac:dyDescent="0.25">
      <c r="A55" s="32">
        <v>2519</v>
      </c>
      <c r="B55" s="33" t="s">
        <v>123</v>
      </c>
      <c r="C55" s="173">
        <v>0</v>
      </c>
      <c r="D55" s="173">
        <f t="shared" si="1"/>
        <v>1E-4</v>
      </c>
      <c r="E55" s="34">
        <v>0.01</v>
      </c>
    </row>
    <row r="56" spans="1:5" ht="15.75" customHeight="1" x14ac:dyDescent="0.35">
      <c r="A56" s="32">
        <v>5238</v>
      </c>
      <c r="B56" s="62" t="s">
        <v>130</v>
      </c>
      <c r="C56" s="173">
        <v>38.700000000000003</v>
      </c>
      <c r="D56" s="173">
        <f t="shared" si="1"/>
        <v>0.10539999999999999</v>
      </c>
      <c r="E56" s="34">
        <v>10.54</v>
      </c>
    </row>
    <row r="57" spans="1:5" ht="15.75" customHeight="1" x14ac:dyDescent="0.35">
      <c r="A57" s="32">
        <v>5239</v>
      </c>
      <c r="B57" s="62" t="s">
        <v>131</v>
      </c>
      <c r="C57" s="173">
        <v>0</v>
      </c>
      <c r="D57" s="173">
        <f t="shared" si="1"/>
        <v>0.56909999999999994</v>
      </c>
      <c r="E57" s="34">
        <v>56.91</v>
      </c>
    </row>
    <row r="58" spans="1:5" ht="15.75" customHeight="1" x14ac:dyDescent="0.25">
      <c r="A58" s="32">
        <v>5250</v>
      </c>
      <c r="B58" s="33" t="s">
        <v>132</v>
      </c>
      <c r="C58" s="173">
        <v>118.75</v>
      </c>
      <c r="D58" s="173">
        <f t="shared" si="1"/>
        <v>0.25219999999999998</v>
      </c>
      <c r="E58" s="34">
        <v>25.22</v>
      </c>
    </row>
    <row r="59" spans="1:5" ht="15.75" customHeight="1" x14ac:dyDescent="0.25">
      <c r="A59" s="177"/>
      <c r="B59" s="178" t="s">
        <v>8</v>
      </c>
      <c r="C59" s="176">
        <f>SUM(C36:C58)</f>
        <v>394.39</v>
      </c>
      <c r="D59" s="176">
        <f>SUM(D36:D58)</f>
        <v>1.3874</v>
      </c>
      <c r="E59" s="38">
        <f>SUM(E36:E58)</f>
        <v>138.74</v>
      </c>
    </row>
    <row r="60" spans="1:5" ht="15.75" customHeight="1" x14ac:dyDescent="0.25">
      <c r="A60" s="177"/>
      <c r="B60" s="178" t="s">
        <v>29</v>
      </c>
      <c r="C60" s="176">
        <f>C59+C34</f>
        <v>1268.44</v>
      </c>
      <c r="D60" s="176"/>
      <c r="E60" s="38">
        <f>E59+E34</f>
        <v>614.00000000000011</v>
      </c>
    </row>
    <row r="61" spans="1:5" ht="15.5" x14ac:dyDescent="0.35">
      <c r="A61" s="179"/>
      <c r="B61" s="6"/>
      <c r="C61" s="180"/>
      <c r="D61" s="180"/>
      <c r="E61" s="60"/>
    </row>
    <row r="62" spans="1:5" ht="15" customHeight="1" x14ac:dyDescent="0.25">
      <c r="A62" s="321" t="s">
        <v>57</v>
      </c>
      <c r="B62" s="321"/>
      <c r="C62" s="186">
        <v>250</v>
      </c>
      <c r="D62" s="186"/>
      <c r="E62" s="68">
        <v>100</v>
      </c>
    </row>
    <row r="63" spans="1:5" ht="15" customHeight="1" x14ac:dyDescent="0.3">
      <c r="A63" s="321" t="s">
        <v>58</v>
      </c>
      <c r="B63" s="321"/>
      <c r="C63" s="181">
        <f>(C60/C62)</f>
        <v>5.07376</v>
      </c>
      <c r="D63" s="181"/>
      <c r="E63" s="69">
        <f>(E60/E62)</f>
        <v>6.1400000000000015</v>
      </c>
    </row>
    <row r="64" spans="1:5" x14ac:dyDescent="0.3">
      <c r="A64" s="6"/>
      <c r="B64" s="182"/>
    </row>
    <row r="65" spans="1:5" ht="15.5" x14ac:dyDescent="0.35">
      <c r="A65" s="332" t="s">
        <v>33</v>
      </c>
      <c r="B65" s="333"/>
      <c r="C65" s="28"/>
      <c r="D65" s="28"/>
      <c r="E65" s="28"/>
    </row>
    <row r="66" spans="1:5" ht="15.5" x14ac:dyDescent="0.35">
      <c r="A66" s="332" t="s">
        <v>64</v>
      </c>
      <c r="B66" s="333"/>
      <c r="C66" s="28"/>
      <c r="D66" s="28"/>
      <c r="E66" s="28"/>
    </row>
    <row r="67" spans="1:5" ht="15.5" x14ac:dyDescent="0.35">
      <c r="A67" s="29"/>
      <c r="B67" s="29"/>
      <c r="C67" s="29"/>
      <c r="D67" s="29"/>
      <c r="E67" s="84"/>
    </row>
    <row r="68" spans="1:5" ht="15.5" x14ac:dyDescent="0.35">
      <c r="A68" s="29" t="s">
        <v>34</v>
      </c>
      <c r="B68" s="29"/>
      <c r="C68" s="29"/>
      <c r="D68" s="29"/>
      <c r="E68" s="29"/>
    </row>
    <row r="69" spans="1:5" ht="15.5" x14ac:dyDescent="0.35">
      <c r="A69" s="29"/>
      <c r="B69" s="29"/>
      <c r="C69" s="29"/>
      <c r="D69" s="29"/>
      <c r="E69" s="29"/>
    </row>
    <row r="70" spans="1:5" ht="15.5" x14ac:dyDescent="0.35">
      <c r="A70" s="29" t="s">
        <v>179</v>
      </c>
      <c r="B70" s="30"/>
      <c r="C70" s="29"/>
      <c r="D70" s="29"/>
      <c r="E70" s="29"/>
    </row>
    <row r="71" spans="1:5" ht="15.5" x14ac:dyDescent="0.35">
      <c r="A71" s="29"/>
      <c r="B71" s="31"/>
      <c r="C71" s="29"/>
      <c r="D71" s="29"/>
      <c r="E71" s="29"/>
    </row>
    <row r="72" spans="1:5" ht="15.5" x14ac:dyDescent="0.35">
      <c r="A72" s="14"/>
      <c r="B72" s="14"/>
      <c r="C72" s="14"/>
      <c r="D72" s="14"/>
      <c r="E72" s="14"/>
    </row>
    <row r="73" spans="1:5" ht="15.5" x14ac:dyDescent="0.35">
      <c r="A73" s="14"/>
      <c r="B73" s="14"/>
      <c r="C73" s="14"/>
      <c r="D73" s="14"/>
      <c r="E73" s="14"/>
    </row>
    <row r="74" spans="1:5" ht="18" x14ac:dyDescent="0.4">
      <c r="A74" s="341"/>
      <c r="B74" s="341"/>
      <c r="C74" s="183"/>
      <c r="D74" s="183"/>
      <c r="E74" s="183"/>
    </row>
    <row r="75" spans="1:5" x14ac:dyDescent="0.3">
      <c r="A75" s="184"/>
      <c r="B75" s="184"/>
    </row>
    <row r="76" spans="1:5" x14ac:dyDescent="0.3">
      <c r="A76" s="184"/>
      <c r="B76" s="184"/>
    </row>
    <row r="77" spans="1:5" x14ac:dyDescent="0.3">
      <c r="A77" s="340"/>
      <c r="B77" s="340"/>
    </row>
    <row r="78" spans="1:5" x14ac:dyDescent="0.3">
      <c r="A78" s="184"/>
      <c r="B78" s="184"/>
    </row>
    <row r="79" spans="1:5" x14ac:dyDescent="0.3">
      <c r="A79" s="340"/>
      <c r="B79" s="340"/>
    </row>
    <row r="80" spans="1:5" x14ac:dyDescent="0.3">
      <c r="A80" s="339"/>
      <c r="B80" s="340"/>
    </row>
    <row r="81" spans="1:2" x14ac:dyDescent="0.3">
      <c r="A81" s="340"/>
      <c r="B81" s="340"/>
    </row>
  </sheetData>
  <mergeCells count="13">
    <mergeCell ref="A7:C7"/>
    <mergeCell ref="A9:B9"/>
    <mergeCell ref="A10:B10"/>
    <mergeCell ref="A77:B77"/>
    <mergeCell ref="A79:B79"/>
    <mergeCell ref="B12:D12"/>
    <mergeCell ref="A80:B80"/>
    <mergeCell ref="A81:B81"/>
    <mergeCell ref="A62:B62"/>
    <mergeCell ref="A63:B63"/>
    <mergeCell ref="A65:B65"/>
    <mergeCell ref="A66:B66"/>
    <mergeCell ref="A74:B74"/>
  </mergeCells>
  <pageMargins left="0.7" right="0.7" top="0.75" bottom="0.75" header="0.3" footer="0.3"/>
  <pageSetup paperSize="9" scale="65" fitToHeight="0" orientation="portrait" r:id="rId1"/>
  <headerFooter>
    <oddFooter>&amp;F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1"/>
  <sheetViews>
    <sheetView view="pageLayout" zoomScale="80" zoomScaleNormal="100" zoomScalePageLayoutView="80" workbookViewId="0">
      <selection activeCell="B12" sqref="B12"/>
    </sheetView>
  </sheetViews>
  <sheetFormatPr defaultColWidth="9.1796875" defaultRowHeight="15.5" x14ac:dyDescent="0.35"/>
  <cols>
    <col min="1" max="1" width="13.453125" style="14" customWidth="1"/>
    <col min="2" max="2" width="87.81640625" style="14" customWidth="1"/>
    <col min="3" max="3" width="28.54296875" style="138" customWidth="1"/>
    <col min="4" max="16384" width="9.1796875" style="7"/>
  </cols>
  <sheetData>
    <row r="1" spans="1:3" x14ac:dyDescent="0.35">
      <c r="C1" s="18" t="s">
        <v>10</v>
      </c>
    </row>
    <row r="2" spans="1:3" x14ac:dyDescent="0.35">
      <c r="C2" s="15" t="s">
        <v>32</v>
      </c>
    </row>
    <row r="3" spans="1:3" x14ac:dyDescent="0.35">
      <c r="C3" s="80" t="s">
        <v>66</v>
      </c>
    </row>
    <row r="4" spans="1:3" x14ac:dyDescent="0.35">
      <c r="C4" s="55"/>
    </row>
    <row r="5" spans="1:3" x14ac:dyDescent="0.35">
      <c r="B5" s="18"/>
      <c r="C5" s="16" t="s">
        <v>230</v>
      </c>
    </row>
    <row r="7" spans="1:3" x14ac:dyDescent="0.35">
      <c r="A7" s="318" t="s">
        <v>9</v>
      </c>
      <c r="B7" s="318"/>
      <c r="C7" s="142"/>
    </row>
    <row r="8" spans="1:3" ht="12.75" customHeight="1" x14ac:dyDescent="0.35">
      <c r="B8" s="19"/>
    </row>
    <row r="9" spans="1:3" ht="15" customHeight="1" x14ac:dyDescent="0.35">
      <c r="A9" s="321" t="s">
        <v>1</v>
      </c>
      <c r="B9" s="321"/>
    </row>
    <row r="10" spans="1:3" ht="15" customHeight="1" x14ac:dyDescent="0.35">
      <c r="A10" s="321" t="s">
        <v>0</v>
      </c>
      <c r="B10" s="321"/>
    </row>
    <row r="11" spans="1:3" x14ac:dyDescent="0.35">
      <c r="A11" s="12"/>
      <c r="B11" s="12" t="s">
        <v>181</v>
      </c>
    </row>
    <row r="12" spans="1:3" x14ac:dyDescent="0.35">
      <c r="A12" s="12"/>
      <c r="B12" s="12" t="s">
        <v>243</v>
      </c>
      <c r="C12" s="142"/>
    </row>
    <row r="13" spans="1:3" x14ac:dyDescent="0.35">
      <c r="A13" s="12" t="s">
        <v>2</v>
      </c>
      <c r="B13" s="12" t="s">
        <v>170</v>
      </c>
    </row>
    <row r="14" spans="1:3" hidden="1" x14ac:dyDescent="0.35">
      <c r="B14" s="139"/>
    </row>
    <row r="15" spans="1:3" ht="67.5" customHeight="1" x14ac:dyDescent="0.25">
      <c r="A15" s="52" t="s">
        <v>3</v>
      </c>
      <c r="B15" s="52" t="s">
        <v>4</v>
      </c>
      <c r="C15" s="52" t="s">
        <v>63</v>
      </c>
    </row>
    <row r="16" spans="1:3" ht="15" x14ac:dyDescent="0.25">
      <c r="A16" s="21">
        <v>1</v>
      </c>
      <c r="B16" s="22">
        <v>2</v>
      </c>
      <c r="C16" s="21">
        <v>3</v>
      </c>
    </row>
    <row r="17" spans="1:3" x14ac:dyDescent="0.25">
      <c r="A17" s="42"/>
      <c r="B17" s="40" t="s">
        <v>5</v>
      </c>
      <c r="C17" s="36"/>
    </row>
    <row r="18" spans="1:3" ht="17.25" customHeight="1" x14ac:dyDescent="0.35">
      <c r="A18" s="32">
        <v>1100</v>
      </c>
      <c r="B18" s="32" t="s">
        <v>133</v>
      </c>
      <c r="C18" s="136">
        <v>217.51</v>
      </c>
    </row>
    <row r="19" spans="1:3" x14ac:dyDescent="0.35">
      <c r="A19" s="32">
        <v>1200</v>
      </c>
      <c r="B19" s="62" t="s">
        <v>134</v>
      </c>
      <c r="C19" s="136">
        <v>51.31</v>
      </c>
    </row>
    <row r="20" spans="1:3" ht="15.75" customHeight="1" x14ac:dyDescent="0.35">
      <c r="A20" s="32">
        <v>2210</v>
      </c>
      <c r="B20" s="63" t="s">
        <v>121</v>
      </c>
      <c r="C20" s="136">
        <v>8.8800000000000008</v>
      </c>
    </row>
    <row r="21" spans="1:3" ht="15.75" customHeight="1" x14ac:dyDescent="0.35">
      <c r="A21" s="32">
        <v>2222</v>
      </c>
      <c r="B21" s="63" t="s">
        <v>136</v>
      </c>
      <c r="C21" s="136">
        <v>227.8</v>
      </c>
    </row>
    <row r="22" spans="1:3" ht="15.75" customHeight="1" x14ac:dyDescent="0.35">
      <c r="A22" s="32">
        <v>2223</v>
      </c>
      <c r="B22" s="33" t="s">
        <v>137</v>
      </c>
      <c r="C22" s="136">
        <v>244.63</v>
      </c>
    </row>
    <row r="23" spans="1:3" x14ac:dyDescent="0.35">
      <c r="A23" s="32">
        <v>2243</v>
      </c>
      <c r="B23" s="154" t="s">
        <v>138</v>
      </c>
      <c r="C23" s="136">
        <v>8.17</v>
      </c>
    </row>
    <row r="24" spans="1:3" x14ac:dyDescent="0.35">
      <c r="A24" s="32">
        <v>2244</v>
      </c>
      <c r="B24" s="23" t="s">
        <v>139</v>
      </c>
      <c r="C24" s="136">
        <v>228.87</v>
      </c>
    </row>
    <row r="25" spans="1:3" hidden="1" x14ac:dyDescent="0.35">
      <c r="A25" s="32">
        <v>2261</v>
      </c>
      <c r="B25" s="33" t="s">
        <v>100</v>
      </c>
      <c r="C25" s="136"/>
    </row>
    <row r="26" spans="1:3" x14ac:dyDescent="0.35">
      <c r="A26" s="32">
        <v>2263</v>
      </c>
      <c r="B26" s="33" t="s">
        <v>150</v>
      </c>
      <c r="C26" s="136">
        <v>105.33</v>
      </c>
    </row>
    <row r="27" spans="1:3" x14ac:dyDescent="0.35">
      <c r="A27" s="32">
        <v>2312</v>
      </c>
      <c r="B27" s="33" t="s">
        <v>117</v>
      </c>
      <c r="C27" s="136">
        <v>22.64</v>
      </c>
    </row>
    <row r="28" spans="1:3" x14ac:dyDescent="0.35">
      <c r="A28" s="32">
        <v>2321</v>
      </c>
      <c r="B28" s="33" t="s">
        <v>140</v>
      </c>
      <c r="C28" s="136">
        <v>425.63</v>
      </c>
    </row>
    <row r="29" spans="1:3" x14ac:dyDescent="0.35">
      <c r="A29" s="32">
        <v>2350</v>
      </c>
      <c r="B29" s="62" t="s">
        <v>126</v>
      </c>
      <c r="C29" s="137">
        <v>18.920000000000002</v>
      </c>
    </row>
    <row r="30" spans="1:3" x14ac:dyDescent="0.35">
      <c r="A30" s="145">
        <v>2361</v>
      </c>
      <c r="B30" s="33" t="s">
        <v>142</v>
      </c>
      <c r="C30" s="137">
        <v>15.89</v>
      </c>
    </row>
    <row r="31" spans="1:3" x14ac:dyDescent="0.35">
      <c r="A31" s="32">
        <v>2513</v>
      </c>
      <c r="B31" s="62" t="s">
        <v>122</v>
      </c>
      <c r="C31" s="137">
        <v>35.67</v>
      </c>
    </row>
    <row r="32" spans="1:3" x14ac:dyDescent="0.35">
      <c r="A32" s="32">
        <v>2519</v>
      </c>
      <c r="B32" s="33" t="s">
        <v>123</v>
      </c>
      <c r="C32" s="137">
        <v>25.26</v>
      </c>
    </row>
    <row r="33" spans="1:3" x14ac:dyDescent="0.25">
      <c r="A33" s="32"/>
      <c r="B33" s="37" t="s">
        <v>6</v>
      </c>
      <c r="C33" s="38">
        <f>SUM(C18:C32)</f>
        <v>1636.5100000000002</v>
      </c>
    </row>
    <row r="34" spans="1:3" x14ac:dyDescent="0.25">
      <c r="A34" s="39"/>
      <c r="B34" s="32" t="s">
        <v>7</v>
      </c>
      <c r="C34" s="34"/>
    </row>
    <row r="35" spans="1:3" x14ac:dyDescent="0.35">
      <c r="A35" s="32">
        <v>1100</v>
      </c>
      <c r="B35" s="32" t="s">
        <v>133</v>
      </c>
      <c r="C35" s="136">
        <v>191.44</v>
      </c>
    </row>
    <row r="36" spans="1:3" ht="15.75" customHeight="1" x14ac:dyDescent="0.35">
      <c r="A36" s="32">
        <v>1200</v>
      </c>
      <c r="B36" s="62" t="s">
        <v>134</v>
      </c>
      <c r="C36" s="136">
        <v>45.16</v>
      </c>
    </row>
    <row r="37" spans="1:3" ht="15.75" customHeight="1" x14ac:dyDescent="0.35">
      <c r="A37" s="32">
        <v>2210</v>
      </c>
      <c r="B37" s="63" t="s">
        <v>121</v>
      </c>
      <c r="C37" s="137">
        <v>3.91</v>
      </c>
    </row>
    <row r="38" spans="1:3" ht="31.5" customHeight="1" x14ac:dyDescent="0.35">
      <c r="A38" s="32">
        <v>2224</v>
      </c>
      <c r="B38" s="63" t="s">
        <v>177</v>
      </c>
      <c r="C38" s="136">
        <f>33.53-20</f>
        <v>13.530000000000001</v>
      </c>
    </row>
    <row r="39" spans="1:3" ht="15.75" customHeight="1" x14ac:dyDescent="0.35">
      <c r="A39" s="32">
        <v>2239</v>
      </c>
      <c r="B39" s="33" t="s">
        <v>145</v>
      </c>
      <c r="C39" s="137">
        <v>2.29</v>
      </c>
    </row>
    <row r="40" spans="1:3" x14ac:dyDescent="0.35">
      <c r="A40" s="32">
        <v>2241</v>
      </c>
      <c r="B40" s="23" t="s">
        <v>124</v>
      </c>
      <c r="C40" s="137">
        <f>1.48+2</f>
        <v>3.48</v>
      </c>
    </row>
    <row r="41" spans="1:3" x14ac:dyDescent="0.35">
      <c r="A41" s="32">
        <v>2242</v>
      </c>
      <c r="B41" s="33" t="s">
        <v>146</v>
      </c>
      <c r="C41" s="137">
        <v>1.86</v>
      </c>
    </row>
    <row r="42" spans="1:3" x14ac:dyDescent="0.35">
      <c r="A42" s="32">
        <v>2243</v>
      </c>
      <c r="B42" s="33" t="s">
        <v>138</v>
      </c>
      <c r="C42" s="137">
        <f>1.83+5.5</f>
        <v>7.33</v>
      </c>
    </row>
    <row r="43" spans="1:3" x14ac:dyDescent="0.35">
      <c r="A43" s="32">
        <v>2244</v>
      </c>
      <c r="B43" s="23" t="s">
        <v>139</v>
      </c>
      <c r="C43" s="136">
        <v>24.12</v>
      </c>
    </row>
    <row r="44" spans="1:3" x14ac:dyDescent="0.35">
      <c r="A44" s="32">
        <v>2249</v>
      </c>
      <c r="B44" s="23" t="s">
        <v>172</v>
      </c>
      <c r="C44" s="136">
        <v>0.6</v>
      </c>
    </row>
    <row r="45" spans="1:3" x14ac:dyDescent="0.35">
      <c r="A45" s="32">
        <v>2250</v>
      </c>
      <c r="B45" s="23" t="s">
        <v>125</v>
      </c>
      <c r="C45" s="137">
        <v>8.0500000000000007</v>
      </c>
    </row>
    <row r="46" spans="1:3" x14ac:dyDescent="0.35">
      <c r="A46" s="32">
        <v>2262</v>
      </c>
      <c r="B46" s="33" t="s">
        <v>149</v>
      </c>
      <c r="C46" s="137">
        <v>4.46</v>
      </c>
    </row>
    <row r="47" spans="1:3" x14ac:dyDescent="0.35">
      <c r="A47" s="32">
        <v>2264</v>
      </c>
      <c r="B47" s="33" t="s">
        <v>174</v>
      </c>
      <c r="C47" s="136">
        <v>0.04</v>
      </c>
    </row>
    <row r="48" spans="1:3" x14ac:dyDescent="0.35">
      <c r="A48" s="32">
        <v>2311</v>
      </c>
      <c r="B48" s="33" t="s">
        <v>152</v>
      </c>
      <c r="C48" s="136">
        <f>2.43-2</f>
        <v>0.43000000000000016</v>
      </c>
    </row>
    <row r="49" spans="1:4" hidden="1" x14ac:dyDescent="0.35">
      <c r="A49" s="32">
        <v>2312</v>
      </c>
      <c r="B49" s="33" t="s">
        <v>117</v>
      </c>
      <c r="C49" s="137">
        <v>0</v>
      </c>
    </row>
    <row r="50" spans="1:4" x14ac:dyDescent="0.35">
      <c r="A50" s="32">
        <v>2322</v>
      </c>
      <c r="B50" s="33" t="s">
        <v>154</v>
      </c>
      <c r="C50" s="137">
        <v>6.38</v>
      </c>
    </row>
    <row r="51" spans="1:4" x14ac:dyDescent="0.35">
      <c r="A51" s="32">
        <v>2350</v>
      </c>
      <c r="B51" s="62" t="s">
        <v>126</v>
      </c>
      <c r="C51" s="137">
        <v>11.3</v>
      </c>
    </row>
    <row r="52" spans="1:4" hidden="1" x14ac:dyDescent="0.35">
      <c r="A52" s="32"/>
      <c r="B52" s="33"/>
      <c r="C52" s="137"/>
    </row>
    <row r="53" spans="1:4" x14ac:dyDescent="0.35">
      <c r="A53" s="32">
        <v>2515</v>
      </c>
      <c r="B53" s="33" t="s">
        <v>156</v>
      </c>
      <c r="C53" s="137">
        <v>0.78</v>
      </c>
    </row>
    <row r="54" spans="1:4" x14ac:dyDescent="0.35">
      <c r="A54" s="32">
        <v>2519</v>
      </c>
      <c r="B54" s="33" t="s">
        <v>123</v>
      </c>
      <c r="C54" s="137">
        <v>0.04</v>
      </c>
    </row>
    <row r="55" spans="1:4" x14ac:dyDescent="0.35">
      <c r="A55" s="32">
        <v>5238</v>
      </c>
      <c r="B55" s="62" t="s">
        <v>130</v>
      </c>
      <c r="C55" s="137">
        <v>4.29</v>
      </c>
    </row>
    <row r="56" spans="1:4" x14ac:dyDescent="0.35">
      <c r="A56" s="32">
        <v>5239</v>
      </c>
      <c r="B56" s="62" t="s">
        <v>131</v>
      </c>
      <c r="C56" s="137">
        <v>29.38</v>
      </c>
    </row>
    <row r="57" spans="1:4" x14ac:dyDescent="0.35">
      <c r="A57" s="32">
        <v>5250</v>
      </c>
      <c r="B57" s="33" t="s">
        <v>132</v>
      </c>
      <c r="C57" s="137">
        <v>22.67</v>
      </c>
    </row>
    <row r="58" spans="1:4" x14ac:dyDescent="0.25">
      <c r="A58" s="39"/>
      <c r="B58" s="41" t="s">
        <v>8</v>
      </c>
      <c r="C58" s="38">
        <f>SUM(C35:C57)</f>
        <v>381.54000000000008</v>
      </c>
    </row>
    <row r="59" spans="1:4" x14ac:dyDescent="0.25">
      <c r="A59" s="39"/>
      <c r="B59" s="41" t="s">
        <v>29</v>
      </c>
      <c r="C59" s="140">
        <f>C33+C58</f>
        <v>2018.0500000000002</v>
      </c>
    </row>
    <row r="60" spans="1:4" ht="15" customHeight="1" x14ac:dyDescent="0.35">
      <c r="A60" s="16"/>
      <c r="B60" s="26"/>
      <c r="C60" s="27"/>
    </row>
    <row r="61" spans="1:4" ht="15" customHeight="1" x14ac:dyDescent="0.25">
      <c r="A61" s="321" t="s">
        <v>57</v>
      </c>
      <c r="B61" s="321"/>
      <c r="C61" s="68">
        <v>5</v>
      </c>
    </row>
    <row r="62" spans="1:4" ht="15" customHeight="1" x14ac:dyDescent="0.3">
      <c r="A62" s="321" t="s">
        <v>58</v>
      </c>
      <c r="B62" s="321"/>
      <c r="C62" s="69">
        <f>C59/C61</f>
        <v>403.61</v>
      </c>
      <c r="D62" s="151"/>
    </row>
    <row r="63" spans="1:4" ht="15" customHeight="1" x14ac:dyDescent="0.35">
      <c r="A63" s="26"/>
      <c r="B63" s="27"/>
      <c r="C63" s="27"/>
    </row>
    <row r="64" spans="1:4" ht="15" customHeight="1" x14ac:dyDescent="0.35">
      <c r="A64" s="332" t="s">
        <v>33</v>
      </c>
      <c r="B64" s="319"/>
      <c r="C64" s="141"/>
    </row>
    <row r="65" spans="1:3" ht="15" customHeight="1" x14ac:dyDescent="0.35">
      <c r="A65" s="332" t="s">
        <v>64</v>
      </c>
      <c r="B65" s="319"/>
      <c r="C65" s="141"/>
    </row>
    <row r="66" spans="1:3" ht="15" customHeight="1" x14ac:dyDescent="0.35">
      <c r="A66" s="29"/>
      <c r="B66" s="29"/>
      <c r="C66" s="164"/>
    </row>
    <row r="67" spans="1:3" ht="15" customHeight="1" x14ac:dyDescent="0.35">
      <c r="A67" s="29" t="s">
        <v>34</v>
      </c>
      <c r="B67" s="29"/>
      <c r="C67" s="157"/>
    </row>
    <row r="68" spans="1:3" ht="15" customHeight="1" x14ac:dyDescent="0.35">
      <c r="A68" s="29"/>
      <c r="B68" s="29"/>
      <c r="C68" s="31"/>
    </row>
    <row r="69" spans="1:3" x14ac:dyDescent="0.35">
      <c r="A69" s="29" t="s">
        <v>179</v>
      </c>
      <c r="B69" s="30"/>
      <c r="C69" s="157"/>
    </row>
    <row r="70" spans="1:3" x14ac:dyDescent="0.35">
      <c r="A70" s="29"/>
      <c r="B70" s="31"/>
      <c r="C70" s="157"/>
    </row>
    <row r="71" spans="1:3" x14ac:dyDescent="0.35">
      <c r="C71" s="209"/>
    </row>
  </sheetData>
  <mergeCells count="7">
    <mergeCell ref="A64:B64"/>
    <mergeCell ref="A7:B7"/>
    <mergeCell ref="A9:B9"/>
    <mergeCell ref="A65:B65"/>
    <mergeCell ref="A10:B10"/>
    <mergeCell ref="A61:B61"/>
    <mergeCell ref="A62:B62"/>
  </mergeCells>
  <pageMargins left="0.70866141732283461" right="0.70866141732283461" top="0.69" bottom="0.65" header="0.31496062992125984" footer="0.16"/>
  <pageSetup paperSize="9" scale="68" orientation="portrait" r:id="rId1"/>
  <headerFooter>
    <oddFooter>&amp;C&amp;"Times New Roman,Regular"&amp;F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9"/>
  <sheetViews>
    <sheetView view="pageLayout" zoomScale="80" zoomScaleNormal="100" zoomScalePageLayoutView="80" workbookViewId="0">
      <selection activeCell="B12" sqref="B12:C12"/>
    </sheetView>
  </sheetViews>
  <sheetFormatPr defaultColWidth="9.1796875" defaultRowHeight="15.5" x14ac:dyDescent="0.35"/>
  <cols>
    <col min="1" max="1" width="11.7265625" style="14" customWidth="1"/>
    <col min="2" max="2" width="95.1796875" style="14" customWidth="1"/>
    <col min="3" max="3" width="31.54296875" style="14" customWidth="1"/>
    <col min="4" max="16384" width="9.1796875" style="7"/>
  </cols>
  <sheetData>
    <row r="1" spans="1:3" x14ac:dyDescent="0.35">
      <c r="C1" s="18" t="s">
        <v>10</v>
      </c>
    </row>
    <row r="2" spans="1:3" x14ac:dyDescent="0.35">
      <c r="C2" s="15" t="s">
        <v>32</v>
      </c>
    </row>
    <row r="3" spans="1:3" x14ac:dyDescent="0.35">
      <c r="C3" s="80" t="s">
        <v>66</v>
      </c>
    </row>
    <row r="4" spans="1:3" x14ac:dyDescent="0.35">
      <c r="C4" s="55"/>
    </row>
    <row r="5" spans="1:3" x14ac:dyDescent="0.35">
      <c r="B5" s="18"/>
      <c r="C5" s="16" t="s">
        <v>230</v>
      </c>
    </row>
    <row r="7" spans="1:3" ht="15" x14ac:dyDescent="0.3">
      <c r="A7" s="318" t="s">
        <v>9</v>
      </c>
      <c r="B7" s="318"/>
      <c r="C7" s="318"/>
    </row>
    <row r="8" spans="1:3" x14ac:dyDescent="0.35">
      <c r="B8" s="19"/>
    </row>
    <row r="9" spans="1:3" x14ac:dyDescent="0.35">
      <c r="A9" s="321" t="s">
        <v>1</v>
      </c>
      <c r="B9" s="321"/>
    </row>
    <row r="10" spans="1:3" ht="15.75" customHeight="1" x14ac:dyDescent="0.35">
      <c r="A10" s="321" t="s">
        <v>0</v>
      </c>
      <c r="B10" s="321"/>
    </row>
    <row r="11" spans="1:3" ht="15.75" customHeight="1" x14ac:dyDescent="0.35">
      <c r="A11" s="12"/>
      <c r="B11" s="12" t="s">
        <v>181</v>
      </c>
    </row>
    <row r="12" spans="1:3" x14ac:dyDescent="0.25">
      <c r="A12" s="12"/>
      <c r="B12" s="321" t="s">
        <v>226</v>
      </c>
      <c r="C12" s="321"/>
    </row>
    <row r="13" spans="1:3" x14ac:dyDescent="0.35">
      <c r="A13" s="12" t="s">
        <v>2</v>
      </c>
      <c r="B13" s="12" t="s">
        <v>170</v>
      </c>
    </row>
    <row r="14" spans="1:3" hidden="1" x14ac:dyDescent="0.35">
      <c r="B14" s="139"/>
    </row>
    <row r="15" spans="1:3" ht="62" x14ac:dyDescent="0.25">
      <c r="A15" s="52" t="s">
        <v>3</v>
      </c>
      <c r="B15" s="52" t="s">
        <v>4</v>
      </c>
      <c r="C15" s="52" t="s">
        <v>63</v>
      </c>
    </row>
    <row r="16" spans="1:3" ht="15" x14ac:dyDescent="0.25">
      <c r="A16" s="21">
        <v>1</v>
      </c>
      <c r="B16" s="22">
        <v>2</v>
      </c>
      <c r="C16" s="21">
        <v>3</v>
      </c>
    </row>
    <row r="17" spans="1:3" x14ac:dyDescent="0.25">
      <c r="A17" s="42"/>
      <c r="B17" s="40" t="s">
        <v>5</v>
      </c>
      <c r="C17" s="32"/>
    </row>
    <row r="18" spans="1:3" x14ac:dyDescent="0.25">
      <c r="A18" s="32">
        <v>1100</v>
      </c>
      <c r="B18" s="32" t="s">
        <v>133</v>
      </c>
      <c r="C18" s="34">
        <v>369.77</v>
      </c>
    </row>
    <row r="19" spans="1:3" ht="15.75" customHeight="1" x14ac:dyDescent="0.35">
      <c r="A19" s="32">
        <v>1200</v>
      </c>
      <c r="B19" s="62" t="s">
        <v>134</v>
      </c>
      <c r="C19" s="34">
        <v>87.23</v>
      </c>
    </row>
    <row r="20" spans="1:3" x14ac:dyDescent="0.35">
      <c r="A20" s="32">
        <v>2210</v>
      </c>
      <c r="B20" s="63" t="s">
        <v>121</v>
      </c>
      <c r="C20" s="34">
        <v>15.1</v>
      </c>
    </row>
    <row r="21" spans="1:3" x14ac:dyDescent="0.35">
      <c r="A21" s="32">
        <v>2222</v>
      </c>
      <c r="B21" s="63" t="s">
        <v>136</v>
      </c>
      <c r="C21" s="34">
        <v>387.26</v>
      </c>
    </row>
    <row r="22" spans="1:3" x14ac:dyDescent="0.25">
      <c r="A22" s="32">
        <v>2223</v>
      </c>
      <c r="B22" s="33" t="s">
        <v>137</v>
      </c>
      <c r="C22" s="34">
        <v>415.87</v>
      </c>
    </row>
    <row r="23" spans="1:3" x14ac:dyDescent="0.25">
      <c r="A23" s="32">
        <v>2243</v>
      </c>
      <c r="B23" s="154" t="s">
        <v>138</v>
      </c>
      <c r="C23" s="34">
        <v>13.89</v>
      </c>
    </row>
    <row r="24" spans="1:3" x14ac:dyDescent="0.35">
      <c r="A24" s="32">
        <v>2244</v>
      </c>
      <c r="B24" s="23" t="s">
        <v>139</v>
      </c>
      <c r="C24" s="34">
        <v>389.08</v>
      </c>
    </row>
    <row r="25" spans="1:3" x14ac:dyDescent="0.25">
      <c r="A25" s="32">
        <v>2263</v>
      </c>
      <c r="B25" s="33" t="s">
        <v>150</v>
      </c>
      <c r="C25" s="34">
        <v>179.06</v>
      </c>
    </row>
    <row r="26" spans="1:3" x14ac:dyDescent="0.25">
      <c r="A26" s="32">
        <v>2312</v>
      </c>
      <c r="B26" s="33" t="s">
        <v>117</v>
      </c>
      <c r="C26" s="34">
        <v>38.49</v>
      </c>
    </row>
    <row r="27" spans="1:3" x14ac:dyDescent="0.25">
      <c r="A27" s="32">
        <v>2321</v>
      </c>
      <c r="B27" s="33" t="s">
        <v>140</v>
      </c>
      <c r="C27" s="34">
        <v>723.57</v>
      </c>
    </row>
    <row r="28" spans="1:3" x14ac:dyDescent="0.35">
      <c r="A28" s="32">
        <v>2350</v>
      </c>
      <c r="B28" s="62" t="s">
        <v>126</v>
      </c>
      <c r="C28" s="34">
        <v>32.159999999999997</v>
      </c>
    </row>
    <row r="29" spans="1:3" x14ac:dyDescent="0.25">
      <c r="A29" s="145">
        <v>2361</v>
      </c>
      <c r="B29" s="33" t="s">
        <v>142</v>
      </c>
      <c r="C29" s="34">
        <v>27.01</v>
      </c>
    </row>
    <row r="30" spans="1:3" x14ac:dyDescent="0.35">
      <c r="A30" s="32">
        <v>2513</v>
      </c>
      <c r="B30" s="62" t="s">
        <v>122</v>
      </c>
      <c r="C30" s="34">
        <v>60.64</v>
      </c>
    </row>
    <row r="31" spans="1:3" x14ac:dyDescent="0.25">
      <c r="A31" s="32">
        <v>2519</v>
      </c>
      <c r="B31" s="33" t="s">
        <v>123</v>
      </c>
      <c r="C31" s="34">
        <v>42.94</v>
      </c>
    </row>
    <row r="32" spans="1:3" x14ac:dyDescent="0.25">
      <c r="A32" s="32"/>
      <c r="B32" s="37" t="s">
        <v>6</v>
      </c>
      <c r="C32" s="38">
        <f>SUM(C18:C31)</f>
        <v>2782.07</v>
      </c>
    </row>
    <row r="33" spans="1:3" x14ac:dyDescent="0.25">
      <c r="A33" s="39"/>
      <c r="B33" s="32" t="s">
        <v>7</v>
      </c>
      <c r="C33" s="34"/>
    </row>
    <row r="34" spans="1:3" x14ac:dyDescent="0.25">
      <c r="A34" s="32">
        <v>1100</v>
      </c>
      <c r="B34" s="32" t="s">
        <v>133</v>
      </c>
      <c r="C34" s="34">
        <v>342.07</v>
      </c>
    </row>
    <row r="35" spans="1:3" ht="15.75" customHeight="1" x14ac:dyDescent="0.35">
      <c r="A35" s="32">
        <v>1200</v>
      </c>
      <c r="B35" s="62" t="s">
        <v>134</v>
      </c>
      <c r="C35" s="34">
        <v>80.7</v>
      </c>
    </row>
    <row r="36" spans="1:3" x14ac:dyDescent="0.35">
      <c r="A36" s="32">
        <v>2210</v>
      </c>
      <c r="B36" s="63" t="s">
        <v>121</v>
      </c>
      <c r="C36" s="34">
        <f>7.28-2</f>
        <v>5.28</v>
      </c>
    </row>
    <row r="37" spans="1:3" ht="31" x14ac:dyDescent="0.35">
      <c r="A37" s="32">
        <v>2224</v>
      </c>
      <c r="B37" s="63" t="s">
        <v>177</v>
      </c>
      <c r="C37" s="34">
        <f>57-45-3.02</f>
        <v>8.98</v>
      </c>
    </row>
    <row r="38" spans="1:3" x14ac:dyDescent="0.25">
      <c r="A38" s="32">
        <v>2239</v>
      </c>
      <c r="B38" s="33" t="s">
        <v>145</v>
      </c>
      <c r="C38" s="34">
        <v>3.65</v>
      </c>
    </row>
    <row r="39" spans="1:3" x14ac:dyDescent="0.35">
      <c r="A39" s="32">
        <v>2241</v>
      </c>
      <c r="B39" s="23" t="s">
        <v>124</v>
      </c>
      <c r="C39" s="34">
        <f>0.83+20+10</f>
        <v>30.83</v>
      </c>
    </row>
    <row r="40" spans="1:3" x14ac:dyDescent="0.25">
      <c r="A40" s="32">
        <v>2242</v>
      </c>
      <c r="B40" s="33" t="s">
        <v>146</v>
      </c>
      <c r="C40" s="34">
        <v>2.96</v>
      </c>
    </row>
    <row r="41" spans="1:3" x14ac:dyDescent="0.25">
      <c r="A41" s="32">
        <v>2243</v>
      </c>
      <c r="B41" s="33" t="s">
        <v>138</v>
      </c>
      <c r="C41" s="34">
        <v>12.91</v>
      </c>
    </row>
    <row r="42" spans="1:3" x14ac:dyDescent="0.35">
      <c r="A42" s="32">
        <v>2244</v>
      </c>
      <c r="B42" s="23" t="s">
        <v>139</v>
      </c>
      <c r="C42" s="34">
        <f>44.63-1.45</f>
        <v>43.18</v>
      </c>
    </row>
    <row r="43" spans="1:3" x14ac:dyDescent="0.35">
      <c r="A43" s="32">
        <v>2249</v>
      </c>
      <c r="B43" s="23" t="s">
        <v>172</v>
      </c>
      <c r="C43" s="34">
        <v>0.71</v>
      </c>
    </row>
    <row r="44" spans="1:3" x14ac:dyDescent="0.35">
      <c r="A44" s="32">
        <v>2250</v>
      </c>
      <c r="B44" s="23" t="s">
        <v>125</v>
      </c>
      <c r="C44" s="34">
        <f>6.74+0.07+10</f>
        <v>16.810000000000002</v>
      </c>
    </row>
    <row r="45" spans="1:3" x14ac:dyDescent="0.25">
      <c r="A45" s="32">
        <v>2262</v>
      </c>
      <c r="B45" s="33" t="s">
        <v>149</v>
      </c>
      <c r="C45" s="34">
        <v>7.08</v>
      </c>
    </row>
    <row r="46" spans="1:3" x14ac:dyDescent="0.25">
      <c r="A46" s="32">
        <v>2264</v>
      </c>
      <c r="B46" s="33" t="s">
        <v>174</v>
      </c>
      <c r="C46" s="34">
        <v>0.06</v>
      </c>
    </row>
    <row r="47" spans="1:3" x14ac:dyDescent="0.25">
      <c r="A47" s="32">
        <v>2311</v>
      </c>
      <c r="B47" s="33" t="s">
        <v>152</v>
      </c>
      <c r="C47" s="34">
        <v>0.88</v>
      </c>
    </row>
    <row r="48" spans="1:3" hidden="1" x14ac:dyDescent="0.25">
      <c r="A48" s="32">
        <v>2312</v>
      </c>
      <c r="B48" s="33" t="s">
        <v>117</v>
      </c>
      <c r="C48" s="34">
        <v>0</v>
      </c>
    </row>
    <row r="49" spans="1:3" x14ac:dyDescent="0.25">
      <c r="A49" s="32">
        <v>2322</v>
      </c>
      <c r="B49" s="33" t="s">
        <v>154</v>
      </c>
      <c r="C49" s="34">
        <v>18.11</v>
      </c>
    </row>
    <row r="50" spans="1:3" x14ac:dyDescent="0.35">
      <c r="A50" s="32">
        <v>2350</v>
      </c>
      <c r="B50" s="62" t="s">
        <v>126</v>
      </c>
      <c r="C50" s="34">
        <v>18.32</v>
      </c>
    </row>
    <row r="51" spans="1:3" hidden="1" x14ac:dyDescent="0.25">
      <c r="A51" s="32">
        <v>2512</v>
      </c>
      <c r="B51" s="33" t="s">
        <v>178</v>
      </c>
      <c r="C51" s="34">
        <v>0</v>
      </c>
    </row>
    <row r="52" spans="1:3" x14ac:dyDescent="0.25">
      <c r="A52" s="32">
        <v>2515</v>
      </c>
      <c r="B52" s="33" t="s">
        <v>156</v>
      </c>
      <c r="C52" s="34">
        <v>1.25</v>
      </c>
    </row>
    <row r="53" spans="1:3" x14ac:dyDescent="0.25">
      <c r="A53" s="32">
        <v>2519</v>
      </c>
      <c r="B53" s="33" t="s">
        <v>123</v>
      </c>
      <c r="C53" s="34">
        <v>0.05</v>
      </c>
    </row>
    <row r="54" spans="1:3" x14ac:dyDescent="0.35">
      <c r="A54" s="32">
        <v>5238</v>
      </c>
      <c r="B54" s="62" t="s">
        <v>130</v>
      </c>
      <c r="C54" s="34">
        <v>9.56</v>
      </c>
    </row>
    <row r="55" spans="1:3" x14ac:dyDescent="0.35">
      <c r="A55" s="32">
        <v>5239</v>
      </c>
      <c r="B55" s="62" t="s">
        <v>131</v>
      </c>
      <c r="C55" s="34">
        <v>45.65</v>
      </c>
    </row>
    <row r="56" spans="1:3" x14ac:dyDescent="0.25">
      <c r="A56" s="32">
        <v>5250</v>
      </c>
      <c r="B56" s="33" t="s">
        <v>132</v>
      </c>
      <c r="C56" s="34">
        <v>35.74</v>
      </c>
    </row>
    <row r="57" spans="1:3" x14ac:dyDescent="0.25">
      <c r="A57" s="39"/>
      <c r="B57" s="41" t="s">
        <v>8</v>
      </c>
      <c r="C57" s="38">
        <f>SUM(C34:C56)</f>
        <v>684.77999999999986</v>
      </c>
    </row>
    <row r="58" spans="1:3" x14ac:dyDescent="0.25">
      <c r="A58" s="39"/>
      <c r="B58" s="41" t="s">
        <v>29</v>
      </c>
      <c r="C58" s="38">
        <f>C57+C32</f>
        <v>3466.85</v>
      </c>
    </row>
    <row r="59" spans="1:3" x14ac:dyDescent="0.35">
      <c r="A59" s="16"/>
      <c r="B59" s="26"/>
    </row>
    <row r="60" spans="1:3" x14ac:dyDescent="0.25">
      <c r="A60" s="321" t="s">
        <v>57</v>
      </c>
      <c r="B60" s="321"/>
      <c r="C60" s="68">
        <v>5</v>
      </c>
    </row>
    <row r="61" spans="1:3" x14ac:dyDescent="0.3">
      <c r="A61" s="321" t="s">
        <v>58</v>
      </c>
      <c r="B61" s="321"/>
      <c r="C61" s="69">
        <f>C58/C60</f>
        <v>693.37</v>
      </c>
    </row>
    <row r="62" spans="1:3" x14ac:dyDescent="0.35">
      <c r="A62" s="26"/>
      <c r="B62" s="27"/>
    </row>
    <row r="63" spans="1:3" x14ac:dyDescent="0.35">
      <c r="A63" s="332" t="s">
        <v>33</v>
      </c>
      <c r="B63" s="333"/>
      <c r="C63" s="28"/>
    </row>
    <row r="64" spans="1:3" x14ac:dyDescent="0.35">
      <c r="A64" s="332" t="s">
        <v>64</v>
      </c>
      <c r="B64" s="333"/>
      <c r="C64" s="28"/>
    </row>
    <row r="65" spans="1:3" x14ac:dyDescent="0.35">
      <c r="A65" s="29"/>
      <c r="B65" s="29"/>
      <c r="C65" s="29"/>
    </row>
    <row r="66" spans="1:3" x14ac:dyDescent="0.35">
      <c r="A66" s="29" t="s">
        <v>34</v>
      </c>
      <c r="B66" s="29"/>
      <c r="C66" s="84"/>
    </row>
    <row r="67" spans="1:3" x14ac:dyDescent="0.35">
      <c r="A67" s="29"/>
      <c r="B67" s="29"/>
      <c r="C67" s="84"/>
    </row>
    <row r="68" spans="1:3" x14ac:dyDescent="0.35">
      <c r="A68" s="29" t="s">
        <v>179</v>
      </c>
      <c r="B68" s="30"/>
      <c r="C68" s="84"/>
    </row>
    <row r="69" spans="1:3" x14ac:dyDescent="0.35">
      <c r="A69" s="29"/>
      <c r="B69" s="31"/>
      <c r="C69" s="29"/>
    </row>
    <row r="85" ht="15.75" customHeight="1" x14ac:dyDescent="0.35"/>
    <row r="86" ht="15.75" customHeight="1" x14ac:dyDescent="0.35"/>
    <row r="88" ht="15.75" customHeight="1" x14ac:dyDescent="0.35"/>
    <row r="89" ht="15.75" customHeight="1" x14ac:dyDescent="0.35"/>
  </sheetData>
  <mergeCells count="8">
    <mergeCell ref="A64:B64"/>
    <mergeCell ref="A7:C7"/>
    <mergeCell ref="A9:B9"/>
    <mergeCell ref="B12:C12"/>
    <mergeCell ref="A60:B60"/>
    <mergeCell ref="A61:B61"/>
    <mergeCell ref="A63:B63"/>
    <mergeCell ref="A10:B10"/>
  </mergeCells>
  <pageMargins left="0.7" right="0.7" top="0.75" bottom="0.75" header="0.3" footer="0.3"/>
  <pageSetup paperSize="9" scale="64" orientation="portrait" r:id="rId1"/>
  <headerFooter>
    <oddFooter>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3"/>
  <sheetViews>
    <sheetView view="pageLayout" zoomScale="80" zoomScaleNormal="70" zoomScalePageLayoutView="80" workbookViewId="0">
      <selection activeCell="B12" sqref="B12"/>
    </sheetView>
  </sheetViews>
  <sheetFormatPr defaultColWidth="9.1796875" defaultRowHeight="15.5" x14ac:dyDescent="0.35"/>
  <cols>
    <col min="1" max="1" width="12.81640625" style="17" customWidth="1"/>
    <col min="2" max="2" width="107" style="17" customWidth="1"/>
    <col min="3" max="4" width="7.81640625" style="286" hidden="1" customWidth="1"/>
    <col min="5" max="5" width="31.7265625" style="17" customWidth="1"/>
    <col min="6" max="6" width="12.54296875" style="17" customWidth="1"/>
    <col min="7" max="9" width="9.1796875" style="210" customWidth="1"/>
    <col min="10" max="10" width="9.1796875" style="210" hidden="1" customWidth="1"/>
    <col min="11" max="16384" width="9.1796875" style="210"/>
  </cols>
  <sheetData>
    <row r="1" spans="1:6" s="4" customFormat="1" ht="14.25" customHeight="1" x14ac:dyDescent="0.35">
      <c r="A1" s="14"/>
      <c r="B1" s="15"/>
      <c r="C1" s="237"/>
      <c r="D1" s="264"/>
      <c r="E1" s="18" t="s">
        <v>10</v>
      </c>
      <c r="F1" s="15"/>
    </row>
    <row r="2" spans="1:6" s="4" customFormat="1" ht="14.25" customHeight="1" x14ac:dyDescent="0.35">
      <c r="A2" s="14"/>
      <c r="B2" s="61"/>
      <c r="C2" s="239"/>
      <c r="D2" s="237"/>
      <c r="E2" s="15" t="s">
        <v>32</v>
      </c>
      <c r="F2" s="16"/>
    </row>
    <row r="3" spans="1:6" s="4" customFormat="1" ht="14.25" customHeight="1" x14ac:dyDescent="0.35">
      <c r="A3" s="14"/>
      <c r="B3" s="61"/>
      <c r="C3" s="239"/>
      <c r="D3" s="283"/>
      <c r="E3" s="80" t="s">
        <v>66</v>
      </c>
      <c r="F3" s="211"/>
    </row>
    <row r="4" spans="1:6" s="4" customFormat="1" ht="14.25" customHeight="1" x14ac:dyDescent="0.35">
      <c r="A4" s="14"/>
      <c r="B4" s="15"/>
      <c r="C4" s="237"/>
      <c r="D4" s="284"/>
      <c r="E4" s="55"/>
      <c r="F4" s="16"/>
    </row>
    <row r="5" spans="1:6" s="4" customFormat="1" ht="14.25" customHeight="1" x14ac:dyDescent="0.35">
      <c r="A5" s="14"/>
      <c r="B5" s="74"/>
      <c r="C5" s="238"/>
      <c r="D5" s="285"/>
      <c r="E5" s="16" t="s">
        <v>230</v>
      </c>
      <c r="F5" s="16"/>
    </row>
    <row r="6" spans="1:6" x14ac:dyDescent="0.35">
      <c r="A6" s="14"/>
      <c r="B6" s="15"/>
      <c r="C6" s="237"/>
    </row>
    <row r="7" spans="1:6" ht="15" x14ac:dyDescent="0.3">
      <c r="A7" s="318" t="s">
        <v>9</v>
      </c>
      <c r="B7" s="318"/>
      <c r="C7" s="318"/>
      <c r="D7" s="318"/>
      <c r="E7" s="73"/>
      <c r="F7" s="73"/>
    </row>
    <row r="8" spans="1:6" ht="15" x14ac:dyDescent="0.3">
      <c r="A8" s="73"/>
      <c r="B8" s="73"/>
      <c r="C8" s="241"/>
      <c r="D8" s="241"/>
      <c r="E8" s="73"/>
      <c r="F8" s="73"/>
    </row>
    <row r="9" spans="1:6" ht="15" customHeight="1" x14ac:dyDescent="0.35">
      <c r="A9" s="321" t="s">
        <v>1</v>
      </c>
      <c r="B9" s="321"/>
      <c r="C9" s="243"/>
    </row>
    <row r="10" spans="1:6" ht="15" customHeight="1" x14ac:dyDescent="0.35">
      <c r="A10" s="321" t="s">
        <v>0</v>
      </c>
      <c r="B10" s="321"/>
      <c r="C10" s="243"/>
    </row>
    <row r="11" spans="1:6" ht="15" customHeight="1" x14ac:dyDescent="0.35">
      <c r="A11" s="12"/>
      <c r="B11" s="12" t="s">
        <v>181</v>
      </c>
      <c r="C11" s="243"/>
    </row>
    <row r="12" spans="1:6" ht="31" x14ac:dyDescent="0.3">
      <c r="A12" s="12"/>
      <c r="B12" s="312" t="s">
        <v>245</v>
      </c>
      <c r="C12" s="87"/>
      <c r="D12" s="87"/>
      <c r="E12" s="12"/>
      <c r="F12" s="12"/>
    </row>
    <row r="13" spans="1:6" ht="15" customHeight="1" x14ac:dyDescent="0.35">
      <c r="A13" s="12" t="s">
        <v>2</v>
      </c>
      <c r="B13" s="12" t="str">
        <f>'4.13.'!B13</f>
        <v>2023.gadā un turpmāk</v>
      </c>
      <c r="C13" s="243"/>
    </row>
    <row r="14" spans="1:6" hidden="1" x14ac:dyDescent="0.35">
      <c r="A14" s="12"/>
      <c r="B14" s="12"/>
      <c r="C14" s="243"/>
    </row>
    <row r="15" spans="1:6" ht="67.5" customHeight="1" x14ac:dyDescent="0.3">
      <c r="A15" s="52" t="s">
        <v>3</v>
      </c>
      <c r="B15" s="52" t="s">
        <v>4</v>
      </c>
      <c r="C15" s="246"/>
      <c r="D15" s="246"/>
      <c r="E15" s="52" t="s">
        <v>63</v>
      </c>
      <c r="F15" s="210"/>
    </row>
    <row r="16" spans="1:6" ht="15" x14ac:dyDescent="0.3">
      <c r="A16" s="21">
        <v>1</v>
      </c>
      <c r="B16" s="22">
        <v>2</v>
      </c>
      <c r="C16" s="247"/>
      <c r="D16" s="247"/>
      <c r="E16" s="22">
        <v>3</v>
      </c>
      <c r="F16" s="210"/>
    </row>
    <row r="17" spans="1:7" x14ac:dyDescent="0.3">
      <c r="A17" s="42"/>
      <c r="B17" s="40" t="s">
        <v>5</v>
      </c>
      <c r="C17" s="265"/>
      <c r="D17" s="287"/>
      <c r="E17" s="36"/>
      <c r="F17" s="210"/>
    </row>
    <row r="18" spans="1:7" x14ac:dyDescent="0.3">
      <c r="A18" s="32">
        <v>1100</v>
      </c>
      <c r="B18" s="32" t="s">
        <v>133</v>
      </c>
      <c r="C18" s="288">
        <f>'[1]7._izmitināšana_GALA mpc'!$AA$6</f>
        <v>8.3168716924613069</v>
      </c>
      <c r="D18" s="288"/>
      <c r="E18" s="34">
        <v>1215.53</v>
      </c>
      <c r="F18" s="210"/>
    </row>
    <row r="19" spans="1:7" x14ac:dyDescent="0.35">
      <c r="A19" s="32">
        <v>1200</v>
      </c>
      <c r="B19" s="62" t="s">
        <v>134</v>
      </c>
      <c r="C19" s="288">
        <f>C18*0.2359</f>
        <v>1.9619500322516223</v>
      </c>
      <c r="D19" s="288"/>
      <c r="E19" s="34">
        <v>286.74</v>
      </c>
      <c r="F19" s="210"/>
    </row>
    <row r="20" spans="1:7" x14ac:dyDescent="0.35">
      <c r="A20" s="32">
        <v>2222</v>
      </c>
      <c r="B20" s="63" t="s">
        <v>136</v>
      </c>
      <c r="C20" s="288">
        <f>'[1]7._izmitināšana_GALA mpc'!$AA$8</f>
        <v>0.27219670494258608</v>
      </c>
      <c r="D20" s="288"/>
      <c r="E20" s="34">
        <v>34.82</v>
      </c>
      <c r="F20" s="210"/>
    </row>
    <row r="21" spans="1:7" x14ac:dyDescent="0.3">
      <c r="A21" s="32">
        <v>2223</v>
      </c>
      <c r="B21" s="33" t="s">
        <v>137</v>
      </c>
      <c r="C21" s="288">
        <f>'[1]7._izmitināšana_GALA mpc'!$AA$9</f>
        <v>0.54961557663504745</v>
      </c>
      <c r="D21" s="288"/>
      <c r="E21" s="34">
        <v>69.75</v>
      </c>
      <c r="F21" s="210"/>
    </row>
    <row r="22" spans="1:7" x14ac:dyDescent="0.3">
      <c r="A22" s="32">
        <v>2243</v>
      </c>
      <c r="B22" s="33" t="s">
        <v>138</v>
      </c>
      <c r="C22" s="288">
        <f>'[1]7._izmitināšana_GALA mpc'!$AA$11</f>
        <v>4.8118148369292721E-2</v>
      </c>
      <c r="D22" s="288"/>
      <c r="E22" s="34">
        <v>6.21</v>
      </c>
      <c r="F22" s="210"/>
    </row>
    <row r="23" spans="1:7" x14ac:dyDescent="0.35">
      <c r="A23" s="32">
        <v>2244</v>
      </c>
      <c r="B23" s="23" t="s">
        <v>139</v>
      </c>
      <c r="C23" s="288">
        <f>'[1]7._izmitināšana_GALA mpc'!$AA$12</f>
        <v>0.6579759327401502</v>
      </c>
      <c r="D23" s="288"/>
      <c r="E23" s="34">
        <v>83.69</v>
      </c>
      <c r="F23" s="210"/>
    </row>
    <row r="24" spans="1:7" x14ac:dyDescent="0.3">
      <c r="A24" s="32">
        <v>2311</v>
      </c>
      <c r="B24" s="33" t="s">
        <v>152</v>
      </c>
      <c r="C24" s="288">
        <f>'[1]7._izmitināšana_GALA mpc'!$AA$14</f>
        <v>0.30557164253619568</v>
      </c>
      <c r="D24" s="288"/>
      <c r="E24" s="34">
        <v>38.51</v>
      </c>
      <c r="F24" s="210"/>
    </row>
    <row r="25" spans="1:7" x14ac:dyDescent="0.3">
      <c r="A25" s="32">
        <v>2312</v>
      </c>
      <c r="B25" s="33" t="s">
        <v>117</v>
      </c>
      <c r="C25" s="288">
        <f>'[1]7._izmitināšana_GALA mpc'!$AA$15</f>
        <v>0.36158858572875252</v>
      </c>
      <c r="D25" s="288"/>
      <c r="E25" s="34">
        <v>46.57</v>
      </c>
      <c r="F25" s="210"/>
    </row>
    <row r="26" spans="1:7" x14ac:dyDescent="0.3">
      <c r="A26" s="32">
        <v>2321</v>
      </c>
      <c r="B26" s="33" t="s">
        <v>140</v>
      </c>
      <c r="C26" s="288">
        <f>'[1]7._izmitināšana_GALA mpc'!$AA$16</f>
        <v>0.38585280518421283</v>
      </c>
      <c r="D26" s="288"/>
      <c r="E26" s="34">
        <v>49.09</v>
      </c>
      <c r="F26" s="210"/>
    </row>
    <row r="27" spans="1:7" x14ac:dyDescent="0.35">
      <c r="A27" s="32">
        <v>2350</v>
      </c>
      <c r="B27" s="62" t="s">
        <v>126</v>
      </c>
      <c r="C27" s="288">
        <f>'[1]7._izmitināšana_GALA mpc'!$AA$17</f>
        <v>0.18701369566052103</v>
      </c>
      <c r="D27" s="288"/>
      <c r="E27" s="34">
        <v>23.98</v>
      </c>
      <c r="F27" s="210"/>
    </row>
    <row r="28" spans="1:7" x14ac:dyDescent="0.35">
      <c r="A28" s="32">
        <v>2361</v>
      </c>
      <c r="B28" s="62" t="s">
        <v>142</v>
      </c>
      <c r="C28" s="288">
        <f>'[1]7._izmitināšana_GALA mpc'!$AA$18</f>
        <v>5.4458312531203187E-2</v>
      </c>
      <c r="D28" s="288"/>
      <c r="E28" s="34">
        <v>6.86</v>
      </c>
      <c r="F28" s="210"/>
    </row>
    <row r="29" spans="1:7" ht="15" customHeight="1" x14ac:dyDescent="0.3">
      <c r="A29" s="32">
        <v>2362</v>
      </c>
      <c r="B29" s="33" t="s">
        <v>171</v>
      </c>
      <c r="C29" s="288">
        <f>'[1]7._izmitināšana_GALA mpc'!$AA$19</f>
        <v>4.8496533819285675E-2</v>
      </c>
      <c r="D29" s="287"/>
      <c r="E29" s="34">
        <v>6.33</v>
      </c>
      <c r="F29" s="210"/>
    </row>
    <row r="30" spans="1:7" x14ac:dyDescent="0.35">
      <c r="A30" s="32">
        <v>2363</v>
      </c>
      <c r="B30" s="63" t="s">
        <v>143</v>
      </c>
      <c r="C30" s="288">
        <v>5.58</v>
      </c>
      <c r="D30" s="288"/>
      <c r="E30" s="34">
        <f>5.58*130</f>
        <v>725.4</v>
      </c>
      <c r="F30" s="210"/>
    </row>
    <row r="31" spans="1:7" x14ac:dyDescent="0.35">
      <c r="A31" s="32">
        <v>5239</v>
      </c>
      <c r="B31" s="62" t="s">
        <v>131</v>
      </c>
      <c r="C31" s="288">
        <f>'[1]7._izmitināšana_GALA mpc'!$AA$21</f>
        <v>0.45337909012476479</v>
      </c>
      <c r="D31" s="288"/>
      <c r="E31" s="34">
        <v>58.02</v>
      </c>
      <c r="F31" s="210"/>
    </row>
    <row r="32" spans="1:7" x14ac:dyDescent="0.3">
      <c r="A32" s="32"/>
      <c r="B32" s="37" t="s">
        <v>6</v>
      </c>
      <c r="C32" s="289">
        <f>SUM(C18:C31)</f>
        <v>19.18308875298494</v>
      </c>
      <c r="D32" s="289"/>
      <c r="E32" s="38">
        <f>SUM(E18:E30)</f>
        <v>2593.4799999999996</v>
      </c>
      <c r="F32" s="210"/>
      <c r="G32" s="308"/>
    </row>
    <row r="33" spans="1:6" x14ac:dyDescent="0.3">
      <c r="A33" s="39"/>
      <c r="B33" s="32" t="s">
        <v>7</v>
      </c>
      <c r="C33" s="287"/>
      <c r="D33" s="287"/>
      <c r="E33" s="36"/>
      <c r="F33" s="210"/>
    </row>
    <row r="34" spans="1:6" x14ac:dyDescent="0.35">
      <c r="A34" s="32">
        <v>1100</v>
      </c>
      <c r="B34" s="23" t="s">
        <v>133</v>
      </c>
      <c r="C34" s="248"/>
      <c r="D34" s="251">
        <v>0.48549999999999999</v>
      </c>
      <c r="E34" s="34">
        <v>608.82000000000005</v>
      </c>
      <c r="F34" s="210"/>
    </row>
    <row r="35" spans="1:6" x14ac:dyDescent="0.35">
      <c r="A35" s="32">
        <v>1200</v>
      </c>
      <c r="B35" s="23" t="s">
        <v>134</v>
      </c>
      <c r="C35" s="248"/>
      <c r="D35" s="251">
        <f>D34*0.2359</f>
        <v>0.11452944999999999</v>
      </c>
      <c r="E35" s="34">
        <v>143.62</v>
      </c>
      <c r="F35" s="210"/>
    </row>
    <row r="36" spans="1:6" x14ac:dyDescent="0.3">
      <c r="A36" s="32">
        <v>2100</v>
      </c>
      <c r="B36" s="25" t="s">
        <v>45</v>
      </c>
      <c r="C36" s="277"/>
      <c r="D36" s="251">
        <v>1.1659999999999999E-3</v>
      </c>
      <c r="E36" s="34">
        <v>1.46</v>
      </c>
      <c r="F36" s="210"/>
    </row>
    <row r="37" spans="1:6" x14ac:dyDescent="0.35">
      <c r="A37" s="35">
        <v>2210</v>
      </c>
      <c r="B37" s="63" t="s">
        <v>121</v>
      </c>
      <c r="C37" s="275"/>
      <c r="D37" s="251">
        <v>7.6E-3</v>
      </c>
      <c r="E37" s="34">
        <v>9.5299999999999994</v>
      </c>
      <c r="F37" s="210"/>
    </row>
    <row r="38" spans="1:6" x14ac:dyDescent="0.35">
      <c r="A38" s="32">
        <v>2222</v>
      </c>
      <c r="B38" s="63" t="s">
        <v>136</v>
      </c>
      <c r="C38" s="275"/>
      <c r="D38" s="251">
        <f>0.0095*1.15</f>
        <v>1.0924999999999999E-2</v>
      </c>
      <c r="E38" s="34">
        <v>13.7</v>
      </c>
      <c r="F38" s="210"/>
    </row>
    <row r="39" spans="1:6" x14ac:dyDescent="0.35">
      <c r="A39" s="32">
        <v>2223</v>
      </c>
      <c r="B39" s="63" t="s">
        <v>137</v>
      </c>
      <c r="C39" s="275"/>
      <c r="D39" s="251">
        <f>0.01902*2.13</f>
        <v>4.0512599999999996E-2</v>
      </c>
      <c r="E39" s="34">
        <v>50.8</v>
      </c>
      <c r="F39" s="210"/>
    </row>
    <row r="40" spans="1:6" ht="15" customHeight="1" x14ac:dyDescent="0.35">
      <c r="A40" s="32">
        <v>2224</v>
      </c>
      <c r="B40" s="63" t="s">
        <v>144</v>
      </c>
      <c r="C40" s="275"/>
      <c r="D40" s="251">
        <f>0.00495*1.15</f>
        <v>5.6924999999999996E-3</v>
      </c>
      <c r="E40" s="34">
        <v>7.14</v>
      </c>
      <c r="F40" s="210"/>
    </row>
    <row r="41" spans="1:6" ht="15" customHeight="1" x14ac:dyDescent="0.35">
      <c r="A41" s="32">
        <v>2231</v>
      </c>
      <c r="B41" s="23" t="s">
        <v>127</v>
      </c>
      <c r="C41" s="248"/>
      <c r="D41" s="251">
        <v>1.5499999999999999E-3</v>
      </c>
      <c r="E41" s="34">
        <v>1.94</v>
      </c>
      <c r="F41" s="210"/>
    </row>
    <row r="42" spans="1:6" ht="15" customHeight="1" x14ac:dyDescent="0.3">
      <c r="A42" s="32">
        <v>2235</v>
      </c>
      <c r="B42" s="78" t="s">
        <v>128</v>
      </c>
      <c r="C42" s="278"/>
      <c r="D42" s="251">
        <v>1.65E-3</v>
      </c>
      <c r="E42" s="34">
        <v>2.0699999999999998</v>
      </c>
      <c r="F42" s="210"/>
    </row>
    <row r="43" spans="1:6" x14ac:dyDescent="0.35">
      <c r="A43" s="32">
        <v>2239</v>
      </c>
      <c r="B43" s="23" t="s">
        <v>145</v>
      </c>
      <c r="C43" s="248"/>
      <c r="D43" s="251">
        <v>4.4099999999999999E-3</v>
      </c>
      <c r="E43" s="34">
        <v>5.53</v>
      </c>
      <c r="F43" s="210"/>
    </row>
    <row r="44" spans="1:6" ht="15" customHeight="1" x14ac:dyDescent="0.35">
      <c r="A44" s="32">
        <v>2241</v>
      </c>
      <c r="B44" s="23" t="s">
        <v>124</v>
      </c>
      <c r="C44" s="248"/>
      <c r="D44" s="251">
        <v>1.6500000000000001E-2</v>
      </c>
      <c r="E44" s="34">
        <f>20.69+0.33</f>
        <v>21.02</v>
      </c>
      <c r="F44" s="210"/>
    </row>
    <row r="45" spans="1:6" ht="15" customHeight="1" x14ac:dyDescent="0.35">
      <c r="A45" s="32">
        <v>2242</v>
      </c>
      <c r="B45" s="63" t="s">
        <v>146</v>
      </c>
      <c r="C45" s="275"/>
      <c r="D45" s="251">
        <v>2.2599999999999999E-3</v>
      </c>
      <c r="E45" s="34">
        <v>2.83</v>
      </c>
      <c r="F45" s="210"/>
    </row>
    <row r="46" spans="1:6" ht="16.5" customHeight="1" x14ac:dyDescent="0.35">
      <c r="A46" s="32">
        <v>2243</v>
      </c>
      <c r="B46" s="23" t="s">
        <v>138</v>
      </c>
      <c r="C46" s="248"/>
      <c r="D46" s="251">
        <v>3.2599999999999997E-2</v>
      </c>
      <c r="E46" s="34">
        <v>40.880000000000003</v>
      </c>
      <c r="F46" s="210"/>
    </row>
    <row r="47" spans="1:6" ht="15" customHeight="1" x14ac:dyDescent="0.35">
      <c r="A47" s="32">
        <v>2244</v>
      </c>
      <c r="B47" s="23" t="s">
        <v>139</v>
      </c>
      <c r="C47" s="248"/>
      <c r="D47" s="251">
        <f>0.20397-0.09084</f>
        <v>0.11313000000000001</v>
      </c>
      <c r="E47" s="34">
        <v>141.87</v>
      </c>
      <c r="F47" s="210"/>
    </row>
    <row r="48" spans="1:6" x14ac:dyDescent="0.35">
      <c r="A48" s="32">
        <v>2247</v>
      </c>
      <c r="B48" s="23" t="s">
        <v>147</v>
      </c>
      <c r="C48" s="248"/>
      <c r="D48" s="251">
        <v>7.1900000000000002E-4</v>
      </c>
      <c r="E48" s="34">
        <v>0.9</v>
      </c>
      <c r="F48" s="210"/>
    </row>
    <row r="49" spans="1:6" x14ac:dyDescent="0.35">
      <c r="A49" s="32">
        <v>2249</v>
      </c>
      <c r="B49" s="23" t="s">
        <v>172</v>
      </c>
      <c r="C49" s="248"/>
      <c r="D49" s="251">
        <v>2.32E-4</v>
      </c>
      <c r="E49" s="34">
        <v>0.28999999999999998</v>
      </c>
      <c r="F49" s="210"/>
    </row>
    <row r="50" spans="1:6" ht="15" customHeight="1" x14ac:dyDescent="0.35">
      <c r="A50" s="32">
        <v>2250</v>
      </c>
      <c r="B50" s="23" t="s">
        <v>125</v>
      </c>
      <c r="C50" s="248"/>
      <c r="D50" s="251">
        <f>0.024026-0.005</f>
        <v>1.9025999999999998E-2</v>
      </c>
      <c r="E50" s="34">
        <v>23.86</v>
      </c>
      <c r="F50" s="210"/>
    </row>
    <row r="51" spans="1:6" ht="15" hidden="1" customHeight="1" x14ac:dyDescent="0.35">
      <c r="A51" s="32">
        <v>2261</v>
      </c>
      <c r="B51" s="63" t="s">
        <v>99</v>
      </c>
      <c r="C51" s="275"/>
      <c r="D51" s="251">
        <v>0</v>
      </c>
      <c r="E51" s="34">
        <f>1254*D51</f>
        <v>0</v>
      </c>
      <c r="F51" s="210"/>
    </row>
    <row r="52" spans="1:6" x14ac:dyDescent="0.35">
      <c r="A52" s="32">
        <v>2262</v>
      </c>
      <c r="B52" s="63" t="s">
        <v>149</v>
      </c>
      <c r="C52" s="275"/>
      <c r="D52" s="251">
        <v>6.2599999999999999E-3</v>
      </c>
      <c r="E52" s="34">
        <v>7.85</v>
      </c>
      <c r="F52" s="210"/>
    </row>
    <row r="53" spans="1:6" x14ac:dyDescent="0.35">
      <c r="A53" s="32">
        <v>2263</v>
      </c>
      <c r="B53" s="63" t="s">
        <v>150</v>
      </c>
      <c r="C53" s="275"/>
      <c r="D53" s="251">
        <v>4.58E-2</v>
      </c>
      <c r="E53" s="34">
        <v>57.43</v>
      </c>
      <c r="F53" s="210"/>
    </row>
    <row r="54" spans="1:6" ht="15" customHeight="1" x14ac:dyDescent="0.35">
      <c r="A54" s="32">
        <v>2264</v>
      </c>
      <c r="B54" s="23" t="s">
        <v>151</v>
      </c>
      <c r="C54" s="248"/>
      <c r="D54" s="251">
        <v>1.49E-3</v>
      </c>
      <c r="E54" s="34">
        <v>1.87</v>
      </c>
      <c r="F54" s="210"/>
    </row>
    <row r="55" spans="1:6" ht="15" customHeight="1" x14ac:dyDescent="0.35">
      <c r="A55" s="32">
        <v>2311</v>
      </c>
      <c r="B55" s="63" t="s">
        <v>152</v>
      </c>
      <c r="C55" s="275"/>
      <c r="D55" s="251">
        <v>4.7699999999999999E-3</v>
      </c>
      <c r="E55" s="34">
        <v>5.98</v>
      </c>
      <c r="F55" s="210"/>
    </row>
    <row r="56" spans="1:6" ht="15" customHeight="1" x14ac:dyDescent="0.35">
      <c r="A56" s="32">
        <v>2312</v>
      </c>
      <c r="B56" s="63" t="s">
        <v>117</v>
      </c>
      <c r="C56" s="275"/>
      <c r="D56" s="251">
        <v>5.79E-3</v>
      </c>
      <c r="E56" s="34">
        <v>7.26</v>
      </c>
      <c r="F56" s="210"/>
    </row>
    <row r="57" spans="1:6" ht="15" customHeight="1" x14ac:dyDescent="0.3">
      <c r="A57" s="32">
        <v>2314</v>
      </c>
      <c r="B57" s="78" t="s">
        <v>153</v>
      </c>
      <c r="C57" s="278"/>
      <c r="D57" s="251">
        <v>2.2200000000000002E-3</v>
      </c>
      <c r="E57" s="34">
        <v>2.78</v>
      </c>
      <c r="F57" s="210"/>
    </row>
    <row r="58" spans="1:6" ht="15" customHeight="1" x14ac:dyDescent="0.35">
      <c r="A58" s="32">
        <v>2321</v>
      </c>
      <c r="B58" s="63" t="s">
        <v>140</v>
      </c>
      <c r="C58" s="275"/>
      <c r="D58" s="251">
        <f>0.0198*1.2+0.005</f>
        <v>2.8760000000000001E-2</v>
      </c>
      <c r="E58" s="34">
        <v>36.07</v>
      </c>
      <c r="F58" s="210"/>
    </row>
    <row r="59" spans="1:6" x14ac:dyDescent="0.35">
      <c r="A59" s="32">
        <v>2322</v>
      </c>
      <c r="B59" s="63" t="s">
        <v>154</v>
      </c>
      <c r="C59" s="275"/>
      <c r="D59" s="251">
        <f>0.0035*1.2</f>
        <v>4.1999999999999997E-3</v>
      </c>
      <c r="E59" s="34">
        <f>5.27+0.2</f>
        <v>5.47</v>
      </c>
      <c r="F59" s="210"/>
    </row>
    <row r="60" spans="1:6" ht="15" hidden="1" customHeight="1" x14ac:dyDescent="0.35">
      <c r="A60" s="32">
        <v>2341</v>
      </c>
      <c r="B60" s="63" t="s">
        <v>141</v>
      </c>
      <c r="C60" s="275"/>
      <c r="D60" s="251"/>
      <c r="E60" s="34">
        <f>1254*D60</f>
        <v>0</v>
      </c>
      <c r="F60" s="210"/>
    </row>
    <row r="61" spans="1:6" ht="15" customHeight="1" x14ac:dyDescent="0.35">
      <c r="A61" s="32">
        <v>2350</v>
      </c>
      <c r="B61" s="62" t="s">
        <v>126</v>
      </c>
      <c r="C61" s="251"/>
      <c r="D61" s="251">
        <v>8.5000000000000006E-3</v>
      </c>
      <c r="E61" s="34">
        <v>10.66</v>
      </c>
      <c r="F61" s="210"/>
    </row>
    <row r="62" spans="1:6" ht="15" hidden="1" customHeight="1" x14ac:dyDescent="0.35">
      <c r="A62" s="32">
        <v>2512</v>
      </c>
      <c r="B62" s="63" t="s">
        <v>155</v>
      </c>
      <c r="C62" s="275"/>
      <c r="D62" s="251">
        <v>0</v>
      </c>
      <c r="E62" s="34">
        <f>1254*D62</f>
        <v>0</v>
      </c>
      <c r="F62" s="210"/>
    </row>
    <row r="63" spans="1:6" ht="15" customHeight="1" x14ac:dyDescent="0.35">
      <c r="A63" s="32">
        <v>2513</v>
      </c>
      <c r="B63" s="62" t="s">
        <v>122</v>
      </c>
      <c r="C63" s="251"/>
      <c r="D63" s="251">
        <v>1.4599999999999999E-3</v>
      </c>
      <c r="E63" s="34">
        <v>1.83</v>
      </c>
      <c r="F63" s="210"/>
    </row>
    <row r="64" spans="1:6" x14ac:dyDescent="0.35">
      <c r="A64" s="32">
        <v>2515</v>
      </c>
      <c r="B64" s="63" t="s">
        <v>156</v>
      </c>
      <c r="C64" s="275"/>
      <c r="D64" s="251">
        <v>1.9E-3</v>
      </c>
      <c r="E64" s="34">
        <v>2.38</v>
      </c>
      <c r="F64" s="210"/>
    </row>
    <row r="65" spans="1:6" x14ac:dyDescent="0.35">
      <c r="A65" s="32">
        <v>2519</v>
      </c>
      <c r="B65" s="63" t="s">
        <v>123</v>
      </c>
      <c r="C65" s="275"/>
      <c r="D65" s="251">
        <v>2E-3</v>
      </c>
      <c r="E65" s="34">
        <v>2.5099999999999998</v>
      </c>
      <c r="F65" s="210"/>
    </row>
    <row r="66" spans="1:6" x14ac:dyDescent="0.35">
      <c r="A66" s="32">
        <v>5220</v>
      </c>
      <c r="B66" s="63" t="s">
        <v>129</v>
      </c>
      <c r="C66" s="275"/>
      <c r="D66" s="251">
        <v>1.06E-2</v>
      </c>
      <c r="E66" s="34">
        <v>13.29</v>
      </c>
      <c r="F66" s="210"/>
    </row>
    <row r="67" spans="1:6" x14ac:dyDescent="0.35">
      <c r="A67" s="32">
        <v>5238</v>
      </c>
      <c r="B67" s="62" t="s">
        <v>130</v>
      </c>
      <c r="C67" s="251"/>
      <c r="D67" s="251">
        <v>1.65E-3</v>
      </c>
      <c r="E67" s="34">
        <v>2.0699999999999998</v>
      </c>
      <c r="F67" s="210"/>
    </row>
    <row r="68" spans="1:6" x14ac:dyDescent="0.35">
      <c r="A68" s="32">
        <v>5239</v>
      </c>
      <c r="B68" s="62" t="s">
        <v>131</v>
      </c>
      <c r="C68" s="251"/>
      <c r="D68" s="251">
        <v>9.5399999999999999E-3</v>
      </c>
      <c r="E68" s="34">
        <v>11.96</v>
      </c>
      <c r="F68" s="210"/>
    </row>
    <row r="69" spans="1:6" x14ac:dyDescent="0.35">
      <c r="A69" s="32">
        <v>5250</v>
      </c>
      <c r="B69" s="63" t="s">
        <v>132</v>
      </c>
      <c r="C69" s="275"/>
      <c r="D69" s="251">
        <v>7.0600000000000003E-3</v>
      </c>
      <c r="E69" s="34">
        <v>8.85</v>
      </c>
      <c r="F69" s="210"/>
    </row>
    <row r="70" spans="1:6" x14ac:dyDescent="0.3">
      <c r="A70" s="39"/>
      <c r="B70" s="41" t="s">
        <v>8</v>
      </c>
      <c r="C70" s="289"/>
      <c r="D70" s="289"/>
      <c r="E70" s="38">
        <f>SUM(E34:E69)</f>
        <v>1254.5199999999998</v>
      </c>
      <c r="F70" s="210"/>
    </row>
    <row r="71" spans="1:6" x14ac:dyDescent="0.3">
      <c r="A71" s="39"/>
      <c r="B71" s="41" t="s">
        <v>29</v>
      </c>
      <c r="C71" s="289"/>
      <c r="D71" s="289"/>
      <c r="E71" s="38">
        <f>E70+E32</f>
        <v>3847.9999999999991</v>
      </c>
      <c r="F71" s="210"/>
    </row>
    <row r="72" spans="1:6" ht="12.75" customHeight="1" x14ac:dyDescent="0.35">
      <c r="A72" s="16"/>
      <c r="B72" s="26"/>
      <c r="C72" s="290"/>
      <c r="D72" s="291"/>
      <c r="E72" s="213"/>
      <c r="F72" s="212"/>
    </row>
    <row r="73" spans="1:6" ht="15.75" customHeight="1" x14ac:dyDescent="0.35">
      <c r="A73" s="332" t="s">
        <v>107</v>
      </c>
      <c r="B73" s="333"/>
      <c r="C73" s="292"/>
      <c r="D73" s="293"/>
      <c r="E73" s="68">
        <v>130</v>
      </c>
      <c r="F73" s="160"/>
    </row>
    <row r="74" spans="1:6" ht="15.75" customHeight="1" x14ac:dyDescent="0.3">
      <c r="A74" s="330" t="s">
        <v>108</v>
      </c>
      <c r="B74" s="331"/>
      <c r="C74" s="289"/>
      <c r="D74" s="294"/>
      <c r="E74" s="67">
        <f>E71/E73</f>
        <v>29.599999999999994</v>
      </c>
      <c r="F74" s="214"/>
    </row>
    <row r="75" spans="1:6" ht="12.75" customHeight="1" x14ac:dyDescent="0.35">
      <c r="A75" s="26"/>
      <c r="B75" s="27"/>
    </row>
    <row r="76" spans="1:6" s="2" customFormat="1" x14ac:dyDescent="0.35">
      <c r="A76" s="332" t="s">
        <v>33</v>
      </c>
      <c r="B76" s="333"/>
      <c r="C76" s="295"/>
      <c r="D76" s="295"/>
      <c r="E76" s="88"/>
      <c r="F76" s="30"/>
    </row>
    <row r="77" spans="1:6" s="2" customFormat="1" x14ac:dyDescent="0.35">
      <c r="A77" s="332" t="s">
        <v>64</v>
      </c>
      <c r="B77" s="333"/>
      <c r="C77" s="295"/>
      <c r="D77" s="295"/>
      <c r="E77" s="28"/>
      <c r="F77" s="30"/>
    </row>
    <row r="78" spans="1:6" s="2" customFormat="1" ht="12.75" customHeight="1" x14ac:dyDescent="0.35">
      <c r="A78" s="29"/>
      <c r="B78" s="29"/>
      <c r="C78" s="260"/>
      <c r="D78" s="260"/>
      <c r="E78" s="29"/>
      <c r="F78" s="29"/>
    </row>
    <row r="79" spans="1:6" s="2" customFormat="1" x14ac:dyDescent="0.35">
      <c r="A79" s="29" t="s">
        <v>34</v>
      </c>
      <c r="B79" s="29"/>
      <c r="C79" s="260"/>
      <c r="D79" s="260"/>
      <c r="E79" s="84"/>
      <c r="F79" s="29"/>
    </row>
    <row r="80" spans="1:6" s="2" customFormat="1" x14ac:dyDescent="0.35">
      <c r="A80" s="29"/>
      <c r="B80" s="29"/>
      <c r="C80" s="260"/>
      <c r="D80" s="260"/>
      <c r="E80" s="84"/>
      <c r="F80" s="29"/>
    </row>
    <row r="81" spans="1:6" s="2" customFormat="1" x14ac:dyDescent="0.35">
      <c r="A81" s="29" t="s">
        <v>179</v>
      </c>
      <c r="B81" s="30"/>
      <c r="C81" s="261"/>
      <c r="D81" s="260"/>
      <c r="E81" s="84"/>
      <c r="F81" s="29"/>
    </row>
    <row r="82" spans="1:6" s="2" customFormat="1" ht="12.75" customHeight="1" x14ac:dyDescent="0.35">
      <c r="A82" s="29"/>
      <c r="B82" s="31"/>
      <c r="C82" s="273"/>
      <c r="D82" s="260"/>
      <c r="E82" s="29"/>
      <c r="F82" s="29"/>
    </row>
    <row r="83" spans="1:6" x14ac:dyDescent="0.35">
      <c r="A83" s="344"/>
      <c r="B83" s="344"/>
      <c r="C83" s="296"/>
    </row>
    <row r="84" spans="1:6" ht="11.25" customHeight="1" x14ac:dyDescent="0.35">
      <c r="D84" s="297"/>
      <c r="E84" s="185"/>
    </row>
    <row r="85" spans="1:6" ht="12.75" customHeight="1" x14ac:dyDescent="0.35"/>
    <row r="86" spans="1:6" ht="21" customHeight="1" x14ac:dyDescent="0.35">
      <c r="A86" s="337"/>
      <c r="B86" s="337"/>
      <c r="C86" s="262"/>
      <c r="D86" s="298"/>
      <c r="E86" s="138"/>
      <c r="F86" s="138"/>
    </row>
    <row r="87" spans="1:6" ht="13.5" customHeight="1" x14ac:dyDescent="0.35">
      <c r="A87" s="76"/>
      <c r="B87" s="76"/>
      <c r="C87" s="262"/>
      <c r="D87" s="240"/>
      <c r="E87" s="14"/>
      <c r="F87" s="14"/>
    </row>
    <row r="88" spans="1:6" ht="13.5" customHeight="1" x14ac:dyDescent="0.35">
      <c r="A88" s="76"/>
      <c r="B88" s="76"/>
      <c r="C88" s="262"/>
      <c r="D88" s="240"/>
      <c r="E88" s="14"/>
      <c r="F88" s="14"/>
    </row>
    <row r="89" spans="1:6" ht="13.5" customHeight="1" x14ac:dyDescent="0.35">
      <c r="A89" s="337"/>
      <c r="B89" s="337"/>
      <c r="C89" s="262"/>
      <c r="D89" s="240"/>
      <c r="E89" s="14"/>
      <c r="F89" s="14"/>
    </row>
    <row r="90" spans="1:6" ht="12.75" customHeight="1" x14ac:dyDescent="0.35">
      <c r="A90" s="76"/>
      <c r="B90" s="76"/>
      <c r="C90" s="262"/>
      <c r="D90" s="240"/>
      <c r="E90" s="14"/>
      <c r="F90" s="14"/>
    </row>
    <row r="91" spans="1:6" x14ac:dyDescent="0.35">
      <c r="A91" s="345"/>
      <c r="B91" s="345"/>
      <c r="C91" s="299"/>
      <c r="D91" s="240"/>
      <c r="E91" s="14"/>
      <c r="F91" s="14"/>
    </row>
    <row r="92" spans="1:6" x14ac:dyDescent="0.35">
      <c r="A92" s="343"/>
      <c r="B92" s="337"/>
      <c r="C92" s="262"/>
      <c r="D92" s="240"/>
      <c r="E92" s="14"/>
      <c r="F92" s="14"/>
    </row>
    <row r="93" spans="1:6" x14ac:dyDescent="0.35">
      <c r="A93" s="337"/>
      <c r="B93" s="337"/>
      <c r="C93" s="262"/>
    </row>
  </sheetData>
  <mergeCells count="13">
    <mergeCell ref="A93:B93"/>
    <mergeCell ref="A76:B76"/>
    <mergeCell ref="A77:B77"/>
    <mergeCell ref="A83:B83"/>
    <mergeCell ref="A86:B86"/>
    <mergeCell ref="A89:B89"/>
    <mergeCell ref="A91:B91"/>
    <mergeCell ref="A7:D7"/>
    <mergeCell ref="A9:B9"/>
    <mergeCell ref="A10:B10"/>
    <mergeCell ref="A73:B73"/>
    <mergeCell ref="A74:B74"/>
    <mergeCell ref="A92:B92"/>
  </mergeCells>
  <pageMargins left="0.7" right="1.7857142857142858" top="0.75" bottom="0.75" header="0.3" footer="0.3"/>
  <pageSetup paperSize="9" scale="49" orientation="portrait" r:id="rId1"/>
  <headerFooter>
    <oddFooter>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2"/>
  <sheetViews>
    <sheetView view="pageLayout" zoomScale="80" zoomScaleNormal="100" zoomScalePageLayoutView="80" workbookViewId="0">
      <selection activeCell="B12" sqref="B12"/>
    </sheetView>
  </sheetViews>
  <sheetFormatPr defaultColWidth="9.1796875" defaultRowHeight="14" x14ac:dyDescent="0.3"/>
  <cols>
    <col min="1" max="1" width="13" style="4" customWidth="1"/>
    <col min="2" max="2" width="96.26953125" style="4" customWidth="1"/>
    <col min="3" max="3" width="30.7265625" style="4" customWidth="1"/>
    <col min="4" max="16384" width="9.1796875" style="7"/>
  </cols>
  <sheetData>
    <row r="1" spans="1:3" ht="15.5" x14ac:dyDescent="0.35">
      <c r="B1" s="300"/>
      <c r="C1" s="18" t="s">
        <v>10</v>
      </c>
    </row>
    <row r="2" spans="1:3" ht="15.5" x14ac:dyDescent="0.35">
      <c r="A2" s="14"/>
      <c r="B2" s="15"/>
      <c r="C2" s="15" t="s">
        <v>32</v>
      </c>
    </row>
    <row r="3" spans="1:3" ht="15.5" x14ac:dyDescent="0.35">
      <c r="A3" s="14"/>
      <c r="B3" s="15"/>
      <c r="C3" s="80" t="s">
        <v>66</v>
      </c>
    </row>
    <row r="4" spans="1:3" ht="15.5" x14ac:dyDescent="0.35">
      <c r="A4" s="14"/>
      <c r="B4" s="15"/>
      <c r="C4" s="55"/>
    </row>
    <row r="5" spans="1:3" ht="15.5" x14ac:dyDescent="0.35">
      <c r="A5" s="14"/>
      <c r="B5" s="15"/>
      <c r="C5" s="16" t="s">
        <v>230</v>
      </c>
    </row>
    <row r="6" spans="1:3" ht="15.5" x14ac:dyDescent="0.35">
      <c r="A6" s="14"/>
      <c r="B6" s="14"/>
    </row>
    <row r="7" spans="1:3" ht="17.5" x14ac:dyDescent="0.25">
      <c r="A7" s="346" t="s">
        <v>9</v>
      </c>
      <c r="B7" s="346"/>
      <c r="C7" s="346"/>
    </row>
    <row r="8" spans="1:3" ht="15.5" x14ac:dyDescent="0.35">
      <c r="A8" s="14"/>
      <c r="B8" s="19"/>
    </row>
    <row r="9" spans="1:3" ht="15.5" x14ac:dyDescent="0.25">
      <c r="A9" s="321" t="s">
        <v>1</v>
      </c>
      <c r="B9" s="321"/>
      <c r="C9" s="301"/>
    </row>
    <row r="10" spans="1:3" ht="15.5" x14ac:dyDescent="0.25">
      <c r="A10" s="321" t="s">
        <v>0</v>
      </c>
      <c r="B10" s="321"/>
      <c r="C10" s="301"/>
    </row>
    <row r="11" spans="1:3" ht="15.5" x14ac:dyDescent="0.25">
      <c r="A11" s="12"/>
      <c r="B11" s="12" t="s">
        <v>181</v>
      </c>
      <c r="C11" s="301"/>
    </row>
    <row r="12" spans="1:3" ht="15.5" x14ac:dyDescent="0.25">
      <c r="A12" s="12"/>
      <c r="B12" s="302" t="s">
        <v>244</v>
      </c>
      <c r="C12" s="53"/>
    </row>
    <row r="13" spans="1:3" ht="15.5" x14ac:dyDescent="0.25">
      <c r="A13" s="12" t="s">
        <v>2</v>
      </c>
      <c r="B13" s="12" t="s">
        <v>170</v>
      </c>
      <c r="C13" s="303"/>
    </row>
    <row r="14" spans="1:3" ht="46.5" x14ac:dyDescent="0.25">
      <c r="A14" s="52" t="s">
        <v>3</v>
      </c>
      <c r="B14" s="52" t="s">
        <v>4</v>
      </c>
      <c r="C14" s="304" t="s">
        <v>63</v>
      </c>
    </row>
    <row r="15" spans="1:3" x14ac:dyDescent="0.25">
      <c r="A15" s="10">
        <v>1</v>
      </c>
      <c r="B15" s="11">
        <v>2</v>
      </c>
      <c r="C15" s="305">
        <v>3</v>
      </c>
    </row>
    <row r="16" spans="1:3" ht="15.5" x14ac:dyDescent="0.25">
      <c r="A16" s="42"/>
      <c r="B16" s="40" t="s">
        <v>94</v>
      </c>
      <c r="C16" s="306"/>
    </row>
    <row r="17" spans="1:3" ht="15.5" x14ac:dyDescent="0.25">
      <c r="A17" s="32">
        <v>1100</v>
      </c>
      <c r="B17" s="32" t="s">
        <v>133</v>
      </c>
      <c r="C17" s="34">
        <v>15.4</v>
      </c>
    </row>
    <row r="18" spans="1:3" ht="15.75" customHeight="1" x14ac:dyDescent="0.35">
      <c r="A18" s="32">
        <v>1200</v>
      </c>
      <c r="B18" s="62" t="s">
        <v>134</v>
      </c>
      <c r="C18" s="36">
        <v>3.63</v>
      </c>
    </row>
    <row r="19" spans="1:3" ht="15.5" x14ac:dyDescent="0.35">
      <c r="A19" s="32">
        <v>2210</v>
      </c>
      <c r="B19" s="63" t="s">
        <v>121</v>
      </c>
      <c r="C19" s="36">
        <v>0.62</v>
      </c>
    </row>
    <row r="20" spans="1:3" ht="15.5" x14ac:dyDescent="0.35">
      <c r="A20" s="32">
        <v>2222</v>
      </c>
      <c r="B20" s="63" t="s">
        <v>136</v>
      </c>
      <c r="C20" s="34">
        <v>13.29</v>
      </c>
    </row>
    <row r="21" spans="1:3" ht="15.5" x14ac:dyDescent="0.25">
      <c r="A21" s="32">
        <v>2223</v>
      </c>
      <c r="B21" s="33" t="s">
        <v>137</v>
      </c>
      <c r="C21" s="36">
        <v>21.21</v>
      </c>
    </row>
    <row r="22" spans="1:3" ht="15.75" hidden="1" customHeight="1" x14ac:dyDescent="0.25">
      <c r="A22" s="32">
        <v>2230</v>
      </c>
      <c r="B22" s="33" t="s">
        <v>38</v>
      </c>
      <c r="C22" s="36"/>
    </row>
    <row r="23" spans="1:3" ht="15.5" x14ac:dyDescent="0.25">
      <c r="A23" s="32">
        <v>2243</v>
      </c>
      <c r="B23" s="154" t="s">
        <v>138</v>
      </c>
      <c r="C23" s="34">
        <v>0.51</v>
      </c>
    </row>
    <row r="24" spans="1:3" ht="15.5" x14ac:dyDescent="0.35">
      <c r="A24" s="32">
        <v>2244</v>
      </c>
      <c r="B24" s="23" t="s">
        <v>139</v>
      </c>
      <c r="C24" s="36">
        <v>9.86</v>
      </c>
    </row>
    <row r="25" spans="1:3" ht="15.5" x14ac:dyDescent="0.25">
      <c r="A25" s="32">
        <v>2312</v>
      </c>
      <c r="B25" s="33" t="s">
        <v>117</v>
      </c>
      <c r="C25" s="34">
        <v>4.01</v>
      </c>
    </row>
    <row r="26" spans="1:3" ht="15.5" x14ac:dyDescent="0.25">
      <c r="A26" s="32">
        <v>2321</v>
      </c>
      <c r="B26" s="33" t="s">
        <v>140</v>
      </c>
      <c r="C26" s="34">
        <v>26.7</v>
      </c>
    </row>
    <row r="27" spans="1:3" ht="15.5" x14ac:dyDescent="0.35">
      <c r="A27" s="32">
        <v>2350</v>
      </c>
      <c r="B27" s="62" t="s">
        <v>126</v>
      </c>
      <c r="C27" s="34">
        <v>1.3</v>
      </c>
    </row>
    <row r="28" spans="1:3" ht="15.5" x14ac:dyDescent="0.25">
      <c r="A28" s="145">
        <v>2361</v>
      </c>
      <c r="B28" s="33" t="s">
        <v>142</v>
      </c>
      <c r="C28" s="34">
        <v>2.5299999999999998</v>
      </c>
    </row>
    <row r="29" spans="1:3" ht="15.75" customHeight="1" x14ac:dyDescent="0.35">
      <c r="A29" s="32">
        <v>2513</v>
      </c>
      <c r="B29" s="62" t="s">
        <v>122</v>
      </c>
      <c r="C29" s="34">
        <v>2.2200000000000002</v>
      </c>
    </row>
    <row r="30" spans="1:3" ht="15.5" x14ac:dyDescent="0.25">
      <c r="A30" s="32"/>
      <c r="B30" s="37" t="s">
        <v>95</v>
      </c>
      <c r="C30" s="38">
        <f>SUM(C17:C29)</f>
        <v>101.28</v>
      </c>
    </row>
    <row r="31" spans="1:3" ht="15.5" x14ac:dyDescent="0.25">
      <c r="A31" s="39"/>
      <c r="B31" s="32" t="s">
        <v>96</v>
      </c>
      <c r="C31" s="36"/>
    </row>
    <row r="32" spans="1:3" ht="15.5" x14ac:dyDescent="0.25">
      <c r="A32" s="32">
        <v>1100</v>
      </c>
      <c r="B32" s="32" t="s">
        <v>133</v>
      </c>
      <c r="C32" s="34">
        <v>12.12</v>
      </c>
    </row>
    <row r="33" spans="1:3" ht="15.75" customHeight="1" x14ac:dyDescent="0.35">
      <c r="A33" s="32">
        <v>1200</v>
      </c>
      <c r="B33" s="62" t="s">
        <v>134</v>
      </c>
      <c r="C33" s="34">
        <v>2.86</v>
      </c>
    </row>
    <row r="34" spans="1:3" ht="15.5" x14ac:dyDescent="0.35">
      <c r="A34" s="32">
        <v>2210</v>
      </c>
      <c r="B34" s="63" t="s">
        <v>121</v>
      </c>
      <c r="C34" s="34">
        <v>0.32</v>
      </c>
    </row>
    <row r="35" spans="1:3" ht="15.5" hidden="1" x14ac:dyDescent="0.35">
      <c r="A35" s="32">
        <v>2222</v>
      </c>
      <c r="B35" s="63" t="s">
        <v>136</v>
      </c>
      <c r="C35" s="34"/>
    </row>
    <row r="36" spans="1:3" ht="15.5" hidden="1" x14ac:dyDescent="0.25">
      <c r="A36" s="32">
        <v>2223</v>
      </c>
      <c r="B36" s="33" t="s">
        <v>137</v>
      </c>
      <c r="C36" s="34"/>
    </row>
    <row r="37" spans="1:3" ht="15.75" customHeight="1" x14ac:dyDescent="0.25">
      <c r="A37" s="32">
        <v>2231</v>
      </c>
      <c r="B37" s="33" t="s">
        <v>127</v>
      </c>
      <c r="C37" s="34">
        <v>0.17</v>
      </c>
    </row>
    <row r="38" spans="1:3" ht="15.5" x14ac:dyDescent="0.25">
      <c r="A38" s="32">
        <v>2239</v>
      </c>
      <c r="B38" s="33" t="s">
        <v>145</v>
      </c>
      <c r="C38" s="34">
        <v>0.03</v>
      </c>
    </row>
    <row r="39" spans="1:3" ht="15.5" x14ac:dyDescent="0.35">
      <c r="A39" s="32">
        <v>2241</v>
      </c>
      <c r="B39" s="23" t="s">
        <v>124</v>
      </c>
      <c r="C39" s="34">
        <v>0.03</v>
      </c>
    </row>
    <row r="40" spans="1:3" ht="15.5" x14ac:dyDescent="0.25">
      <c r="A40" s="32">
        <v>2242</v>
      </c>
      <c r="B40" s="33" t="s">
        <v>146</v>
      </c>
      <c r="C40" s="34">
        <v>0.12</v>
      </c>
    </row>
    <row r="41" spans="1:3" ht="15.5" x14ac:dyDescent="0.25">
      <c r="A41" s="32">
        <v>2243</v>
      </c>
      <c r="B41" s="33" t="s">
        <v>138</v>
      </c>
      <c r="C41" s="34">
        <v>0.12</v>
      </c>
    </row>
    <row r="42" spans="1:3" ht="15.5" x14ac:dyDescent="0.35">
      <c r="A42" s="32">
        <v>2244</v>
      </c>
      <c r="B42" s="23" t="s">
        <v>139</v>
      </c>
      <c r="C42" s="34">
        <f>0.24+0.62+1.5</f>
        <v>2.36</v>
      </c>
    </row>
    <row r="43" spans="1:3" ht="15.5" x14ac:dyDescent="0.35">
      <c r="A43" s="32">
        <v>2249</v>
      </c>
      <c r="B43" s="23" t="s">
        <v>172</v>
      </c>
      <c r="C43" s="34">
        <f>2.08-1.5</f>
        <v>0.58000000000000007</v>
      </c>
    </row>
    <row r="44" spans="1:3" ht="15.5" x14ac:dyDescent="0.35">
      <c r="A44" s="32">
        <v>2250</v>
      </c>
      <c r="B44" s="23" t="s">
        <v>125</v>
      </c>
      <c r="C44" s="34">
        <v>1.26</v>
      </c>
    </row>
    <row r="45" spans="1:3" ht="15.5" x14ac:dyDescent="0.25">
      <c r="A45" s="32">
        <v>2262</v>
      </c>
      <c r="B45" s="33" t="s">
        <v>149</v>
      </c>
      <c r="C45" s="34">
        <v>0.28000000000000003</v>
      </c>
    </row>
    <row r="46" spans="1:3" ht="15.5" hidden="1" x14ac:dyDescent="0.25">
      <c r="A46" s="32">
        <v>2263</v>
      </c>
      <c r="B46" s="33" t="s">
        <v>40</v>
      </c>
      <c r="C46" s="34"/>
    </row>
    <row r="47" spans="1:3" ht="15.5" x14ac:dyDescent="0.25">
      <c r="A47" s="32">
        <v>2264</v>
      </c>
      <c r="B47" s="33" t="s">
        <v>174</v>
      </c>
      <c r="C47" s="34">
        <v>0.02</v>
      </c>
    </row>
    <row r="48" spans="1:3" ht="15.5" x14ac:dyDescent="0.25">
      <c r="A48" s="32">
        <v>2311</v>
      </c>
      <c r="B48" s="33" t="s">
        <v>152</v>
      </c>
      <c r="C48" s="34">
        <v>0.19</v>
      </c>
    </row>
    <row r="49" spans="1:3" ht="15.5" hidden="1" x14ac:dyDescent="0.25">
      <c r="A49" s="32">
        <v>2312</v>
      </c>
      <c r="B49" s="33" t="s">
        <v>117</v>
      </c>
      <c r="C49" s="34">
        <v>0</v>
      </c>
    </row>
    <row r="50" spans="1:3" ht="15.5" hidden="1" x14ac:dyDescent="0.25">
      <c r="A50" s="32">
        <v>2321</v>
      </c>
      <c r="B50" s="33" t="s">
        <v>140</v>
      </c>
      <c r="C50" s="34"/>
    </row>
    <row r="51" spans="1:3" ht="15.5" x14ac:dyDescent="0.25">
      <c r="A51" s="32">
        <v>2322</v>
      </c>
      <c r="B51" s="33" t="s">
        <v>154</v>
      </c>
      <c r="C51" s="34">
        <v>0.71</v>
      </c>
    </row>
    <row r="52" spans="1:3" ht="15.5" x14ac:dyDescent="0.35">
      <c r="A52" s="32">
        <v>2350</v>
      </c>
      <c r="B52" s="62" t="s">
        <v>126</v>
      </c>
      <c r="C52" s="34">
        <v>0.72</v>
      </c>
    </row>
    <row r="53" spans="1:3" ht="15.5" hidden="1" x14ac:dyDescent="0.25">
      <c r="A53" s="32">
        <v>2512</v>
      </c>
      <c r="B53" s="33" t="s">
        <v>30</v>
      </c>
      <c r="C53" s="34">
        <v>0</v>
      </c>
    </row>
    <row r="54" spans="1:3" ht="15.5" hidden="1" x14ac:dyDescent="0.35">
      <c r="A54" s="32">
        <v>2513</v>
      </c>
      <c r="B54" s="62" t="s">
        <v>122</v>
      </c>
      <c r="C54" s="34"/>
    </row>
    <row r="55" spans="1:3" ht="15.5" x14ac:dyDescent="0.25">
      <c r="A55" s="32">
        <v>2515</v>
      </c>
      <c r="B55" s="33" t="s">
        <v>156</v>
      </c>
      <c r="C55" s="34">
        <v>0.05</v>
      </c>
    </row>
    <row r="56" spans="1:3" ht="15.5" x14ac:dyDescent="0.25">
      <c r="A56" s="32">
        <v>2519</v>
      </c>
      <c r="B56" s="33" t="s">
        <v>123</v>
      </c>
      <c r="C56" s="34">
        <v>1.4</v>
      </c>
    </row>
    <row r="57" spans="1:3" ht="15.5" x14ac:dyDescent="0.35">
      <c r="A57" s="32">
        <v>5238</v>
      </c>
      <c r="B57" s="62" t="s">
        <v>130</v>
      </c>
      <c r="C57" s="34">
        <v>0.85</v>
      </c>
    </row>
    <row r="58" spans="1:3" ht="15.5" x14ac:dyDescent="0.35">
      <c r="A58" s="32">
        <v>5239</v>
      </c>
      <c r="B58" s="62" t="s">
        <v>131</v>
      </c>
      <c r="C58" s="34">
        <v>2.5099999999999998</v>
      </c>
    </row>
    <row r="59" spans="1:3" ht="15.5" x14ac:dyDescent="0.25">
      <c r="A59" s="32">
        <v>5250</v>
      </c>
      <c r="B59" s="33" t="s">
        <v>132</v>
      </c>
      <c r="C59" s="307">
        <v>2.2200000000000002</v>
      </c>
    </row>
    <row r="60" spans="1:3" ht="15.5" x14ac:dyDescent="0.25">
      <c r="A60" s="39"/>
      <c r="B60" s="41" t="s">
        <v>97</v>
      </c>
      <c r="C60" s="38">
        <f>SUM(C32:C59)</f>
        <v>28.919999999999995</v>
      </c>
    </row>
    <row r="61" spans="1:3" ht="15.5" x14ac:dyDescent="0.25">
      <c r="A61" s="39"/>
      <c r="B61" s="41" t="s">
        <v>98</v>
      </c>
      <c r="C61" s="38">
        <f>C60+C30</f>
        <v>130.19999999999999</v>
      </c>
    </row>
    <row r="62" spans="1:3" ht="15.5" x14ac:dyDescent="0.25">
      <c r="A62" s="43"/>
      <c r="B62" s="44"/>
      <c r="C62" s="50"/>
    </row>
    <row r="63" spans="1:3" ht="15.5" x14ac:dyDescent="0.25">
      <c r="A63" s="324" t="s">
        <v>57</v>
      </c>
      <c r="B63" s="324"/>
      <c r="C63" s="66">
        <v>10</v>
      </c>
    </row>
    <row r="64" spans="1:3" ht="15.5" x14ac:dyDescent="0.25">
      <c r="A64" s="324" t="s">
        <v>58</v>
      </c>
      <c r="B64" s="324"/>
      <c r="C64" s="67">
        <f>C61/C63</f>
        <v>13.02</v>
      </c>
    </row>
    <row r="65" spans="1:3" ht="15.5" x14ac:dyDescent="0.25">
      <c r="A65" s="48"/>
      <c r="B65" s="48"/>
      <c r="C65" s="48"/>
    </row>
    <row r="66" spans="1:3" ht="15.5" x14ac:dyDescent="0.35">
      <c r="A66" s="332" t="s">
        <v>33</v>
      </c>
      <c r="B66" s="333"/>
      <c r="C66" s="28"/>
    </row>
    <row r="67" spans="1:3" ht="15.5" x14ac:dyDescent="0.35">
      <c r="A67" s="332" t="s">
        <v>64</v>
      </c>
      <c r="B67" s="333"/>
      <c r="C67" s="28"/>
    </row>
    <row r="68" spans="1:3" ht="15.5" x14ac:dyDescent="0.35">
      <c r="A68" s="29"/>
      <c r="B68" s="29"/>
      <c r="C68" s="29"/>
    </row>
    <row r="69" spans="1:3" ht="15.5" x14ac:dyDescent="0.35">
      <c r="A69" s="29" t="s">
        <v>34</v>
      </c>
      <c r="B69" s="29"/>
      <c r="C69" s="29"/>
    </row>
    <row r="70" spans="1:3" ht="15.5" x14ac:dyDescent="0.35">
      <c r="A70" s="29"/>
      <c r="B70" s="29"/>
      <c r="C70" s="29"/>
    </row>
    <row r="71" spans="1:3" ht="15.5" x14ac:dyDescent="0.35">
      <c r="A71" s="29" t="s">
        <v>179</v>
      </c>
      <c r="B71" s="30"/>
      <c r="C71" s="29"/>
    </row>
    <row r="72" spans="1:3" ht="15.5" x14ac:dyDescent="0.35">
      <c r="A72" s="29"/>
      <c r="B72" s="31"/>
      <c r="C72" s="29"/>
    </row>
  </sheetData>
  <mergeCells count="7">
    <mergeCell ref="A66:B66"/>
    <mergeCell ref="A67:B67"/>
    <mergeCell ref="A7:C7"/>
    <mergeCell ref="A9:B9"/>
    <mergeCell ref="A10:B10"/>
    <mergeCell ref="A63:B63"/>
    <mergeCell ref="A64:B64"/>
  </mergeCells>
  <pageMargins left="0.7" right="0.7" top="0.75" bottom="0.75" header="0.3" footer="0.3"/>
  <pageSetup paperSize="9" scale="63" fitToHeight="0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Saturs</vt:lpstr>
      <vt:lpstr>4.1.1.</vt:lpstr>
      <vt:lpstr>4.1.2.</vt:lpstr>
      <vt:lpstr>4.2.1.</vt:lpstr>
      <vt:lpstr>4.2.2.</vt:lpstr>
      <vt:lpstr>4.2.3.</vt:lpstr>
      <vt:lpstr>4.2.4.</vt:lpstr>
      <vt:lpstr>4.2.5.</vt:lpstr>
      <vt:lpstr>7.3.1.</vt:lpstr>
      <vt:lpstr>7.3.2.</vt:lpstr>
      <vt:lpstr>7.4.1.</vt:lpstr>
      <vt:lpstr>7.4.2.</vt:lpstr>
      <vt:lpstr>7.4.3.</vt:lpstr>
      <vt:lpstr>4.3.1.</vt:lpstr>
      <vt:lpstr>4.3.2.</vt:lpstr>
      <vt:lpstr>7.5.3.</vt:lpstr>
      <vt:lpstr>7.5.4.</vt:lpstr>
      <vt:lpstr>4.3.3.</vt:lpstr>
      <vt:lpstr>7.5.7.</vt:lpstr>
      <vt:lpstr>7.5.8.</vt:lpstr>
      <vt:lpstr>4.3.4.</vt:lpstr>
      <vt:lpstr>4.4.1.</vt:lpstr>
      <vt:lpstr>4.4.2.</vt:lpstr>
      <vt:lpstr>4.5.1.</vt:lpstr>
      <vt:lpstr>4.5.2.</vt:lpstr>
      <vt:lpstr>4.6.1.</vt:lpstr>
      <vt:lpstr>4.6.2.</vt:lpstr>
      <vt:lpstr>4.7.</vt:lpstr>
      <vt:lpstr>4.8.</vt:lpstr>
      <vt:lpstr>4.9.</vt:lpstr>
      <vt:lpstr>4.10.</vt:lpstr>
      <vt:lpstr>4.11.</vt:lpstr>
      <vt:lpstr>4.12.</vt:lpstr>
      <vt:lpstr>4.13.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</dc:creator>
  <dc:description>Inese Ķīse, 67021651, Inese.Kise@lm.gov.lv, fakss 67021678</dc:description>
  <cp:lastModifiedBy>Inese Veinberga</cp:lastModifiedBy>
  <cp:lastPrinted>2023-03-28T17:13:01Z</cp:lastPrinted>
  <dcterms:created xsi:type="dcterms:W3CDTF">2008-09-26T08:09:16Z</dcterms:created>
  <dcterms:modified xsi:type="dcterms:W3CDTF">2023-06-19T08:39:58Z</dcterms:modified>
</cp:coreProperties>
</file>