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99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itd-01.lm.local\LMHomeFolders\Inese.Veinberga\SIVA_CENRADIS_2023\"/>
    </mc:Choice>
  </mc:AlternateContent>
  <xr:revisionPtr revIDLastSave="0" documentId="8_{AE6A2C9F-99D6-4C20-8FD8-4FF821967C9F}" xr6:coauthVersionLast="36" xr6:coauthVersionMax="36" xr10:uidLastSave="{00000000-0000-0000-0000-000000000000}"/>
  <bookViews>
    <workbookView xWindow="32770" yWindow="32770" windowWidth="19200" windowHeight="6350" tabRatio="783" firstSheet="1" activeTab="25"/>
  </bookViews>
  <sheets>
    <sheet name="Saturs" sheetId="75" r:id="rId1"/>
    <sheet name="1.1.1.1." sheetId="79" r:id="rId2"/>
    <sheet name="1.1.1.2.1." sheetId="78" r:id="rId3"/>
    <sheet name="1.1.1.2.2." sheetId="87" r:id="rId4"/>
    <sheet name="1.1.1.3." sheetId="77" r:id="rId5"/>
    <sheet name="1.1.1.4." sheetId="76" r:id="rId6"/>
    <sheet name="4.1.1.5." sheetId="81" state="hidden" r:id="rId7"/>
    <sheet name="1.1.1.5." sheetId="80" r:id="rId8"/>
    <sheet name="4.1.2.1." sheetId="84" state="hidden" r:id="rId9"/>
    <sheet name="4.1.2.2." sheetId="83" state="hidden" r:id="rId10"/>
    <sheet name="4.1.2.3." sheetId="85" state="hidden" r:id="rId11"/>
    <sheet name="4.1.2.4." sheetId="82" state="hidden" r:id="rId12"/>
    <sheet name="4.1.2.5." sheetId="86" state="hidden" r:id="rId13"/>
    <sheet name="1.2.1." sheetId="88" r:id="rId14"/>
    <sheet name="1.3.1.1." sheetId="89" r:id="rId15"/>
    <sheet name="1.3.1.2." sheetId="90" r:id="rId16"/>
    <sheet name="1.3.1.3." sheetId="95" r:id="rId17"/>
    <sheet name="1.3.1.4." sheetId="94" r:id="rId18"/>
    <sheet name="1.3.1.5." sheetId="99" r:id="rId19"/>
    <sheet name="1.3.1.6." sheetId="98" r:id="rId20"/>
    <sheet name="1.3.1.7." sheetId="97" r:id="rId21"/>
    <sheet name="1.3.1.8." sheetId="96" r:id="rId22"/>
    <sheet name="1.3.1.9." sheetId="101" r:id="rId23"/>
    <sheet name="1.3.1.10." sheetId="100" r:id="rId24"/>
    <sheet name="1.3.1.11." sheetId="109" r:id="rId25"/>
    <sheet name="1.3.1.12." sheetId="110" r:id="rId26"/>
    <sheet name="Sheet1" sheetId="111" state="hidden" r:id="rId27"/>
    <sheet name="4.3.2.1." sheetId="91" state="hidden" r:id="rId28"/>
    <sheet name="4.3.2.2." sheetId="92" state="hidden" r:id="rId29"/>
    <sheet name="4.3.2.3." sheetId="93" state="hidden" r:id="rId30"/>
    <sheet name="4.3.2.4." sheetId="102" state="hidden" r:id="rId31"/>
    <sheet name="4.3.2.5." sheetId="103" state="hidden" r:id="rId32"/>
    <sheet name="4.3.2.6." sheetId="104" state="hidden" r:id="rId33"/>
    <sheet name="4.3.2.7." sheetId="105" state="hidden" r:id="rId34"/>
    <sheet name="4.3.2.8." sheetId="106" state="hidden" r:id="rId35"/>
    <sheet name="4.3.2.9." sheetId="107" state="hidden" r:id="rId36"/>
    <sheet name="4.3.2.10." sheetId="108" state="hidden" r:id="rId37"/>
  </sheets>
  <externalReferences>
    <externalReference r:id="rId38"/>
  </externalReferences>
  <calcPr calcId="191029"/>
</workbook>
</file>

<file path=xl/calcChain.xml><?xml version="1.0" encoding="utf-8"?>
<calcChain xmlns="http://schemas.openxmlformats.org/spreadsheetml/2006/main">
  <c r="D40" i="88" l="1"/>
  <c r="E40" i="88"/>
  <c r="F40" i="88"/>
  <c r="G40" i="88"/>
  <c r="E48" i="80"/>
  <c r="F48" i="80"/>
  <c r="E73" i="110"/>
  <c r="D73" i="110"/>
  <c r="C42" i="110"/>
  <c r="C43" i="110"/>
  <c r="E40" i="110"/>
  <c r="C39" i="110"/>
  <c r="C38" i="110"/>
  <c r="D38" i="110"/>
  <c r="D40" i="110"/>
  <c r="C37" i="110"/>
  <c r="C36" i="110"/>
  <c r="C35" i="110"/>
  <c r="C34" i="110"/>
  <c r="C33" i="110"/>
  <c r="C32" i="110"/>
  <c r="C31" i="110"/>
  <c r="C30" i="110"/>
  <c r="C29" i="110"/>
  <c r="C28" i="110"/>
  <c r="C27" i="110"/>
  <c r="C26" i="110"/>
  <c r="C25" i="110"/>
  <c r="C24" i="110"/>
  <c r="C23" i="110"/>
  <c r="C22" i="110"/>
  <c r="C20" i="110"/>
  <c r="C21" i="110"/>
  <c r="C40" i="110"/>
  <c r="G43" i="76"/>
  <c r="G44" i="76"/>
  <c r="G45" i="76"/>
  <c r="G46" i="76"/>
  <c r="G47" i="76"/>
  <c r="G48" i="76"/>
  <c r="G49" i="76"/>
  <c r="G50" i="76"/>
  <c r="G51" i="76"/>
  <c r="G52" i="76"/>
  <c r="G53" i="76"/>
  <c r="G54" i="76"/>
  <c r="G55" i="76"/>
  <c r="G56" i="76"/>
  <c r="G57" i="76"/>
  <c r="G58" i="76"/>
  <c r="G59" i="76"/>
  <c r="G60" i="76"/>
  <c r="G61" i="76"/>
  <c r="G62" i="76"/>
  <c r="G63" i="76"/>
  <c r="G64" i="76"/>
  <c r="G65" i="76"/>
  <c r="G66" i="76"/>
  <c r="G67" i="76"/>
  <c r="G68" i="76"/>
  <c r="G69" i="76"/>
  <c r="G70" i="76"/>
  <c r="G71" i="76"/>
  <c r="G72" i="76"/>
  <c r="G42" i="76"/>
  <c r="G21" i="76"/>
  <c r="G22" i="76"/>
  <c r="G23" i="76"/>
  <c r="G24" i="76"/>
  <c r="G25" i="76"/>
  <c r="G26" i="76"/>
  <c r="G27" i="76"/>
  <c r="G28" i="76"/>
  <c r="G29" i="76"/>
  <c r="G30" i="76"/>
  <c r="G31" i="76"/>
  <c r="G32" i="76"/>
  <c r="G33" i="76"/>
  <c r="G34" i="76"/>
  <c r="G35" i="76"/>
  <c r="G36" i="76"/>
  <c r="G37" i="76"/>
  <c r="G38" i="76"/>
  <c r="G39" i="76"/>
  <c r="G20" i="76"/>
  <c r="E73" i="109"/>
  <c r="C42" i="109"/>
  <c r="C43" i="109"/>
  <c r="E40" i="109"/>
  <c r="C39" i="109"/>
  <c r="C38" i="109"/>
  <c r="D38" i="109"/>
  <c r="D40" i="109"/>
  <c r="D74" i="109"/>
  <c r="D77" i="109"/>
  <c r="C37" i="109"/>
  <c r="C36" i="109"/>
  <c r="C35" i="109"/>
  <c r="C34" i="109"/>
  <c r="C33" i="109"/>
  <c r="C32" i="109"/>
  <c r="C31" i="109"/>
  <c r="C30" i="109"/>
  <c r="C29" i="109"/>
  <c r="C28" i="109"/>
  <c r="C27" i="109"/>
  <c r="C26" i="109"/>
  <c r="C25" i="109"/>
  <c r="C24" i="109"/>
  <c r="C23" i="109"/>
  <c r="C22" i="109"/>
  <c r="C20" i="109"/>
  <c r="C40" i="109"/>
  <c r="D29" i="96"/>
  <c r="D39" i="96"/>
  <c r="D73" i="96"/>
  <c r="D76" i="96"/>
  <c r="E39" i="94"/>
  <c r="E73" i="95"/>
  <c r="E72" i="95"/>
  <c r="F43" i="80"/>
  <c r="F44" i="80"/>
  <c r="F45" i="80"/>
  <c r="F46" i="80"/>
  <c r="F73" i="80"/>
  <c r="F47" i="80"/>
  <c r="F49" i="80"/>
  <c r="F50" i="80"/>
  <c r="F51" i="80"/>
  <c r="F52" i="80"/>
  <c r="F53" i="80"/>
  <c r="F54" i="80"/>
  <c r="F55" i="80"/>
  <c r="F56" i="80"/>
  <c r="F57" i="80"/>
  <c r="F58" i="80"/>
  <c r="F59" i="80"/>
  <c r="F60" i="80"/>
  <c r="F61" i="80"/>
  <c r="F62" i="80"/>
  <c r="F63" i="80"/>
  <c r="F64" i="80"/>
  <c r="F65" i="80"/>
  <c r="F66" i="80"/>
  <c r="F67" i="80"/>
  <c r="F68" i="80"/>
  <c r="F69" i="80"/>
  <c r="F70" i="80"/>
  <c r="F71" i="80"/>
  <c r="F72" i="80"/>
  <c r="F42" i="80"/>
  <c r="F21" i="80"/>
  <c r="F22" i="80"/>
  <c r="F23" i="80"/>
  <c r="F24" i="80"/>
  <c r="F25" i="80"/>
  <c r="F26" i="80"/>
  <c r="F27" i="80"/>
  <c r="F28" i="80"/>
  <c r="F29" i="80"/>
  <c r="F30" i="80"/>
  <c r="F31" i="80"/>
  <c r="F32" i="80"/>
  <c r="F33" i="80"/>
  <c r="F34" i="80"/>
  <c r="F35" i="80"/>
  <c r="F36" i="80"/>
  <c r="F37" i="80"/>
  <c r="F38" i="80"/>
  <c r="F39" i="80"/>
  <c r="F20" i="80"/>
  <c r="I44" i="78"/>
  <c r="I45" i="78"/>
  <c r="I74" i="78"/>
  <c r="I46" i="78"/>
  <c r="I47" i="78"/>
  <c r="I48" i="78"/>
  <c r="I49" i="78"/>
  <c r="I50" i="78"/>
  <c r="I51" i="78"/>
  <c r="I52" i="78"/>
  <c r="I53" i="78"/>
  <c r="I54" i="78"/>
  <c r="I55" i="78"/>
  <c r="I56" i="78"/>
  <c r="I57" i="78"/>
  <c r="I58" i="78"/>
  <c r="I59" i="78"/>
  <c r="I60" i="78"/>
  <c r="I61" i="78"/>
  <c r="I62" i="78"/>
  <c r="I63" i="78"/>
  <c r="I64" i="78"/>
  <c r="I65" i="78"/>
  <c r="I66" i="78"/>
  <c r="I67" i="78"/>
  <c r="I68" i="78"/>
  <c r="I69" i="78"/>
  <c r="I70" i="78"/>
  <c r="I71" i="78"/>
  <c r="I72" i="78"/>
  <c r="I73" i="78"/>
  <c r="I43" i="78"/>
  <c r="I22" i="78"/>
  <c r="I23" i="78"/>
  <c r="I24" i="78"/>
  <c r="I41" i="78"/>
  <c r="I75" i="78"/>
  <c r="I78" i="78"/>
  <c r="I25" i="78"/>
  <c r="I26" i="78"/>
  <c r="I27" i="78"/>
  <c r="I28" i="78"/>
  <c r="I29" i="78"/>
  <c r="I30" i="78"/>
  <c r="I31" i="78"/>
  <c r="I32" i="78"/>
  <c r="I33" i="78"/>
  <c r="I34" i="78"/>
  <c r="I35" i="78"/>
  <c r="I36" i="78"/>
  <c r="I37" i="78"/>
  <c r="I38" i="78"/>
  <c r="I39" i="78"/>
  <c r="I40" i="78"/>
  <c r="I21" i="78"/>
  <c r="F43" i="79"/>
  <c r="F44" i="79"/>
  <c r="F45" i="79"/>
  <c r="F46" i="79"/>
  <c r="F47" i="79"/>
  <c r="F48" i="79"/>
  <c r="F49" i="79"/>
  <c r="F50" i="79"/>
  <c r="F51" i="79"/>
  <c r="F52" i="79"/>
  <c r="F53" i="79"/>
  <c r="F54" i="79"/>
  <c r="F55" i="79"/>
  <c r="F56" i="79"/>
  <c r="F57" i="79"/>
  <c r="F58" i="79"/>
  <c r="F59" i="79"/>
  <c r="F60" i="79"/>
  <c r="F61" i="79"/>
  <c r="F62" i="79"/>
  <c r="F63" i="79"/>
  <c r="F64" i="79"/>
  <c r="F65" i="79"/>
  <c r="F66" i="79"/>
  <c r="F67" i="79"/>
  <c r="F68" i="79"/>
  <c r="F69" i="79"/>
  <c r="F70" i="79"/>
  <c r="F71" i="79"/>
  <c r="F72" i="79"/>
  <c r="F42" i="79"/>
  <c r="F73" i="79"/>
  <c r="F21" i="79"/>
  <c r="F40" i="79"/>
  <c r="F74" i="79"/>
  <c r="F77" i="79"/>
  <c r="F22" i="79"/>
  <c r="F23" i="79"/>
  <c r="F24" i="79"/>
  <c r="F25" i="79"/>
  <c r="F26" i="79"/>
  <c r="F27" i="79"/>
  <c r="F28" i="79"/>
  <c r="F29" i="79"/>
  <c r="F30" i="79"/>
  <c r="F31" i="79"/>
  <c r="F32" i="79"/>
  <c r="F33" i="79"/>
  <c r="F34" i="79"/>
  <c r="F35" i="79"/>
  <c r="F36" i="79"/>
  <c r="F37" i="79"/>
  <c r="F38" i="79"/>
  <c r="F39" i="79"/>
  <c r="F20" i="79"/>
  <c r="H41" i="78"/>
  <c r="G43" i="77"/>
  <c r="H43" i="77"/>
  <c r="G46" i="77"/>
  <c r="H46" i="77"/>
  <c r="G47" i="77"/>
  <c r="H47" i="77"/>
  <c r="G48" i="77"/>
  <c r="H48" i="77"/>
  <c r="G52" i="77"/>
  <c r="H52" i="77"/>
  <c r="G58" i="77"/>
  <c r="H58" i="77"/>
  <c r="G64" i="77"/>
  <c r="H64" i="77"/>
  <c r="G72" i="77"/>
  <c r="H72" i="77"/>
  <c r="G42" i="77"/>
  <c r="G21" i="77"/>
  <c r="G23" i="77"/>
  <c r="H23" i="77"/>
  <c r="G24" i="77"/>
  <c r="H24" i="77"/>
  <c r="G33" i="77"/>
  <c r="H33" i="77"/>
  <c r="G20" i="77"/>
  <c r="H20" i="77"/>
  <c r="E72" i="87"/>
  <c r="G44" i="78"/>
  <c r="G47" i="78"/>
  <c r="G48" i="78"/>
  <c r="G49" i="78"/>
  <c r="G53" i="78"/>
  <c r="G56" i="78"/>
  <c r="G59" i="78"/>
  <c r="G65" i="78"/>
  <c r="G73" i="78"/>
  <c r="G43" i="78"/>
  <c r="G22" i="78"/>
  <c r="G23" i="78"/>
  <c r="G24" i="78"/>
  <c r="G25" i="78"/>
  <c r="G26" i="78"/>
  <c r="G27" i="78"/>
  <c r="G28" i="78"/>
  <c r="G29" i="78"/>
  <c r="G30" i="78"/>
  <c r="G34" i="78"/>
  <c r="G21" i="78"/>
  <c r="E40" i="98"/>
  <c r="E40" i="99"/>
  <c r="G25" i="88"/>
  <c r="G28" i="88"/>
  <c r="G29" i="88"/>
  <c r="E66" i="87"/>
  <c r="F27" i="77"/>
  <c r="G27" i="77"/>
  <c r="H27" i="77"/>
  <c r="C37" i="100"/>
  <c r="C37" i="101"/>
  <c r="C37" i="96"/>
  <c r="C37" i="97"/>
  <c r="D39" i="97"/>
  <c r="C38" i="98"/>
  <c r="D38" i="98"/>
  <c r="D40" i="98"/>
  <c r="D74" i="98"/>
  <c r="D77" i="98"/>
  <c r="C38" i="99"/>
  <c r="D38" i="99"/>
  <c r="D40" i="99"/>
  <c r="D74" i="99"/>
  <c r="D77" i="99"/>
  <c r="D38" i="94"/>
  <c r="D40" i="94"/>
  <c r="C38" i="94"/>
  <c r="C38" i="95"/>
  <c r="D38" i="95"/>
  <c r="D40" i="95"/>
  <c r="E40" i="89"/>
  <c r="C38" i="89"/>
  <c r="D38" i="89"/>
  <c r="D40" i="89"/>
  <c r="D74" i="89"/>
  <c r="D77" i="89"/>
  <c r="C39" i="89"/>
  <c r="D38" i="80"/>
  <c r="D38" i="77"/>
  <c r="D40" i="77"/>
  <c r="D38" i="76"/>
  <c r="D40" i="76"/>
  <c r="D74" i="76"/>
  <c r="D77" i="76"/>
  <c r="E38" i="76"/>
  <c r="E38" i="77"/>
  <c r="F38" i="77"/>
  <c r="G38" i="77"/>
  <c r="H38" i="77"/>
  <c r="D39" i="87"/>
  <c r="D41" i="87"/>
  <c r="D39" i="78"/>
  <c r="E39" i="78"/>
  <c r="F39" i="78"/>
  <c r="G39" i="78"/>
  <c r="D38" i="79"/>
  <c r="D40" i="79"/>
  <c r="D39" i="100"/>
  <c r="E63" i="95"/>
  <c r="E74" i="95"/>
  <c r="E49" i="89"/>
  <c r="E50" i="89"/>
  <c r="E51" i="89"/>
  <c r="E53" i="89"/>
  <c r="E55" i="89"/>
  <c r="E56" i="89"/>
  <c r="E57" i="89"/>
  <c r="E58" i="89"/>
  <c r="E73" i="89"/>
  <c r="E74" i="89"/>
  <c r="E77" i="89"/>
  <c r="E59" i="89"/>
  <c r="E60" i="89"/>
  <c r="E61" i="89"/>
  <c r="E62" i="89"/>
  <c r="E63" i="89"/>
  <c r="E65" i="89"/>
  <c r="E66" i="89"/>
  <c r="E67" i="89"/>
  <c r="E68" i="89"/>
  <c r="E69" i="89"/>
  <c r="E70" i="89"/>
  <c r="E71" i="89"/>
  <c r="E72" i="89"/>
  <c r="E40" i="80"/>
  <c r="E33" i="88"/>
  <c r="F33" i="88"/>
  <c r="G33" i="88"/>
  <c r="E34" i="88"/>
  <c r="F34" i="88"/>
  <c r="E35" i="88"/>
  <c r="F35" i="88"/>
  <c r="G35" i="88"/>
  <c r="E36" i="88"/>
  <c r="F36" i="88"/>
  <c r="G36" i="88"/>
  <c r="E37" i="88"/>
  <c r="F37" i="88"/>
  <c r="G37" i="88"/>
  <c r="E38" i="88"/>
  <c r="F38" i="88"/>
  <c r="G38" i="88"/>
  <c r="E39" i="88"/>
  <c r="F39" i="88"/>
  <c r="G39" i="88"/>
  <c r="E41" i="88"/>
  <c r="F41" i="88"/>
  <c r="G41" i="88"/>
  <c r="E42" i="88"/>
  <c r="F42" i="88"/>
  <c r="G42" i="88"/>
  <c r="E43" i="88"/>
  <c r="F43" i="88"/>
  <c r="G43" i="88"/>
  <c r="E44" i="88"/>
  <c r="F44" i="88"/>
  <c r="G44" i="88"/>
  <c r="E45" i="88"/>
  <c r="F45" i="88"/>
  <c r="G45" i="88"/>
  <c r="E46" i="88"/>
  <c r="F46" i="88"/>
  <c r="G46" i="88"/>
  <c r="E47" i="88"/>
  <c r="F47" i="88"/>
  <c r="G47" i="88"/>
  <c r="E48" i="88"/>
  <c r="F48" i="88"/>
  <c r="G48" i="88"/>
  <c r="E49" i="88"/>
  <c r="F49" i="88"/>
  <c r="G49" i="88"/>
  <c r="E50" i="88"/>
  <c r="F50" i="88"/>
  <c r="G50" i="88"/>
  <c r="E51" i="88"/>
  <c r="F51" i="88"/>
  <c r="G51" i="88"/>
  <c r="E52" i="88"/>
  <c r="F52" i="88"/>
  <c r="G52" i="88"/>
  <c r="E53" i="88"/>
  <c r="F53" i="88"/>
  <c r="G53" i="88"/>
  <c r="E54" i="88"/>
  <c r="F54" i="88"/>
  <c r="G54" i="88"/>
  <c r="E55" i="88"/>
  <c r="F55" i="88"/>
  <c r="G55" i="88"/>
  <c r="E56" i="88"/>
  <c r="F56" i="88"/>
  <c r="G56" i="88"/>
  <c r="E58" i="88"/>
  <c r="F58" i="88"/>
  <c r="E59" i="88"/>
  <c r="F59" i="88"/>
  <c r="E60" i="88"/>
  <c r="F60" i="88"/>
  <c r="E32" i="88"/>
  <c r="F32" i="88"/>
  <c r="E20" i="88"/>
  <c r="F20" i="88"/>
  <c r="E21" i="88"/>
  <c r="F21" i="88"/>
  <c r="G21" i="88"/>
  <c r="G30" i="88"/>
  <c r="E22" i="88"/>
  <c r="F22" i="88"/>
  <c r="G22" i="88"/>
  <c r="E23" i="88"/>
  <c r="F23" i="88"/>
  <c r="G23" i="88"/>
  <c r="E24" i="88"/>
  <c r="F24" i="88"/>
  <c r="G24" i="88"/>
  <c r="E19" i="88"/>
  <c r="E43" i="76"/>
  <c r="E44" i="76"/>
  <c r="E45" i="76"/>
  <c r="E46" i="76"/>
  <c r="E47" i="76"/>
  <c r="E48" i="76"/>
  <c r="E49" i="76"/>
  <c r="E50" i="76"/>
  <c r="E51" i="76"/>
  <c r="E52" i="76"/>
  <c r="E53" i="76"/>
  <c r="E54" i="76"/>
  <c r="E55" i="76"/>
  <c r="E56" i="76"/>
  <c r="E57" i="76"/>
  <c r="E58" i="76"/>
  <c r="E59" i="76"/>
  <c r="E60" i="76"/>
  <c r="E61" i="76"/>
  <c r="E62" i="76"/>
  <c r="E63" i="76"/>
  <c r="E64" i="76"/>
  <c r="E65" i="76"/>
  <c r="E66" i="76"/>
  <c r="E67" i="76"/>
  <c r="E68" i="76"/>
  <c r="E69" i="76"/>
  <c r="E70" i="76"/>
  <c r="E71" i="76"/>
  <c r="E72" i="76"/>
  <c r="E42" i="76"/>
  <c r="E21" i="76"/>
  <c r="E22" i="76"/>
  <c r="E23" i="76"/>
  <c r="E24" i="76"/>
  <c r="E25" i="76"/>
  <c r="E26" i="76"/>
  <c r="E27" i="76"/>
  <c r="E40" i="76"/>
  <c r="E28" i="76"/>
  <c r="E29" i="76"/>
  <c r="E30" i="76"/>
  <c r="E31" i="76"/>
  <c r="E32" i="76"/>
  <c r="E33" i="76"/>
  <c r="E34" i="76"/>
  <c r="E35" i="76"/>
  <c r="E36" i="76"/>
  <c r="E37" i="76"/>
  <c r="E39" i="76"/>
  <c r="E20" i="76"/>
  <c r="F40" i="76"/>
  <c r="E43" i="77"/>
  <c r="E44" i="77"/>
  <c r="F44" i="77"/>
  <c r="G44" i="77"/>
  <c r="E45" i="77"/>
  <c r="F45" i="77"/>
  <c r="G45" i="77"/>
  <c r="H45" i="77"/>
  <c r="E46" i="77"/>
  <c r="E47" i="77"/>
  <c r="E48" i="77"/>
  <c r="E49" i="77"/>
  <c r="F49" i="77"/>
  <c r="G49" i="77"/>
  <c r="H49" i="77"/>
  <c r="E50" i="77"/>
  <c r="F50" i="77"/>
  <c r="G50" i="77"/>
  <c r="H50" i="77"/>
  <c r="E51" i="77"/>
  <c r="F51" i="77"/>
  <c r="G51" i="77"/>
  <c r="H51" i="77"/>
  <c r="E52" i="77"/>
  <c r="E53" i="77"/>
  <c r="F53" i="77"/>
  <c r="G53" i="77"/>
  <c r="H53" i="77"/>
  <c r="E54" i="77"/>
  <c r="F54" i="77"/>
  <c r="G54" i="77"/>
  <c r="H54" i="77"/>
  <c r="E55" i="77"/>
  <c r="F55" i="77"/>
  <c r="G55" i="77"/>
  <c r="H55" i="77"/>
  <c r="E56" i="77"/>
  <c r="F56" i="77"/>
  <c r="G56" i="77"/>
  <c r="H56" i="77"/>
  <c r="E57" i="77"/>
  <c r="F57" i="77"/>
  <c r="G57" i="77"/>
  <c r="H57" i="77"/>
  <c r="E58" i="77"/>
  <c r="E59" i="77"/>
  <c r="F59" i="77"/>
  <c r="G59" i="77"/>
  <c r="H59" i="77"/>
  <c r="E60" i="77"/>
  <c r="F60" i="77"/>
  <c r="G60" i="77"/>
  <c r="H60" i="77"/>
  <c r="E61" i="77"/>
  <c r="F61" i="77"/>
  <c r="G61" i="77"/>
  <c r="H61" i="77"/>
  <c r="E62" i="77"/>
  <c r="F62" i="77"/>
  <c r="G62" i="77"/>
  <c r="H62" i="77"/>
  <c r="E63" i="77"/>
  <c r="F63" i="77"/>
  <c r="G63" i="77"/>
  <c r="H63" i="77"/>
  <c r="E64" i="77"/>
  <c r="E65" i="77"/>
  <c r="F65" i="77"/>
  <c r="G65" i="77"/>
  <c r="H65" i="77"/>
  <c r="E66" i="77"/>
  <c r="F66" i="77"/>
  <c r="G66" i="77"/>
  <c r="H66" i="77"/>
  <c r="E67" i="77"/>
  <c r="F67" i="77"/>
  <c r="G67" i="77"/>
  <c r="H67" i="77"/>
  <c r="E68" i="77"/>
  <c r="F68" i="77"/>
  <c r="G68" i="77"/>
  <c r="H68" i="77"/>
  <c r="E69" i="77"/>
  <c r="F69" i="77"/>
  <c r="G69" i="77"/>
  <c r="H69" i="77"/>
  <c r="E70" i="77"/>
  <c r="F70" i="77"/>
  <c r="G70" i="77"/>
  <c r="H70" i="77"/>
  <c r="E71" i="77"/>
  <c r="F71" i="77"/>
  <c r="G71" i="77"/>
  <c r="H71" i="77"/>
  <c r="E72" i="77"/>
  <c r="E42" i="77"/>
  <c r="E21" i="77"/>
  <c r="E22" i="77"/>
  <c r="F22" i="77"/>
  <c r="E23" i="77"/>
  <c r="E24" i="77"/>
  <c r="E25" i="77"/>
  <c r="F25" i="77"/>
  <c r="G25" i="77"/>
  <c r="H25" i="77"/>
  <c r="E26" i="77"/>
  <c r="F26" i="77"/>
  <c r="G26" i="77"/>
  <c r="H26" i="77"/>
  <c r="E27" i="77"/>
  <c r="E28" i="77"/>
  <c r="F28" i="77"/>
  <c r="G28" i="77"/>
  <c r="H28" i="77"/>
  <c r="E29" i="77"/>
  <c r="F29" i="77"/>
  <c r="G29" i="77"/>
  <c r="H29" i="77"/>
  <c r="E30" i="77"/>
  <c r="F30" i="77"/>
  <c r="G30" i="77"/>
  <c r="H30" i="77"/>
  <c r="E31" i="77"/>
  <c r="F31" i="77"/>
  <c r="G31" i="77"/>
  <c r="H31" i="77"/>
  <c r="E32" i="77"/>
  <c r="F32" i="77"/>
  <c r="G32" i="77"/>
  <c r="H32" i="77"/>
  <c r="E33" i="77"/>
  <c r="E34" i="77"/>
  <c r="F34" i="77"/>
  <c r="G34" i="77"/>
  <c r="H34" i="77"/>
  <c r="E35" i="77"/>
  <c r="F35" i="77"/>
  <c r="G35" i="77"/>
  <c r="H35" i="77"/>
  <c r="E36" i="77"/>
  <c r="F36" i="77"/>
  <c r="G36" i="77"/>
  <c r="H36" i="77"/>
  <c r="E37" i="77"/>
  <c r="F37" i="77"/>
  <c r="G37" i="77"/>
  <c r="H37" i="77"/>
  <c r="E39" i="77"/>
  <c r="F39" i="77"/>
  <c r="G39" i="77"/>
  <c r="H39" i="77"/>
  <c r="E20" i="77"/>
  <c r="E40" i="77"/>
  <c r="E45" i="87"/>
  <c r="E46" i="87"/>
  <c r="E50" i="87"/>
  <c r="E51" i="87"/>
  <c r="E52" i="87"/>
  <c r="E54" i="87"/>
  <c r="E56" i="87"/>
  <c r="E57" i="87"/>
  <c r="E58" i="87"/>
  <c r="E59" i="87"/>
  <c r="E60" i="87"/>
  <c r="E61" i="87"/>
  <c r="E62" i="87"/>
  <c r="E63" i="87"/>
  <c r="E64" i="87"/>
  <c r="E67" i="87"/>
  <c r="E68" i="87"/>
  <c r="E69" i="87"/>
  <c r="E70" i="87"/>
  <c r="E71" i="87"/>
  <c r="E23" i="87"/>
  <c r="E26" i="87"/>
  <c r="E27" i="87"/>
  <c r="E29" i="87"/>
  <c r="E30" i="87"/>
  <c r="E31" i="87"/>
  <c r="E32" i="87"/>
  <c r="E41" i="87"/>
  <c r="E33" i="87"/>
  <c r="E35" i="87"/>
  <c r="E36" i="87"/>
  <c r="E37" i="87"/>
  <c r="E38" i="87"/>
  <c r="E39" i="87"/>
  <c r="E40" i="87"/>
  <c r="E44" i="78"/>
  <c r="E45" i="78"/>
  <c r="F45" i="78"/>
  <c r="E46" i="78"/>
  <c r="F46" i="78"/>
  <c r="G46" i="78"/>
  <c r="E47" i="78"/>
  <c r="E48" i="78"/>
  <c r="E49" i="78"/>
  <c r="E50" i="78"/>
  <c r="F50" i="78"/>
  <c r="G50" i="78"/>
  <c r="E51" i="78"/>
  <c r="F51" i="78"/>
  <c r="G51" i="78"/>
  <c r="E52" i="78"/>
  <c r="F52" i="78"/>
  <c r="G52" i="78"/>
  <c r="E53" i="78"/>
  <c r="E54" i="78"/>
  <c r="F54" i="78"/>
  <c r="G54" i="78"/>
  <c r="E56" i="78"/>
  <c r="E57" i="78"/>
  <c r="F57" i="78"/>
  <c r="G57" i="78"/>
  <c r="E58" i="78"/>
  <c r="F58" i="78"/>
  <c r="G58" i="78"/>
  <c r="E59" i="78"/>
  <c r="E60" i="78"/>
  <c r="F60" i="78"/>
  <c r="G60" i="78"/>
  <c r="E61" i="78"/>
  <c r="F61" i="78"/>
  <c r="G61" i="78"/>
  <c r="E62" i="78"/>
  <c r="F62" i="78"/>
  <c r="G62" i="78"/>
  <c r="E63" i="78"/>
  <c r="F63" i="78"/>
  <c r="G63" i="78"/>
  <c r="E64" i="78"/>
  <c r="F64" i="78"/>
  <c r="G64" i="78"/>
  <c r="E65" i="78"/>
  <c r="E66" i="78"/>
  <c r="F66" i="78"/>
  <c r="G66" i="78"/>
  <c r="E67" i="78"/>
  <c r="F67" i="78"/>
  <c r="G67" i="78"/>
  <c r="E68" i="78"/>
  <c r="F68" i="78"/>
  <c r="G68" i="78"/>
  <c r="E69" i="78"/>
  <c r="F69" i="78"/>
  <c r="G69" i="78"/>
  <c r="E70" i="78"/>
  <c r="F70" i="78"/>
  <c r="G70" i="78"/>
  <c r="E71" i="78"/>
  <c r="F71" i="78"/>
  <c r="G71" i="78"/>
  <c r="E72" i="78"/>
  <c r="F72" i="78"/>
  <c r="E73" i="78"/>
  <c r="E43" i="78"/>
  <c r="E22" i="78"/>
  <c r="E23" i="78"/>
  <c r="E24" i="78"/>
  <c r="E25" i="78"/>
  <c r="E26" i="78"/>
  <c r="E41" i="78"/>
  <c r="E27" i="78"/>
  <c r="E28" i="78"/>
  <c r="E29" i="78"/>
  <c r="E30" i="78"/>
  <c r="E31" i="78"/>
  <c r="F31" i="78"/>
  <c r="E32" i="78"/>
  <c r="F32" i="78"/>
  <c r="G32" i="78"/>
  <c r="E33" i="78"/>
  <c r="F33" i="78"/>
  <c r="G33" i="78"/>
  <c r="E34" i="78"/>
  <c r="E35" i="78"/>
  <c r="F35" i="78"/>
  <c r="G35" i="78"/>
  <c r="E36" i="78"/>
  <c r="F36" i="78"/>
  <c r="G36" i="78"/>
  <c r="E37" i="78"/>
  <c r="F37" i="78"/>
  <c r="G37" i="78"/>
  <c r="E38" i="78"/>
  <c r="F38" i="78"/>
  <c r="G38" i="78"/>
  <c r="E40" i="78"/>
  <c r="F40" i="78"/>
  <c r="G40" i="78"/>
  <c r="E21" i="78"/>
  <c r="E40" i="79"/>
  <c r="D54" i="80"/>
  <c r="D40" i="80"/>
  <c r="D74" i="80"/>
  <c r="D77" i="80"/>
  <c r="D55" i="87"/>
  <c r="E55" i="87"/>
  <c r="D55" i="78"/>
  <c r="E55" i="78"/>
  <c r="F55" i="78"/>
  <c r="G55" i="78"/>
  <c r="C38" i="100"/>
  <c r="C36" i="100"/>
  <c r="C35" i="100"/>
  <c r="C34" i="100"/>
  <c r="C33" i="100"/>
  <c r="C32" i="100"/>
  <c r="C31" i="100"/>
  <c r="C30" i="100"/>
  <c r="C29" i="100"/>
  <c r="C28" i="100"/>
  <c r="C27" i="100"/>
  <c r="C26" i="100"/>
  <c r="C25" i="100"/>
  <c r="C24" i="100"/>
  <c r="C23" i="100"/>
  <c r="C22" i="100"/>
  <c r="C21" i="100"/>
  <c r="C19" i="100"/>
  <c r="C20" i="100"/>
  <c r="C41" i="100"/>
  <c r="C42" i="100"/>
  <c r="C72" i="100"/>
  <c r="D39" i="101"/>
  <c r="C38" i="101"/>
  <c r="C36" i="101"/>
  <c r="C35" i="101"/>
  <c r="C34" i="101"/>
  <c r="C33" i="101"/>
  <c r="C32" i="101"/>
  <c r="C31" i="101"/>
  <c r="C30" i="101"/>
  <c r="C29" i="101"/>
  <c r="C28" i="101"/>
  <c r="C27" i="101"/>
  <c r="C26" i="101"/>
  <c r="C25" i="101"/>
  <c r="C24" i="101"/>
  <c r="C23" i="101"/>
  <c r="C22" i="101"/>
  <c r="C21" i="101"/>
  <c r="C19" i="101"/>
  <c r="C39" i="101"/>
  <c r="C41" i="101"/>
  <c r="C42" i="101"/>
  <c r="C38" i="96"/>
  <c r="C36" i="96"/>
  <c r="C34" i="96"/>
  <c r="C35" i="96"/>
  <c r="C33" i="96"/>
  <c r="C32" i="96"/>
  <c r="C31" i="96"/>
  <c r="C30" i="96"/>
  <c r="C29" i="96"/>
  <c r="C28" i="96"/>
  <c r="C27" i="96"/>
  <c r="C26" i="96"/>
  <c r="C25" i="96"/>
  <c r="C24" i="96"/>
  <c r="C23" i="96"/>
  <c r="C22" i="96"/>
  <c r="C21" i="96"/>
  <c r="C19" i="96"/>
  <c r="C39" i="96"/>
  <c r="D72" i="96"/>
  <c r="C41" i="96"/>
  <c r="C42" i="96"/>
  <c r="C41" i="97"/>
  <c r="C38" i="97"/>
  <c r="C36" i="97"/>
  <c r="C35" i="97"/>
  <c r="C34" i="97"/>
  <c r="C33" i="97"/>
  <c r="C32" i="97"/>
  <c r="C31" i="97"/>
  <c r="C30" i="97"/>
  <c r="C29" i="97"/>
  <c r="C28" i="97"/>
  <c r="C27" i="97"/>
  <c r="C26" i="97"/>
  <c r="C25" i="97"/>
  <c r="C23" i="97"/>
  <c r="C24" i="97"/>
  <c r="C22" i="97"/>
  <c r="C21" i="97"/>
  <c r="C19" i="97"/>
  <c r="C39" i="97"/>
  <c r="C42" i="98"/>
  <c r="C43" i="98"/>
  <c r="C42" i="99"/>
  <c r="C43" i="99"/>
  <c r="C42" i="94"/>
  <c r="C43" i="94"/>
  <c r="C42" i="95"/>
  <c r="C43" i="95"/>
  <c r="C42" i="90"/>
  <c r="C43" i="90"/>
  <c r="C38" i="90"/>
  <c r="D38" i="90"/>
  <c r="D40" i="90"/>
  <c r="D74" i="90"/>
  <c r="D77" i="90"/>
  <c r="C42" i="89"/>
  <c r="C43" i="89"/>
  <c r="C43" i="80"/>
  <c r="C43" i="76"/>
  <c r="C43" i="77"/>
  <c r="C31" i="87"/>
  <c r="C22" i="87"/>
  <c r="C44" i="87"/>
  <c r="C44" i="78"/>
  <c r="C43" i="79"/>
  <c r="D50" i="108"/>
  <c r="D74" i="108"/>
  <c r="D59" i="108"/>
  <c r="D61" i="108"/>
  <c r="D62" i="108"/>
  <c r="D63" i="108"/>
  <c r="D64" i="108"/>
  <c r="D65" i="108"/>
  <c r="D66" i="108"/>
  <c r="C33" i="108"/>
  <c r="C34" i="108"/>
  <c r="D29" i="108"/>
  <c r="D28" i="108"/>
  <c r="D31" i="108"/>
  <c r="D50" i="107"/>
  <c r="D74" i="107"/>
  <c r="D59" i="107"/>
  <c r="D61" i="107"/>
  <c r="D62" i="107"/>
  <c r="D63" i="107"/>
  <c r="D64" i="107"/>
  <c r="D65" i="107"/>
  <c r="D66" i="107"/>
  <c r="C33" i="107"/>
  <c r="C74" i="107"/>
  <c r="C34" i="107"/>
  <c r="D29" i="107"/>
  <c r="D28" i="107"/>
  <c r="D31" i="107"/>
  <c r="D75" i="107"/>
  <c r="D78" i="107"/>
  <c r="D50" i="106"/>
  <c r="D59" i="106"/>
  <c r="D61" i="106"/>
  <c r="D74" i="106"/>
  <c r="D62" i="106"/>
  <c r="D63" i="106"/>
  <c r="D64" i="106"/>
  <c r="D65" i="106"/>
  <c r="D66" i="106"/>
  <c r="C33" i="106"/>
  <c r="C34" i="106"/>
  <c r="D29" i="106"/>
  <c r="D28" i="106"/>
  <c r="D31" i="106"/>
  <c r="D50" i="105"/>
  <c r="D74" i="105"/>
  <c r="D59" i="105"/>
  <c r="D61" i="105"/>
  <c r="D62" i="105"/>
  <c r="D63" i="105"/>
  <c r="D64" i="105"/>
  <c r="D65" i="105"/>
  <c r="D66" i="105"/>
  <c r="C33" i="105"/>
  <c r="C34" i="105"/>
  <c r="D29" i="105"/>
  <c r="D28" i="105"/>
  <c r="D31" i="105"/>
  <c r="D75" i="105"/>
  <c r="D78" i="105"/>
  <c r="D50" i="104"/>
  <c r="D59" i="104"/>
  <c r="D61" i="104"/>
  <c r="D62" i="104"/>
  <c r="D63" i="104"/>
  <c r="D64" i="104"/>
  <c r="D74" i="104"/>
  <c r="D65" i="104"/>
  <c r="D66" i="104"/>
  <c r="C33" i="104"/>
  <c r="C34" i="104"/>
  <c r="C74" i="104"/>
  <c r="D29" i="104"/>
  <c r="D28" i="104"/>
  <c r="D31" i="104"/>
  <c r="C74" i="106"/>
  <c r="D50" i="103"/>
  <c r="D59" i="103"/>
  <c r="D61" i="103"/>
  <c r="D74" i="103"/>
  <c r="D62" i="103"/>
  <c r="D63" i="103"/>
  <c r="D64" i="103"/>
  <c r="D65" i="103"/>
  <c r="D66" i="103"/>
  <c r="D24" i="103"/>
  <c r="C33" i="103"/>
  <c r="C34" i="103"/>
  <c r="C74" i="103"/>
  <c r="D29" i="103"/>
  <c r="D28" i="103"/>
  <c r="D50" i="102"/>
  <c r="D59" i="102"/>
  <c r="D61" i="102"/>
  <c r="D62" i="102"/>
  <c r="D74" i="102"/>
  <c r="D75" i="102"/>
  <c r="D78" i="102"/>
  <c r="D63" i="102"/>
  <c r="D64" i="102"/>
  <c r="D65" i="102"/>
  <c r="D66" i="102"/>
  <c r="C33" i="102"/>
  <c r="C34" i="102"/>
  <c r="D31" i="102"/>
  <c r="D50" i="93"/>
  <c r="D74" i="93"/>
  <c r="D75" i="93"/>
  <c r="D78" i="93"/>
  <c r="D59" i="93"/>
  <c r="D61" i="93"/>
  <c r="D62" i="93"/>
  <c r="D63" i="93"/>
  <c r="D64" i="93"/>
  <c r="D65" i="93"/>
  <c r="D66" i="93"/>
  <c r="D21" i="92"/>
  <c r="D31" i="92"/>
  <c r="C33" i="93"/>
  <c r="C34" i="93"/>
  <c r="D31" i="93"/>
  <c r="D50" i="92"/>
  <c r="D74" i="92"/>
  <c r="D59" i="92"/>
  <c r="D61" i="92"/>
  <c r="D62" i="92"/>
  <c r="D63" i="92"/>
  <c r="D64" i="92"/>
  <c r="D65" i="92"/>
  <c r="D66" i="92"/>
  <c r="D24" i="91"/>
  <c r="D31" i="91"/>
  <c r="D75" i="91"/>
  <c r="D78" i="91"/>
  <c r="D31" i="103"/>
  <c r="D75" i="103"/>
  <c r="D78" i="103"/>
  <c r="C74" i="102"/>
  <c r="C33" i="92"/>
  <c r="C34" i="92"/>
  <c r="C74" i="92"/>
  <c r="D28" i="92"/>
  <c r="D50" i="91"/>
  <c r="D59" i="91"/>
  <c r="D74" i="91"/>
  <c r="D61" i="91"/>
  <c r="D62" i="91"/>
  <c r="D63" i="91"/>
  <c r="D64" i="91"/>
  <c r="D65" i="91"/>
  <c r="D66" i="91"/>
  <c r="C33" i="91"/>
  <c r="C34" i="91"/>
  <c r="C74" i="91"/>
  <c r="D29" i="91"/>
  <c r="D28" i="91"/>
  <c r="D51" i="86"/>
  <c r="D60" i="86"/>
  <c r="D62" i="86"/>
  <c r="D75" i="86"/>
  <c r="D76" i="86"/>
  <c r="D79" i="86"/>
  <c r="D63" i="86"/>
  <c r="D64" i="86"/>
  <c r="D65" i="86"/>
  <c r="D66" i="86"/>
  <c r="D67" i="86"/>
  <c r="D20" i="86"/>
  <c r="D20" i="85"/>
  <c r="D32" i="85"/>
  <c r="D20" i="83"/>
  <c r="D32" i="83"/>
  <c r="D76" i="83"/>
  <c r="D79" i="83"/>
  <c r="D74" i="84"/>
  <c r="D73" i="84"/>
  <c r="D20" i="84"/>
  <c r="D25" i="86"/>
  <c r="D26" i="86"/>
  <c r="D30" i="86"/>
  <c r="C34" i="86"/>
  <c r="C35" i="86"/>
  <c r="D29" i="86"/>
  <c r="D30" i="85"/>
  <c r="D29" i="85"/>
  <c r="D26" i="85"/>
  <c r="D25" i="85"/>
  <c r="D46" i="84"/>
  <c r="D75" i="84"/>
  <c r="D76" i="84"/>
  <c r="D79" i="84"/>
  <c r="D75" i="85"/>
  <c r="C34" i="85"/>
  <c r="C35" i="85"/>
  <c r="D75" i="83"/>
  <c r="D30" i="83"/>
  <c r="D29" i="83"/>
  <c r="D26" i="83"/>
  <c r="D25" i="83"/>
  <c r="C34" i="83"/>
  <c r="C35" i="83"/>
  <c r="D30" i="84"/>
  <c r="D29" i="84"/>
  <c r="D26" i="84"/>
  <c r="D25" i="84"/>
  <c r="C34" i="84"/>
  <c r="C35" i="84"/>
  <c r="C19" i="81"/>
  <c r="C30" i="81"/>
  <c r="C20" i="81"/>
  <c r="D24" i="81"/>
  <c r="D30" i="81"/>
  <c r="D27" i="81"/>
  <c r="D32" i="81"/>
  <c r="D33" i="81"/>
  <c r="D34" i="81"/>
  <c r="D75" i="81"/>
  <c r="D76" i="81"/>
  <c r="D79" i="81"/>
  <c r="D35" i="81"/>
  <c r="D36" i="81"/>
  <c r="D37" i="81"/>
  <c r="D38" i="81"/>
  <c r="D39" i="81"/>
  <c r="D40" i="81"/>
  <c r="D41" i="81"/>
  <c r="D43" i="81"/>
  <c r="D44" i="81"/>
  <c r="D45" i="81"/>
  <c r="D46" i="81"/>
  <c r="D47" i="81"/>
  <c r="D48" i="81"/>
  <c r="D49" i="81"/>
  <c r="D50" i="81"/>
  <c r="D51" i="81"/>
  <c r="D52" i="81"/>
  <c r="D53" i="81"/>
  <c r="D54" i="81"/>
  <c r="D55" i="81"/>
  <c r="D56" i="81"/>
  <c r="D57" i="81"/>
  <c r="D58" i="81"/>
  <c r="D59" i="81"/>
  <c r="D60" i="81"/>
  <c r="D61" i="81"/>
  <c r="D62" i="81"/>
  <c r="D63" i="81"/>
  <c r="D64" i="81"/>
  <c r="D65" i="81"/>
  <c r="D66" i="81"/>
  <c r="D67" i="81"/>
  <c r="D68" i="81"/>
  <c r="D69" i="81"/>
  <c r="D70" i="81"/>
  <c r="D71" i="81"/>
  <c r="D72" i="81"/>
  <c r="C75" i="81"/>
  <c r="C76" i="81"/>
  <c r="C79" i="81"/>
  <c r="D32" i="84"/>
  <c r="B15" i="82"/>
  <c r="C20" i="82"/>
  <c r="C19" i="82"/>
  <c r="D74" i="82"/>
  <c r="D73" i="82"/>
  <c r="D72" i="82"/>
  <c r="D71" i="82"/>
  <c r="D70" i="82"/>
  <c r="D69" i="82"/>
  <c r="D68" i="82"/>
  <c r="D67" i="82"/>
  <c r="D66" i="82"/>
  <c r="D65" i="82"/>
  <c r="D64" i="82"/>
  <c r="D63" i="82"/>
  <c r="D62" i="82"/>
  <c r="D61" i="82"/>
  <c r="D60" i="82"/>
  <c r="D59" i="82"/>
  <c r="D58" i="82"/>
  <c r="D57" i="82"/>
  <c r="D56" i="82"/>
  <c r="D55" i="82"/>
  <c r="D54" i="82"/>
  <c r="D53" i="82"/>
  <c r="D52" i="82"/>
  <c r="D51" i="82"/>
  <c r="D50" i="82"/>
  <c r="D49" i="82"/>
  <c r="D48" i="82"/>
  <c r="D47" i="82"/>
  <c r="D46" i="82"/>
  <c r="D45" i="82"/>
  <c r="D44" i="82"/>
  <c r="D43" i="82"/>
  <c r="D41" i="82"/>
  <c r="D40" i="82"/>
  <c r="D39" i="82"/>
  <c r="D38" i="82"/>
  <c r="D37" i="82"/>
  <c r="D36" i="82"/>
  <c r="D35" i="82"/>
  <c r="D34" i="82"/>
  <c r="D33" i="82"/>
  <c r="D32" i="82"/>
  <c r="D75" i="82"/>
  <c r="D76" i="82"/>
  <c r="D79" i="82"/>
  <c r="D29" i="82"/>
  <c r="D27" i="82"/>
  <c r="D26" i="82"/>
  <c r="D25" i="82"/>
  <c r="D24" i="82"/>
  <c r="D23" i="82"/>
  <c r="D30" i="82"/>
  <c r="D22" i="82"/>
  <c r="D21" i="82"/>
  <c r="C75" i="82"/>
  <c r="C76" i="82"/>
  <c r="C79" i="82"/>
  <c r="C61" i="88"/>
  <c r="C62" i="88"/>
  <c r="C65" i="88"/>
  <c r="C30" i="88"/>
  <c r="C30" i="82"/>
  <c r="D32" i="86"/>
  <c r="D30" i="88"/>
  <c r="C30" i="94"/>
  <c r="C30" i="95"/>
  <c r="C30" i="99"/>
  <c r="C30" i="90"/>
  <c r="C30" i="98"/>
  <c r="C30" i="89"/>
  <c r="C30" i="76"/>
  <c r="C30" i="80"/>
  <c r="C30" i="77"/>
  <c r="C29" i="94"/>
  <c r="C29" i="95"/>
  <c r="C29" i="99"/>
  <c r="C29" i="90"/>
  <c r="C29" i="98"/>
  <c r="C29" i="76"/>
  <c r="C29" i="80"/>
  <c r="C29" i="77"/>
  <c r="C29" i="89"/>
  <c r="C28" i="94"/>
  <c r="C28" i="95"/>
  <c r="C28" i="90"/>
  <c r="C28" i="99"/>
  <c r="C28" i="89"/>
  <c r="C28" i="80"/>
  <c r="C28" i="77"/>
  <c r="C28" i="76"/>
  <c r="C28" i="98"/>
  <c r="C39" i="90"/>
  <c r="C39" i="99"/>
  <c r="C39" i="95"/>
  <c r="C39" i="94"/>
  <c r="C40" i="87"/>
  <c r="C39" i="80"/>
  <c r="C39" i="98"/>
  <c r="C39" i="76"/>
  <c r="C39" i="77"/>
  <c r="C23" i="99"/>
  <c r="C23" i="94"/>
  <c r="C23" i="95"/>
  <c r="C23" i="90"/>
  <c r="C23" i="80"/>
  <c r="C23" i="76"/>
  <c r="C23" i="98"/>
  <c r="C23" i="77"/>
  <c r="C33" i="90"/>
  <c r="C33" i="99"/>
  <c r="C33" i="94"/>
  <c r="C33" i="95"/>
  <c r="C33" i="98"/>
  <c r="C33" i="77"/>
  <c r="C33" i="80"/>
  <c r="C33" i="89"/>
  <c r="C33" i="76"/>
  <c r="C31" i="94"/>
  <c r="C31" i="95"/>
  <c r="C31" i="90"/>
  <c r="C31" i="99"/>
  <c r="C31" i="76"/>
  <c r="C31" i="98"/>
  <c r="C31" i="77"/>
  <c r="C31" i="89"/>
  <c r="C31" i="80"/>
  <c r="C31" i="78"/>
  <c r="C37" i="99"/>
  <c r="C37" i="94"/>
  <c r="C37" i="95"/>
  <c r="C37" i="90"/>
  <c r="C37" i="77"/>
  <c r="C37" i="98"/>
  <c r="C37" i="89"/>
  <c r="C37" i="80"/>
  <c r="C37" i="76"/>
  <c r="C24" i="99"/>
  <c r="C24" i="94"/>
  <c r="C24" i="95"/>
  <c r="C24" i="90"/>
  <c r="C24" i="98"/>
  <c r="C24" i="89"/>
  <c r="C24" i="80"/>
  <c r="C24" i="77"/>
  <c r="C24" i="76"/>
  <c r="C25" i="90"/>
  <c r="C25" i="99"/>
  <c r="C25" i="94"/>
  <c r="C25" i="95"/>
  <c r="C25" i="98"/>
  <c r="C25" i="89"/>
  <c r="C25" i="80"/>
  <c r="C25" i="76"/>
  <c r="C25" i="77"/>
  <c r="C27" i="90"/>
  <c r="C27" i="99"/>
  <c r="C27" i="94"/>
  <c r="C27" i="95"/>
  <c r="C27" i="77"/>
  <c r="C27" i="89"/>
  <c r="C27" i="76"/>
  <c r="C27" i="98"/>
  <c r="C27" i="80"/>
  <c r="C32" i="78"/>
  <c r="C34" i="99"/>
  <c r="C34" i="94"/>
  <c r="C34" i="90"/>
  <c r="C34" i="95"/>
  <c r="C34" i="77"/>
  <c r="C34" i="80"/>
  <c r="C34" i="76"/>
  <c r="C34" i="89"/>
  <c r="C34" i="98"/>
  <c r="C35" i="94"/>
  <c r="C35" i="95"/>
  <c r="C35" i="99"/>
  <c r="C35" i="90"/>
  <c r="C35" i="89"/>
  <c r="C35" i="98"/>
  <c r="C35" i="77"/>
  <c r="C35" i="80"/>
  <c r="C35" i="76"/>
  <c r="C22" i="94"/>
  <c r="C22" i="99"/>
  <c r="C22" i="90"/>
  <c r="C22" i="89"/>
  <c r="C22" i="95"/>
  <c r="C22" i="77"/>
  <c r="C22" i="80"/>
  <c r="C22" i="76"/>
  <c r="C22" i="98"/>
  <c r="C36" i="94"/>
  <c r="C36" i="95"/>
  <c r="C36" i="99"/>
  <c r="C36" i="90"/>
  <c r="C36" i="98"/>
  <c r="C36" i="77"/>
  <c r="C36" i="80"/>
  <c r="C36" i="89"/>
  <c r="C36" i="76"/>
  <c r="C26" i="90"/>
  <c r="C26" i="99"/>
  <c r="C26" i="94"/>
  <c r="C26" i="95"/>
  <c r="C26" i="76"/>
  <c r="C26" i="98"/>
  <c r="C26" i="89"/>
  <c r="C26" i="80"/>
  <c r="C26" i="77"/>
  <c r="C32" i="99"/>
  <c r="C32" i="90"/>
  <c r="C32" i="94"/>
  <c r="C32" i="95"/>
  <c r="C32" i="98"/>
  <c r="C32" i="76"/>
  <c r="C32" i="77"/>
  <c r="C32" i="89"/>
  <c r="C32" i="80"/>
  <c r="C23" i="89"/>
  <c r="C33" i="78"/>
  <c r="C26" i="78"/>
  <c r="C27" i="78"/>
  <c r="C25" i="78"/>
  <c r="C23" i="78"/>
  <c r="C24" i="78"/>
  <c r="C37" i="78"/>
  <c r="C35" i="78"/>
  <c r="C29" i="78"/>
  <c r="C30" i="78"/>
  <c r="C28" i="78"/>
  <c r="C34" i="78"/>
  <c r="C36" i="78"/>
  <c r="C38" i="78"/>
  <c r="C20" i="76"/>
  <c r="C40" i="76"/>
  <c r="C20" i="89"/>
  <c r="C40" i="89"/>
  <c r="C20" i="99"/>
  <c r="C21" i="99"/>
  <c r="C40" i="99"/>
  <c r="C20" i="77"/>
  <c r="C21" i="77"/>
  <c r="C20" i="95"/>
  <c r="C40" i="95"/>
  <c r="C21" i="95"/>
  <c r="C20" i="98"/>
  <c r="C40" i="98"/>
  <c r="C20" i="90"/>
  <c r="C20" i="80"/>
  <c r="C21" i="80"/>
  <c r="C40" i="80"/>
  <c r="C21" i="78"/>
  <c r="C22" i="78"/>
  <c r="C20" i="94"/>
  <c r="C21" i="94"/>
  <c r="C40" i="94"/>
  <c r="C40" i="78"/>
  <c r="E40" i="94"/>
  <c r="E40" i="90"/>
  <c r="E40" i="95"/>
  <c r="C21" i="109"/>
  <c r="D74" i="110"/>
  <c r="D77" i="110"/>
  <c r="E74" i="110"/>
  <c r="E77" i="110"/>
  <c r="E74" i="109"/>
  <c r="E77" i="109"/>
  <c r="D73" i="109"/>
  <c r="D72" i="100"/>
  <c r="D73" i="100"/>
  <c r="D76" i="100"/>
  <c r="C20" i="101"/>
  <c r="D72" i="101"/>
  <c r="D73" i="101"/>
  <c r="D76" i="101"/>
  <c r="C20" i="97"/>
  <c r="C42" i="97"/>
  <c r="C72" i="97"/>
  <c r="D72" i="97"/>
  <c r="D73" i="97"/>
  <c r="D76" i="97"/>
  <c r="E73" i="98"/>
  <c r="E74" i="98"/>
  <c r="E77" i="98"/>
  <c r="D73" i="98"/>
  <c r="D73" i="99"/>
  <c r="E73" i="99"/>
  <c r="E74" i="99"/>
  <c r="E77" i="99"/>
  <c r="E73" i="94"/>
  <c r="E74" i="94"/>
  <c r="E77" i="94"/>
  <c r="D73" i="94"/>
  <c r="D74" i="94"/>
  <c r="D77" i="94"/>
  <c r="D74" i="95"/>
  <c r="D75" i="95"/>
  <c r="D78" i="95"/>
  <c r="D73" i="90"/>
  <c r="E73" i="90"/>
  <c r="E74" i="90"/>
  <c r="E77" i="90"/>
  <c r="C21" i="89"/>
  <c r="D73" i="89"/>
  <c r="E30" i="88"/>
  <c r="F19" i="88"/>
  <c r="D61" i="88"/>
  <c r="D62" i="88"/>
  <c r="D65" i="88"/>
  <c r="F40" i="80"/>
  <c r="D73" i="80"/>
  <c r="D73" i="76"/>
  <c r="G40" i="76"/>
  <c r="C21" i="76"/>
  <c r="H21" i="77"/>
  <c r="H42" i="77"/>
  <c r="D73" i="77"/>
  <c r="D74" i="77"/>
  <c r="D77" i="77"/>
  <c r="C41" i="87"/>
  <c r="D41" i="78"/>
  <c r="D75" i="78"/>
  <c r="D78" i="78"/>
  <c r="D73" i="79"/>
  <c r="D74" i="79"/>
  <c r="D77" i="79"/>
  <c r="E73" i="79"/>
  <c r="E74" i="79"/>
  <c r="E77" i="79"/>
  <c r="H74" i="78"/>
  <c r="H75" i="78"/>
  <c r="H78" i="78"/>
  <c r="D74" i="78"/>
  <c r="E61" i="88"/>
  <c r="E62" i="88"/>
  <c r="E65" i="88"/>
  <c r="C21" i="98"/>
  <c r="C40" i="77"/>
  <c r="E73" i="80"/>
  <c r="E74" i="80"/>
  <c r="E77" i="80"/>
  <c r="E73" i="76"/>
  <c r="F73" i="76"/>
  <c r="F74" i="76"/>
  <c r="F77" i="76"/>
  <c r="G73" i="76"/>
  <c r="D76" i="85"/>
  <c r="D79" i="85"/>
  <c r="D75" i="104"/>
  <c r="D78" i="104"/>
  <c r="F61" i="88"/>
  <c r="F62" i="88"/>
  <c r="F65" i="88"/>
  <c r="G32" i="88"/>
  <c r="G61" i="88"/>
  <c r="G62" i="88"/>
  <c r="G65" i="88"/>
  <c r="G41" i="78"/>
  <c r="G75" i="78"/>
  <c r="G78" i="78"/>
  <c r="C21" i="90"/>
  <c r="C40" i="90"/>
  <c r="G74" i="76"/>
  <c r="G77" i="76"/>
  <c r="D75" i="106"/>
  <c r="D78" i="106"/>
  <c r="D75" i="108"/>
  <c r="D78" i="108"/>
  <c r="G22" i="77"/>
  <c r="F40" i="77"/>
  <c r="F41" i="78"/>
  <c r="F75" i="78"/>
  <c r="F78" i="78"/>
  <c r="G31" i="78"/>
  <c r="F74" i="78"/>
  <c r="G45" i="78"/>
  <c r="G74" i="78"/>
  <c r="G73" i="77"/>
  <c r="H44" i="77"/>
  <c r="E74" i="76"/>
  <c r="E77" i="76"/>
  <c r="D75" i="87"/>
  <c r="D78" i="87"/>
  <c r="H73" i="77"/>
  <c r="F30" i="88"/>
  <c r="F74" i="80"/>
  <c r="F77" i="80"/>
  <c r="E75" i="95"/>
  <c r="E78" i="95"/>
  <c r="D75" i="92"/>
  <c r="D78" i="92"/>
  <c r="E74" i="78"/>
  <c r="E75" i="78"/>
  <c r="E78" i="78"/>
  <c r="E74" i="87"/>
  <c r="E75" i="87"/>
  <c r="E78" i="87"/>
  <c r="F73" i="77"/>
  <c r="C20" i="96"/>
  <c r="D74" i="87"/>
  <c r="C74" i="93"/>
  <c r="C74" i="105"/>
  <c r="C72" i="96"/>
  <c r="C72" i="101"/>
  <c r="E73" i="77"/>
  <c r="E74" i="77"/>
  <c r="E77" i="77"/>
  <c r="C74" i="108"/>
  <c r="C39" i="100"/>
  <c r="F74" i="77"/>
  <c r="F77" i="77"/>
  <c r="H22" i="77"/>
  <c r="H40" i="77"/>
  <c r="H74" i="77"/>
  <c r="H77" i="77"/>
  <c r="G40" i="77"/>
  <c r="G74" i="77"/>
  <c r="G77" i="77"/>
</calcChain>
</file>

<file path=xl/sharedStrings.xml><?xml version="1.0" encoding="utf-8"?>
<sst xmlns="http://schemas.openxmlformats.org/spreadsheetml/2006/main" count="2946" uniqueCount="250">
  <si>
    <t xml:space="preserve">Publiskā pakalpojuma veids:      </t>
  </si>
  <si>
    <t>Sociālās integrācijas valsts aģentūra</t>
  </si>
  <si>
    <t>Laikposms</t>
  </si>
  <si>
    <t>Izdevumu klasifikācijas kods</t>
  </si>
  <si>
    <t>Rādītājs (materiāla/izejvielas nosaukums, atlīdzība un citi izmaksu veidi)</t>
  </si>
  <si>
    <t>Izmaksu apjoms noteiktā laikposmā viena maksas pakalpojuma veida nodrošināšanai</t>
  </si>
  <si>
    <t xml:space="preserve">Tiešās izmaksas </t>
  </si>
  <si>
    <t>Tiešās izmaksas kopā</t>
  </si>
  <si>
    <t xml:space="preserve">Netiešās izmaksas </t>
  </si>
  <si>
    <t>Netiešās izmaksas kopā</t>
  </si>
  <si>
    <t>Maksas pakalpojuma izcenojuma aprēķins</t>
  </si>
  <si>
    <t>Informācijas sistēmas licenču nomas izdevumi</t>
  </si>
  <si>
    <t> Ēku, būvju un telpu kārtējais remonts</t>
  </si>
  <si>
    <t> Transportlīdzekļu uzturēšana un remonts</t>
  </si>
  <si>
    <t> Iekārtas, inventāra un aparatūras remonts, tehniskā apkalpošana</t>
  </si>
  <si>
    <t> Ēku, būvju un telpu uzturēšana</t>
  </si>
  <si>
    <t> Pārējie remonta darbu un iestāžu uzturēšanas pakalpojumi</t>
  </si>
  <si>
    <t> Ēku, telpu īre un noma</t>
  </si>
  <si>
    <t> Transportlīdzekļu noma</t>
  </si>
  <si>
    <t> Zemes noma</t>
  </si>
  <si>
    <t> Iekārtu un inventāra īre un noma</t>
  </si>
  <si>
    <t> Pārējie iepriekš neklasificētie pakalpojumu veidi</t>
  </si>
  <si>
    <t> Biroja preces</t>
  </si>
  <si>
    <t> Inventārs</t>
  </si>
  <si>
    <t> Kurināmais</t>
  </si>
  <si>
    <t> Degviela</t>
  </si>
  <si>
    <t> Zāles, ķimikālijas, laboratorijas preces</t>
  </si>
  <si>
    <t> Medicīnas instrumenti, laboratorijas dzīvnieki un to uzturēšana</t>
  </si>
  <si>
    <t> Kārtējā remonta un iestāžu uzturēšanas materiāli</t>
  </si>
  <si>
    <t> Mīkstais inventārs</t>
  </si>
  <si>
    <t> Virtuves inventārs, trauki un galda piederumi</t>
  </si>
  <si>
    <t> Ēdināšanas izdevumi</t>
  </si>
  <si>
    <t> Mācību līdzekļi un materiāli</t>
  </si>
  <si>
    <t> Budžeta iestāžu nekustamā īpašuma nodokļa (t.sk. zemes nodokļa parāda) maksājumi budžetā</t>
  </si>
  <si>
    <t> Datorprogrammas</t>
  </si>
  <si>
    <t xml:space="preserve"> Saimniecības pamatlīdzekļi</t>
  </si>
  <si>
    <t> Pārējie budžeta iestāžu pārskaitītie nodokļi un nodevas</t>
  </si>
  <si>
    <t> Datortehnika, sakaru un cita biroja tehnika</t>
  </si>
  <si>
    <t> Pamatlīdzekļu izveidošana un nepabeigtā būvniecība</t>
  </si>
  <si>
    <t> Kapitālais remonts un rekonstrukcija</t>
  </si>
  <si>
    <t> Pasta, telefona un citu sakaru pakalpojumi</t>
  </si>
  <si>
    <t> Izdevumi par ūdeni un kanalizāciju</t>
  </si>
  <si>
    <t> Izdevumi par elektroenerģiju</t>
  </si>
  <si>
    <t> Iestādes administratīvie izdevumi un ar iestādes darbības nodrošināšanu saistītie izdevumi</t>
  </si>
  <si>
    <t>Mācību, darba un dienesta komandējumi, dienesta, darba braucieni</t>
  </si>
  <si>
    <t> Izdevumi periodikas iegādei</t>
  </si>
  <si>
    <t>Pakalpojumu izmaksas kopā</t>
  </si>
  <si>
    <t>4. Rehabilitācijas pakalpojumi</t>
  </si>
  <si>
    <t xml:space="preserve">Bezdarbnieku stipendijas </t>
  </si>
  <si>
    <t>Stipendijas</t>
  </si>
  <si>
    <t>SASKAŅOTS</t>
  </si>
  <si>
    <t>Maksas pakalpojuma vienību skaits noteiktā laikposmā (gab.)</t>
  </si>
  <si>
    <t>Prognozētais maksas pakalpojumu skaits gadā (gab.)*</t>
  </si>
  <si>
    <t>Piezīme. *Ailes neaizpilda, ja izvēlētais laikposms ir viens gads.</t>
  </si>
  <si>
    <t>Sociālās integrācijas valsts aģentūras</t>
  </si>
  <si>
    <t>sākotnējās ietekmes novērtējuma ziņojumam (anotācijai)</t>
  </si>
  <si>
    <t>Satura rādītājs</t>
  </si>
  <si>
    <t xml:space="preserve">Maksas pakalpojuma vienību skaits noteiktā laikposmā </t>
  </si>
  <si>
    <t>Maksas pakalpojuma izcenojums (euro)</t>
  </si>
  <si>
    <t>4.1.1.5.</t>
  </si>
  <si>
    <t>4.1.2.1.</t>
  </si>
  <si>
    <t>4.1.2.2.</t>
  </si>
  <si>
    <t>4.1.2.3.</t>
  </si>
  <si>
    <t>4.1.2.4.</t>
  </si>
  <si>
    <t>4.1.2.5.</t>
  </si>
  <si>
    <t>4.1. Rehabilitācijas kurss  Dubultu prospektā 71, Jūrmalā,</t>
  </si>
  <si>
    <t>4.1.1. Rehabilitācijas kurss  Dubultu prospektā 71, 2.korpuss, Jūrmalā</t>
  </si>
  <si>
    <t>4.1.2. Rehabilitācijas kurss  Dubultu prospektā 71, 1.korpuss, Jūrmalā</t>
  </si>
  <si>
    <t>Aprēķinu sastādīja: SIVA Finanšu nodaļas vecākā finanšu ekonomiste Anita Ozoliņa</t>
  </si>
  <si>
    <t xml:space="preserve">Ministru kabineta noteikumu projekta "Grozījumi Ministru kabineta   </t>
  </si>
  <si>
    <t xml:space="preserve">2013.gada 24.septembra noteikumos Nr.1002 "Sociālās </t>
  </si>
  <si>
    <t xml:space="preserve">integrācijas valstas aģentūras sniegto maksas  pakalpojumu cenrādis"" </t>
  </si>
  <si>
    <t xml:space="preserve">Izmaksu apjoms noteiktā laikposmā viena maksas pakalpojuma veida nodrošināšanai </t>
  </si>
  <si>
    <t xml:space="preserve">Maksas pakalpojuma izcenojums (euro) </t>
  </si>
  <si>
    <t>Prognozētie ieņēmumi gadā (euro)*</t>
  </si>
  <si>
    <t xml:space="preserve">Prognozētie ieņēmumi gadā (euro)* </t>
  </si>
  <si>
    <t>direktore I.Jurševska</t>
  </si>
  <si>
    <t xml:space="preserve"> Atalgojums</t>
  </si>
  <si>
    <t xml:space="preserve"> Darba devēja valsts sociālās apdrošināšanas obligātās iemaksas, sociāla rakstura pabalsti un kompensācijas</t>
  </si>
  <si>
    <t xml:space="preserve"> Apdrošināšanas izdevumi</t>
  </si>
  <si>
    <t xml:space="preserve"> Informācijas sistēmas uzturēšana</t>
  </si>
  <si>
    <t xml:space="preserve"> Pārējie informācijas tehnoloģiju pakalpojumi</t>
  </si>
  <si>
    <t xml:space="preserve"> Budžeta iestāžu dabas resursu nodokļa maksājumi</t>
  </si>
  <si>
    <t>4.3. Veselības veicināšanas programmas</t>
  </si>
  <si>
    <t>4.3.2. Dubultu prospektā 71, 1.korpuss, Jūrmalā</t>
  </si>
  <si>
    <t>4.3.2.1.</t>
  </si>
  <si>
    <t xml:space="preserve">Rehabilitācijas kurss Dubultu prospektā 71, Jūrmalā, 2.korpuss (viena vieta vienvietīgā numurā) </t>
  </si>
  <si>
    <t xml:space="preserve">Rehabilitācijas kurss Dubultu prospektā 71, Jūrmalā, 2.korpuss (viena vieta vienvietīgā pielāgotā  numurā) </t>
  </si>
  <si>
    <t xml:space="preserve">Rehabilitācijas kurss Dubultu prospektā 71, Jūrmalā, 2.korpuss (viena vieta divvietīgā pielāgotā  numurā) </t>
  </si>
  <si>
    <t>Rehabilitācijas kurss Dubultu prospektā 71, Jūrmalā, 2.korpuss (viena vieta divvietīgā  numurā)</t>
  </si>
  <si>
    <t xml:space="preserve">Rehabilitācijas kurss Dubultu prospektā 71, Jūrmalā, 2.korpuss (viena vieta divvietīgā divistabu numurā) </t>
  </si>
  <si>
    <t xml:space="preserve">Rehabilitācijas kurss Dubultu prospektā 71, Jūrmalā, 2.korpuss bērnam no 2 līdz 14 gadu vecumam (papildus gultasvieta) </t>
  </si>
  <si>
    <t xml:space="preserve">Rehabilitācijas kurss Dubultu prospektā 71, Jūrmala, 2.korpuss,  programma Harmonija (viena vieta divvietīgā  numurā) </t>
  </si>
  <si>
    <t xml:space="preserve">Rehabilitācijas kurss Dubultu prospektā 71, Jūrmalā, 1.korpuss ( viena vieta vienvietīgā  numurā) </t>
  </si>
  <si>
    <t xml:space="preserve">Rehabilitācijas kurss Dubultu prospektā 71, Jūrmalā, 1.korpuss ( viena vieta divvietīgā  numurā) </t>
  </si>
  <si>
    <t xml:space="preserve"> Rehabilitācijas kurss Dubultu prospektā 71,Jūrmalā, 1.korpuss  (viena vieta divvietīgā divistabu numurā) </t>
  </si>
  <si>
    <t xml:space="preserve">Rehabilitācijas kurss Dubultu prospektā 71, Jūrmalā, 1.korpuss  bērnam no 2 līdz 14 gadu vecumam (papildus gultasvieta)  </t>
  </si>
  <si>
    <t xml:space="preserve">Rehabilitācijas kurss Dubultu prospektā 71, Jūrmalā, 1.korpuss programma Harmonija (viena vieta divvietīgā   numurā) </t>
  </si>
  <si>
    <t xml:space="preserve">Programma "Muguras veselība" Dubultu prospektā 71, Jūrmalā, 2.korpuss (viena vieta vienvietīgā  numurā) </t>
  </si>
  <si>
    <t xml:space="preserve">Programma "Muguras veselība" Dubultu prospektā 71, Jūrmalā, 2.korpuss  (viena vieta divvietīgā  numurā) </t>
  </si>
  <si>
    <t xml:space="preserve">Programma "Muguras veselība" Dubultu prospektā 71, Jūrmalā, 1.korpuss (viena vieta vienvietīgā  numurā) </t>
  </si>
  <si>
    <t xml:space="preserve">Programma "Muguras veselība" Dubultu prospektā 71, Jūrmalā, 1.korpuss  (viena vieta divvietīgā  numurā) </t>
  </si>
  <si>
    <t>4.3.2.2.</t>
  </si>
  <si>
    <t xml:space="preserve">Programma "Relaksācija" Dubultu prospektā 71, Jūrmalā, 2.korpuss (viena vieta vienvietīgā  numurā) </t>
  </si>
  <si>
    <t xml:space="preserve">Programma "Relaksācija" Dubultu prospektā 71, Jūrmalā, 2.korpuss  (viena vieta divvietīgā  numurā) </t>
  </si>
  <si>
    <t>4.3.2.3.</t>
  </si>
  <si>
    <t>4.3.2.4.</t>
  </si>
  <si>
    <t xml:space="preserve">Programma "Relaksācija" Dubultu prospektā 71, Jūrmalā, 1.korpuss (viena vieta vienvietīgā  numurā) </t>
  </si>
  <si>
    <t xml:space="preserve">Programma "Relaksācija" Dubultu prospektā 71, Jūrmalā, 1.korpuss  (viena vieta divvietīgā  numurā) </t>
  </si>
  <si>
    <t xml:space="preserve">Programma "Restartē darba spējas"  Dubultu prospektā 71, Jūrmalā, 2.korpuss (viena vieta vienvietīgā  numurā) </t>
  </si>
  <si>
    <t xml:space="preserve">Programma "Restartē darba spējas" Dubultu prospektā 71, Jūrmalā, 2.korpuss  (viena vieta divvietīgā  numurā) </t>
  </si>
  <si>
    <t xml:space="preserve">Programma "Restartē darba spējas"  Dubultu prospektā 71, Jūrmalā, 1.korpuss (viena vieta vienvietīgā  numurā) </t>
  </si>
  <si>
    <t xml:space="preserve">Programma "Restartē darba spējas" Dubultu prospektā 71, Jūrmalā, 1.korpuss  (viena vieta divvietīgā  numurā) </t>
  </si>
  <si>
    <t>4.3.2.9.</t>
  </si>
  <si>
    <t>4.3.2.10.</t>
  </si>
  <si>
    <t>4.3.2.7.</t>
  </si>
  <si>
    <t>4.3.2.8.</t>
  </si>
  <si>
    <t xml:space="preserve">Programma "Vitalitāte" Dubultu prospektā 71, Jūrmalā, 2.korpuss (viena vieta vienvietīgā  numurā) </t>
  </si>
  <si>
    <t xml:space="preserve">Programma "Vitalitāte"  Dubultu prospektā 71, Jūrmalā, 2.korpuss (viena vieta divvietīgā  numurā) </t>
  </si>
  <si>
    <t>4.3.2.5.</t>
  </si>
  <si>
    <t>4.3.2.6.</t>
  </si>
  <si>
    <t xml:space="preserve">Programma "Vitalitāte" Dubultu prospektā 71, Jūrmalā, 1.korpuss (viena vieta vienvietīgā  numurā) </t>
  </si>
  <si>
    <t xml:space="preserve">Programma "Vitalitāte"  Dubultu prospektā 71, Jūrmalā, 1.korpuss (viena vieta divvietīgā  numurā) </t>
  </si>
  <si>
    <t xml:space="preserve">4.3.2.2. Programma "Muguras veselība", 5 dienu kurss (viena vieta divvietīgā  numurā) </t>
  </si>
  <si>
    <t>4.1.1.5. Rehabilitācijas kurss bērnam no 2 līdz 14 gadu vecumam (papildus gultasvieta)</t>
  </si>
  <si>
    <t>4.1.2.4. Rehabilitācijas kurss bērnam no 2 līdz 14 gadu vecumam (papildus gultasvieta)</t>
  </si>
  <si>
    <t>Rehabilitāciajs pakalpojumi</t>
  </si>
  <si>
    <t>Piemaksa par uzturēšanos vienvietīgā numurā personai, kura saņem sociālās rehabilitācijas pakalpojumus par valsts budžeta līdzekļiem</t>
  </si>
  <si>
    <t xml:space="preserve">Programma "Organisma attīrīšanas kūre" Dubultu prospektā 71, Jūrmalā, 2.korpuss (viena vieta vienvietīgā  numurā) </t>
  </si>
  <si>
    <t xml:space="preserve">Programma "Organisma attīrīšanas kūre" Dubultu prospektā 71, Jūrmalā, 2.korpuss (viena vieta divvietīgā  numurā) </t>
  </si>
  <si>
    <t xml:space="preserve">Programma "Organisma attīrīšanas kūre" Dubultu prospektā 71, Jūrmalā, 1.korpuss (viena vieta vienvietīgā  numurā) </t>
  </si>
  <si>
    <t xml:space="preserve">Programma "Organisma attīrīšanas kūre" Dubultu prospektā 71, Jūrmalā, 1.korpuss (viena vieta divvietīgā  numurā) </t>
  </si>
  <si>
    <t>direktores p.i. G.Apele</t>
  </si>
  <si>
    <t>2019. gada 15. martā</t>
  </si>
  <si>
    <t>Atalgojums</t>
  </si>
  <si>
    <t>Darba devēja valsts sociālās apdrošināšanas obligātās iemaksas, pabalsti un kompensācijas</t>
  </si>
  <si>
    <t>Zāles, ķimikālijas, laboratorijas preces</t>
  </si>
  <si>
    <t>Iestāžu uzturēšanas materiāli un preces</t>
  </si>
  <si>
    <t>Izdevumi par sakaru pakalpojumiem</t>
  </si>
  <si>
    <t>Izdevumi par ūdensapgādi un kanalizāciju</t>
  </si>
  <si>
    <t>Izdevumi par elektroenerģiju</t>
  </si>
  <si>
    <t>Izdevumi par atkritumu savākšanu, izvešanu no apdzīvotām vietām un teritorijām ārpus apdzīvotām vietām un atkritumu utilizāciju</t>
  </si>
  <si>
    <t>Izdevumi iestādes sabiedrisko aktivitāšu īstenošanai</t>
  </si>
  <si>
    <t>Izdevumi par saņemtajiem mācību pakalpojumiem</t>
  </si>
  <si>
    <t>Pārējie neklasificētie pakalpojumi</t>
  </si>
  <si>
    <t>Ēku, būvju un telpu būvdarbi</t>
  </si>
  <si>
    <t>Transportlīdzekļu uzturēšana un remonts</t>
  </si>
  <si>
    <t>Iekārtas, inventāra un aparatūras remonts, tehniskā apkalpošana</t>
  </si>
  <si>
    <t>Nekustamā īpašuma uzturēšana</t>
  </si>
  <si>
    <t>Apdrošināšanas izdevumi</t>
  </si>
  <si>
    <t>Pārējie remontdarbu un iestāžu uzturēšanas pakalpojum</t>
  </si>
  <si>
    <t>Informācijas tehnoloģiju pakalpojumi</t>
  </si>
  <si>
    <t>Transportlīdzekļu noma</t>
  </si>
  <si>
    <t>Zemes noma</t>
  </si>
  <si>
    <t>Iekārtu, aparatūras un inventāra īre un noma</t>
  </si>
  <si>
    <t>Biroja preces</t>
  </si>
  <si>
    <t>Inventārs</t>
  </si>
  <si>
    <t>Izdevumi par precēm iestādes sabiedrisko aktivitāšu īstenošanai</t>
  </si>
  <si>
    <t>Kurināmais</t>
  </si>
  <si>
    <t>Degviela</t>
  </si>
  <si>
    <t>Budžeta iestāžu nekustamā īpašuma nodokļa maksājumi</t>
  </si>
  <si>
    <t>Budžeta iestāžu dabas resursu nodokļa maksājumi</t>
  </si>
  <si>
    <t>Pārējie budžeta iestāžu pārskaitītie nodokļi un nodevas</t>
  </si>
  <si>
    <t>Tehnoloģiskās iekārtas un mašīnas</t>
  </si>
  <si>
    <t>Datortehnika, sakaru un cita biroja tehnika</t>
  </si>
  <si>
    <t>Pārējie iepriekš neklasificētie pamatlīdzekļi un ieguldījuma īpašumi</t>
  </si>
  <si>
    <t>Kapitālais remonts un rekonstrukcija</t>
  </si>
  <si>
    <t xml:space="preserve"> Netiešās izmaksas kopā</t>
  </si>
  <si>
    <t xml:space="preserve"> Pakalpojumu izmaksas kopā</t>
  </si>
  <si>
    <t>Ēku, telpu īre un noma</t>
  </si>
  <si>
    <t>Mīkstais inventārs</t>
  </si>
  <si>
    <t>Virtuves inventārs, trauki un galda piederumi</t>
  </si>
  <si>
    <t>Ēdināšanas izdevumi</t>
  </si>
  <si>
    <t>Mācību līdzekļi un materiāli</t>
  </si>
  <si>
    <t>Izdevumi periodikas iegādei</t>
  </si>
  <si>
    <t>Budžeta iestāžu pievienotās vērtības nodokļa maksājumi</t>
  </si>
  <si>
    <t>4.1.2. Rehabilitācijas kurss – Dubultu prospekts 71, 1. korpuss, Jūrmala</t>
  </si>
  <si>
    <t>4.1.2.1. Rehabilitācijas kurss (viena vieta vienvietīgā numurā)</t>
  </si>
  <si>
    <t>4.1.2.2. Rehabilitācijas kurss (viena vieta divvvietīgā numurā)</t>
  </si>
  <si>
    <t>4.1.2.3. Rehabilitācijas kurss (viena vieta divvvietīgā divistabu numurā)</t>
  </si>
  <si>
    <t>4.1.2.5. Rehabilitācijas programma "Harmonija"(viena vieta divvvietīgā numurā)</t>
  </si>
  <si>
    <t xml:space="preserve">Budžeta iestāžu nekustamā īpašuma nodokļa maksājumi </t>
  </si>
  <si>
    <t xml:space="preserve">4.3.2.1. Programma "Muguras veselība", 5 dienu kurss (viena vieta vienvietīgā  numurā) </t>
  </si>
  <si>
    <t xml:space="preserve">4.3.2.3. Programma "Relaksācija" , 5 dienu kurss (viena vieta vienvietīgā  numurā) </t>
  </si>
  <si>
    <t xml:space="preserve">4.3.2.4. Programma "Relaksācija" , 5 dienu kurss (viena vieta divvietīgā  numurā) </t>
  </si>
  <si>
    <t xml:space="preserve">4.3.2.7. Programma "Organisma attīrīšanas kūre" , 10 dienu kurss (vieta vienvietīgā  numurā) </t>
  </si>
  <si>
    <t xml:space="preserve">4.3.2.8. Programma "Organisma attīrīšanas kūre" , 10 dienu kurss (vieta divvietīgā  numurā) </t>
  </si>
  <si>
    <t xml:space="preserve">4.3.2.6. Programma "Vitalitāte" , 7 dienu kurss (viena vieta divvietīgā  numurā) </t>
  </si>
  <si>
    <t xml:space="preserve">4.3.2.5. Programma "Vitalitāte" , 7 dienu kurss (viena vieta vienvietīgā  numurā) </t>
  </si>
  <si>
    <t xml:space="preserve">4.3.2.9. Programma "Restartē darba spējas" , 3 dienu kurss (viena vieta vienvietīgā  numurā) </t>
  </si>
  <si>
    <t xml:space="preserve">4.3.2.10. Programma "Restartē darba spējas" , 3 dienu kurss (viena vieta divvietīgā  numurā) </t>
  </si>
  <si>
    <t>2022.gadā un turpmāk</t>
  </si>
  <si>
    <t>2021. gada    30. augustā</t>
  </si>
  <si>
    <t>2021. gada   30. augustā</t>
  </si>
  <si>
    <t>1.pielikums</t>
  </si>
  <si>
    <t xml:space="preserve">Pārējie neklasificētie pakalpojumi
</t>
  </si>
  <si>
    <t xml:space="preserve">2022. gada </t>
  </si>
  <si>
    <t>2023.gadā un turpmāk</t>
  </si>
  <si>
    <t>1.1.1.1.</t>
  </si>
  <si>
    <t>1.1.1.2.1.</t>
  </si>
  <si>
    <t>1.1.1.2.2.</t>
  </si>
  <si>
    <t>1.1.1.3.</t>
  </si>
  <si>
    <t>1.1.1.4.</t>
  </si>
  <si>
    <t>1.3.1.1.</t>
  </si>
  <si>
    <t>1.3.1.2.</t>
  </si>
  <si>
    <t>1.3.1.3.</t>
  </si>
  <si>
    <t>1.3.1.4.</t>
  </si>
  <si>
    <t>1.3.1.5.</t>
  </si>
  <si>
    <t>1.3.1.6.</t>
  </si>
  <si>
    <t>1.3.1.7.</t>
  </si>
  <si>
    <t>1.3.1.8.</t>
  </si>
  <si>
    <t>1.3.1.9.</t>
  </si>
  <si>
    <t>1.3.1.10.</t>
  </si>
  <si>
    <t>1. Rehabilitācijas pakalpojumi</t>
  </si>
  <si>
    <t>1.1.Rehabilitācijas kurss  Dubultu prospektā 71, Jūrmalā,</t>
  </si>
  <si>
    <t>1.2. Citi pakalpojumi</t>
  </si>
  <si>
    <t>1.2.1. Piemaksa par uzturēšanos vienvietīgā numurā personai, kura saņem sociālās rehabilitācijas pakalpojumus par valsts budžeta līdzekļiem</t>
  </si>
  <si>
    <t>1.1.1. Rehabilitācijas kurss  Dubultu prospektā 71, 2.korpuss, Jūrmalā</t>
  </si>
  <si>
    <t xml:space="preserve">1.1.1.1. Rehabilitācijas kurss (viena vieta vienvietīgā numurā) </t>
  </si>
  <si>
    <t>1.1.1.2. Rehabilitācijas kurss pielāgotā numurā</t>
  </si>
  <si>
    <t>1.1.1.2.1. Viena vieta vienvietīgā pielāgotā numurā</t>
  </si>
  <si>
    <t xml:space="preserve">1.1.1.2.2. Viena vieta divvietīgā pielāgotā numurā </t>
  </si>
  <si>
    <t xml:space="preserve">1.1.1.3. Rehabilitācijas kurss (viena vieta divvietīgā numurā) </t>
  </si>
  <si>
    <t xml:space="preserve">1.1.1.4. Rehabilitācijas kurss (viena vieta divvietīgā divistabu numurā) </t>
  </si>
  <si>
    <t xml:space="preserve">1.1.1.5. Rehabilitācijas kurss "Harmonija" (viena vieta divvietīgā numurā) </t>
  </si>
  <si>
    <t xml:space="preserve">1.3. Veselības veicināšanas programmas </t>
  </si>
  <si>
    <t>1.3.1. Dubultu prospekts 71, 2.korpuss</t>
  </si>
  <si>
    <t>1.3.1.1. Programma "Muguras veselība" (viena vieta vienvietīgā numurā)</t>
  </si>
  <si>
    <t>1.3.1.2. Programma "Muguras veselība" (viena vieta divvietīgā numurā)</t>
  </si>
  <si>
    <t>1.3.1.3. Programma "Relaksācija" (viena vieta vienvietīgā numurā)</t>
  </si>
  <si>
    <t>1.3.1.4. Programma "Relaksācija" (viena vieta divvietīgā numurā)</t>
  </si>
  <si>
    <t>1.3.1.5. Programma "Vitalitāte" (viena vieta vienvietīgā numurā)</t>
  </si>
  <si>
    <t>1.3.1.6. Programma "Vitalitāte" (viena vieta divvietīgā numurā)</t>
  </si>
  <si>
    <t>1.3. Veselības veicināšanas programmas</t>
  </si>
  <si>
    <t>1.3.1. Dubultu prospektā 71, 2.korpuss, Jūrmalā</t>
  </si>
  <si>
    <t xml:space="preserve">1.3.1.7. Programma "Organisma attīrīšanas kūre" , 10 dienu kurss (viena vieta vienvietīgā  numurā) </t>
  </si>
  <si>
    <t xml:space="preserve">1.3.1.8. Programma "Organisma attīrīšanas kūre" , 10 dienu kurss (viena vieta divvietīgā  numurā) </t>
  </si>
  <si>
    <t xml:space="preserve">1.3.1.9. Programma "Restartē darba spējas" , 3 dienu kurss (viena vieta vienvietīgā  numurā) </t>
  </si>
  <si>
    <t xml:space="preserve">1.3.1.10. Programma "Restartē darba spējas" , 3 dienu kurss (viena vieta divvietīgā  numurā) </t>
  </si>
  <si>
    <t xml:space="preserve">2023. gada </t>
  </si>
  <si>
    <t>1.3.1.11. Programma "Roku veselība" (viena vieta vienvietīgā numurā)</t>
  </si>
  <si>
    <t>1.3.1.11.</t>
  </si>
  <si>
    <t>1.3.1.12.</t>
  </si>
  <si>
    <t xml:space="preserve">Programma "Roku veselība"  Dubultu prospektā 71, Jūrmalā, 2.korpuss (viena vieta vienvietīgā  numurā) </t>
  </si>
  <si>
    <t xml:space="preserve">Programma "Roku veselība" Dubultu prospektā 71,  Jūrmalā,  2.korpuss  (viena vieta divvietīgā  numurā) </t>
  </si>
  <si>
    <t>1.1.1.5.</t>
  </si>
  <si>
    <t>2023. gada 29.martā</t>
  </si>
  <si>
    <t>1.2.1.</t>
  </si>
  <si>
    <t>Aprēķinu sastādīja: SIVA Finanšu nodaļas finanšu ekonomiste E.Lipiņa</t>
  </si>
  <si>
    <t>1.3.1.12. Programma "Roku veselība" (viena vieta divvietīgā numurā)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</si>
</sst>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_-;\-* #,##0.00_-;_-* &quot;-&quot;??_-;_-@_-"/>
    <numFmt numFmtId="186" formatCode="0.0000000"/>
    <numFmt numFmtId="187" formatCode="0.000000"/>
    <numFmt numFmtId="188" formatCode="0.00000"/>
    <numFmt numFmtId="189" formatCode="0.0000"/>
    <numFmt numFmtId="190" formatCode="0.000"/>
    <numFmt numFmtId="199" formatCode="0.000000000000000"/>
  </numFmts>
  <fonts count="21" x14ac:knownFonts="1">
    <font>
      <sz val="10"/>
      <name val="Arial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1"/>
      <name val="Arial"/>
      <family val="2"/>
      <charset val="186"/>
    </font>
    <font>
      <b/>
      <sz val="11"/>
      <name val="Times New Roman"/>
      <family val="1"/>
      <charset val="186"/>
    </font>
    <font>
      <sz val="12"/>
      <name val="Times New Roman"/>
      <family val="1"/>
      <charset val="186"/>
    </font>
    <font>
      <sz val="12"/>
      <name val="Arial"/>
      <family val="2"/>
      <charset val="186"/>
    </font>
    <font>
      <b/>
      <sz val="12"/>
      <name val="Times New Roman"/>
      <family val="1"/>
      <charset val="186"/>
    </font>
    <font>
      <b/>
      <sz val="14"/>
      <name val="Times New Roman"/>
      <family val="1"/>
      <charset val="186"/>
    </font>
    <font>
      <sz val="9"/>
      <name val="Times New Roman"/>
      <family val="1"/>
      <charset val="186"/>
    </font>
    <font>
      <sz val="10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z val="10"/>
      <color rgb="FFFF0000"/>
      <name val="Arial"/>
      <family val="2"/>
      <charset val="186"/>
    </font>
    <font>
      <sz val="11"/>
      <color rgb="FFFF0000"/>
      <name val="Arial"/>
      <family val="2"/>
      <charset val="186"/>
    </font>
    <font>
      <b/>
      <sz val="11"/>
      <color rgb="FFFF0000"/>
      <name val="Times New Roman"/>
      <family val="1"/>
      <charset val="186"/>
    </font>
    <font>
      <sz val="12"/>
      <color rgb="FFFF0000"/>
      <name val="Arial"/>
      <family val="2"/>
      <charset val="186"/>
    </font>
    <font>
      <b/>
      <sz val="14"/>
      <color rgb="FFFF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0">
    <xf numFmtId="0" fontId="0" fillId="0" borderId="0" xfId="0"/>
    <xf numFmtId="0" fontId="2" fillId="0" borderId="0" xfId="0" applyFont="1" applyAlignment="1">
      <alignment horizontal="right"/>
    </xf>
    <xf numFmtId="0" fontId="3" fillId="0" borderId="0" xfId="0" applyFont="1"/>
    <xf numFmtId="0" fontId="2" fillId="0" borderId="0" xfId="1" applyFont="1"/>
    <xf numFmtId="0" fontId="2" fillId="0" borderId="0" xfId="1" applyFont="1" applyAlignment="1">
      <alignment horizontal="center"/>
    </xf>
    <xf numFmtId="0" fontId="2" fillId="0" borderId="0" xfId="0" applyFont="1" applyAlignment="1"/>
    <xf numFmtId="0" fontId="4" fillId="0" borderId="0" xfId="0" applyFont="1" applyAlignment="1">
      <alignment horizontal="center"/>
    </xf>
    <xf numFmtId="0" fontId="1" fillId="0" borderId="0" xfId="0" applyFont="1"/>
    <xf numFmtId="0" fontId="6" fillId="0" borderId="0" xfId="0" applyFont="1"/>
    <xf numFmtId="0" fontId="5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right"/>
    </xf>
    <xf numFmtId="0" fontId="5" fillId="0" borderId="0" xfId="0" applyFont="1" applyAlignment="1"/>
    <xf numFmtId="0" fontId="5" fillId="0" borderId="0" xfId="0" applyFont="1"/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5" fillId="0" borderId="1" xfId="1" applyFont="1" applyBorder="1" applyAlignment="1">
      <alignment wrapText="1"/>
    </xf>
    <xf numFmtId="0" fontId="5" fillId="0" borderId="0" xfId="1" applyFont="1"/>
    <xf numFmtId="0" fontId="5" fillId="0" borderId="0" xfId="1" applyFont="1" applyBorder="1"/>
    <xf numFmtId="0" fontId="5" fillId="0" borderId="0" xfId="1" applyFont="1" applyAlignment="1">
      <alignment horizontal="center"/>
    </xf>
    <xf numFmtId="0" fontId="5" fillId="0" borderId="0" xfId="0" applyFont="1" applyBorder="1"/>
    <xf numFmtId="0" fontId="5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/>
    </xf>
    <xf numFmtId="0" fontId="5" fillId="0" borderId="2" xfId="0" applyFont="1" applyBorder="1" applyAlignment="1">
      <alignment horizontal="center" vertical="top"/>
    </xf>
    <xf numFmtId="0" fontId="5" fillId="0" borderId="2" xfId="0" applyFont="1" applyBorder="1" applyAlignment="1">
      <alignment vertical="top"/>
    </xf>
    <xf numFmtId="2" fontId="5" fillId="0" borderId="2" xfId="0" applyNumberFormat="1" applyFont="1" applyBorder="1" applyAlignment="1">
      <alignment horizontal="center" vertical="top"/>
    </xf>
    <xf numFmtId="0" fontId="5" fillId="0" borderId="2" xfId="0" applyFont="1" applyFill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/>
    </xf>
    <xf numFmtId="2" fontId="7" fillId="0" borderId="2" xfId="0" applyNumberFormat="1" applyFont="1" applyBorder="1" applyAlignment="1">
      <alignment horizontal="center" vertical="top"/>
    </xf>
    <xf numFmtId="0" fontId="5" fillId="0" borderId="2" xfId="0" applyFont="1" applyBorder="1" applyAlignment="1">
      <alignment horizontal="right" vertical="top"/>
    </xf>
    <xf numFmtId="0" fontId="5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right" vertical="top" wrapText="1"/>
    </xf>
    <xf numFmtId="0" fontId="5" fillId="0" borderId="2" xfId="0" applyFont="1" applyFill="1" applyBorder="1" applyAlignment="1">
      <alignment horizontal="center" vertical="top" wrapText="1"/>
    </xf>
    <xf numFmtId="0" fontId="7" fillId="0" borderId="2" xfId="0" applyFont="1" applyBorder="1" applyAlignment="1">
      <alignment vertical="top"/>
    </xf>
    <xf numFmtId="0" fontId="5" fillId="0" borderId="0" xfId="0" applyFont="1" applyBorder="1" applyAlignment="1">
      <alignment horizontal="right"/>
    </xf>
    <xf numFmtId="2" fontId="7" fillId="0" borderId="0" xfId="0" applyNumberFormat="1" applyFont="1" applyBorder="1" applyAlignment="1">
      <alignment horizontal="center"/>
    </xf>
    <xf numFmtId="2" fontId="7" fillId="0" borderId="2" xfId="0" applyNumberFormat="1" applyFont="1" applyBorder="1" applyAlignment="1">
      <alignment horizontal="center"/>
    </xf>
    <xf numFmtId="0" fontId="5" fillId="0" borderId="2" xfId="1" applyFont="1" applyBorder="1"/>
    <xf numFmtId="0" fontId="5" fillId="0" borderId="0" xfId="0" applyFont="1" applyBorder="1" applyAlignment="1">
      <alignment vertical="top"/>
    </xf>
    <xf numFmtId="0" fontId="5" fillId="0" borderId="0" xfId="0" applyFont="1" applyBorder="1" applyAlignment="1">
      <alignment horizontal="center" vertical="top"/>
    </xf>
    <xf numFmtId="0" fontId="5" fillId="2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2" fontId="7" fillId="0" borderId="2" xfId="0" applyNumberFormat="1" applyFont="1" applyFill="1" applyBorder="1" applyAlignment="1">
      <alignment horizontal="center"/>
    </xf>
    <xf numFmtId="0" fontId="5" fillId="0" borderId="0" xfId="0" applyFont="1" applyBorder="1" applyAlignment="1">
      <alignment horizontal="right" wrapText="1"/>
    </xf>
    <xf numFmtId="43" fontId="0" fillId="0" borderId="0" xfId="0" applyNumberFormat="1"/>
    <xf numFmtId="2" fontId="5" fillId="0" borderId="0" xfId="1" applyNumberFormat="1" applyFont="1"/>
    <xf numFmtId="0" fontId="5" fillId="0" borderId="0" xfId="0" applyFont="1" applyAlignment="1">
      <alignment horizontal="right" wrapText="1"/>
    </xf>
    <xf numFmtId="0" fontId="7" fillId="0" borderId="0" xfId="0" applyFont="1" applyAlignment="1">
      <alignment horizontal="center"/>
    </xf>
    <xf numFmtId="0" fontId="5" fillId="0" borderId="0" xfId="0" applyFont="1" applyAlignment="1">
      <alignment wrapText="1"/>
    </xf>
    <xf numFmtId="2" fontId="5" fillId="0" borderId="0" xfId="0" applyNumberFormat="1" applyFont="1"/>
    <xf numFmtId="0" fontId="5" fillId="0" borderId="0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2" xfId="0" applyFont="1" applyBorder="1"/>
    <xf numFmtId="0" fontId="5" fillId="0" borderId="2" xfId="0" applyFont="1" applyFill="1" applyBorder="1" applyAlignment="1">
      <alignment horizontal="left" wrapText="1"/>
    </xf>
    <xf numFmtId="0" fontId="7" fillId="0" borderId="2" xfId="0" applyFont="1" applyBorder="1" applyAlignment="1">
      <alignment horizontal="left"/>
    </xf>
    <xf numFmtId="0" fontId="5" fillId="0" borderId="2" xfId="0" applyFont="1" applyFill="1" applyBorder="1" applyAlignment="1">
      <alignment vertical="top" wrapText="1"/>
    </xf>
    <xf numFmtId="0" fontId="7" fillId="0" borderId="2" xfId="0" applyFont="1" applyBorder="1" applyAlignment="1"/>
    <xf numFmtId="2" fontId="5" fillId="0" borderId="0" xfId="0" applyNumberFormat="1" applyFont="1" applyBorder="1" applyAlignment="1">
      <alignment horizontal="center"/>
    </xf>
    <xf numFmtId="0" fontId="5" fillId="0" borderId="0" xfId="1" applyFont="1" applyBorder="1" applyAlignment="1">
      <alignment wrapText="1"/>
    </xf>
    <xf numFmtId="0" fontId="5" fillId="0" borderId="0" xfId="1" applyFont="1" applyBorder="1" applyAlignment="1">
      <alignment vertical="top" wrapText="1"/>
    </xf>
    <xf numFmtId="0" fontId="5" fillId="0" borderId="0" xfId="0" applyFont="1" applyAlignment="1">
      <alignment horizontal="left"/>
    </xf>
    <xf numFmtId="190" fontId="5" fillId="0" borderId="0" xfId="0" applyNumberFormat="1" applyFont="1"/>
    <xf numFmtId="0" fontId="6" fillId="0" borderId="0" xfId="0" applyFont="1" applyAlignment="1"/>
    <xf numFmtId="0" fontId="5" fillId="0" borderId="2" xfId="0" applyFont="1" applyBorder="1" applyAlignment="1">
      <alignment horizontal="center"/>
    </xf>
    <xf numFmtId="0" fontId="5" fillId="0" borderId="2" xfId="0" applyFont="1" applyBorder="1" applyAlignment="1"/>
    <xf numFmtId="0" fontId="5" fillId="0" borderId="0" xfId="0" applyFont="1" applyBorder="1" applyAlignment="1">
      <alignment horizontal="center" vertical="center" wrapText="1"/>
    </xf>
    <xf numFmtId="2" fontId="5" fillId="0" borderId="2" xfId="1" applyNumberFormat="1" applyFont="1" applyBorder="1"/>
    <xf numFmtId="2" fontId="7" fillId="0" borderId="2" xfId="0" applyNumberFormat="1" applyFont="1" applyBorder="1" applyAlignment="1">
      <alignment horizontal="left"/>
    </xf>
    <xf numFmtId="0" fontId="9" fillId="0" borderId="0" xfId="0" applyFont="1" applyAlignment="1">
      <alignment horizontal="right"/>
    </xf>
    <xf numFmtId="4" fontId="9" fillId="0" borderId="0" xfId="0" applyNumberFormat="1" applyFont="1" applyAlignment="1">
      <alignment horizontal="right"/>
    </xf>
    <xf numFmtId="0" fontId="10" fillId="0" borderId="0" xfId="0" applyFont="1" applyAlignment="1">
      <alignment horizontal="right"/>
    </xf>
    <xf numFmtId="4" fontId="9" fillId="0" borderId="0" xfId="0" applyNumberFormat="1" applyFont="1" applyAlignment="1"/>
    <xf numFmtId="0" fontId="9" fillId="0" borderId="0" xfId="0" applyFont="1"/>
    <xf numFmtId="0" fontId="1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right" vertical="top"/>
    </xf>
    <xf numFmtId="0" fontId="10" fillId="0" borderId="0" xfId="0" applyFont="1" applyAlignment="1">
      <alignment wrapText="1"/>
    </xf>
    <xf numFmtId="0" fontId="13" fillId="0" borderId="0" xfId="0" applyFont="1" applyAlignment="1">
      <alignment horizontal="right"/>
    </xf>
    <xf numFmtId="0" fontId="13" fillId="0" borderId="0" xfId="0" applyFont="1" applyAlignment="1">
      <alignment horizontal="right" wrapText="1"/>
    </xf>
    <xf numFmtId="0" fontId="13" fillId="0" borderId="0" xfId="0" applyFont="1" applyAlignment="1"/>
    <xf numFmtId="0" fontId="13" fillId="0" borderId="0" xfId="0" applyFont="1" applyBorder="1" applyAlignment="1">
      <alignment horizontal="right" wrapText="1"/>
    </xf>
    <xf numFmtId="0" fontId="13" fillId="0" borderId="0" xfId="0" applyFont="1" applyBorder="1" applyAlignment="1">
      <alignment horizontal="right"/>
    </xf>
    <xf numFmtId="0" fontId="13" fillId="0" borderId="0" xfId="0" applyFont="1" applyBorder="1"/>
    <xf numFmtId="0" fontId="13" fillId="0" borderId="0" xfId="0" applyFont="1" applyBorder="1" applyAlignment="1">
      <alignment horizontal="left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left"/>
    </xf>
    <xf numFmtId="0" fontId="13" fillId="0" borderId="2" xfId="0" applyFont="1" applyBorder="1"/>
    <xf numFmtId="0" fontId="13" fillId="0" borderId="2" xfId="0" applyFont="1" applyBorder="1" applyAlignment="1">
      <alignment vertical="top"/>
    </xf>
    <xf numFmtId="2" fontId="13" fillId="0" borderId="2" xfId="0" applyNumberFormat="1" applyFont="1" applyBorder="1" applyAlignment="1">
      <alignment horizontal="center" vertical="top"/>
    </xf>
    <xf numFmtId="0" fontId="13" fillId="0" borderId="2" xfId="0" applyFont="1" applyFill="1" applyBorder="1" applyAlignment="1">
      <alignment horizontal="left" wrapText="1"/>
    </xf>
    <xf numFmtId="2" fontId="14" fillId="0" borderId="2" xfId="0" applyNumberFormat="1" applyFont="1" applyBorder="1" applyAlignment="1">
      <alignment horizontal="center" vertical="top"/>
    </xf>
    <xf numFmtId="0" fontId="13" fillId="0" borderId="2" xfId="0" applyFont="1" applyBorder="1" applyAlignment="1">
      <alignment horizontal="right" vertical="top"/>
    </xf>
    <xf numFmtId="0" fontId="13" fillId="0" borderId="2" xfId="0" applyFont="1" applyBorder="1" applyAlignment="1">
      <alignment horizontal="left" vertical="top" wrapText="1"/>
    </xf>
    <xf numFmtId="0" fontId="13" fillId="0" borderId="2" xfId="0" applyFont="1" applyBorder="1" applyAlignment="1">
      <alignment horizontal="right" vertical="top" wrapText="1"/>
    </xf>
    <xf numFmtId="0" fontId="13" fillId="0" borderId="2" xfId="0" applyFont="1" applyFill="1" applyBorder="1" applyAlignment="1">
      <alignment vertical="top" wrapText="1"/>
    </xf>
    <xf numFmtId="0" fontId="13" fillId="0" borderId="0" xfId="1" applyFont="1" applyBorder="1" applyAlignment="1">
      <alignment wrapText="1"/>
    </xf>
    <xf numFmtId="0" fontId="13" fillId="0" borderId="0" xfId="0" applyFont="1" applyBorder="1" applyAlignment="1">
      <alignment vertical="top"/>
    </xf>
    <xf numFmtId="0" fontId="13" fillId="0" borderId="0" xfId="0" applyFont="1" applyBorder="1" applyAlignment="1">
      <alignment horizontal="center" vertical="top"/>
    </xf>
    <xf numFmtId="0" fontId="13" fillId="0" borderId="2" xfId="1" applyFont="1" applyBorder="1"/>
    <xf numFmtId="0" fontId="13" fillId="0" borderId="0" xfId="1" applyFont="1"/>
    <xf numFmtId="2" fontId="13" fillId="0" borderId="0" xfId="1" applyNumberFormat="1" applyFont="1"/>
    <xf numFmtId="0" fontId="13" fillId="0" borderId="0" xfId="1" applyFont="1" applyBorder="1"/>
    <xf numFmtId="188" fontId="5" fillId="0" borderId="2" xfId="0" applyNumberFormat="1" applyFont="1" applyBorder="1"/>
    <xf numFmtId="0" fontId="5" fillId="0" borderId="2" xfId="0" applyFont="1" applyFill="1" applyBorder="1" applyAlignment="1">
      <alignment horizontal="left"/>
    </xf>
    <xf numFmtId="2" fontId="5" fillId="0" borderId="2" xfId="0" applyNumberFormat="1" applyFont="1" applyFill="1" applyBorder="1" applyAlignment="1">
      <alignment horizontal="left" wrapText="1"/>
    </xf>
    <xf numFmtId="0" fontId="15" fillId="0" borderId="0" xfId="0" applyFont="1" applyAlignment="1"/>
    <xf numFmtId="0" fontId="16" fillId="0" borderId="0" xfId="0" applyFont="1"/>
    <xf numFmtId="0" fontId="17" fillId="0" borderId="0" xfId="0" applyFont="1"/>
    <xf numFmtId="0" fontId="13" fillId="0" borderId="0" xfId="0" applyFont="1" applyBorder="1" applyAlignment="1">
      <alignment horizontal="left" wrapText="1"/>
    </xf>
    <xf numFmtId="0" fontId="15" fillId="0" borderId="0" xfId="0" applyFont="1" applyAlignment="1">
      <alignment horizontal="right"/>
    </xf>
    <xf numFmtId="0" fontId="18" fillId="0" borderId="0" xfId="0" applyFont="1" applyAlignment="1">
      <alignment horizontal="center" wrapText="1"/>
    </xf>
    <xf numFmtId="0" fontId="17" fillId="0" borderId="0" xfId="0" applyFont="1" applyAlignment="1">
      <alignment horizontal="center" wrapText="1"/>
    </xf>
    <xf numFmtId="0" fontId="19" fillId="0" borderId="0" xfId="0" applyFont="1" applyAlignment="1">
      <alignment horizontal="left" vertical="center" wrapText="1"/>
    </xf>
    <xf numFmtId="0" fontId="14" fillId="0" borderId="2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left" vertical="top"/>
    </xf>
    <xf numFmtId="0" fontId="13" fillId="0" borderId="2" xfId="0" applyFont="1" applyBorder="1" applyAlignment="1">
      <alignment horizontal="center" vertical="top"/>
    </xf>
    <xf numFmtId="2" fontId="16" fillId="0" borderId="0" xfId="0" applyNumberFormat="1" applyFont="1"/>
    <xf numFmtId="0" fontId="14" fillId="0" borderId="2" xfId="0" applyFont="1" applyBorder="1" applyAlignment="1">
      <alignment horizontal="left" vertical="top"/>
    </xf>
    <xf numFmtId="0" fontId="14" fillId="0" borderId="2" xfId="0" applyFont="1" applyBorder="1" applyAlignment="1">
      <alignment vertical="top"/>
    </xf>
    <xf numFmtId="0" fontId="13" fillId="0" borderId="0" xfId="0" applyFont="1" applyBorder="1" applyAlignment="1">
      <alignment horizontal="right" vertical="top"/>
    </xf>
    <xf numFmtId="0" fontId="13" fillId="0" borderId="2" xfId="0" applyFont="1" applyFill="1" applyBorder="1" applyAlignment="1">
      <alignment horizontal="center" vertical="top" wrapText="1"/>
    </xf>
    <xf numFmtId="2" fontId="14" fillId="0" borderId="2" xfId="0" applyNumberFormat="1" applyFont="1" applyFill="1" applyBorder="1" applyAlignment="1">
      <alignment horizontal="center" vertical="top"/>
    </xf>
    <xf numFmtId="0" fontId="13" fillId="0" borderId="0" xfId="0" applyFont="1" applyBorder="1" applyAlignment="1">
      <alignment horizontal="center"/>
    </xf>
    <xf numFmtId="2" fontId="14" fillId="0" borderId="0" xfId="0" applyNumberFormat="1" applyFont="1" applyBorder="1" applyAlignment="1">
      <alignment horizontal="center" vertical="top"/>
    </xf>
    <xf numFmtId="0" fontId="13" fillId="0" borderId="1" xfId="1" applyFont="1" applyBorder="1" applyAlignment="1">
      <alignment wrapText="1"/>
    </xf>
    <xf numFmtId="2" fontId="13" fillId="0" borderId="2" xfId="1" applyNumberFormat="1" applyFont="1" applyBorder="1"/>
    <xf numFmtId="0" fontId="15" fillId="0" borderId="0" xfId="1" applyFont="1"/>
    <xf numFmtId="0" fontId="13" fillId="0" borderId="0" xfId="1" applyFont="1" applyAlignment="1">
      <alignment horizontal="center"/>
    </xf>
    <xf numFmtId="0" fontId="15" fillId="0" borderId="0" xfId="1" applyFont="1" applyAlignment="1">
      <alignment horizontal="center"/>
    </xf>
    <xf numFmtId="2" fontId="15" fillId="0" borderId="0" xfId="1" applyNumberFormat="1" applyFont="1"/>
    <xf numFmtId="0" fontId="19" fillId="0" borderId="0" xfId="0" applyFont="1"/>
    <xf numFmtId="0" fontId="14" fillId="0" borderId="0" xfId="0" applyFont="1" applyAlignment="1">
      <alignment horizontal="center" wrapText="1"/>
    </xf>
    <xf numFmtId="0" fontId="19" fillId="0" borderId="0" xfId="0" applyFont="1" applyAlignment="1">
      <alignment horizontal="center" wrapText="1"/>
    </xf>
    <xf numFmtId="2" fontId="19" fillId="0" borderId="0" xfId="0" applyNumberFormat="1" applyFont="1"/>
    <xf numFmtId="186" fontId="5" fillId="0" borderId="2" xfId="1" applyNumberFormat="1" applyFont="1" applyBorder="1"/>
    <xf numFmtId="0" fontId="10" fillId="0" borderId="0" xfId="0" applyFont="1" applyAlignment="1"/>
    <xf numFmtId="0" fontId="10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left"/>
    </xf>
    <xf numFmtId="0" fontId="10" fillId="0" borderId="2" xfId="0" applyFont="1" applyBorder="1" applyAlignment="1">
      <alignment vertical="top"/>
    </xf>
    <xf numFmtId="2" fontId="10" fillId="0" borderId="2" xfId="0" applyNumberFormat="1" applyFont="1" applyBorder="1"/>
    <xf numFmtId="0" fontId="10" fillId="0" borderId="2" xfId="0" applyFont="1" applyFill="1" applyBorder="1" applyAlignment="1">
      <alignment horizontal="left" wrapText="1"/>
    </xf>
    <xf numFmtId="2" fontId="10" fillId="0" borderId="2" xfId="0" applyNumberFormat="1" applyFont="1" applyFill="1" applyBorder="1" applyAlignment="1">
      <alignment horizontal="left" wrapText="1"/>
    </xf>
    <xf numFmtId="0" fontId="10" fillId="0" borderId="2" xfId="0" applyFont="1" applyBorder="1"/>
    <xf numFmtId="0" fontId="12" fillId="0" borderId="2" xfId="0" applyFont="1" applyBorder="1" applyAlignment="1">
      <alignment horizontal="left"/>
    </xf>
    <xf numFmtId="188" fontId="10" fillId="0" borderId="2" xfId="0" applyNumberFormat="1" applyFont="1" applyBorder="1"/>
    <xf numFmtId="0" fontId="12" fillId="0" borderId="2" xfId="0" applyFont="1" applyBorder="1" applyAlignment="1"/>
    <xf numFmtId="0" fontId="10" fillId="0" borderId="0" xfId="0" applyFont="1" applyBorder="1"/>
    <xf numFmtId="0" fontId="10" fillId="0" borderId="0" xfId="1" applyFont="1" applyBorder="1" applyAlignment="1">
      <alignment wrapText="1"/>
    </xf>
    <xf numFmtId="0" fontId="10" fillId="0" borderId="0" xfId="0" applyFont="1" applyBorder="1" applyAlignment="1">
      <alignment horizontal="center" vertical="top"/>
    </xf>
    <xf numFmtId="0" fontId="10" fillId="0" borderId="0" xfId="1" applyFont="1" applyBorder="1" applyAlignment="1">
      <alignment vertical="top" wrapText="1"/>
    </xf>
    <xf numFmtId="0" fontId="10" fillId="0" borderId="0" xfId="1" applyFont="1"/>
    <xf numFmtId="2" fontId="10" fillId="0" borderId="0" xfId="1" applyNumberFormat="1" applyFont="1"/>
    <xf numFmtId="0" fontId="10" fillId="0" borderId="0" xfId="1" applyFont="1" applyBorder="1"/>
    <xf numFmtId="0" fontId="10" fillId="0" borderId="0" xfId="0" applyFont="1" applyAlignment="1">
      <alignment horizontal="left"/>
    </xf>
    <xf numFmtId="2" fontId="10" fillId="0" borderId="2" xfId="0" applyNumberFormat="1" applyFont="1" applyBorder="1" applyAlignment="1">
      <alignment vertical="top"/>
    </xf>
    <xf numFmtId="2" fontId="10" fillId="0" borderId="2" xfId="0" applyNumberFormat="1" applyFont="1" applyBorder="1" applyAlignment="1">
      <alignment horizontal="left"/>
    </xf>
    <xf numFmtId="0" fontId="9" fillId="0" borderId="0" xfId="0" applyFont="1" applyAlignment="1"/>
    <xf numFmtId="0" fontId="9" fillId="0" borderId="0" xfId="0" applyFont="1" applyAlignment="1">
      <alignment wrapText="1"/>
    </xf>
    <xf numFmtId="0" fontId="9" fillId="0" borderId="0" xfId="0" applyFont="1" applyBorder="1" applyAlignment="1">
      <alignment horizontal="left"/>
    </xf>
    <xf numFmtId="0" fontId="9" fillId="0" borderId="0" xfId="0" applyFont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left"/>
    </xf>
    <xf numFmtId="0" fontId="9" fillId="0" borderId="2" xfId="0" applyFont="1" applyBorder="1" applyAlignment="1">
      <alignment vertical="top"/>
    </xf>
    <xf numFmtId="0" fontId="9" fillId="0" borderId="2" xfId="0" applyFont="1" applyBorder="1"/>
    <xf numFmtId="2" fontId="9" fillId="0" borderId="2" xfId="0" applyNumberFormat="1" applyFont="1" applyBorder="1"/>
    <xf numFmtId="0" fontId="11" fillId="0" borderId="2" xfId="0" applyFont="1" applyBorder="1" applyAlignment="1">
      <alignment horizontal="left"/>
    </xf>
    <xf numFmtId="188" fontId="9" fillId="0" borderId="2" xfId="0" applyNumberFormat="1" applyFont="1" applyBorder="1"/>
    <xf numFmtId="1" fontId="9" fillId="0" borderId="2" xfId="0" applyNumberFormat="1" applyFont="1" applyBorder="1"/>
    <xf numFmtId="0" fontId="11" fillId="0" borderId="2" xfId="0" applyFont="1" applyBorder="1" applyAlignment="1"/>
    <xf numFmtId="0" fontId="9" fillId="0" borderId="0" xfId="0" applyFont="1" applyBorder="1"/>
    <xf numFmtId="0" fontId="9" fillId="0" borderId="0" xfId="1" applyFont="1" applyBorder="1" applyAlignment="1">
      <alignment wrapText="1"/>
    </xf>
    <xf numFmtId="0" fontId="9" fillId="0" borderId="0" xfId="0" applyFont="1" applyBorder="1" applyAlignment="1">
      <alignment horizontal="center" vertical="top"/>
    </xf>
    <xf numFmtId="0" fontId="9" fillId="0" borderId="0" xfId="1" applyFont="1" applyBorder="1" applyAlignment="1">
      <alignment vertical="top" wrapText="1"/>
    </xf>
    <xf numFmtId="0" fontId="9" fillId="0" borderId="0" xfId="1" applyFont="1"/>
    <xf numFmtId="0" fontId="9" fillId="0" borderId="0" xfId="1" applyFont="1" applyBorder="1"/>
    <xf numFmtId="0" fontId="9" fillId="0" borderId="0" xfId="0" applyFont="1" applyAlignment="1">
      <alignment horizontal="left"/>
    </xf>
    <xf numFmtId="190" fontId="5" fillId="0" borderId="2" xfId="1" applyNumberFormat="1" applyFont="1" applyBorder="1"/>
    <xf numFmtId="189" fontId="5" fillId="0" borderId="2" xfId="1" applyNumberFormat="1" applyFont="1" applyBorder="1"/>
    <xf numFmtId="199" fontId="5" fillId="0" borderId="2" xfId="1" applyNumberFormat="1" applyFont="1" applyBorder="1"/>
    <xf numFmtId="0" fontId="5" fillId="0" borderId="0" xfId="0" applyFont="1" applyBorder="1" applyAlignment="1">
      <alignment horizontal="left" vertical="top" wrapText="1"/>
    </xf>
    <xf numFmtId="190" fontId="10" fillId="0" borderId="2" xfId="0" applyNumberFormat="1" applyFont="1" applyFill="1" applyBorder="1" applyAlignment="1">
      <alignment horizontal="left" wrapText="1"/>
    </xf>
    <xf numFmtId="189" fontId="10" fillId="0" borderId="2" xfId="0" applyNumberFormat="1" applyFont="1" applyFill="1" applyBorder="1" applyAlignment="1">
      <alignment horizontal="left" wrapText="1"/>
    </xf>
    <xf numFmtId="190" fontId="5" fillId="0" borderId="2" xfId="0" applyNumberFormat="1" applyFont="1" applyFill="1" applyBorder="1" applyAlignment="1">
      <alignment horizontal="left" wrapText="1"/>
    </xf>
    <xf numFmtId="188" fontId="5" fillId="0" borderId="2" xfId="1" applyNumberFormat="1" applyFont="1" applyBorder="1"/>
    <xf numFmtId="2" fontId="5" fillId="0" borderId="2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wrapText="1"/>
    </xf>
    <xf numFmtId="187" fontId="5" fillId="0" borderId="2" xfId="1" applyNumberFormat="1" applyFont="1" applyBorder="1"/>
    <xf numFmtId="187" fontId="5" fillId="0" borderId="0" xfId="1" applyNumberFormat="1" applyFont="1"/>
    <xf numFmtId="0" fontId="2" fillId="0" borderId="0" xfId="0" applyFont="1"/>
    <xf numFmtId="0" fontId="10" fillId="0" borderId="0" xfId="0" applyFont="1" applyBorder="1" applyAlignment="1">
      <alignment horizontal="justify" vertical="top" wrapText="1"/>
    </xf>
    <xf numFmtId="0" fontId="10" fillId="0" borderId="0" xfId="0" applyFont="1" applyAlignment="1">
      <alignment horizontal="justify" vertical="top" wrapText="1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justify" wrapText="1"/>
    </xf>
    <xf numFmtId="0" fontId="10" fillId="0" borderId="0" xfId="0" applyFont="1" applyAlignment="1">
      <alignment vertical="top" wrapText="1"/>
    </xf>
    <xf numFmtId="4" fontId="9" fillId="0" borderId="0" xfId="0" applyNumberFormat="1" applyFont="1" applyAlignment="1">
      <alignment horizontal="right"/>
    </xf>
    <xf numFmtId="0" fontId="11" fillId="0" borderId="0" xfId="0" applyFont="1" applyAlignment="1">
      <alignment horizontal="center"/>
    </xf>
    <xf numFmtId="0" fontId="5" fillId="0" borderId="0" xfId="1" applyFont="1" applyBorder="1" applyAlignment="1">
      <alignment vertical="top" wrapText="1"/>
    </xf>
    <xf numFmtId="0" fontId="7" fillId="0" borderId="0" xfId="0" applyFont="1" applyAlignment="1">
      <alignment horizontal="center"/>
    </xf>
    <xf numFmtId="0" fontId="5" fillId="0" borderId="0" xfId="0" applyFont="1" applyBorder="1" applyAlignment="1">
      <alignment horizontal="left" vertical="center" wrapText="1"/>
    </xf>
    <xf numFmtId="0" fontId="5" fillId="0" borderId="0" xfId="1" applyFont="1" applyBorder="1" applyAlignment="1">
      <alignment wrapText="1"/>
    </xf>
    <xf numFmtId="0" fontId="5" fillId="0" borderId="0" xfId="0" applyFont="1" applyAlignment="1">
      <alignment horizontal="right" wrapText="1"/>
    </xf>
    <xf numFmtId="0" fontId="5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5" fillId="0" borderId="0" xfId="1" applyFont="1" applyAlignment="1">
      <alignment wrapText="1"/>
    </xf>
    <xf numFmtId="0" fontId="5" fillId="0" borderId="1" xfId="1" applyFont="1" applyBorder="1" applyAlignment="1">
      <alignment wrapText="1"/>
    </xf>
    <xf numFmtId="0" fontId="13" fillId="0" borderId="0" xfId="0" applyFont="1" applyBorder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3" fillId="0" borderId="0" xfId="1" applyFont="1" applyAlignment="1">
      <alignment wrapText="1"/>
    </xf>
    <xf numFmtId="0" fontId="13" fillId="0" borderId="1" xfId="1" applyFont="1" applyBorder="1" applyAlignment="1">
      <alignment wrapText="1"/>
    </xf>
    <xf numFmtId="0" fontId="20" fillId="0" borderId="0" xfId="0" applyFont="1" applyAlignment="1">
      <alignment horizontal="center" wrapText="1"/>
    </xf>
    <xf numFmtId="0" fontId="14" fillId="0" borderId="0" xfId="0" applyFont="1" applyAlignment="1">
      <alignment horizontal="center" wrapText="1"/>
    </xf>
    <xf numFmtId="0" fontId="6" fillId="0" borderId="0" xfId="0" applyFont="1" applyAlignment="1">
      <alignment wrapText="1"/>
    </xf>
    <xf numFmtId="0" fontId="6" fillId="0" borderId="0" xfId="0" applyFont="1" applyAlignment="1"/>
    <xf numFmtId="0" fontId="5" fillId="0" borderId="0" xfId="0" applyFont="1" applyBorder="1" applyAlignment="1">
      <alignment horizontal="left" vertical="top" wrapText="1"/>
    </xf>
    <xf numFmtId="0" fontId="5" fillId="0" borderId="0" xfId="1" applyFont="1" applyAlignment="1">
      <alignment vertical="top" wrapText="1"/>
    </xf>
    <xf numFmtId="0" fontId="5" fillId="0" borderId="1" xfId="1" applyFont="1" applyBorder="1" applyAlignment="1">
      <alignment vertical="top" wrapText="1"/>
    </xf>
    <xf numFmtId="0" fontId="5" fillId="0" borderId="0" xfId="0" applyFont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itaOz\AppData\Local\Temp\7zO8899EC02\4.reh.kursi._7.izmitin.D71_veca%20cena-jauna%20cena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., 6., 11._2021"/>
      <sheetName val="4. - Reh.kursi_pieaugums"/>
      <sheetName val="7.izmitināšana_4.reh,kursi"/>
      <sheetName val="4._kursi"/>
      <sheetName val="7._izmitināšana_GALA mpc"/>
      <sheetName val="Sheet2"/>
      <sheetName val="Sheet1"/>
      <sheetName val="cenu starpib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0"/>
  <sheetViews>
    <sheetView view="pageLayout" topLeftCell="B17" zoomScale="90" zoomScaleNormal="100" zoomScalePageLayoutView="90" workbookViewId="0">
      <selection activeCell="C25" sqref="C25:J25"/>
    </sheetView>
  </sheetViews>
  <sheetFormatPr defaultColWidth="9.1796875" defaultRowHeight="11.5" x14ac:dyDescent="0.25"/>
  <cols>
    <col min="1" max="1" width="3.26953125" style="75" hidden="1" customWidth="1"/>
    <col min="2" max="2" width="9.453125" style="75" customWidth="1"/>
    <col min="3" max="8" width="9.1796875" style="75"/>
    <col min="9" max="9" width="21.81640625" style="75" customWidth="1"/>
    <col min="10" max="10" width="3.81640625" style="75" hidden="1" customWidth="1"/>
    <col min="11" max="16384" width="9.1796875" style="75"/>
  </cols>
  <sheetData>
    <row r="1" spans="1:18" ht="12.75" customHeight="1" x14ac:dyDescent="0.25">
      <c r="A1" s="71"/>
      <c r="B1" s="206" t="s">
        <v>194</v>
      </c>
      <c r="C1" s="206"/>
      <c r="D1" s="206"/>
      <c r="E1" s="206"/>
      <c r="F1" s="206"/>
      <c r="G1" s="206"/>
      <c r="H1" s="206"/>
      <c r="I1" s="206"/>
      <c r="J1" s="206"/>
      <c r="K1" s="206"/>
      <c r="L1" s="74"/>
      <c r="M1" s="74"/>
      <c r="N1" s="74"/>
      <c r="O1" s="74"/>
      <c r="P1" s="74"/>
      <c r="Q1" s="74"/>
      <c r="R1" s="74"/>
    </row>
    <row r="2" spans="1:18" x14ac:dyDescent="0.25">
      <c r="A2" s="71"/>
      <c r="B2" s="206" t="s">
        <v>69</v>
      </c>
      <c r="C2" s="206"/>
      <c r="D2" s="206"/>
      <c r="E2" s="206"/>
      <c r="F2" s="206"/>
      <c r="G2" s="206"/>
      <c r="H2" s="206"/>
      <c r="I2" s="206"/>
      <c r="J2" s="206"/>
      <c r="K2" s="206"/>
      <c r="L2" s="74"/>
      <c r="M2" s="74"/>
      <c r="N2" s="74"/>
      <c r="O2" s="74"/>
      <c r="P2" s="74"/>
      <c r="Q2" s="74"/>
      <c r="R2" s="74"/>
    </row>
    <row r="3" spans="1:18" x14ac:dyDescent="0.25">
      <c r="A3" s="206" t="s">
        <v>70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74"/>
      <c r="M3" s="74"/>
      <c r="N3" s="74"/>
      <c r="O3" s="74"/>
      <c r="P3" s="74"/>
      <c r="Q3" s="74"/>
      <c r="R3" s="74"/>
    </row>
    <row r="4" spans="1:18" x14ac:dyDescent="0.25">
      <c r="A4" s="71"/>
      <c r="B4" s="206" t="s">
        <v>71</v>
      </c>
      <c r="C4" s="206"/>
      <c r="D4" s="206"/>
      <c r="E4" s="206"/>
      <c r="F4" s="206"/>
      <c r="G4" s="206"/>
      <c r="H4" s="206"/>
      <c r="I4" s="206"/>
      <c r="J4" s="206"/>
      <c r="K4" s="206"/>
      <c r="L4" s="74"/>
      <c r="M4" s="74"/>
      <c r="N4" s="74"/>
      <c r="O4" s="74"/>
      <c r="P4" s="74"/>
      <c r="Q4" s="74"/>
      <c r="R4" s="74"/>
    </row>
    <row r="5" spans="1:18" ht="12.75" customHeight="1" x14ac:dyDescent="0.25">
      <c r="A5" s="71"/>
      <c r="B5" s="206" t="s">
        <v>55</v>
      </c>
      <c r="C5" s="206"/>
      <c r="D5" s="206"/>
      <c r="E5" s="206"/>
      <c r="F5" s="206"/>
      <c r="G5" s="206"/>
      <c r="H5" s="206"/>
      <c r="I5" s="206"/>
      <c r="J5" s="206"/>
      <c r="K5" s="206"/>
      <c r="L5" s="74"/>
      <c r="M5" s="74"/>
      <c r="N5" s="74"/>
      <c r="O5" s="74"/>
      <c r="P5" s="74"/>
      <c r="Q5" s="74"/>
      <c r="R5" s="74"/>
    </row>
    <row r="6" spans="1:18" ht="12.75" customHeight="1" x14ac:dyDescent="0.25">
      <c r="A6" s="71"/>
      <c r="B6" s="71"/>
      <c r="C6" s="71"/>
      <c r="D6" s="71"/>
      <c r="E6" s="72"/>
      <c r="F6" s="72"/>
      <c r="G6" s="72"/>
      <c r="H6" s="72"/>
      <c r="I6" s="72"/>
      <c r="J6" s="72"/>
      <c r="K6" s="74"/>
      <c r="L6" s="74"/>
      <c r="M6" s="74"/>
      <c r="N6" s="74"/>
      <c r="O6" s="74"/>
      <c r="P6" s="74"/>
      <c r="Q6" s="74"/>
      <c r="R6" s="74"/>
    </row>
    <row r="8" spans="1:18" x14ac:dyDescent="0.25">
      <c r="B8" s="207" t="s">
        <v>56</v>
      </c>
      <c r="C8" s="207"/>
      <c r="D8" s="207"/>
      <c r="E8" s="207"/>
      <c r="F8" s="207"/>
      <c r="G8" s="207"/>
      <c r="H8" s="207"/>
      <c r="I8" s="207"/>
      <c r="J8" s="207"/>
    </row>
    <row r="9" spans="1:18" x14ac:dyDescent="0.25">
      <c r="B9" s="76"/>
      <c r="C9" s="76"/>
      <c r="D9" s="76"/>
      <c r="E9" s="76"/>
      <c r="F9" s="76"/>
      <c r="G9" s="76"/>
      <c r="H9" s="76"/>
      <c r="I9" s="76"/>
      <c r="J9" s="76"/>
    </row>
    <row r="10" spans="1:18" ht="13" x14ac:dyDescent="0.3">
      <c r="B10" s="73">
        <v>4</v>
      </c>
      <c r="C10" s="78" t="s">
        <v>126</v>
      </c>
      <c r="D10" s="78"/>
      <c r="E10" s="78"/>
      <c r="F10" s="78"/>
      <c r="G10" s="78"/>
      <c r="H10" s="78"/>
      <c r="I10" s="78"/>
      <c r="J10" s="78"/>
    </row>
    <row r="11" spans="1:18" ht="17.25" customHeight="1" x14ac:dyDescent="0.25">
      <c r="B11" s="79" t="s">
        <v>198</v>
      </c>
      <c r="C11" s="201" t="s">
        <v>86</v>
      </c>
      <c r="D11" s="201"/>
      <c r="E11" s="201"/>
      <c r="F11" s="201"/>
      <c r="G11" s="201"/>
      <c r="H11" s="201"/>
      <c r="I11" s="201"/>
      <c r="J11" s="201"/>
    </row>
    <row r="12" spans="1:18" ht="26.25" customHeight="1" x14ac:dyDescent="0.25">
      <c r="B12" s="79" t="s">
        <v>199</v>
      </c>
      <c r="C12" s="201" t="s">
        <v>87</v>
      </c>
      <c r="D12" s="201"/>
      <c r="E12" s="201"/>
      <c r="F12" s="201"/>
      <c r="G12" s="201"/>
      <c r="H12" s="201"/>
      <c r="I12" s="201"/>
      <c r="J12" s="201"/>
    </row>
    <row r="13" spans="1:18" ht="25.5" customHeight="1" x14ac:dyDescent="0.25">
      <c r="B13" s="79" t="s">
        <v>200</v>
      </c>
      <c r="C13" s="201" t="s">
        <v>88</v>
      </c>
      <c r="D13" s="201"/>
      <c r="E13" s="201"/>
      <c r="F13" s="201"/>
      <c r="G13" s="201"/>
      <c r="H13" s="201"/>
      <c r="I13" s="201"/>
      <c r="J13" s="201"/>
    </row>
    <row r="14" spans="1:18" ht="17.25" customHeight="1" x14ac:dyDescent="0.25">
      <c r="B14" s="79" t="s">
        <v>201</v>
      </c>
      <c r="C14" s="201" t="s">
        <v>89</v>
      </c>
      <c r="D14" s="201"/>
      <c r="E14" s="201"/>
      <c r="F14" s="201"/>
      <c r="G14" s="201"/>
      <c r="H14" s="201"/>
      <c r="I14" s="201"/>
      <c r="J14" s="201"/>
    </row>
    <row r="15" spans="1:18" ht="29.25" customHeight="1" x14ac:dyDescent="0.25">
      <c r="B15" s="79" t="s">
        <v>202</v>
      </c>
      <c r="C15" s="201" t="s">
        <v>90</v>
      </c>
      <c r="D15" s="201"/>
      <c r="E15" s="201"/>
      <c r="F15" s="201"/>
      <c r="G15" s="201"/>
      <c r="H15" s="201"/>
      <c r="I15" s="201"/>
      <c r="J15" s="201"/>
    </row>
    <row r="16" spans="1:18" ht="26.25" hidden="1" customHeight="1" x14ac:dyDescent="0.25">
      <c r="B16" s="79" t="s">
        <v>59</v>
      </c>
      <c r="C16" s="201" t="s">
        <v>91</v>
      </c>
      <c r="D16" s="201"/>
      <c r="E16" s="201"/>
      <c r="F16" s="201"/>
      <c r="G16" s="201"/>
      <c r="H16" s="201"/>
      <c r="I16" s="201"/>
      <c r="J16" s="201"/>
    </row>
    <row r="17" spans="2:10" ht="30" customHeight="1" x14ac:dyDescent="0.25">
      <c r="B17" s="79" t="s">
        <v>245</v>
      </c>
      <c r="C17" s="201" t="s">
        <v>92</v>
      </c>
      <c r="D17" s="201"/>
      <c r="E17" s="201"/>
      <c r="F17" s="201"/>
      <c r="G17" s="201"/>
      <c r="H17" s="201"/>
      <c r="I17" s="201"/>
      <c r="J17" s="201"/>
    </row>
    <row r="18" spans="2:10" ht="18.75" hidden="1" customHeight="1" x14ac:dyDescent="0.25">
      <c r="B18" s="79" t="s">
        <v>60</v>
      </c>
      <c r="C18" s="201" t="s">
        <v>93</v>
      </c>
      <c r="D18" s="201"/>
      <c r="E18" s="201"/>
      <c r="F18" s="201"/>
      <c r="G18" s="201"/>
      <c r="H18" s="201"/>
      <c r="I18" s="201"/>
      <c r="J18" s="201"/>
    </row>
    <row r="19" spans="2:10" ht="16.5" hidden="1" customHeight="1" x14ac:dyDescent="0.25">
      <c r="B19" s="79" t="s">
        <v>61</v>
      </c>
      <c r="C19" s="201" t="s">
        <v>94</v>
      </c>
      <c r="D19" s="201"/>
      <c r="E19" s="201"/>
      <c r="F19" s="201"/>
      <c r="G19" s="201"/>
      <c r="H19" s="201"/>
      <c r="I19" s="201"/>
      <c r="J19" s="201"/>
    </row>
    <row r="20" spans="2:10" ht="27.75" hidden="1" customHeight="1" x14ac:dyDescent="0.25">
      <c r="B20" s="79" t="s">
        <v>62</v>
      </c>
      <c r="C20" s="201" t="s">
        <v>95</v>
      </c>
      <c r="D20" s="201"/>
      <c r="E20" s="201"/>
      <c r="F20" s="201"/>
      <c r="G20" s="201"/>
      <c r="H20" s="201"/>
      <c r="I20" s="201"/>
      <c r="J20" s="201"/>
    </row>
    <row r="21" spans="2:10" ht="26.25" hidden="1" customHeight="1" x14ac:dyDescent="0.25">
      <c r="B21" s="79" t="s">
        <v>63</v>
      </c>
      <c r="C21" s="201" t="s">
        <v>96</v>
      </c>
      <c r="D21" s="201"/>
      <c r="E21" s="201"/>
      <c r="F21" s="201"/>
      <c r="G21" s="201"/>
      <c r="H21" s="201"/>
      <c r="I21" s="201"/>
      <c r="J21" s="201"/>
    </row>
    <row r="22" spans="2:10" ht="29.25" hidden="1" customHeight="1" x14ac:dyDescent="0.25">
      <c r="B22" s="79" t="s">
        <v>64</v>
      </c>
      <c r="C22" s="201" t="s">
        <v>97</v>
      </c>
      <c r="D22" s="201"/>
      <c r="E22" s="201"/>
      <c r="F22" s="201"/>
      <c r="G22" s="201"/>
      <c r="H22" s="201"/>
      <c r="I22" s="201"/>
      <c r="J22" s="201"/>
    </row>
    <row r="23" spans="2:10" ht="26.25" customHeight="1" x14ac:dyDescent="0.25">
      <c r="B23" s="79" t="s">
        <v>247</v>
      </c>
      <c r="C23" s="201" t="s">
        <v>127</v>
      </c>
      <c r="D23" s="202"/>
      <c r="E23" s="202"/>
      <c r="F23" s="202"/>
      <c r="G23" s="202"/>
      <c r="H23" s="202"/>
      <c r="I23" s="202"/>
      <c r="J23" s="202"/>
    </row>
    <row r="24" spans="2:10" ht="25.5" customHeight="1" x14ac:dyDescent="0.3">
      <c r="B24" s="79" t="s">
        <v>203</v>
      </c>
      <c r="C24" s="202" t="s">
        <v>98</v>
      </c>
      <c r="D24" s="202"/>
      <c r="E24" s="202"/>
      <c r="F24" s="202"/>
      <c r="G24" s="202"/>
      <c r="H24" s="202"/>
      <c r="I24" s="202"/>
      <c r="J24" s="204"/>
    </row>
    <row r="25" spans="2:10" ht="25.5" customHeight="1" x14ac:dyDescent="0.3">
      <c r="B25" s="79" t="s">
        <v>204</v>
      </c>
      <c r="C25" s="202" t="s">
        <v>99</v>
      </c>
      <c r="D25" s="202"/>
      <c r="E25" s="202"/>
      <c r="F25" s="202"/>
      <c r="G25" s="202"/>
      <c r="H25" s="202"/>
      <c r="I25" s="202"/>
      <c r="J25" s="203"/>
    </row>
    <row r="26" spans="2:10" ht="16.5" customHeight="1" x14ac:dyDescent="0.3">
      <c r="B26" s="79" t="s">
        <v>205</v>
      </c>
      <c r="C26" s="202" t="s">
        <v>103</v>
      </c>
      <c r="D26" s="202"/>
      <c r="E26" s="202"/>
      <c r="F26" s="202"/>
      <c r="G26" s="202"/>
      <c r="H26" s="202"/>
      <c r="I26" s="202"/>
      <c r="J26" s="204"/>
    </row>
    <row r="27" spans="2:10" ht="16.5" customHeight="1" x14ac:dyDescent="0.3">
      <c r="B27" s="79" t="s">
        <v>206</v>
      </c>
      <c r="C27" s="202" t="s">
        <v>104</v>
      </c>
      <c r="D27" s="202"/>
      <c r="E27" s="202"/>
      <c r="F27" s="202"/>
      <c r="G27" s="202"/>
      <c r="H27" s="202"/>
      <c r="I27" s="202"/>
      <c r="J27" s="203"/>
    </row>
    <row r="28" spans="2:10" ht="16.5" customHeight="1" x14ac:dyDescent="0.3">
      <c r="B28" s="79" t="s">
        <v>207</v>
      </c>
      <c r="C28" s="202" t="s">
        <v>117</v>
      </c>
      <c r="D28" s="202"/>
      <c r="E28" s="202"/>
      <c r="F28" s="202"/>
      <c r="G28" s="202"/>
      <c r="H28" s="202"/>
      <c r="I28" s="202"/>
      <c r="J28" s="204"/>
    </row>
    <row r="29" spans="2:10" ht="16.5" customHeight="1" x14ac:dyDescent="0.3">
      <c r="B29" s="79" t="s">
        <v>208</v>
      </c>
      <c r="C29" s="202" t="s">
        <v>118</v>
      </c>
      <c r="D29" s="202"/>
      <c r="E29" s="202"/>
      <c r="F29" s="202"/>
      <c r="G29" s="202"/>
      <c r="H29" s="202"/>
      <c r="I29" s="202"/>
      <c r="J29" s="203"/>
    </row>
    <row r="30" spans="2:10" ht="26.25" customHeight="1" x14ac:dyDescent="0.3">
      <c r="B30" s="79" t="s">
        <v>209</v>
      </c>
      <c r="C30" s="202" t="s">
        <v>128</v>
      </c>
      <c r="D30" s="202"/>
      <c r="E30" s="202"/>
      <c r="F30" s="202"/>
      <c r="G30" s="202"/>
      <c r="H30" s="202"/>
      <c r="I30" s="202"/>
      <c r="J30" s="204"/>
    </row>
    <row r="31" spans="2:10" ht="25.5" customHeight="1" x14ac:dyDescent="0.3">
      <c r="B31" s="79" t="s">
        <v>210</v>
      </c>
      <c r="C31" s="202" t="s">
        <v>129</v>
      </c>
      <c r="D31" s="202"/>
      <c r="E31" s="202"/>
      <c r="F31" s="202"/>
      <c r="G31" s="202"/>
      <c r="H31" s="202"/>
      <c r="I31" s="202"/>
      <c r="J31" s="203"/>
    </row>
    <row r="32" spans="2:10" ht="26.25" customHeight="1" x14ac:dyDescent="0.3">
      <c r="B32" s="79" t="s">
        <v>211</v>
      </c>
      <c r="C32" s="202" t="s">
        <v>109</v>
      </c>
      <c r="D32" s="202"/>
      <c r="E32" s="202"/>
      <c r="F32" s="202"/>
      <c r="G32" s="202"/>
      <c r="H32" s="202"/>
      <c r="I32" s="202"/>
      <c r="J32" s="204"/>
    </row>
    <row r="33" spans="2:10" ht="26.25" customHeight="1" x14ac:dyDescent="0.3">
      <c r="B33" s="79" t="s">
        <v>212</v>
      </c>
      <c r="C33" s="204" t="s">
        <v>110</v>
      </c>
      <c r="D33" s="204"/>
      <c r="E33" s="204"/>
      <c r="F33" s="204"/>
      <c r="G33" s="204"/>
      <c r="H33" s="204"/>
      <c r="I33" s="204"/>
      <c r="J33" s="203"/>
    </row>
    <row r="34" spans="2:10" ht="25.5" hidden="1" customHeight="1" x14ac:dyDescent="0.3">
      <c r="B34" s="79" t="s">
        <v>85</v>
      </c>
      <c r="C34" s="202" t="s">
        <v>100</v>
      </c>
      <c r="D34" s="202"/>
      <c r="E34" s="202"/>
      <c r="F34" s="202"/>
      <c r="G34" s="202"/>
      <c r="H34" s="202"/>
      <c r="I34" s="202"/>
      <c r="J34" s="204"/>
    </row>
    <row r="35" spans="2:10" ht="24.75" hidden="1" customHeight="1" x14ac:dyDescent="0.3">
      <c r="B35" s="79" t="s">
        <v>102</v>
      </c>
      <c r="C35" s="202" t="s">
        <v>101</v>
      </c>
      <c r="D35" s="202"/>
      <c r="E35" s="202"/>
      <c r="F35" s="202"/>
      <c r="G35" s="202"/>
      <c r="H35" s="202"/>
      <c r="I35" s="202"/>
      <c r="J35" s="203"/>
    </row>
    <row r="36" spans="2:10" ht="15.75" hidden="1" customHeight="1" x14ac:dyDescent="0.3">
      <c r="B36" s="79" t="s">
        <v>105</v>
      </c>
      <c r="C36" s="202" t="s">
        <v>107</v>
      </c>
      <c r="D36" s="202"/>
      <c r="E36" s="202"/>
      <c r="F36" s="202"/>
      <c r="G36" s="202"/>
      <c r="H36" s="202"/>
      <c r="I36" s="202"/>
      <c r="J36" s="204"/>
    </row>
    <row r="37" spans="2:10" ht="15.75" hidden="1" customHeight="1" x14ac:dyDescent="0.3">
      <c r="B37" s="79" t="s">
        <v>106</v>
      </c>
      <c r="C37" s="202" t="s">
        <v>108</v>
      </c>
      <c r="D37" s="202"/>
      <c r="E37" s="202"/>
      <c r="F37" s="202"/>
      <c r="G37" s="202"/>
      <c r="H37" s="202"/>
      <c r="I37" s="202"/>
      <c r="J37" s="203"/>
    </row>
    <row r="38" spans="2:10" ht="15.75" hidden="1" customHeight="1" x14ac:dyDescent="0.3">
      <c r="B38" s="79" t="s">
        <v>119</v>
      </c>
      <c r="C38" s="202" t="s">
        <v>121</v>
      </c>
      <c r="D38" s="202"/>
      <c r="E38" s="202"/>
      <c r="F38" s="202"/>
      <c r="G38" s="202"/>
      <c r="H38" s="202"/>
      <c r="I38" s="202"/>
      <c r="J38" s="204"/>
    </row>
    <row r="39" spans="2:10" ht="15.75" hidden="1" customHeight="1" x14ac:dyDescent="0.3">
      <c r="B39" s="79" t="s">
        <v>120</v>
      </c>
      <c r="C39" s="202" t="s">
        <v>122</v>
      </c>
      <c r="D39" s="202"/>
      <c r="E39" s="202"/>
      <c r="F39" s="202"/>
      <c r="G39" s="202"/>
      <c r="H39" s="202"/>
      <c r="I39" s="202"/>
      <c r="J39" s="203"/>
    </row>
    <row r="40" spans="2:10" ht="28.5" hidden="1" customHeight="1" x14ac:dyDescent="0.3">
      <c r="B40" s="79" t="s">
        <v>115</v>
      </c>
      <c r="C40" s="202" t="s">
        <v>130</v>
      </c>
      <c r="D40" s="202"/>
      <c r="E40" s="202"/>
      <c r="F40" s="202"/>
      <c r="G40" s="202"/>
      <c r="H40" s="202"/>
      <c r="I40" s="202"/>
      <c r="J40" s="204"/>
    </row>
    <row r="41" spans="2:10" ht="27" hidden="1" customHeight="1" x14ac:dyDescent="0.3">
      <c r="B41" s="79" t="s">
        <v>116</v>
      </c>
      <c r="C41" s="202" t="s">
        <v>131</v>
      </c>
      <c r="D41" s="202"/>
      <c r="E41" s="202"/>
      <c r="F41" s="202"/>
      <c r="G41" s="202"/>
      <c r="H41" s="202"/>
      <c r="I41" s="202"/>
      <c r="J41" s="203"/>
    </row>
    <row r="42" spans="2:10" ht="27.75" hidden="1" customHeight="1" x14ac:dyDescent="0.3">
      <c r="B42" s="79" t="s">
        <v>113</v>
      </c>
      <c r="C42" s="202" t="s">
        <v>111</v>
      </c>
      <c r="D42" s="202"/>
      <c r="E42" s="202"/>
      <c r="F42" s="202"/>
      <c r="G42" s="202"/>
      <c r="H42" s="202"/>
      <c r="I42" s="202"/>
      <c r="J42" s="204"/>
    </row>
    <row r="43" spans="2:10" ht="27" hidden="1" customHeight="1" x14ac:dyDescent="0.3">
      <c r="B43" s="79" t="s">
        <v>114</v>
      </c>
      <c r="C43" s="202" t="s">
        <v>112</v>
      </c>
      <c r="D43" s="202"/>
      <c r="E43" s="202"/>
      <c r="F43" s="202"/>
      <c r="G43" s="202"/>
      <c r="H43" s="202"/>
      <c r="I43" s="202"/>
      <c r="J43" s="203"/>
    </row>
    <row r="44" spans="2:10" ht="26.25" customHeight="1" x14ac:dyDescent="0.25">
      <c r="B44" s="71" t="s">
        <v>241</v>
      </c>
      <c r="C44" s="202" t="s">
        <v>243</v>
      </c>
      <c r="D44" s="202"/>
      <c r="E44" s="202"/>
      <c r="F44" s="202"/>
      <c r="G44" s="202"/>
      <c r="H44" s="202"/>
      <c r="I44" s="202"/>
      <c r="J44" s="202"/>
    </row>
    <row r="45" spans="2:10" ht="23.25" customHeight="1" x14ac:dyDescent="0.25">
      <c r="B45" s="71" t="s">
        <v>242</v>
      </c>
      <c r="C45" s="205" t="s">
        <v>244</v>
      </c>
      <c r="D45" s="205"/>
      <c r="E45" s="205"/>
      <c r="F45" s="205"/>
      <c r="G45" s="205"/>
      <c r="H45" s="205"/>
      <c r="I45" s="205"/>
      <c r="J45" s="205"/>
    </row>
    <row r="80" spans="2:2" x14ac:dyDescent="0.25">
      <c r="B80" s="77"/>
    </row>
  </sheetData>
  <mergeCells count="41">
    <mergeCell ref="B1:K1"/>
    <mergeCell ref="C26:J26"/>
    <mergeCell ref="C16:J16"/>
    <mergeCell ref="C18:J18"/>
    <mergeCell ref="C24:J24"/>
    <mergeCell ref="C13:J13"/>
    <mergeCell ref="B2:K2"/>
    <mergeCell ref="C19:J19"/>
    <mergeCell ref="B4:K4"/>
    <mergeCell ref="B8:J8"/>
    <mergeCell ref="C12:J12"/>
    <mergeCell ref="C17:J17"/>
    <mergeCell ref="A3:K3"/>
    <mergeCell ref="C11:J11"/>
    <mergeCell ref="C15:J15"/>
    <mergeCell ref="B5:K5"/>
    <mergeCell ref="C14:J14"/>
    <mergeCell ref="C37:J37"/>
    <mergeCell ref="C39:J39"/>
    <mergeCell ref="C29:J29"/>
    <mergeCell ref="C38:J38"/>
    <mergeCell ref="C20:J20"/>
    <mergeCell ref="C22:J22"/>
    <mergeCell ref="C36:J36"/>
    <mergeCell ref="C30:J30"/>
    <mergeCell ref="C45:J45"/>
    <mergeCell ref="C41:J41"/>
    <mergeCell ref="C23:J23"/>
    <mergeCell ref="C33:J33"/>
    <mergeCell ref="C32:J32"/>
    <mergeCell ref="C34:J34"/>
    <mergeCell ref="C21:J21"/>
    <mergeCell ref="C31:J31"/>
    <mergeCell ref="C28:J28"/>
    <mergeCell ref="C27:J27"/>
    <mergeCell ref="C44:J44"/>
    <mergeCell ref="C43:J43"/>
    <mergeCell ref="C35:J35"/>
    <mergeCell ref="C40:J40"/>
    <mergeCell ref="C42:J42"/>
    <mergeCell ref="C25:J25"/>
  </mergeCells>
  <pageMargins left="0.7" right="0.48958333333333331" top="0.45" bottom="0.75" header="0.3" footer="0.3"/>
  <pageSetup paperSize="9" scale="96" orientation="portrait" r:id="rId1"/>
  <headerFooter>
    <oddFooter>&amp;C&amp;"Times New Roman,Regular"&amp;8&amp;F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7"/>
  <sheetViews>
    <sheetView view="pageLayout" topLeftCell="A55" zoomScale="80" zoomScaleNormal="90" zoomScalePageLayoutView="80" workbookViewId="0">
      <selection activeCell="A80" sqref="A80:B80"/>
    </sheetView>
  </sheetViews>
  <sheetFormatPr defaultColWidth="9.1796875" defaultRowHeight="15.5" x14ac:dyDescent="0.35"/>
  <cols>
    <col min="1" max="1" width="19.26953125" style="12" customWidth="1"/>
    <col min="2" max="2" width="90.54296875" style="12" customWidth="1"/>
    <col min="3" max="3" width="10" style="12" hidden="1" customWidth="1"/>
    <col min="4" max="4" width="25.1796875" style="12" hidden="1" customWidth="1"/>
    <col min="5" max="5" width="28" style="12" hidden="1" customWidth="1"/>
    <col min="6" max="6" width="30.7265625" style="12" customWidth="1"/>
    <col min="7" max="16384" width="9.1796875" style="12"/>
  </cols>
  <sheetData>
    <row r="1" spans="1:8" ht="15.75" customHeight="1" x14ac:dyDescent="0.35">
      <c r="B1" s="10"/>
      <c r="C1" s="10"/>
      <c r="D1" s="49" t="s">
        <v>50</v>
      </c>
      <c r="E1" s="49" t="s">
        <v>50</v>
      </c>
      <c r="F1" s="49" t="s">
        <v>50</v>
      </c>
    </row>
    <row r="2" spans="1:8" ht="15.75" customHeight="1" x14ac:dyDescent="0.35">
      <c r="E2" s="51"/>
      <c r="F2" s="10" t="s">
        <v>54</v>
      </c>
      <c r="G2" s="197"/>
      <c r="H2" s="197"/>
    </row>
    <row r="3" spans="1:8" x14ac:dyDescent="0.35">
      <c r="B3" s="11"/>
      <c r="C3" s="11"/>
      <c r="D3" s="46" t="s">
        <v>76</v>
      </c>
      <c r="E3" s="46" t="s">
        <v>76</v>
      </c>
      <c r="F3" s="46" t="s">
        <v>76</v>
      </c>
    </row>
    <row r="4" spans="1:8" x14ac:dyDescent="0.35">
      <c r="B4" s="10"/>
      <c r="C4" s="10"/>
      <c r="D4" s="37"/>
      <c r="E4" s="37"/>
      <c r="F4" s="37"/>
    </row>
    <row r="5" spans="1:8" x14ac:dyDescent="0.35">
      <c r="B5" s="51"/>
      <c r="C5" s="51"/>
    </row>
    <row r="6" spans="1:8" x14ac:dyDescent="0.35">
      <c r="B6" s="51"/>
      <c r="C6" s="51"/>
      <c r="D6" s="37" t="s">
        <v>196</v>
      </c>
      <c r="E6" s="37" t="s">
        <v>196</v>
      </c>
      <c r="F6" s="37" t="s">
        <v>246</v>
      </c>
    </row>
    <row r="7" spans="1:8" x14ac:dyDescent="0.35">
      <c r="D7" s="20"/>
      <c r="E7" s="20"/>
      <c r="F7" s="20"/>
    </row>
    <row r="8" spans="1:8" x14ac:dyDescent="0.35">
      <c r="A8" s="209" t="s">
        <v>10</v>
      </c>
      <c r="B8" s="209"/>
      <c r="C8" s="209"/>
      <c r="D8" s="209"/>
      <c r="E8" s="50"/>
      <c r="F8" s="50"/>
    </row>
    <row r="9" spans="1:8" x14ac:dyDescent="0.35">
      <c r="B9" s="53"/>
      <c r="C9" s="53"/>
      <c r="D9" s="20"/>
      <c r="E9" s="20"/>
      <c r="F9" s="20"/>
    </row>
    <row r="10" spans="1:8" x14ac:dyDescent="0.35">
      <c r="A10" s="210" t="s">
        <v>1</v>
      </c>
      <c r="B10" s="210"/>
      <c r="C10" s="9"/>
      <c r="D10" s="20"/>
      <c r="E10" s="20"/>
      <c r="F10" s="20"/>
    </row>
    <row r="11" spans="1:8" x14ac:dyDescent="0.35">
      <c r="A11" s="210" t="s">
        <v>0</v>
      </c>
      <c r="B11" s="210"/>
      <c r="C11" s="9"/>
      <c r="D11" s="20"/>
      <c r="E11" s="20"/>
      <c r="F11" s="20"/>
    </row>
    <row r="12" spans="1:8" x14ac:dyDescent="0.35">
      <c r="A12" s="9"/>
      <c r="B12" s="9" t="s">
        <v>213</v>
      </c>
      <c r="C12" s="9"/>
      <c r="D12" s="20"/>
      <c r="E12" s="20"/>
      <c r="F12" s="20"/>
    </row>
    <row r="13" spans="1:8" x14ac:dyDescent="0.35">
      <c r="A13" s="9"/>
      <c r="B13" s="9" t="s">
        <v>214</v>
      </c>
      <c r="C13" s="9"/>
      <c r="D13" s="20"/>
      <c r="E13" s="20"/>
      <c r="F13" s="20"/>
    </row>
    <row r="14" spans="1:8" x14ac:dyDescent="0.35">
      <c r="A14" s="9"/>
      <c r="B14" s="9" t="s">
        <v>217</v>
      </c>
      <c r="C14" s="9"/>
      <c r="D14" s="20"/>
      <c r="E14" s="20"/>
      <c r="F14" s="20"/>
    </row>
    <row r="15" spans="1:8" x14ac:dyDescent="0.35">
      <c r="A15" s="9"/>
      <c r="B15" s="9" t="s">
        <v>218</v>
      </c>
      <c r="C15" s="9"/>
      <c r="D15" s="20"/>
      <c r="E15" s="20"/>
      <c r="F15" s="20"/>
    </row>
    <row r="16" spans="1:8" x14ac:dyDescent="0.35">
      <c r="A16" s="9" t="s">
        <v>2</v>
      </c>
      <c r="B16" s="9" t="s">
        <v>197</v>
      </c>
      <c r="C16" s="9"/>
      <c r="D16" s="20"/>
      <c r="E16" s="20"/>
      <c r="F16" s="20"/>
    </row>
    <row r="17" spans="1:6" ht="69.75" customHeight="1" x14ac:dyDescent="0.35">
      <c r="A17" s="43" t="s">
        <v>3</v>
      </c>
      <c r="B17" s="43" t="s">
        <v>4</v>
      </c>
      <c r="C17" s="43"/>
      <c r="D17" s="43" t="s">
        <v>5</v>
      </c>
      <c r="E17" s="43" t="s">
        <v>5</v>
      </c>
      <c r="F17" s="43" t="s">
        <v>5</v>
      </c>
    </row>
    <row r="18" spans="1:6" x14ac:dyDescent="0.35">
      <c r="A18" s="22">
        <v>1</v>
      </c>
      <c r="B18" s="23">
        <v>2</v>
      </c>
      <c r="C18" s="23"/>
      <c r="D18" s="23">
        <v>3</v>
      </c>
      <c r="E18" s="23">
        <v>3</v>
      </c>
      <c r="F18" s="23">
        <v>3</v>
      </c>
    </row>
    <row r="19" spans="1:6" x14ac:dyDescent="0.35">
      <c r="A19" s="22"/>
      <c r="B19" s="54" t="s">
        <v>6</v>
      </c>
      <c r="C19" s="54"/>
      <c r="D19" s="55"/>
      <c r="E19" s="55"/>
      <c r="F19" s="55"/>
    </row>
    <row r="20" spans="1:6" x14ac:dyDescent="0.35">
      <c r="A20" s="27">
        <v>1100</v>
      </c>
      <c r="B20" s="27" t="s">
        <v>134</v>
      </c>
      <c r="C20" s="27"/>
      <c r="D20" s="28">
        <v>1652.23</v>
      </c>
      <c r="E20" s="28">
        <v>7269.81</v>
      </c>
      <c r="F20" s="28">
        <f>E20/200*250</f>
        <v>9087.2625000000007</v>
      </c>
    </row>
    <row r="21" spans="1:6" x14ac:dyDescent="0.35">
      <c r="A21" s="27">
        <v>1200</v>
      </c>
      <c r="B21" s="55" t="s">
        <v>135</v>
      </c>
      <c r="C21" s="55"/>
      <c r="D21" s="28">
        <v>389.76</v>
      </c>
      <c r="E21" s="28">
        <v>1714.95</v>
      </c>
      <c r="F21" s="28">
        <f t="shared" ref="F21:F39" si="0">E21/200*250</f>
        <v>2143.6875</v>
      </c>
    </row>
    <row r="22" spans="1:6" x14ac:dyDescent="0.35">
      <c r="A22" s="27">
        <v>2222</v>
      </c>
      <c r="B22" s="56" t="s">
        <v>139</v>
      </c>
      <c r="C22" s="56"/>
      <c r="D22" s="28">
        <v>71.569999999999993</v>
      </c>
      <c r="E22" s="28">
        <v>515.29999999999995</v>
      </c>
      <c r="F22" s="28">
        <f t="shared" si="0"/>
        <v>644.125</v>
      </c>
    </row>
    <row r="23" spans="1:6" x14ac:dyDescent="0.35">
      <c r="A23" s="27">
        <v>2223</v>
      </c>
      <c r="B23" s="56" t="s">
        <v>140</v>
      </c>
      <c r="C23" s="56"/>
      <c r="D23" s="28">
        <v>204.6</v>
      </c>
      <c r="E23" s="28">
        <v>900.24</v>
      </c>
      <c r="F23" s="28">
        <f t="shared" si="0"/>
        <v>1125.3</v>
      </c>
    </row>
    <row r="24" spans="1:6" ht="31" x14ac:dyDescent="0.35">
      <c r="A24" s="27">
        <v>2224</v>
      </c>
      <c r="B24" s="56" t="s">
        <v>141</v>
      </c>
      <c r="C24" s="56"/>
      <c r="D24" s="28">
        <v>0.64</v>
      </c>
      <c r="E24" s="28">
        <v>2.94</v>
      </c>
      <c r="F24" s="28">
        <f t="shared" si="0"/>
        <v>3.6749999999999998</v>
      </c>
    </row>
    <row r="25" spans="1:6" x14ac:dyDescent="0.35">
      <c r="A25" s="27">
        <v>2231</v>
      </c>
      <c r="B25" s="56" t="s">
        <v>142</v>
      </c>
      <c r="C25" s="56"/>
      <c r="D25" s="28">
        <v>3.08</v>
      </c>
      <c r="E25" s="28">
        <v>12.32</v>
      </c>
      <c r="F25" s="28">
        <f t="shared" si="0"/>
        <v>15.4</v>
      </c>
    </row>
    <row r="26" spans="1:6" x14ac:dyDescent="0.35">
      <c r="A26" s="27">
        <v>2239</v>
      </c>
      <c r="B26" s="109" t="s">
        <v>195</v>
      </c>
      <c r="C26" s="56"/>
      <c r="D26" s="28">
        <v>0.4</v>
      </c>
      <c r="E26" s="28">
        <v>1.6</v>
      </c>
      <c r="F26" s="28">
        <f t="shared" si="0"/>
        <v>2</v>
      </c>
    </row>
    <row r="27" spans="1:6" x14ac:dyDescent="0.35">
      <c r="A27" s="27">
        <v>2243</v>
      </c>
      <c r="B27" s="54" t="s">
        <v>147</v>
      </c>
      <c r="C27" s="54"/>
      <c r="D27" s="28">
        <v>6.87</v>
      </c>
      <c r="E27" s="28">
        <v>41.22</v>
      </c>
      <c r="F27" s="28">
        <f t="shared" si="0"/>
        <v>51.524999999999999</v>
      </c>
    </row>
    <row r="28" spans="1:6" x14ac:dyDescent="0.35">
      <c r="A28" s="27">
        <v>2244</v>
      </c>
      <c r="B28" s="54" t="s">
        <v>148</v>
      </c>
      <c r="C28" s="54"/>
      <c r="D28" s="28">
        <v>273.42</v>
      </c>
      <c r="E28" s="28">
        <v>1093.68</v>
      </c>
      <c r="F28" s="28">
        <f t="shared" si="0"/>
        <v>1367.1</v>
      </c>
    </row>
    <row r="29" spans="1:6" x14ac:dyDescent="0.35">
      <c r="A29" s="27">
        <v>2250</v>
      </c>
      <c r="B29" s="54" t="s">
        <v>151</v>
      </c>
      <c r="C29" s="54"/>
      <c r="D29" s="28">
        <v>14.5</v>
      </c>
      <c r="E29" s="28">
        <v>58</v>
      </c>
      <c r="F29" s="28">
        <f t="shared" si="0"/>
        <v>72.5</v>
      </c>
    </row>
    <row r="30" spans="1:6" x14ac:dyDescent="0.35">
      <c r="A30" s="27">
        <v>2311</v>
      </c>
      <c r="B30" s="56" t="s">
        <v>155</v>
      </c>
      <c r="C30" s="54"/>
      <c r="D30" s="28">
        <v>213.54</v>
      </c>
      <c r="E30" s="28">
        <v>854.16</v>
      </c>
      <c r="F30" s="28">
        <f t="shared" si="0"/>
        <v>1067.6999999999998</v>
      </c>
    </row>
    <row r="31" spans="1:6" x14ac:dyDescent="0.35">
      <c r="A31" s="27">
        <v>2312</v>
      </c>
      <c r="B31" s="54" t="s">
        <v>156</v>
      </c>
      <c r="C31" s="54"/>
      <c r="D31" s="28">
        <v>100.79</v>
      </c>
      <c r="E31" s="28">
        <v>403.16</v>
      </c>
      <c r="F31" s="28">
        <f t="shared" si="0"/>
        <v>503.95</v>
      </c>
    </row>
    <row r="32" spans="1:6" x14ac:dyDescent="0.35">
      <c r="A32" s="27">
        <v>2314</v>
      </c>
      <c r="B32" s="54" t="s">
        <v>157</v>
      </c>
      <c r="C32" s="54"/>
      <c r="D32" s="28">
        <v>0.33</v>
      </c>
      <c r="E32" s="28">
        <v>1.32</v>
      </c>
      <c r="F32" s="28">
        <f t="shared" si="0"/>
        <v>1.65</v>
      </c>
    </row>
    <row r="33" spans="1:6" x14ac:dyDescent="0.35">
      <c r="A33" s="27">
        <v>2321</v>
      </c>
      <c r="B33" s="56" t="s">
        <v>158</v>
      </c>
      <c r="C33" s="56"/>
      <c r="D33" s="28">
        <v>155.12</v>
      </c>
      <c r="E33" s="28">
        <v>806.62</v>
      </c>
      <c r="F33" s="28">
        <f t="shared" si="0"/>
        <v>1008.275</v>
      </c>
    </row>
    <row r="34" spans="1:6" x14ac:dyDescent="0.35">
      <c r="A34" s="27">
        <v>2341</v>
      </c>
      <c r="B34" s="56" t="s">
        <v>136</v>
      </c>
      <c r="C34" s="56"/>
      <c r="D34" s="28">
        <v>33.03</v>
      </c>
      <c r="E34" s="28">
        <v>132.12</v>
      </c>
      <c r="F34" s="28">
        <f t="shared" si="0"/>
        <v>165.15</v>
      </c>
    </row>
    <row r="35" spans="1:6" x14ac:dyDescent="0.35">
      <c r="A35" s="27">
        <v>2350</v>
      </c>
      <c r="B35" s="55" t="s">
        <v>137</v>
      </c>
      <c r="C35" s="56"/>
      <c r="D35" s="28">
        <v>65.88</v>
      </c>
      <c r="E35" s="28">
        <v>263.52</v>
      </c>
      <c r="F35" s="28">
        <f t="shared" si="0"/>
        <v>329.4</v>
      </c>
    </row>
    <row r="36" spans="1:6" x14ac:dyDescent="0.35">
      <c r="A36" s="27">
        <v>2361</v>
      </c>
      <c r="B36" s="56" t="s">
        <v>170</v>
      </c>
      <c r="C36" s="56"/>
      <c r="D36" s="28">
        <v>28.31</v>
      </c>
      <c r="E36" s="28">
        <v>113.24</v>
      </c>
      <c r="F36" s="28">
        <f t="shared" si="0"/>
        <v>141.54999999999998</v>
      </c>
    </row>
    <row r="37" spans="1:6" x14ac:dyDescent="0.35">
      <c r="A37" s="27">
        <v>2362</v>
      </c>
      <c r="B37" s="56" t="s">
        <v>171</v>
      </c>
      <c r="C37" s="56"/>
      <c r="D37" s="28">
        <v>2.41</v>
      </c>
      <c r="E37" s="28">
        <v>9.64</v>
      </c>
      <c r="F37" s="28">
        <f t="shared" si="0"/>
        <v>12.05</v>
      </c>
    </row>
    <row r="38" spans="1:6" x14ac:dyDescent="0.35">
      <c r="A38" s="27">
        <v>2363</v>
      </c>
      <c r="B38" s="56" t="s">
        <v>172</v>
      </c>
      <c r="C38" s="192"/>
      <c r="D38" s="28">
        <f>9.75*50</f>
        <v>487.5</v>
      </c>
      <c r="E38" s="28">
        <v>1950</v>
      </c>
      <c r="F38" s="28">
        <f t="shared" si="0"/>
        <v>2437.5</v>
      </c>
    </row>
    <row r="39" spans="1:6" x14ac:dyDescent="0.35">
      <c r="A39" s="27">
        <v>5239</v>
      </c>
      <c r="B39" s="55" t="s">
        <v>165</v>
      </c>
      <c r="C39" s="55"/>
      <c r="D39" s="28">
        <v>131.91</v>
      </c>
      <c r="E39" s="28">
        <v>527.64</v>
      </c>
      <c r="F39" s="28">
        <f t="shared" si="0"/>
        <v>659.55</v>
      </c>
    </row>
    <row r="40" spans="1:6" x14ac:dyDescent="0.35">
      <c r="A40" s="27"/>
      <c r="B40" s="57" t="s">
        <v>7</v>
      </c>
      <c r="C40" s="57"/>
      <c r="D40" s="31">
        <f>SUM(D20:D39)</f>
        <v>3835.8899999999994</v>
      </c>
      <c r="E40" s="31">
        <f>SUM(E20:E39)</f>
        <v>16671.48</v>
      </c>
      <c r="F40" s="31">
        <f>SUM(F20:F39)</f>
        <v>20839.349999999999</v>
      </c>
    </row>
    <row r="41" spans="1:6" x14ac:dyDescent="0.35">
      <c r="A41" s="32"/>
      <c r="B41" s="57" t="s">
        <v>8</v>
      </c>
      <c r="C41" s="57"/>
      <c r="D41" s="28"/>
      <c r="E41" s="28"/>
      <c r="F41" s="28"/>
    </row>
    <row r="42" spans="1:6" x14ac:dyDescent="0.35">
      <c r="A42" s="27">
        <v>1100</v>
      </c>
      <c r="B42" s="54" t="s">
        <v>134</v>
      </c>
      <c r="C42" s="55">
        <v>0.51439999999999997</v>
      </c>
      <c r="D42" s="28">
        <v>732.83</v>
      </c>
      <c r="E42" s="28">
        <v>3283.08</v>
      </c>
      <c r="F42" s="28">
        <f t="shared" ref="F42:F72" si="1">E42/200*250</f>
        <v>4103.8499999999995</v>
      </c>
    </row>
    <row r="43" spans="1:6" ht="16.5" customHeight="1" x14ac:dyDescent="0.35">
      <c r="A43" s="27">
        <v>1200</v>
      </c>
      <c r="B43" s="54" t="s">
        <v>135</v>
      </c>
      <c r="C43" s="55">
        <f>C42*0.2359</f>
        <v>0.12134695999999999</v>
      </c>
      <c r="D43" s="28">
        <v>172.88</v>
      </c>
      <c r="E43" s="28">
        <v>774.48</v>
      </c>
      <c r="F43" s="28">
        <f t="shared" si="1"/>
        <v>968.1</v>
      </c>
    </row>
    <row r="44" spans="1:6" ht="16.5" customHeight="1" x14ac:dyDescent="0.35">
      <c r="A44" s="27">
        <v>2100</v>
      </c>
      <c r="B44" s="33" t="s">
        <v>44</v>
      </c>
      <c r="C44" s="55">
        <v>8.0999999999999996E-4</v>
      </c>
      <c r="D44" s="28">
        <v>1.1499999999999999</v>
      </c>
      <c r="E44" s="28">
        <v>4.5999999999999996</v>
      </c>
      <c r="F44" s="28">
        <f t="shared" si="1"/>
        <v>5.75</v>
      </c>
    </row>
    <row r="45" spans="1:6" x14ac:dyDescent="0.35">
      <c r="A45" s="34">
        <v>2210</v>
      </c>
      <c r="B45" s="56" t="s">
        <v>138</v>
      </c>
      <c r="C45" s="55">
        <v>8.0000000000000002E-3</v>
      </c>
      <c r="D45" s="28">
        <v>11.4</v>
      </c>
      <c r="E45" s="28">
        <v>51.55</v>
      </c>
      <c r="F45" s="28">
        <f t="shared" si="1"/>
        <v>64.4375</v>
      </c>
    </row>
    <row r="46" spans="1:6" x14ac:dyDescent="0.35">
      <c r="A46" s="27">
        <v>2222</v>
      </c>
      <c r="B46" s="56" t="s">
        <v>139</v>
      </c>
      <c r="C46" s="55">
        <v>4.4400000000000004E-3</v>
      </c>
      <c r="D46" s="28">
        <v>6.33</v>
      </c>
      <c r="E46" s="28">
        <v>50.64</v>
      </c>
      <c r="F46" s="28">
        <f t="shared" si="1"/>
        <v>63.3</v>
      </c>
    </row>
    <row r="47" spans="1:6" x14ac:dyDescent="0.35">
      <c r="A47" s="27">
        <v>2223</v>
      </c>
      <c r="B47" s="56" t="s">
        <v>140</v>
      </c>
      <c r="C47" s="55">
        <v>5.4940000000000003E-2</v>
      </c>
      <c r="D47" s="28">
        <v>78.27</v>
      </c>
      <c r="E47" s="28">
        <v>344.39</v>
      </c>
      <c r="F47" s="28">
        <f t="shared" si="1"/>
        <v>430.48749999999995</v>
      </c>
    </row>
    <row r="48" spans="1:6" ht="31" x14ac:dyDescent="0.35">
      <c r="A48" s="27">
        <v>2224</v>
      </c>
      <c r="B48" s="56" t="s">
        <v>141</v>
      </c>
      <c r="C48" s="55">
        <v>3.0899999999999999E-3</v>
      </c>
      <c r="D48" s="28">
        <v>4.4000000000000004</v>
      </c>
      <c r="E48" s="28">
        <v>26.4</v>
      </c>
      <c r="F48" s="28">
        <f t="shared" si="1"/>
        <v>33</v>
      </c>
    </row>
    <row r="49" spans="1:6" ht="15.75" customHeight="1" x14ac:dyDescent="0.35">
      <c r="A49" s="27">
        <v>2231</v>
      </c>
      <c r="B49" s="54" t="s">
        <v>142</v>
      </c>
      <c r="C49" s="55">
        <v>1.5E-3</v>
      </c>
      <c r="D49" s="28">
        <v>2.14</v>
      </c>
      <c r="E49" s="28">
        <v>8.56</v>
      </c>
      <c r="F49" s="28">
        <f t="shared" si="1"/>
        <v>10.700000000000001</v>
      </c>
    </row>
    <row r="50" spans="1:6" ht="15.75" customHeight="1" x14ac:dyDescent="0.35">
      <c r="A50" s="27">
        <v>2235</v>
      </c>
      <c r="B50" s="58" t="s">
        <v>143</v>
      </c>
      <c r="C50" s="55">
        <v>2.5100000000000001E-3</v>
      </c>
      <c r="D50" s="28">
        <v>3.58</v>
      </c>
      <c r="E50" s="28">
        <v>14.32</v>
      </c>
      <c r="F50" s="28">
        <f t="shared" si="1"/>
        <v>17.899999999999999</v>
      </c>
    </row>
    <row r="51" spans="1:6" x14ac:dyDescent="0.35">
      <c r="A51" s="27">
        <v>2239</v>
      </c>
      <c r="B51" s="54" t="s">
        <v>144</v>
      </c>
      <c r="C51" s="55">
        <v>1.7899999999999999E-3</v>
      </c>
      <c r="D51" s="28">
        <v>2.5499999999999998</v>
      </c>
      <c r="E51" s="28">
        <v>10.199999999999999</v>
      </c>
      <c r="F51" s="28">
        <f t="shared" si="1"/>
        <v>12.75</v>
      </c>
    </row>
    <row r="52" spans="1:6" x14ac:dyDescent="0.35">
      <c r="A52" s="27">
        <v>2241</v>
      </c>
      <c r="B52" s="54" t="s">
        <v>145</v>
      </c>
      <c r="C52" s="55">
        <v>1.6500000000000001E-2</v>
      </c>
      <c r="D52" s="28">
        <v>23.51</v>
      </c>
      <c r="E52" s="28">
        <v>103.44</v>
      </c>
      <c r="F52" s="28">
        <f t="shared" si="1"/>
        <v>129.30000000000001</v>
      </c>
    </row>
    <row r="53" spans="1:6" x14ac:dyDescent="0.35">
      <c r="A53" s="27">
        <v>2242</v>
      </c>
      <c r="B53" s="56" t="s">
        <v>146</v>
      </c>
      <c r="C53" s="55">
        <v>8.4999999999999995E-4</v>
      </c>
      <c r="D53" s="28">
        <v>1.21</v>
      </c>
      <c r="E53" s="28">
        <v>4.84</v>
      </c>
      <c r="F53" s="28">
        <f t="shared" si="1"/>
        <v>6.05</v>
      </c>
    </row>
    <row r="54" spans="1:6" ht="15.75" customHeight="1" x14ac:dyDescent="0.35">
      <c r="A54" s="27">
        <v>2243</v>
      </c>
      <c r="B54" s="54" t="s">
        <v>147</v>
      </c>
      <c r="C54" s="55">
        <v>4.0000000000000002E-4</v>
      </c>
      <c r="D54" s="28">
        <v>0.56999999999999995</v>
      </c>
      <c r="E54" s="28">
        <v>4.5599999999999996</v>
      </c>
      <c r="F54" s="28">
        <f t="shared" si="1"/>
        <v>5.6999999999999993</v>
      </c>
    </row>
    <row r="55" spans="1:6" x14ac:dyDescent="0.35">
      <c r="A55" s="27">
        <v>2244</v>
      </c>
      <c r="B55" s="54" t="s">
        <v>148</v>
      </c>
      <c r="C55" s="55">
        <v>6.8070000000000006E-2</v>
      </c>
      <c r="D55" s="28">
        <v>96.48</v>
      </c>
      <c r="E55" s="28">
        <v>424.51</v>
      </c>
      <c r="F55" s="28">
        <f t="shared" si="1"/>
        <v>530.63749999999993</v>
      </c>
    </row>
    <row r="56" spans="1:6" x14ac:dyDescent="0.35">
      <c r="A56" s="27">
        <v>2247</v>
      </c>
      <c r="B56" s="54" t="s">
        <v>149</v>
      </c>
      <c r="C56" s="55">
        <v>2.2000000000000001E-4</v>
      </c>
      <c r="D56" s="28">
        <v>0.31</v>
      </c>
      <c r="E56" s="28">
        <v>1.24</v>
      </c>
      <c r="F56" s="28">
        <f t="shared" si="1"/>
        <v>1.55</v>
      </c>
    </row>
    <row r="57" spans="1:6" x14ac:dyDescent="0.35">
      <c r="A57" s="27">
        <v>2249</v>
      </c>
      <c r="B57" s="54" t="s">
        <v>150</v>
      </c>
      <c r="C57" s="55">
        <v>2.5000000000000001E-4</v>
      </c>
      <c r="D57" s="28">
        <v>0.36</v>
      </c>
      <c r="E57" s="28">
        <v>1.44</v>
      </c>
      <c r="F57" s="28">
        <f t="shared" si="1"/>
        <v>1.8</v>
      </c>
    </row>
    <row r="58" spans="1:6" x14ac:dyDescent="0.35">
      <c r="A58" s="27">
        <v>2250</v>
      </c>
      <c r="B58" s="54" t="s">
        <v>151</v>
      </c>
      <c r="C58" s="55">
        <v>2.8400000000000002E-2</v>
      </c>
      <c r="D58" s="28">
        <v>40.46</v>
      </c>
      <c r="E58" s="28">
        <v>178.02</v>
      </c>
      <c r="F58" s="28">
        <f t="shared" si="1"/>
        <v>222.52500000000001</v>
      </c>
    </row>
    <row r="59" spans="1:6" x14ac:dyDescent="0.35">
      <c r="A59" s="27">
        <v>2262</v>
      </c>
      <c r="B59" s="56" t="s">
        <v>152</v>
      </c>
      <c r="C59" s="55">
        <v>1.137E-2</v>
      </c>
      <c r="D59" s="28">
        <v>16.2</v>
      </c>
      <c r="E59" s="28">
        <v>64.8</v>
      </c>
      <c r="F59" s="28">
        <f t="shared" si="1"/>
        <v>81</v>
      </c>
    </row>
    <row r="60" spans="1:6" x14ac:dyDescent="0.35">
      <c r="A60" s="27">
        <v>2263</v>
      </c>
      <c r="B60" s="56" t="s">
        <v>153</v>
      </c>
      <c r="C60" s="55">
        <v>4.58E-2</v>
      </c>
      <c r="D60" s="28">
        <v>65.25</v>
      </c>
      <c r="E60" s="28">
        <v>261</v>
      </c>
      <c r="F60" s="28">
        <f t="shared" si="1"/>
        <v>326.25</v>
      </c>
    </row>
    <row r="61" spans="1:6" x14ac:dyDescent="0.35">
      <c r="A61" s="27">
        <v>2264</v>
      </c>
      <c r="B61" s="54" t="s">
        <v>154</v>
      </c>
      <c r="C61" s="55">
        <v>2.4000000000000001E-4</v>
      </c>
      <c r="D61" s="28">
        <v>0.34</v>
      </c>
      <c r="E61" s="28">
        <v>1.36</v>
      </c>
      <c r="F61" s="28">
        <f t="shared" si="1"/>
        <v>1.7000000000000002</v>
      </c>
    </row>
    <row r="62" spans="1:6" x14ac:dyDescent="0.35">
      <c r="A62" s="27">
        <v>2311</v>
      </c>
      <c r="B62" s="56" t="s">
        <v>155</v>
      </c>
      <c r="C62" s="108">
        <v>7.1000000000000002E-4</v>
      </c>
      <c r="D62" s="28">
        <v>1.01</v>
      </c>
      <c r="E62" s="28">
        <v>4.04</v>
      </c>
      <c r="F62" s="28">
        <f t="shared" si="1"/>
        <v>5.05</v>
      </c>
    </row>
    <row r="63" spans="1:6" x14ac:dyDescent="0.35">
      <c r="A63" s="27">
        <v>2314</v>
      </c>
      <c r="B63" s="58" t="s">
        <v>157</v>
      </c>
      <c r="C63" s="55">
        <v>4.6000000000000001E-4</v>
      </c>
      <c r="D63" s="28">
        <v>0.66</v>
      </c>
      <c r="E63" s="28">
        <v>2.64</v>
      </c>
      <c r="F63" s="28">
        <f t="shared" si="1"/>
        <v>3.3</v>
      </c>
    </row>
    <row r="64" spans="1:6" x14ac:dyDescent="0.35">
      <c r="A64" s="27">
        <v>2321</v>
      </c>
      <c r="B64" s="56" t="s">
        <v>158</v>
      </c>
      <c r="C64" s="55">
        <v>6.0220000000000003E-2</v>
      </c>
      <c r="D64" s="28">
        <v>85.79</v>
      </c>
      <c r="E64" s="28">
        <v>377.48</v>
      </c>
      <c r="F64" s="28">
        <f t="shared" si="1"/>
        <v>471.85</v>
      </c>
    </row>
    <row r="65" spans="1:6" x14ac:dyDescent="0.35">
      <c r="A65" s="27">
        <v>2322</v>
      </c>
      <c r="B65" s="56" t="s">
        <v>159</v>
      </c>
      <c r="C65" s="55">
        <v>2.0999999999999999E-3</v>
      </c>
      <c r="D65" s="28">
        <v>2.99</v>
      </c>
      <c r="E65" s="28">
        <v>13.16</v>
      </c>
      <c r="F65" s="28">
        <f t="shared" si="1"/>
        <v>16.45</v>
      </c>
    </row>
    <row r="66" spans="1:6" ht="15.75" customHeight="1" x14ac:dyDescent="0.35">
      <c r="A66" s="27">
        <v>2513</v>
      </c>
      <c r="B66" s="55" t="s">
        <v>160</v>
      </c>
      <c r="C66" s="55">
        <v>6.3000000000000003E-4</v>
      </c>
      <c r="D66" s="28">
        <v>0.9</v>
      </c>
      <c r="E66" s="28">
        <v>3.6</v>
      </c>
      <c r="F66" s="28">
        <f t="shared" si="1"/>
        <v>4.5000000000000009</v>
      </c>
    </row>
    <row r="67" spans="1:6" x14ac:dyDescent="0.35">
      <c r="A67" s="27">
        <v>2515</v>
      </c>
      <c r="B67" s="56" t="s">
        <v>161</v>
      </c>
      <c r="C67" s="55">
        <v>2.7499999999999998E-3</v>
      </c>
      <c r="D67" s="28">
        <v>3.92</v>
      </c>
      <c r="E67" s="28">
        <v>15.68</v>
      </c>
      <c r="F67" s="28">
        <f t="shared" si="1"/>
        <v>19.599999999999998</v>
      </c>
    </row>
    <row r="68" spans="1:6" x14ac:dyDescent="0.35">
      <c r="A68" s="27">
        <v>2519</v>
      </c>
      <c r="B68" s="56" t="s">
        <v>162</v>
      </c>
      <c r="C68" s="55">
        <v>1.5100000000000001E-3</v>
      </c>
      <c r="D68" s="28">
        <v>2.15</v>
      </c>
      <c r="E68" s="28">
        <v>8.6</v>
      </c>
      <c r="F68" s="28">
        <f t="shared" si="1"/>
        <v>10.75</v>
      </c>
    </row>
    <row r="69" spans="1:6" x14ac:dyDescent="0.35">
      <c r="A69" s="27">
        <v>5220</v>
      </c>
      <c r="B69" s="56" t="s">
        <v>163</v>
      </c>
      <c r="C69" s="55">
        <v>1.06E-2</v>
      </c>
      <c r="D69" s="28">
        <v>15.1</v>
      </c>
      <c r="E69" s="28">
        <v>60.4</v>
      </c>
      <c r="F69" s="28">
        <f t="shared" si="1"/>
        <v>75.5</v>
      </c>
    </row>
    <row r="70" spans="1:6" x14ac:dyDescent="0.35">
      <c r="A70" s="27">
        <v>5238</v>
      </c>
      <c r="B70" s="55" t="s">
        <v>164</v>
      </c>
      <c r="C70" s="55">
        <v>1.65E-3</v>
      </c>
      <c r="D70" s="28">
        <v>2.35</v>
      </c>
      <c r="E70" s="28">
        <v>9.4</v>
      </c>
      <c r="F70" s="28">
        <f t="shared" si="1"/>
        <v>11.75</v>
      </c>
    </row>
    <row r="71" spans="1:6" x14ac:dyDescent="0.35">
      <c r="A71" s="27">
        <v>5239</v>
      </c>
      <c r="B71" s="55" t="s">
        <v>165</v>
      </c>
      <c r="C71" s="55">
        <v>1.9800000000000002E-2</v>
      </c>
      <c r="D71" s="28">
        <v>28.21</v>
      </c>
      <c r="E71" s="28">
        <v>110.84</v>
      </c>
      <c r="F71" s="28">
        <f t="shared" si="1"/>
        <v>138.55000000000001</v>
      </c>
    </row>
    <row r="72" spans="1:6" x14ac:dyDescent="0.35">
      <c r="A72" s="27">
        <v>5250</v>
      </c>
      <c r="B72" s="56" t="s">
        <v>166</v>
      </c>
      <c r="C72" s="55">
        <v>1.4999999999999999E-2</v>
      </c>
      <c r="D72" s="28">
        <v>21.31</v>
      </c>
      <c r="E72" s="28">
        <v>85.25</v>
      </c>
      <c r="F72" s="28">
        <f t="shared" si="1"/>
        <v>106.5625</v>
      </c>
    </row>
    <row r="73" spans="1:6" x14ac:dyDescent="0.35">
      <c r="A73" s="32"/>
      <c r="B73" s="59" t="s">
        <v>167</v>
      </c>
      <c r="C73" s="59"/>
      <c r="D73" s="31">
        <f>SUM(D42:D72)</f>
        <v>1424.61</v>
      </c>
      <c r="E73" s="31">
        <f>SUM(E42:E72)</f>
        <v>6304.52</v>
      </c>
      <c r="F73" s="31">
        <f>SUM(F42:F72)</f>
        <v>7880.6500000000005</v>
      </c>
    </row>
    <row r="74" spans="1:6" x14ac:dyDescent="0.35">
      <c r="A74" s="32"/>
      <c r="B74" s="59" t="s">
        <v>168</v>
      </c>
      <c r="C74" s="59"/>
      <c r="D74" s="31">
        <f>D40+D73</f>
        <v>5260.4999999999991</v>
      </c>
      <c r="E74" s="31">
        <f>E40+E73</f>
        <v>22976</v>
      </c>
      <c r="F74" s="31">
        <f>F40+F73</f>
        <v>28720</v>
      </c>
    </row>
    <row r="75" spans="1:6" ht="12.75" customHeight="1" x14ac:dyDescent="0.35">
      <c r="A75" s="37"/>
      <c r="B75" s="20"/>
      <c r="C75" s="20"/>
      <c r="D75" s="60"/>
      <c r="E75" s="60"/>
      <c r="F75" s="60"/>
    </row>
    <row r="76" spans="1:6" ht="15.75" customHeight="1" x14ac:dyDescent="0.35">
      <c r="A76" s="211" t="s">
        <v>51</v>
      </c>
      <c r="B76" s="211"/>
      <c r="C76" s="61"/>
      <c r="D76" s="44">
        <v>50</v>
      </c>
      <c r="E76" s="44">
        <v>200</v>
      </c>
      <c r="F76" s="44">
        <v>250</v>
      </c>
    </row>
    <row r="77" spans="1:6" ht="15.75" customHeight="1" x14ac:dyDescent="0.35">
      <c r="A77" s="211" t="s">
        <v>58</v>
      </c>
      <c r="B77" s="211"/>
      <c r="C77" s="61"/>
      <c r="D77" s="45">
        <f>D74/D76</f>
        <v>105.20999999999998</v>
      </c>
      <c r="E77" s="45">
        <f>E74/E76</f>
        <v>114.88</v>
      </c>
      <c r="F77" s="45">
        <f>F74/F76</f>
        <v>114.88</v>
      </c>
    </row>
    <row r="78" spans="1:6" ht="9.75" customHeight="1" x14ac:dyDescent="0.35">
      <c r="A78" s="41"/>
      <c r="B78" s="42"/>
      <c r="C78" s="42"/>
    </row>
    <row r="79" spans="1:6" ht="15.75" customHeight="1" x14ac:dyDescent="0.35">
      <c r="A79" s="208" t="s">
        <v>52</v>
      </c>
      <c r="B79" s="208"/>
      <c r="C79" s="62"/>
      <c r="D79" s="186"/>
      <c r="E79" s="186"/>
      <c r="F79" s="186"/>
    </row>
    <row r="80" spans="1:6" ht="15.75" customHeight="1" x14ac:dyDescent="0.35">
      <c r="A80" s="208" t="s">
        <v>74</v>
      </c>
      <c r="B80" s="208"/>
      <c r="C80" s="62"/>
      <c r="D80" s="40"/>
      <c r="E80" s="40"/>
      <c r="F80" s="40"/>
    </row>
    <row r="81" spans="1:6" ht="8.25" customHeight="1" x14ac:dyDescent="0.35">
      <c r="A81" s="17"/>
      <c r="B81" s="17"/>
      <c r="C81" s="17"/>
      <c r="D81" s="17"/>
      <c r="E81" s="17"/>
      <c r="F81" s="17"/>
    </row>
    <row r="82" spans="1:6" x14ac:dyDescent="0.35">
      <c r="A82" s="17" t="s">
        <v>53</v>
      </c>
      <c r="B82" s="17"/>
      <c r="C82" s="17"/>
      <c r="D82" s="48"/>
      <c r="E82" s="48"/>
      <c r="F82" s="48"/>
    </row>
    <row r="83" spans="1:6" x14ac:dyDescent="0.35">
      <c r="A83" s="17"/>
      <c r="B83" s="17"/>
      <c r="C83" s="48"/>
      <c r="D83" s="48"/>
      <c r="E83" s="48"/>
      <c r="F83" s="48"/>
    </row>
    <row r="84" spans="1:6" x14ac:dyDescent="0.35">
      <c r="A84" s="17" t="s">
        <v>68</v>
      </c>
      <c r="B84" s="18"/>
      <c r="C84" s="18"/>
      <c r="D84" s="48"/>
      <c r="E84" s="48"/>
      <c r="F84" s="48"/>
    </row>
    <row r="85" spans="1:6" x14ac:dyDescent="0.35">
      <c r="B85" s="63"/>
      <c r="C85" s="63"/>
      <c r="D85" s="64"/>
      <c r="E85" s="64"/>
      <c r="F85" s="64"/>
    </row>
    <row r="87" spans="1:6" x14ac:dyDescent="0.35">
      <c r="D87" s="52"/>
      <c r="E87" s="52"/>
      <c r="F87" s="52"/>
    </row>
  </sheetData>
  <mergeCells count="7">
    <mergeCell ref="A80:B80"/>
    <mergeCell ref="A8:D8"/>
    <mergeCell ref="A10:B10"/>
    <mergeCell ref="A11:B11"/>
    <mergeCell ref="A76:B76"/>
    <mergeCell ref="A77:B77"/>
    <mergeCell ref="A79:B79"/>
  </mergeCells>
  <pageMargins left="0.9055118110236221" right="0.62992125984251968" top="0.35" bottom="0.49" header="0.31496062992125984" footer="0.16"/>
  <pageSetup paperSize="9" scale="57" firstPageNumber="2" orientation="portrait" useFirstPageNumber="1" r:id="rId1"/>
  <headerFooter>
    <oddFooter>&amp;C&amp;"Times New Roman,Regular"&amp;8&amp;F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8"/>
  <sheetViews>
    <sheetView view="pageLayout" topLeftCell="A85" zoomScale="80" zoomScaleNormal="90" zoomScalePageLayoutView="80" workbookViewId="0">
      <selection activeCell="A80" sqref="A80:B80"/>
    </sheetView>
  </sheetViews>
  <sheetFormatPr defaultColWidth="9.1796875" defaultRowHeight="15.5" x14ac:dyDescent="0.35"/>
  <cols>
    <col min="1" max="1" width="19.26953125" style="12" customWidth="1"/>
    <col min="2" max="2" width="90.54296875" style="12" customWidth="1"/>
    <col min="3" max="3" width="10" style="12" hidden="1" customWidth="1"/>
    <col min="4" max="5" width="25.1796875" style="12" hidden="1" customWidth="1"/>
    <col min="6" max="8" width="28.7265625" style="12" hidden="1" customWidth="1"/>
    <col min="9" max="9" width="31.453125" style="12" customWidth="1"/>
    <col min="10" max="10" width="13.1796875" style="12" customWidth="1"/>
    <col min="11" max="16384" width="9.1796875" style="12"/>
  </cols>
  <sheetData>
    <row r="1" spans="1:9" ht="15.75" customHeight="1" x14ac:dyDescent="0.35">
      <c r="B1" s="10"/>
      <c r="C1" s="10"/>
      <c r="D1" s="49" t="s">
        <v>50</v>
      </c>
      <c r="E1" s="49" t="s">
        <v>50</v>
      </c>
      <c r="F1" s="49" t="s">
        <v>50</v>
      </c>
      <c r="G1" s="49" t="s">
        <v>50</v>
      </c>
      <c r="H1" s="49" t="s">
        <v>50</v>
      </c>
      <c r="I1" s="49" t="s">
        <v>50</v>
      </c>
    </row>
    <row r="2" spans="1:9" x14ac:dyDescent="0.35">
      <c r="B2" s="51"/>
      <c r="C2" s="51"/>
      <c r="D2" s="51"/>
      <c r="E2" s="51"/>
      <c r="F2" s="51"/>
      <c r="G2" s="51"/>
      <c r="H2" s="51"/>
      <c r="I2" s="10" t="s">
        <v>54</v>
      </c>
    </row>
    <row r="3" spans="1:9" x14ac:dyDescent="0.35">
      <c r="B3" s="11"/>
      <c r="C3" s="11"/>
      <c r="D3" s="46" t="s">
        <v>76</v>
      </c>
      <c r="E3" s="46" t="s">
        <v>76</v>
      </c>
      <c r="F3" s="46" t="s">
        <v>76</v>
      </c>
      <c r="G3" s="46" t="s">
        <v>76</v>
      </c>
      <c r="H3" s="46" t="s">
        <v>76</v>
      </c>
      <c r="I3" s="46" t="s">
        <v>76</v>
      </c>
    </row>
    <row r="4" spans="1:9" x14ac:dyDescent="0.35">
      <c r="B4" s="10"/>
      <c r="C4" s="10"/>
      <c r="D4" s="37"/>
      <c r="E4" s="37"/>
      <c r="F4" s="37"/>
      <c r="G4" s="37"/>
      <c r="H4" s="37"/>
      <c r="I4" s="37"/>
    </row>
    <row r="5" spans="1:9" x14ac:dyDescent="0.35">
      <c r="B5" s="51"/>
      <c r="C5" s="51"/>
    </row>
    <row r="6" spans="1:9" x14ac:dyDescent="0.35">
      <c r="B6" s="51"/>
      <c r="C6" s="51"/>
      <c r="D6" s="37" t="s">
        <v>196</v>
      </c>
      <c r="E6" s="37" t="s">
        <v>196</v>
      </c>
      <c r="F6" s="37" t="s">
        <v>196</v>
      </c>
      <c r="G6" s="37" t="s">
        <v>196</v>
      </c>
      <c r="H6" s="37" t="s">
        <v>196</v>
      </c>
      <c r="I6" s="37" t="s">
        <v>246</v>
      </c>
    </row>
    <row r="7" spans="1:9" x14ac:dyDescent="0.35">
      <c r="D7" s="20"/>
      <c r="E7" s="20"/>
      <c r="F7" s="20"/>
      <c r="G7" s="20"/>
      <c r="H7" s="20"/>
      <c r="I7" s="20"/>
    </row>
    <row r="8" spans="1:9" x14ac:dyDescent="0.35">
      <c r="A8" s="209" t="s">
        <v>10</v>
      </c>
      <c r="B8" s="209"/>
      <c r="C8" s="209"/>
      <c r="D8" s="209"/>
      <c r="E8" s="50"/>
      <c r="F8" s="50"/>
      <c r="G8" s="50"/>
      <c r="H8" s="50"/>
      <c r="I8" s="50"/>
    </row>
    <row r="9" spans="1:9" x14ac:dyDescent="0.35">
      <c r="B9" s="53"/>
      <c r="C9" s="53"/>
      <c r="D9" s="20"/>
      <c r="E9" s="20"/>
      <c r="F9" s="20"/>
      <c r="G9" s="20"/>
      <c r="H9" s="20"/>
      <c r="I9" s="20"/>
    </row>
    <row r="10" spans="1:9" x14ac:dyDescent="0.35">
      <c r="A10" s="210" t="s">
        <v>1</v>
      </c>
      <c r="B10" s="210"/>
      <c r="C10" s="9"/>
      <c r="D10" s="20"/>
      <c r="E10" s="20"/>
      <c r="F10" s="20"/>
      <c r="G10" s="20"/>
      <c r="H10" s="20"/>
      <c r="I10" s="20"/>
    </row>
    <row r="11" spans="1:9" x14ac:dyDescent="0.35">
      <c r="A11" s="210" t="s">
        <v>0</v>
      </c>
      <c r="B11" s="210"/>
      <c r="C11" s="9"/>
      <c r="D11" s="20"/>
      <c r="E11" s="20"/>
      <c r="F11" s="20"/>
      <c r="G11" s="20"/>
      <c r="H11" s="20"/>
      <c r="I11" s="20"/>
    </row>
    <row r="12" spans="1:9" x14ac:dyDescent="0.35">
      <c r="A12" s="9"/>
      <c r="B12" s="9" t="s">
        <v>213</v>
      </c>
      <c r="C12" s="9"/>
      <c r="D12" s="20"/>
      <c r="E12" s="20"/>
      <c r="F12" s="20"/>
      <c r="G12" s="20"/>
      <c r="H12" s="20"/>
      <c r="I12" s="20"/>
    </row>
    <row r="13" spans="1:9" x14ac:dyDescent="0.35">
      <c r="A13" s="9"/>
      <c r="B13" s="9" t="s">
        <v>214</v>
      </c>
      <c r="C13" s="9"/>
      <c r="D13" s="20"/>
      <c r="E13" s="20"/>
      <c r="F13" s="20"/>
      <c r="G13" s="20"/>
      <c r="H13" s="20"/>
      <c r="I13" s="20"/>
    </row>
    <row r="14" spans="1:9" x14ac:dyDescent="0.35">
      <c r="A14" s="9"/>
      <c r="B14" s="9" t="s">
        <v>217</v>
      </c>
      <c r="C14" s="9"/>
      <c r="D14" s="20"/>
      <c r="E14" s="20"/>
      <c r="F14" s="20"/>
      <c r="G14" s="20"/>
      <c r="H14" s="20"/>
      <c r="I14" s="20"/>
    </row>
    <row r="15" spans="1:9" x14ac:dyDescent="0.35">
      <c r="A15" s="9"/>
      <c r="B15" s="9" t="s">
        <v>219</v>
      </c>
      <c r="C15" s="9"/>
      <c r="D15" s="20"/>
      <c r="E15" s="20"/>
      <c r="F15" s="20"/>
      <c r="G15" s="20"/>
      <c r="H15" s="20"/>
      <c r="I15" s="20"/>
    </row>
    <row r="16" spans="1:9" x14ac:dyDescent="0.35">
      <c r="A16" s="9"/>
      <c r="B16" s="9" t="s">
        <v>220</v>
      </c>
      <c r="C16" s="9"/>
      <c r="D16" s="20"/>
      <c r="E16" s="20"/>
      <c r="F16" s="20"/>
      <c r="G16" s="20"/>
      <c r="H16" s="20"/>
      <c r="I16" s="20"/>
    </row>
    <row r="17" spans="1:9" x14ac:dyDescent="0.35">
      <c r="A17" s="9" t="s">
        <v>2</v>
      </c>
      <c r="B17" s="9" t="s">
        <v>197</v>
      </c>
      <c r="C17" s="9"/>
      <c r="D17" s="20"/>
      <c r="E17" s="20"/>
      <c r="F17" s="20"/>
      <c r="G17" s="20"/>
      <c r="H17" s="20"/>
      <c r="I17" s="20"/>
    </row>
    <row r="18" spans="1:9" ht="69.75" customHeight="1" x14ac:dyDescent="0.35">
      <c r="A18" s="43" t="s">
        <v>3</v>
      </c>
      <c r="B18" s="43" t="s">
        <v>4</v>
      </c>
      <c r="C18" s="43"/>
      <c r="D18" s="43" t="s">
        <v>5</v>
      </c>
      <c r="E18" s="43" t="s">
        <v>5</v>
      </c>
      <c r="F18" s="43" t="s">
        <v>5</v>
      </c>
      <c r="G18" s="43" t="s">
        <v>5</v>
      </c>
      <c r="H18" s="43" t="s">
        <v>5</v>
      </c>
      <c r="I18" s="43" t="s">
        <v>5</v>
      </c>
    </row>
    <row r="19" spans="1:9" x14ac:dyDescent="0.35">
      <c r="A19" s="22">
        <v>1</v>
      </c>
      <c r="B19" s="23">
        <v>2</v>
      </c>
      <c r="C19" s="23"/>
      <c r="D19" s="23">
        <v>3</v>
      </c>
      <c r="E19" s="23">
        <v>3</v>
      </c>
      <c r="F19" s="23">
        <v>3</v>
      </c>
      <c r="G19" s="23">
        <v>3</v>
      </c>
      <c r="H19" s="23">
        <v>3</v>
      </c>
      <c r="I19" s="23">
        <v>3</v>
      </c>
    </row>
    <row r="20" spans="1:9" x14ac:dyDescent="0.35">
      <c r="A20" s="22"/>
      <c r="B20" s="54" t="s">
        <v>6</v>
      </c>
      <c r="C20" s="54"/>
      <c r="D20" s="55"/>
      <c r="E20" s="55"/>
      <c r="F20" s="55"/>
      <c r="G20" s="55"/>
      <c r="H20" s="55"/>
      <c r="I20" s="55"/>
    </row>
    <row r="21" spans="1:9" x14ac:dyDescent="0.35">
      <c r="A21" s="27">
        <v>1100</v>
      </c>
      <c r="B21" s="27" t="s">
        <v>134</v>
      </c>
      <c r="C21" s="27" t="e">
        <f>#REF!</f>
        <v>#REF!</v>
      </c>
      <c r="D21" s="28">
        <v>1652.23</v>
      </c>
      <c r="E21" s="28">
        <f>D21/50*100</f>
        <v>3304.46</v>
      </c>
      <c r="F21" s="28">
        <v>21809.439999999999</v>
      </c>
      <c r="G21" s="28">
        <f>F21/600*500</f>
        <v>18174.533333333333</v>
      </c>
      <c r="H21" s="28">
        <v>11268.21</v>
      </c>
      <c r="I21" s="28">
        <f>H21/310*250</f>
        <v>9087.2661290322558</v>
      </c>
    </row>
    <row r="22" spans="1:9" x14ac:dyDescent="0.35">
      <c r="A22" s="27">
        <v>1200</v>
      </c>
      <c r="B22" s="55" t="s">
        <v>135</v>
      </c>
      <c r="C22" s="55" t="e">
        <f>C21*0.2359</f>
        <v>#REF!</v>
      </c>
      <c r="D22" s="28">
        <v>389.76</v>
      </c>
      <c r="E22" s="28">
        <f t="shared" ref="E22:E40" si="0">D22/50*100</f>
        <v>779.52</v>
      </c>
      <c r="F22" s="28">
        <v>5144.8500000000004</v>
      </c>
      <c r="G22" s="28">
        <f t="shared" ref="G22:G40" si="1">F22/600*500</f>
        <v>4287.375</v>
      </c>
      <c r="H22" s="28">
        <v>2658.17</v>
      </c>
      <c r="I22" s="28">
        <f t="shared" ref="I22:I40" si="2">H22/310*250</f>
        <v>2143.6854838709678</v>
      </c>
    </row>
    <row r="23" spans="1:9" x14ac:dyDescent="0.35">
      <c r="A23" s="27">
        <v>2222</v>
      </c>
      <c r="B23" s="56" t="s">
        <v>139</v>
      </c>
      <c r="C23" s="56" t="e">
        <f>#REF!</f>
        <v>#REF!</v>
      </c>
      <c r="D23" s="28">
        <v>71.569999999999993</v>
      </c>
      <c r="E23" s="28">
        <f t="shared" si="0"/>
        <v>143.13999999999999</v>
      </c>
      <c r="F23" s="28">
        <v>1545.9</v>
      </c>
      <c r="G23" s="28">
        <f t="shared" si="1"/>
        <v>1288.2500000000002</v>
      </c>
      <c r="H23" s="28">
        <v>798.72</v>
      </c>
      <c r="I23" s="28">
        <f t="shared" si="2"/>
        <v>644.12903225806451</v>
      </c>
    </row>
    <row r="24" spans="1:9" x14ac:dyDescent="0.35">
      <c r="A24" s="27">
        <v>2223</v>
      </c>
      <c r="B24" s="56" t="s">
        <v>140</v>
      </c>
      <c r="C24" s="56" t="e">
        <f>#REF!</f>
        <v>#REF!</v>
      </c>
      <c r="D24" s="28">
        <v>206.6</v>
      </c>
      <c r="E24" s="28">
        <f t="shared" si="0"/>
        <v>413.2</v>
      </c>
      <c r="F24" s="28">
        <v>2700.72</v>
      </c>
      <c r="G24" s="28">
        <f t="shared" si="1"/>
        <v>2250.6</v>
      </c>
      <c r="H24" s="28">
        <v>1395.37</v>
      </c>
      <c r="I24" s="28">
        <f t="shared" si="2"/>
        <v>1125.2983870967741</v>
      </c>
    </row>
    <row r="25" spans="1:9" ht="31" x14ac:dyDescent="0.35">
      <c r="A25" s="27">
        <v>2224</v>
      </c>
      <c r="B25" s="56" t="s">
        <v>141</v>
      </c>
      <c r="C25" s="56" t="e">
        <f>#REF!</f>
        <v>#REF!</v>
      </c>
      <c r="D25" s="28">
        <v>0.64</v>
      </c>
      <c r="E25" s="28">
        <f t="shared" si="0"/>
        <v>1.28</v>
      </c>
      <c r="F25" s="28">
        <v>8.83</v>
      </c>
      <c r="G25" s="28">
        <f t="shared" si="1"/>
        <v>7.3583333333333334</v>
      </c>
      <c r="H25" s="28">
        <v>4.5599999999999996</v>
      </c>
      <c r="I25" s="28">
        <f t="shared" si="2"/>
        <v>3.6774193548387095</v>
      </c>
    </row>
    <row r="26" spans="1:9" x14ac:dyDescent="0.35">
      <c r="A26" s="27">
        <v>2231</v>
      </c>
      <c r="B26" s="56" t="s">
        <v>142</v>
      </c>
      <c r="C26" s="56" t="e">
        <f>#REF!</f>
        <v>#REF!</v>
      </c>
      <c r="D26" s="28">
        <v>3.08</v>
      </c>
      <c r="E26" s="28">
        <f t="shared" si="0"/>
        <v>6.16</v>
      </c>
      <c r="F26" s="28">
        <v>36.96</v>
      </c>
      <c r="G26" s="28">
        <f t="shared" si="1"/>
        <v>30.8</v>
      </c>
      <c r="H26" s="28">
        <v>19.100000000000001</v>
      </c>
      <c r="I26" s="28">
        <f t="shared" si="2"/>
        <v>15.403225806451614</v>
      </c>
    </row>
    <row r="27" spans="1:9" x14ac:dyDescent="0.35">
      <c r="A27" s="27">
        <v>2239</v>
      </c>
      <c r="B27" s="109" t="s">
        <v>195</v>
      </c>
      <c r="C27" s="56" t="e">
        <f>#REF!</f>
        <v>#REF!</v>
      </c>
      <c r="D27" s="28">
        <v>0.4</v>
      </c>
      <c r="E27" s="28">
        <f t="shared" si="0"/>
        <v>0.8</v>
      </c>
      <c r="F27" s="28">
        <v>4.8</v>
      </c>
      <c r="G27" s="28">
        <f t="shared" si="1"/>
        <v>4</v>
      </c>
      <c r="H27" s="28">
        <v>2.48</v>
      </c>
      <c r="I27" s="28">
        <f t="shared" si="2"/>
        <v>2</v>
      </c>
    </row>
    <row r="28" spans="1:9" x14ac:dyDescent="0.35">
      <c r="A28" s="27">
        <v>2243</v>
      </c>
      <c r="B28" s="54" t="s">
        <v>147</v>
      </c>
      <c r="C28" s="54" t="e">
        <f>#REF!</f>
        <v>#REF!</v>
      </c>
      <c r="D28" s="28">
        <v>6.87</v>
      </c>
      <c r="E28" s="28">
        <f t="shared" si="0"/>
        <v>13.74</v>
      </c>
      <c r="F28" s="28">
        <v>82.44</v>
      </c>
      <c r="G28" s="28">
        <f t="shared" si="1"/>
        <v>68.7</v>
      </c>
      <c r="H28" s="28">
        <v>42.59</v>
      </c>
      <c r="I28" s="28">
        <f t="shared" si="2"/>
        <v>34.346774193548391</v>
      </c>
    </row>
    <row r="29" spans="1:9" x14ac:dyDescent="0.35">
      <c r="A29" s="27">
        <v>2244</v>
      </c>
      <c r="B29" s="54" t="s">
        <v>148</v>
      </c>
      <c r="C29" s="54" t="e">
        <f>#REF!</f>
        <v>#REF!</v>
      </c>
      <c r="D29" s="28">
        <v>275.42</v>
      </c>
      <c r="E29" s="28">
        <f t="shared" si="0"/>
        <v>550.84</v>
      </c>
      <c r="F29" s="28">
        <v>3305.04</v>
      </c>
      <c r="G29" s="28">
        <f t="shared" si="1"/>
        <v>2754.2</v>
      </c>
      <c r="H29" s="28">
        <v>1707.6</v>
      </c>
      <c r="I29" s="28">
        <f t="shared" si="2"/>
        <v>1377.0967741935483</v>
      </c>
    </row>
    <row r="30" spans="1:9" x14ac:dyDescent="0.35">
      <c r="A30" s="27">
        <v>2250</v>
      </c>
      <c r="B30" s="54" t="s">
        <v>151</v>
      </c>
      <c r="C30" s="54" t="e">
        <f>#REF!</f>
        <v>#REF!</v>
      </c>
      <c r="D30" s="28">
        <v>14.5</v>
      </c>
      <c r="E30" s="28">
        <f t="shared" si="0"/>
        <v>28.999999999999996</v>
      </c>
      <c r="F30" s="28">
        <v>174</v>
      </c>
      <c r="G30" s="28">
        <f t="shared" si="1"/>
        <v>145</v>
      </c>
      <c r="H30" s="28">
        <v>89.9</v>
      </c>
      <c r="I30" s="28">
        <f t="shared" si="2"/>
        <v>72.500000000000014</v>
      </c>
    </row>
    <row r="31" spans="1:9" x14ac:dyDescent="0.35">
      <c r="A31" s="27">
        <v>2311</v>
      </c>
      <c r="B31" s="56" t="s">
        <v>155</v>
      </c>
      <c r="C31" s="54" t="e">
        <f>#REF!</f>
        <v>#REF!</v>
      </c>
      <c r="D31" s="28">
        <v>213.54</v>
      </c>
      <c r="E31" s="28">
        <f t="shared" si="0"/>
        <v>427.07999999999993</v>
      </c>
      <c r="F31" s="28">
        <f>E31/100*600</f>
        <v>2562.4799999999996</v>
      </c>
      <c r="G31" s="28">
        <f t="shared" si="1"/>
        <v>2135.3999999999996</v>
      </c>
      <c r="H31" s="28">
        <v>1323.95</v>
      </c>
      <c r="I31" s="28">
        <f t="shared" si="2"/>
        <v>1067.7016129032259</v>
      </c>
    </row>
    <row r="32" spans="1:9" x14ac:dyDescent="0.35">
      <c r="A32" s="27">
        <v>2312</v>
      </c>
      <c r="B32" s="54" t="s">
        <v>156</v>
      </c>
      <c r="C32" s="54" t="e">
        <f>#REF!</f>
        <v>#REF!</v>
      </c>
      <c r="D32" s="28">
        <v>100.79</v>
      </c>
      <c r="E32" s="28">
        <f t="shared" si="0"/>
        <v>201.58</v>
      </c>
      <c r="F32" s="28">
        <f>E32/100*600</f>
        <v>1209.48</v>
      </c>
      <c r="G32" s="28">
        <f t="shared" si="1"/>
        <v>1007.9</v>
      </c>
      <c r="H32" s="28">
        <v>624.9</v>
      </c>
      <c r="I32" s="28">
        <f t="shared" si="2"/>
        <v>503.95161290322574</v>
      </c>
    </row>
    <row r="33" spans="1:9" x14ac:dyDescent="0.35">
      <c r="A33" s="27">
        <v>2314</v>
      </c>
      <c r="B33" s="54" t="s">
        <v>157</v>
      </c>
      <c r="C33" s="54" t="e">
        <f>#REF!</f>
        <v>#REF!</v>
      </c>
      <c r="D33" s="28">
        <v>0.33</v>
      </c>
      <c r="E33" s="28">
        <f t="shared" si="0"/>
        <v>0.66</v>
      </c>
      <c r="F33" s="28">
        <f>E33/100*600</f>
        <v>3.96</v>
      </c>
      <c r="G33" s="28">
        <f t="shared" si="1"/>
        <v>3.3</v>
      </c>
      <c r="H33" s="28">
        <v>2.0499999999999998</v>
      </c>
      <c r="I33" s="28">
        <f t="shared" si="2"/>
        <v>1.6532258064516128</v>
      </c>
    </row>
    <row r="34" spans="1:9" x14ac:dyDescent="0.35">
      <c r="A34" s="27">
        <v>2321</v>
      </c>
      <c r="B34" s="56" t="s">
        <v>158</v>
      </c>
      <c r="C34" s="56" t="e">
        <f>#REF!</f>
        <v>#REF!</v>
      </c>
      <c r="D34" s="28">
        <v>157.12</v>
      </c>
      <c r="E34" s="28">
        <f t="shared" si="0"/>
        <v>314.24</v>
      </c>
      <c r="F34" s="28">
        <v>2168.2600000000002</v>
      </c>
      <c r="G34" s="28">
        <f t="shared" si="1"/>
        <v>1806.8833333333337</v>
      </c>
      <c r="H34" s="28">
        <v>1120.27</v>
      </c>
      <c r="I34" s="28">
        <f t="shared" si="2"/>
        <v>903.44354838709671</v>
      </c>
    </row>
    <row r="35" spans="1:9" x14ac:dyDescent="0.35">
      <c r="A35" s="27">
        <v>2341</v>
      </c>
      <c r="B35" s="56" t="s">
        <v>136</v>
      </c>
      <c r="C35" s="56" t="e">
        <f>#REF!</f>
        <v>#REF!</v>
      </c>
      <c r="D35" s="28">
        <v>33.03</v>
      </c>
      <c r="E35" s="28">
        <f t="shared" si="0"/>
        <v>66.06</v>
      </c>
      <c r="F35" s="28">
        <f t="shared" ref="F35:F40" si="3">E35/100*600</f>
        <v>396.36000000000007</v>
      </c>
      <c r="G35" s="28">
        <f t="shared" si="1"/>
        <v>330.3</v>
      </c>
      <c r="H35" s="28">
        <v>204.79</v>
      </c>
      <c r="I35" s="28">
        <f t="shared" si="2"/>
        <v>165.15322580645162</v>
      </c>
    </row>
    <row r="36" spans="1:9" x14ac:dyDescent="0.35">
      <c r="A36" s="27">
        <v>2350</v>
      </c>
      <c r="B36" s="55" t="s">
        <v>137</v>
      </c>
      <c r="C36" s="56" t="e">
        <f>#REF!</f>
        <v>#REF!</v>
      </c>
      <c r="D36" s="28">
        <v>65.88</v>
      </c>
      <c r="E36" s="28">
        <f t="shared" si="0"/>
        <v>131.76</v>
      </c>
      <c r="F36" s="28">
        <f t="shared" si="3"/>
        <v>790.56</v>
      </c>
      <c r="G36" s="28">
        <f t="shared" si="1"/>
        <v>658.8</v>
      </c>
      <c r="H36" s="28">
        <v>408.46</v>
      </c>
      <c r="I36" s="28">
        <f t="shared" si="2"/>
        <v>329.40322580645159</v>
      </c>
    </row>
    <row r="37" spans="1:9" x14ac:dyDescent="0.35">
      <c r="A37" s="27">
        <v>2361</v>
      </c>
      <c r="B37" s="56" t="s">
        <v>170</v>
      </c>
      <c r="C37" s="56" t="e">
        <f>#REF!</f>
        <v>#REF!</v>
      </c>
      <c r="D37" s="28">
        <v>28.31</v>
      </c>
      <c r="E37" s="28">
        <f t="shared" si="0"/>
        <v>56.61999999999999</v>
      </c>
      <c r="F37" s="28">
        <f t="shared" si="3"/>
        <v>339.71999999999997</v>
      </c>
      <c r="G37" s="28">
        <f t="shared" si="1"/>
        <v>283.09999999999997</v>
      </c>
      <c r="H37" s="28">
        <v>175.52</v>
      </c>
      <c r="I37" s="28">
        <f t="shared" si="2"/>
        <v>141.54838709677421</v>
      </c>
    </row>
    <row r="38" spans="1:9" x14ac:dyDescent="0.35">
      <c r="A38" s="27">
        <v>2362</v>
      </c>
      <c r="B38" s="56" t="s">
        <v>171</v>
      </c>
      <c r="C38" s="56" t="e">
        <f>#REF!</f>
        <v>#REF!</v>
      </c>
      <c r="D38" s="28">
        <v>2.41</v>
      </c>
      <c r="E38" s="28">
        <f t="shared" si="0"/>
        <v>4.82</v>
      </c>
      <c r="F38" s="28">
        <f t="shared" si="3"/>
        <v>28.919999999999998</v>
      </c>
      <c r="G38" s="28">
        <f t="shared" si="1"/>
        <v>24.1</v>
      </c>
      <c r="H38" s="28">
        <v>14.94</v>
      </c>
      <c r="I38" s="28">
        <f t="shared" si="2"/>
        <v>12.048387096774194</v>
      </c>
    </row>
    <row r="39" spans="1:9" x14ac:dyDescent="0.35">
      <c r="A39" s="27">
        <v>2363</v>
      </c>
      <c r="B39" s="56" t="s">
        <v>172</v>
      </c>
      <c r="C39" s="110">
        <v>9.75</v>
      </c>
      <c r="D39" s="28">
        <f>9.75*50</f>
        <v>487.5</v>
      </c>
      <c r="E39" s="28">
        <f t="shared" si="0"/>
        <v>975</v>
      </c>
      <c r="F39" s="28">
        <f t="shared" si="3"/>
        <v>5850</v>
      </c>
      <c r="G39" s="28">
        <f t="shared" si="1"/>
        <v>4875</v>
      </c>
      <c r="H39" s="28">
        <v>3022.5</v>
      </c>
      <c r="I39" s="28">
        <f t="shared" si="2"/>
        <v>2437.5</v>
      </c>
    </row>
    <row r="40" spans="1:9" x14ac:dyDescent="0.35">
      <c r="A40" s="27">
        <v>5239</v>
      </c>
      <c r="B40" s="55" t="s">
        <v>165</v>
      </c>
      <c r="C40" s="55" t="e">
        <f>#REF!</f>
        <v>#REF!</v>
      </c>
      <c r="D40" s="28">
        <v>131.91</v>
      </c>
      <c r="E40" s="28">
        <f t="shared" si="0"/>
        <v>263.82</v>
      </c>
      <c r="F40" s="28">
        <f t="shared" si="3"/>
        <v>1582.9199999999998</v>
      </c>
      <c r="G40" s="28">
        <f t="shared" si="1"/>
        <v>1319.1</v>
      </c>
      <c r="H40" s="28">
        <v>817.84</v>
      </c>
      <c r="I40" s="28">
        <f t="shared" si="2"/>
        <v>659.54838709677426</v>
      </c>
    </row>
    <row r="41" spans="1:9" x14ac:dyDescent="0.35">
      <c r="A41" s="27"/>
      <c r="B41" s="57" t="s">
        <v>7</v>
      </c>
      <c r="C41" s="57"/>
      <c r="D41" s="31">
        <f t="shared" ref="D41:I41" si="4">SUM(D21:D40)</f>
        <v>3841.8899999999994</v>
      </c>
      <c r="E41" s="31">
        <f t="shared" si="4"/>
        <v>7683.7799999999988</v>
      </c>
      <c r="F41" s="31">
        <f t="shared" si="4"/>
        <v>49745.640000000007</v>
      </c>
      <c r="G41" s="31">
        <f t="shared" si="4"/>
        <v>41454.700000000004</v>
      </c>
      <c r="H41" s="31">
        <f t="shared" si="4"/>
        <v>25701.919999999998</v>
      </c>
      <c r="I41" s="31">
        <f t="shared" si="4"/>
        <v>20727.354838709671</v>
      </c>
    </row>
    <row r="42" spans="1:9" x14ac:dyDescent="0.35">
      <c r="A42" s="32"/>
      <c r="B42" s="57" t="s">
        <v>8</v>
      </c>
      <c r="C42" s="57"/>
      <c r="D42" s="28"/>
      <c r="E42" s="28"/>
      <c r="F42" s="28"/>
      <c r="G42" s="28"/>
      <c r="H42" s="28"/>
      <c r="I42" s="28"/>
    </row>
    <row r="43" spans="1:9" x14ac:dyDescent="0.35">
      <c r="A43" s="27">
        <v>1100</v>
      </c>
      <c r="B43" s="54" t="s">
        <v>134</v>
      </c>
      <c r="C43" s="55">
        <v>0.51439999999999997</v>
      </c>
      <c r="D43" s="28">
        <v>732.83</v>
      </c>
      <c r="E43" s="28">
        <f t="shared" ref="E43:E73" si="5">D43/50*100</f>
        <v>1465.66</v>
      </c>
      <c r="F43" s="28">
        <v>10074.36</v>
      </c>
      <c r="G43" s="28">
        <f t="shared" ref="G43:G73" si="6">F43/600*500</f>
        <v>8395.3000000000011</v>
      </c>
      <c r="H43" s="28">
        <v>5205.09</v>
      </c>
      <c r="I43" s="28">
        <f t="shared" ref="I43:I73" si="7">H43/310*250</f>
        <v>4197.6532258064517</v>
      </c>
    </row>
    <row r="44" spans="1:9" ht="16.5" customHeight="1" x14ac:dyDescent="0.35">
      <c r="A44" s="27">
        <v>1200</v>
      </c>
      <c r="B44" s="54" t="s">
        <v>135</v>
      </c>
      <c r="C44" s="55">
        <f>C43*0.2359</f>
        <v>0.12134695999999999</v>
      </c>
      <c r="D44" s="28">
        <v>172.88</v>
      </c>
      <c r="E44" s="28">
        <f t="shared" si="5"/>
        <v>345.76</v>
      </c>
      <c r="F44" s="28">
        <v>2376.54</v>
      </c>
      <c r="G44" s="28">
        <f t="shared" si="6"/>
        <v>1980.45</v>
      </c>
      <c r="H44" s="28">
        <v>1227.8800000000001</v>
      </c>
      <c r="I44" s="28">
        <f t="shared" si="7"/>
        <v>990.22580645161293</v>
      </c>
    </row>
    <row r="45" spans="1:9" ht="16.5" customHeight="1" x14ac:dyDescent="0.35">
      <c r="A45" s="27">
        <v>2100</v>
      </c>
      <c r="B45" s="33" t="s">
        <v>44</v>
      </c>
      <c r="C45" s="55">
        <v>8.0999999999999996E-4</v>
      </c>
      <c r="D45" s="28">
        <v>1.1499999999999999</v>
      </c>
      <c r="E45" s="28">
        <f t="shared" si="5"/>
        <v>2.2999999999999998</v>
      </c>
      <c r="F45" s="28">
        <f>E45/100*600</f>
        <v>13.799999999999999</v>
      </c>
      <c r="G45" s="28">
        <f t="shared" si="6"/>
        <v>11.5</v>
      </c>
      <c r="H45" s="28">
        <v>7.13</v>
      </c>
      <c r="I45" s="28">
        <f t="shared" si="7"/>
        <v>5.75</v>
      </c>
    </row>
    <row r="46" spans="1:9" x14ac:dyDescent="0.35">
      <c r="A46" s="34">
        <v>2210</v>
      </c>
      <c r="B46" s="56" t="s">
        <v>138</v>
      </c>
      <c r="C46" s="55">
        <v>8.0000000000000002E-3</v>
      </c>
      <c r="D46" s="28">
        <v>11.4</v>
      </c>
      <c r="E46" s="28">
        <f t="shared" si="5"/>
        <v>22.8</v>
      </c>
      <c r="F46" s="28">
        <f>E46/100*600</f>
        <v>136.80000000000001</v>
      </c>
      <c r="G46" s="28">
        <f t="shared" si="6"/>
        <v>114</v>
      </c>
      <c r="H46" s="28">
        <v>70.680000000000007</v>
      </c>
      <c r="I46" s="28">
        <f t="shared" si="7"/>
        <v>57</v>
      </c>
    </row>
    <row r="47" spans="1:9" x14ac:dyDescent="0.35">
      <c r="A47" s="27">
        <v>2222</v>
      </c>
      <c r="B47" s="56" t="s">
        <v>139</v>
      </c>
      <c r="C47" s="55">
        <v>4.4400000000000004E-3</v>
      </c>
      <c r="D47" s="28">
        <v>6.82</v>
      </c>
      <c r="E47" s="28">
        <f t="shared" si="5"/>
        <v>13.639999999999999</v>
      </c>
      <c r="F47" s="28">
        <v>163.68</v>
      </c>
      <c r="G47" s="28">
        <f t="shared" si="6"/>
        <v>136.4</v>
      </c>
      <c r="H47" s="28">
        <v>84.57</v>
      </c>
      <c r="I47" s="28">
        <f t="shared" si="7"/>
        <v>68.201612903225794</v>
      </c>
    </row>
    <row r="48" spans="1:9" x14ac:dyDescent="0.35">
      <c r="A48" s="27">
        <v>2223</v>
      </c>
      <c r="B48" s="56" t="s">
        <v>140</v>
      </c>
      <c r="C48" s="55">
        <v>5.4940000000000003E-2</v>
      </c>
      <c r="D48" s="28">
        <v>79.27</v>
      </c>
      <c r="E48" s="28">
        <f t="shared" si="5"/>
        <v>158.54</v>
      </c>
      <c r="F48" s="28">
        <v>1046.3599999999999</v>
      </c>
      <c r="G48" s="28">
        <f t="shared" si="6"/>
        <v>871.96666666666658</v>
      </c>
      <c r="H48" s="28">
        <v>540.62</v>
      </c>
      <c r="I48" s="28">
        <f t="shared" si="7"/>
        <v>435.98387096774195</v>
      </c>
    </row>
    <row r="49" spans="1:9" ht="31" x14ac:dyDescent="0.35">
      <c r="A49" s="27">
        <v>2224</v>
      </c>
      <c r="B49" s="56" t="s">
        <v>141</v>
      </c>
      <c r="C49" s="55">
        <v>3.0899999999999999E-3</v>
      </c>
      <c r="D49" s="28">
        <v>4.4000000000000004</v>
      </c>
      <c r="E49" s="28">
        <f t="shared" si="5"/>
        <v>8.8000000000000007</v>
      </c>
      <c r="F49" s="28">
        <v>105.6</v>
      </c>
      <c r="G49" s="28">
        <f t="shared" si="6"/>
        <v>88</v>
      </c>
      <c r="H49" s="28">
        <v>54.56</v>
      </c>
      <c r="I49" s="28">
        <f t="shared" si="7"/>
        <v>44.000000000000007</v>
      </c>
    </row>
    <row r="50" spans="1:9" ht="15.75" customHeight="1" x14ac:dyDescent="0.35">
      <c r="A50" s="27">
        <v>2231</v>
      </c>
      <c r="B50" s="54" t="s">
        <v>142</v>
      </c>
      <c r="C50" s="55">
        <v>1.5E-3</v>
      </c>
      <c r="D50" s="28">
        <v>2.14</v>
      </c>
      <c r="E50" s="28">
        <f t="shared" si="5"/>
        <v>4.28</v>
      </c>
      <c r="F50" s="28">
        <f>E50/100*600</f>
        <v>25.680000000000003</v>
      </c>
      <c r="G50" s="28">
        <f t="shared" si="6"/>
        <v>21.400000000000002</v>
      </c>
      <c r="H50" s="28">
        <v>13.27</v>
      </c>
      <c r="I50" s="28">
        <f t="shared" si="7"/>
        <v>10.701612903225806</v>
      </c>
    </row>
    <row r="51" spans="1:9" ht="15.75" customHeight="1" x14ac:dyDescent="0.35">
      <c r="A51" s="27">
        <v>2235</v>
      </c>
      <c r="B51" s="58" t="s">
        <v>143</v>
      </c>
      <c r="C51" s="55">
        <v>2.5100000000000001E-3</v>
      </c>
      <c r="D51" s="28">
        <v>3.58</v>
      </c>
      <c r="E51" s="28">
        <f t="shared" si="5"/>
        <v>7.16</v>
      </c>
      <c r="F51" s="28">
        <f>E51/100*600</f>
        <v>42.96</v>
      </c>
      <c r="G51" s="28">
        <f t="shared" si="6"/>
        <v>35.799999999999997</v>
      </c>
      <c r="H51" s="28">
        <v>22.2</v>
      </c>
      <c r="I51" s="28">
        <f t="shared" si="7"/>
        <v>17.903225806451612</v>
      </c>
    </row>
    <row r="52" spans="1:9" x14ac:dyDescent="0.35">
      <c r="A52" s="27">
        <v>2239</v>
      </c>
      <c r="B52" s="54" t="s">
        <v>144</v>
      </c>
      <c r="C52" s="55">
        <v>1.7899999999999999E-3</v>
      </c>
      <c r="D52" s="28">
        <v>2.5499999999999998</v>
      </c>
      <c r="E52" s="28">
        <f t="shared" si="5"/>
        <v>5.0999999999999996</v>
      </c>
      <c r="F52" s="28">
        <f>E52/100*600</f>
        <v>30.599999999999998</v>
      </c>
      <c r="G52" s="28">
        <f t="shared" si="6"/>
        <v>25.5</v>
      </c>
      <c r="H52" s="28">
        <v>15.81</v>
      </c>
      <c r="I52" s="28">
        <f t="shared" si="7"/>
        <v>12.750000000000002</v>
      </c>
    </row>
    <row r="53" spans="1:9" x14ac:dyDescent="0.35">
      <c r="A53" s="27">
        <v>2241</v>
      </c>
      <c r="B53" s="54" t="s">
        <v>145</v>
      </c>
      <c r="C53" s="55">
        <v>1.6500000000000001E-2</v>
      </c>
      <c r="D53" s="28">
        <v>23.51</v>
      </c>
      <c r="E53" s="28">
        <f t="shared" si="5"/>
        <v>47.02</v>
      </c>
      <c r="F53" s="28">
        <v>382.12</v>
      </c>
      <c r="G53" s="28">
        <f t="shared" si="6"/>
        <v>318.43333333333334</v>
      </c>
      <c r="H53" s="28">
        <v>197.43</v>
      </c>
      <c r="I53" s="28">
        <f t="shared" si="7"/>
        <v>159.21774193548387</v>
      </c>
    </row>
    <row r="54" spans="1:9" x14ac:dyDescent="0.35">
      <c r="A54" s="27">
        <v>2242</v>
      </c>
      <c r="B54" s="56" t="s">
        <v>146</v>
      </c>
      <c r="C54" s="55">
        <v>8.4999999999999995E-4</v>
      </c>
      <c r="D54" s="28">
        <v>1.21</v>
      </c>
      <c r="E54" s="28">
        <f t="shared" si="5"/>
        <v>2.42</v>
      </c>
      <c r="F54" s="28">
        <f>E54/100*600</f>
        <v>14.52</v>
      </c>
      <c r="G54" s="28">
        <f t="shared" si="6"/>
        <v>12.1</v>
      </c>
      <c r="H54" s="28">
        <v>7.5</v>
      </c>
      <c r="I54" s="28">
        <f t="shared" si="7"/>
        <v>6.0483870967741931</v>
      </c>
    </row>
    <row r="55" spans="1:9" ht="15.75" customHeight="1" x14ac:dyDescent="0.35">
      <c r="A55" s="27">
        <v>2243</v>
      </c>
      <c r="B55" s="54" t="s">
        <v>147</v>
      </c>
      <c r="C55" s="55">
        <v>4.0000000000000002E-4</v>
      </c>
      <c r="D55" s="28">
        <f>0.57+0.45</f>
        <v>1.02</v>
      </c>
      <c r="E55" s="28">
        <f t="shared" si="5"/>
        <v>2.04</v>
      </c>
      <c r="F55" s="28">
        <f>E55/100*600</f>
        <v>12.24</v>
      </c>
      <c r="G55" s="28">
        <f t="shared" si="6"/>
        <v>10.200000000000001</v>
      </c>
      <c r="H55" s="28">
        <v>6.32</v>
      </c>
      <c r="I55" s="28">
        <f t="shared" si="7"/>
        <v>5.0967741935483879</v>
      </c>
    </row>
    <row r="56" spans="1:9" x14ac:dyDescent="0.35">
      <c r="A56" s="27">
        <v>2244</v>
      </c>
      <c r="B56" s="54" t="s">
        <v>148</v>
      </c>
      <c r="C56" s="55">
        <v>6.8070000000000006E-2</v>
      </c>
      <c r="D56" s="28">
        <v>96.48</v>
      </c>
      <c r="E56" s="28">
        <f t="shared" si="5"/>
        <v>192.96</v>
      </c>
      <c r="F56" s="28">
        <v>1273.53</v>
      </c>
      <c r="G56" s="28">
        <f t="shared" si="6"/>
        <v>1061.2749999999999</v>
      </c>
      <c r="H56" s="28">
        <v>657.99</v>
      </c>
      <c r="I56" s="28">
        <f t="shared" si="7"/>
        <v>530.63709677419354</v>
      </c>
    </row>
    <row r="57" spans="1:9" x14ac:dyDescent="0.35">
      <c r="A57" s="27">
        <v>2247</v>
      </c>
      <c r="B57" s="54" t="s">
        <v>149</v>
      </c>
      <c r="C57" s="55">
        <v>2.2000000000000001E-4</v>
      </c>
      <c r="D57" s="28">
        <v>0.31</v>
      </c>
      <c r="E57" s="28">
        <f t="shared" si="5"/>
        <v>0.62</v>
      </c>
      <c r="F57" s="28">
        <f>E57/100*600</f>
        <v>3.7199999999999998</v>
      </c>
      <c r="G57" s="28">
        <f t="shared" si="6"/>
        <v>3.1</v>
      </c>
      <c r="H57" s="28">
        <v>1.92</v>
      </c>
      <c r="I57" s="28">
        <f t="shared" si="7"/>
        <v>1.5483870967741935</v>
      </c>
    </row>
    <row r="58" spans="1:9" x14ac:dyDescent="0.35">
      <c r="A58" s="27">
        <v>2249</v>
      </c>
      <c r="B58" s="54" t="s">
        <v>150</v>
      </c>
      <c r="C58" s="55">
        <v>2.5000000000000001E-4</v>
      </c>
      <c r="D58" s="28">
        <v>0.36</v>
      </c>
      <c r="E58" s="28">
        <f t="shared" si="5"/>
        <v>0.72</v>
      </c>
      <c r="F58" s="28">
        <f>E58/100*600</f>
        <v>4.32</v>
      </c>
      <c r="G58" s="28">
        <f t="shared" si="6"/>
        <v>3.6000000000000005</v>
      </c>
      <c r="H58" s="28">
        <v>2.23</v>
      </c>
      <c r="I58" s="28">
        <f t="shared" si="7"/>
        <v>1.7983870967741935</v>
      </c>
    </row>
    <row r="59" spans="1:9" x14ac:dyDescent="0.35">
      <c r="A59" s="27">
        <v>2250</v>
      </c>
      <c r="B59" s="54" t="s">
        <v>151</v>
      </c>
      <c r="C59" s="55">
        <v>2.8400000000000002E-2</v>
      </c>
      <c r="D59" s="28">
        <v>40.46</v>
      </c>
      <c r="E59" s="28">
        <f t="shared" si="5"/>
        <v>80.92</v>
      </c>
      <c r="F59" s="28">
        <v>534.05999999999995</v>
      </c>
      <c r="G59" s="28">
        <f t="shared" si="6"/>
        <v>445.04999999999995</v>
      </c>
      <c r="H59" s="28">
        <v>275.93</v>
      </c>
      <c r="I59" s="28">
        <f t="shared" si="7"/>
        <v>222.5241935483871</v>
      </c>
    </row>
    <row r="60" spans="1:9" x14ac:dyDescent="0.35">
      <c r="A60" s="27">
        <v>2262</v>
      </c>
      <c r="B60" s="56" t="s">
        <v>152</v>
      </c>
      <c r="C60" s="55">
        <v>1.137E-2</v>
      </c>
      <c r="D60" s="28">
        <v>16.2</v>
      </c>
      <c r="E60" s="28">
        <f t="shared" si="5"/>
        <v>32.4</v>
      </c>
      <c r="F60" s="28">
        <f>E60/100*600</f>
        <v>194.4</v>
      </c>
      <c r="G60" s="28">
        <f t="shared" si="6"/>
        <v>162</v>
      </c>
      <c r="H60" s="28">
        <v>100.44</v>
      </c>
      <c r="I60" s="28">
        <f t="shared" si="7"/>
        <v>81</v>
      </c>
    </row>
    <row r="61" spans="1:9" x14ac:dyDescent="0.35">
      <c r="A61" s="27">
        <v>2263</v>
      </c>
      <c r="B61" s="56" t="s">
        <v>153</v>
      </c>
      <c r="C61" s="55">
        <v>4.58E-2</v>
      </c>
      <c r="D61" s="28">
        <v>65.25</v>
      </c>
      <c r="E61" s="28">
        <f t="shared" si="5"/>
        <v>130.5</v>
      </c>
      <c r="F61" s="28">
        <f>E61/100*600</f>
        <v>783</v>
      </c>
      <c r="G61" s="28">
        <f t="shared" si="6"/>
        <v>652.5</v>
      </c>
      <c r="H61" s="28">
        <v>404.55</v>
      </c>
      <c r="I61" s="28">
        <f t="shared" si="7"/>
        <v>326.25</v>
      </c>
    </row>
    <row r="62" spans="1:9" x14ac:dyDescent="0.35">
      <c r="A62" s="27">
        <v>2264</v>
      </c>
      <c r="B62" s="54" t="s">
        <v>154</v>
      </c>
      <c r="C62" s="55">
        <v>2.4000000000000001E-4</v>
      </c>
      <c r="D62" s="28">
        <v>0.34</v>
      </c>
      <c r="E62" s="28">
        <f t="shared" si="5"/>
        <v>0.68</v>
      </c>
      <c r="F62" s="28">
        <f>E62/100*600</f>
        <v>4.08</v>
      </c>
      <c r="G62" s="28">
        <f t="shared" si="6"/>
        <v>3.4000000000000004</v>
      </c>
      <c r="H62" s="28">
        <v>2.11</v>
      </c>
      <c r="I62" s="28">
        <f t="shared" si="7"/>
        <v>1.7016129032258063</v>
      </c>
    </row>
    <row r="63" spans="1:9" x14ac:dyDescent="0.35">
      <c r="A63" s="27">
        <v>2311</v>
      </c>
      <c r="B63" s="56" t="s">
        <v>155</v>
      </c>
      <c r="C63" s="108">
        <v>7.1000000000000002E-4</v>
      </c>
      <c r="D63" s="28">
        <v>1.01</v>
      </c>
      <c r="E63" s="28">
        <f t="shared" si="5"/>
        <v>2.02</v>
      </c>
      <c r="F63" s="28">
        <f>E63/100*600</f>
        <v>12.12</v>
      </c>
      <c r="G63" s="28">
        <f t="shared" si="6"/>
        <v>10.1</v>
      </c>
      <c r="H63" s="28">
        <v>6.26</v>
      </c>
      <c r="I63" s="28">
        <f t="shared" si="7"/>
        <v>5.0483870967741931</v>
      </c>
    </row>
    <row r="64" spans="1:9" x14ac:dyDescent="0.35">
      <c r="A64" s="27">
        <v>2314</v>
      </c>
      <c r="B64" s="58" t="s">
        <v>157</v>
      </c>
      <c r="C64" s="55">
        <v>4.6000000000000001E-4</v>
      </c>
      <c r="D64" s="28">
        <v>0.66</v>
      </c>
      <c r="E64" s="28">
        <f t="shared" si="5"/>
        <v>1.32</v>
      </c>
      <c r="F64" s="28">
        <f>E64/100*600</f>
        <v>7.92</v>
      </c>
      <c r="G64" s="28">
        <f t="shared" si="6"/>
        <v>6.6</v>
      </c>
      <c r="H64" s="28">
        <v>4.09</v>
      </c>
      <c r="I64" s="28">
        <f t="shared" si="7"/>
        <v>3.2983870967741935</v>
      </c>
    </row>
    <row r="65" spans="1:10" x14ac:dyDescent="0.35">
      <c r="A65" s="27">
        <v>2321</v>
      </c>
      <c r="B65" s="56" t="s">
        <v>158</v>
      </c>
      <c r="C65" s="55">
        <v>6.0220000000000003E-2</v>
      </c>
      <c r="D65" s="28">
        <v>86.79</v>
      </c>
      <c r="E65" s="28">
        <f t="shared" si="5"/>
        <v>173.58</v>
      </c>
      <c r="F65" s="28">
        <v>1132.44</v>
      </c>
      <c r="G65" s="28">
        <f t="shared" si="6"/>
        <v>943.7</v>
      </c>
      <c r="H65" s="28">
        <v>585.09</v>
      </c>
      <c r="I65" s="28">
        <f t="shared" si="7"/>
        <v>471.84677419354841</v>
      </c>
    </row>
    <row r="66" spans="1:10" x14ac:dyDescent="0.35">
      <c r="A66" s="27">
        <v>2322</v>
      </c>
      <c r="B66" s="56" t="s">
        <v>159</v>
      </c>
      <c r="C66" s="55">
        <v>2.0999999999999999E-3</v>
      </c>
      <c r="D66" s="28">
        <v>2.99</v>
      </c>
      <c r="E66" s="28">
        <f t="shared" si="5"/>
        <v>5.98</v>
      </c>
      <c r="F66" s="28">
        <f t="shared" ref="F66:F72" si="8">E66/100*600</f>
        <v>35.880000000000003</v>
      </c>
      <c r="G66" s="28">
        <f t="shared" si="6"/>
        <v>29.900000000000002</v>
      </c>
      <c r="H66" s="28">
        <v>18.54</v>
      </c>
      <c r="I66" s="28">
        <f t="shared" si="7"/>
        <v>14.951612903225806</v>
      </c>
    </row>
    <row r="67" spans="1:10" ht="15.75" customHeight="1" x14ac:dyDescent="0.35">
      <c r="A67" s="27">
        <v>2513</v>
      </c>
      <c r="B67" s="55" t="s">
        <v>160</v>
      </c>
      <c r="C67" s="55">
        <v>6.3000000000000003E-4</v>
      </c>
      <c r="D67" s="28">
        <v>0.9</v>
      </c>
      <c r="E67" s="28">
        <f t="shared" si="5"/>
        <v>1.8000000000000003</v>
      </c>
      <c r="F67" s="28">
        <f t="shared" si="8"/>
        <v>10.8</v>
      </c>
      <c r="G67" s="28">
        <f t="shared" si="6"/>
        <v>9.0000000000000018</v>
      </c>
      <c r="H67" s="28">
        <v>5.58</v>
      </c>
      <c r="I67" s="28">
        <f t="shared" si="7"/>
        <v>4.5</v>
      </c>
    </row>
    <row r="68" spans="1:10" x14ac:dyDescent="0.35">
      <c r="A68" s="27">
        <v>2515</v>
      </c>
      <c r="B68" s="56" t="s">
        <v>161</v>
      </c>
      <c r="C68" s="55">
        <v>2.7499999999999998E-3</v>
      </c>
      <c r="D68" s="28">
        <v>3.92</v>
      </c>
      <c r="E68" s="28">
        <f t="shared" si="5"/>
        <v>7.84</v>
      </c>
      <c r="F68" s="28">
        <f t="shared" si="8"/>
        <v>47.04</v>
      </c>
      <c r="G68" s="28">
        <f t="shared" si="6"/>
        <v>39.199999999999996</v>
      </c>
      <c r="H68" s="28">
        <v>24.3</v>
      </c>
      <c r="I68" s="28">
        <f t="shared" si="7"/>
        <v>19.596774193548388</v>
      </c>
    </row>
    <row r="69" spans="1:10" x14ac:dyDescent="0.35">
      <c r="A69" s="27">
        <v>2519</v>
      </c>
      <c r="B69" s="56" t="s">
        <v>162</v>
      </c>
      <c r="C69" s="55">
        <v>1.5100000000000001E-3</v>
      </c>
      <c r="D69" s="28">
        <v>2.15</v>
      </c>
      <c r="E69" s="28">
        <f t="shared" si="5"/>
        <v>4.3</v>
      </c>
      <c r="F69" s="28">
        <f t="shared" si="8"/>
        <v>25.799999999999997</v>
      </c>
      <c r="G69" s="28">
        <f t="shared" si="6"/>
        <v>21.5</v>
      </c>
      <c r="H69" s="28">
        <v>13.33</v>
      </c>
      <c r="I69" s="28">
        <f t="shared" si="7"/>
        <v>10.75</v>
      </c>
    </row>
    <row r="70" spans="1:10" x14ac:dyDescent="0.35">
      <c r="A70" s="27">
        <v>5220</v>
      </c>
      <c r="B70" s="56" t="s">
        <v>163</v>
      </c>
      <c r="C70" s="55">
        <v>1.06E-2</v>
      </c>
      <c r="D70" s="28">
        <v>15.1</v>
      </c>
      <c r="E70" s="28">
        <f t="shared" si="5"/>
        <v>30.2</v>
      </c>
      <c r="F70" s="28">
        <f t="shared" si="8"/>
        <v>181.2</v>
      </c>
      <c r="G70" s="28">
        <f t="shared" si="6"/>
        <v>151</v>
      </c>
      <c r="H70" s="28">
        <v>93.62</v>
      </c>
      <c r="I70" s="28">
        <f t="shared" si="7"/>
        <v>75.5</v>
      </c>
    </row>
    <row r="71" spans="1:10" x14ac:dyDescent="0.35">
      <c r="A71" s="27">
        <v>5238</v>
      </c>
      <c r="B71" s="55" t="s">
        <v>164</v>
      </c>
      <c r="C71" s="55">
        <v>1.65E-3</v>
      </c>
      <c r="D71" s="28">
        <v>2.35</v>
      </c>
      <c r="E71" s="28">
        <f t="shared" si="5"/>
        <v>4.7</v>
      </c>
      <c r="F71" s="28">
        <f t="shared" si="8"/>
        <v>28.2</v>
      </c>
      <c r="G71" s="28">
        <f t="shared" si="6"/>
        <v>23.5</v>
      </c>
      <c r="H71" s="28">
        <v>14.57</v>
      </c>
      <c r="I71" s="28">
        <f t="shared" si="7"/>
        <v>11.75</v>
      </c>
    </row>
    <row r="72" spans="1:10" x14ac:dyDescent="0.35">
      <c r="A72" s="27">
        <v>5239</v>
      </c>
      <c r="B72" s="55" t="s">
        <v>165</v>
      </c>
      <c r="C72" s="55">
        <v>1.9800000000000002E-2</v>
      </c>
      <c r="D72" s="28">
        <v>28.21</v>
      </c>
      <c r="E72" s="28">
        <f t="shared" si="5"/>
        <v>56.42</v>
      </c>
      <c r="F72" s="28">
        <f t="shared" si="8"/>
        <v>338.52000000000004</v>
      </c>
      <c r="G72" s="28">
        <v>277.10000000000002</v>
      </c>
      <c r="H72" s="28">
        <v>171.8</v>
      </c>
      <c r="I72" s="28">
        <f t="shared" si="7"/>
        <v>138.54838709677421</v>
      </c>
      <c r="J72" s="52"/>
    </row>
    <row r="73" spans="1:10" x14ac:dyDescent="0.35">
      <c r="A73" s="27">
        <v>5250</v>
      </c>
      <c r="B73" s="56" t="s">
        <v>166</v>
      </c>
      <c r="C73" s="55">
        <v>1.4999999999999999E-2</v>
      </c>
      <c r="D73" s="28">
        <v>21.37</v>
      </c>
      <c r="E73" s="28">
        <f t="shared" si="5"/>
        <v>42.74</v>
      </c>
      <c r="F73" s="28">
        <v>254.07</v>
      </c>
      <c r="G73" s="28">
        <f t="shared" si="6"/>
        <v>211.72499999999999</v>
      </c>
      <c r="H73" s="28">
        <v>131.27000000000001</v>
      </c>
      <c r="I73" s="28">
        <f t="shared" si="7"/>
        <v>105.86290322580646</v>
      </c>
    </row>
    <row r="74" spans="1:10" x14ac:dyDescent="0.35">
      <c r="A74" s="32"/>
      <c r="B74" s="59" t="s">
        <v>167</v>
      </c>
      <c r="C74" s="59"/>
      <c r="D74" s="31">
        <f t="shared" ref="D74:I74" si="9">SUM(D43:D73)</f>
        <v>1427.61</v>
      </c>
      <c r="E74" s="31">
        <f t="shared" si="9"/>
        <v>2855.22</v>
      </c>
      <c r="F74" s="31">
        <f t="shared" si="9"/>
        <v>19296.36</v>
      </c>
      <c r="G74" s="31">
        <f t="shared" si="9"/>
        <v>16075.300000000003</v>
      </c>
      <c r="H74" s="31">
        <f t="shared" si="9"/>
        <v>9966.6800000000021</v>
      </c>
      <c r="I74" s="31">
        <f t="shared" si="9"/>
        <v>8037.6451612903238</v>
      </c>
    </row>
    <row r="75" spans="1:10" x14ac:dyDescent="0.35">
      <c r="A75" s="32"/>
      <c r="B75" s="59" t="s">
        <v>168</v>
      </c>
      <c r="C75" s="59"/>
      <c r="D75" s="31">
        <f t="shared" ref="D75:I75" si="10">D41+D74</f>
        <v>5269.4999999999991</v>
      </c>
      <c r="E75" s="31">
        <f t="shared" si="10"/>
        <v>10538.999999999998</v>
      </c>
      <c r="F75" s="31">
        <f t="shared" si="10"/>
        <v>69042</v>
      </c>
      <c r="G75" s="31">
        <f t="shared" si="10"/>
        <v>57530.000000000007</v>
      </c>
      <c r="H75" s="31">
        <f t="shared" si="10"/>
        <v>35668.6</v>
      </c>
      <c r="I75" s="31">
        <f t="shared" si="10"/>
        <v>28764.999999999993</v>
      </c>
    </row>
    <row r="76" spans="1:10" ht="12.75" customHeight="1" x14ac:dyDescent="0.35">
      <c r="A76" s="37"/>
      <c r="B76" s="20"/>
      <c r="C76" s="20"/>
      <c r="D76" s="60"/>
      <c r="E76" s="60"/>
      <c r="F76" s="60"/>
      <c r="G76" s="60"/>
      <c r="H76" s="60"/>
      <c r="I76" s="60"/>
    </row>
    <row r="77" spans="1:10" ht="15.75" customHeight="1" x14ac:dyDescent="0.35">
      <c r="A77" s="211" t="s">
        <v>51</v>
      </c>
      <c r="B77" s="211"/>
      <c r="C77" s="61"/>
      <c r="D77" s="44">
        <v>50</v>
      </c>
      <c r="E77" s="44">
        <v>100</v>
      </c>
      <c r="F77" s="44">
        <v>600</v>
      </c>
      <c r="G77" s="44">
        <v>500</v>
      </c>
      <c r="H77" s="44">
        <v>310</v>
      </c>
      <c r="I77" s="44">
        <v>250</v>
      </c>
    </row>
    <row r="78" spans="1:10" ht="15.75" customHeight="1" x14ac:dyDescent="0.35">
      <c r="A78" s="211" t="s">
        <v>58</v>
      </c>
      <c r="B78" s="211"/>
      <c r="C78" s="61"/>
      <c r="D78" s="45">
        <f t="shared" ref="D78:I78" si="11">D75/D77</f>
        <v>105.38999999999999</v>
      </c>
      <c r="E78" s="45">
        <f t="shared" si="11"/>
        <v>105.38999999999999</v>
      </c>
      <c r="F78" s="45">
        <f t="shared" si="11"/>
        <v>115.07</v>
      </c>
      <c r="G78" s="45">
        <f t="shared" si="11"/>
        <v>115.06000000000002</v>
      </c>
      <c r="H78" s="45">
        <f t="shared" si="11"/>
        <v>115.06</v>
      </c>
      <c r="I78" s="45">
        <f t="shared" si="11"/>
        <v>115.05999999999997</v>
      </c>
    </row>
    <row r="79" spans="1:10" ht="18" customHeight="1" x14ac:dyDescent="0.35">
      <c r="A79" s="41"/>
      <c r="B79" s="42"/>
      <c r="C79" s="42"/>
    </row>
    <row r="80" spans="1:10" ht="15.75" customHeight="1" x14ac:dyDescent="0.35">
      <c r="A80" s="208" t="s">
        <v>52</v>
      </c>
      <c r="B80" s="208"/>
      <c r="C80" s="62"/>
      <c r="D80" s="40"/>
      <c r="E80" s="40"/>
      <c r="F80" s="40"/>
      <c r="G80" s="40"/>
      <c r="H80" s="40"/>
      <c r="I80" s="40"/>
    </row>
    <row r="81" spans="1:9" ht="15.75" customHeight="1" x14ac:dyDescent="0.35">
      <c r="A81" s="208" t="s">
        <v>74</v>
      </c>
      <c r="B81" s="208"/>
      <c r="C81" s="62"/>
      <c r="D81" s="69"/>
      <c r="E81" s="69"/>
      <c r="F81" s="69"/>
      <c r="G81" s="69"/>
      <c r="H81" s="69"/>
      <c r="I81" s="69"/>
    </row>
    <row r="82" spans="1:9" ht="16.5" customHeight="1" x14ac:dyDescent="0.35">
      <c r="A82" s="17"/>
      <c r="B82" s="17"/>
      <c r="C82" s="17"/>
      <c r="D82" s="17"/>
      <c r="E82" s="17"/>
      <c r="F82" s="17"/>
      <c r="G82" s="17"/>
      <c r="H82" s="17"/>
      <c r="I82" s="17"/>
    </row>
    <row r="83" spans="1:9" x14ac:dyDescent="0.35">
      <c r="A83" s="17" t="s">
        <v>53</v>
      </c>
      <c r="B83" s="17"/>
      <c r="C83" s="17"/>
      <c r="D83" s="48"/>
      <c r="E83" s="48"/>
      <c r="F83" s="48"/>
      <c r="G83" s="48"/>
      <c r="H83" s="48"/>
      <c r="I83" s="48"/>
    </row>
    <row r="84" spans="1:9" x14ac:dyDescent="0.35">
      <c r="A84" s="17"/>
      <c r="B84" s="17"/>
      <c r="C84" s="48"/>
      <c r="D84" s="48"/>
      <c r="E84" s="48"/>
      <c r="F84" s="48"/>
      <c r="G84" s="48"/>
      <c r="H84" s="48"/>
      <c r="I84" s="48"/>
    </row>
    <row r="85" spans="1:9" x14ac:dyDescent="0.35">
      <c r="A85" s="17" t="s">
        <v>68</v>
      </c>
      <c r="B85" s="18"/>
      <c r="C85" s="18"/>
      <c r="D85" s="48"/>
      <c r="E85" s="48"/>
      <c r="F85" s="48"/>
      <c r="G85" s="48"/>
      <c r="H85" s="48"/>
      <c r="I85" s="48"/>
    </row>
    <row r="86" spans="1:9" x14ac:dyDescent="0.35">
      <c r="B86" s="63"/>
      <c r="C86" s="63"/>
      <c r="D86" s="64"/>
      <c r="E86" s="64"/>
      <c r="F86" s="64"/>
      <c r="G86" s="64"/>
      <c r="H86" s="64"/>
      <c r="I86" s="64"/>
    </row>
    <row r="88" spans="1:9" x14ac:dyDescent="0.35">
      <c r="D88" s="52"/>
      <c r="E88" s="52"/>
      <c r="F88" s="52"/>
      <c r="G88" s="52"/>
      <c r="H88" s="52"/>
      <c r="I88" s="52"/>
    </row>
  </sheetData>
  <mergeCells count="7">
    <mergeCell ref="A8:D8"/>
    <mergeCell ref="A77:B77"/>
    <mergeCell ref="A78:B78"/>
    <mergeCell ref="A80:B80"/>
    <mergeCell ref="A81:B81"/>
    <mergeCell ref="A10:B10"/>
    <mergeCell ref="A11:B11"/>
  </mergeCells>
  <pageMargins left="0.94488188976377963" right="1.0767857142857142" top="0.62992125984251968" bottom="0.62992125984251968" header="0.31496062992125984" footer="0.31496062992125984"/>
  <pageSetup paperSize="9" scale="53" firstPageNumber="3" orientation="portrait" useFirstPageNumber="1" r:id="rId1"/>
  <headerFooter>
    <oddFooter>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8"/>
  <sheetViews>
    <sheetView view="pageLayout" topLeftCell="A67" zoomScale="80" zoomScaleNormal="90" zoomScalePageLayoutView="80" workbookViewId="0">
      <selection activeCell="B79" sqref="B79"/>
    </sheetView>
  </sheetViews>
  <sheetFormatPr defaultColWidth="9.1796875" defaultRowHeight="15.5" x14ac:dyDescent="0.35"/>
  <cols>
    <col min="1" max="1" width="19.26953125" style="12" customWidth="1"/>
    <col min="2" max="2" width="90.54296875" style="12" customWidth="1"/>
    <col min="3" max="3" width="10" style="12" hidden="1" customWidth="1"/>
    <col min="4" max="4" width="25.1796875" style="12" hidden="1" customWidth="1"/>
    <col min="5" max="5" width="32.26953125" style="12" customWidth="1"/>
    <col min="6" max="16384" width="9.1796875" style="12"/>
  </cols>
  <sheetData>
    <row r="1" spans="1:5" ht="15.75" customHeight="1" x14ac:dyDescent="0.35">
      <c r="B1" s="10"/>
      <c r="C1" s="10"/>
      <c r="D1" s="49" t="s">
        <v>50</v>
      </c>
      <c r="E1" s="49" t="s">
        <v>50</v>
      </c>
    </row>
    <row r="2" spans="1:5" x14ac:dyDescent="0.35">
      <c r="B2" s="11"/>
      <c r="C2" s="11"/>
      <c r="D2" s="11"/>
      <c r="E2" s="10" t="s">
        <v>54</v>
      </c>
    </row>
    <row r="3" spans="1:5" x14ac:dyDescent="0.35">
      <c r="B3" s="11"/>
      <c r="C3" s="11"/>
      <c r="D3" s="46" t="s">
        <v>76</v>
      </c>
      <c r="E3" s="46" t="s">
        <v>76</v>
      </c>
    </row>
    <row r="4" spans="1:5" x14ac:dyDescent="0.35">
      <c r="B4" s="10"/>
      <c r="C4" s="10"/>
      <c r="D4" s="37"/>
      <c r="E4" s="37"/>
    </row>
    <row r="5" spans="1:5" x14ac:dyDescent="0.35">
      <c r="B5" s="51"/>
      <c r="C5" s="51"/>
      <c r="E5" s="37" t="s">
        <v>246</v>
      </c>
    </row>
    <row r="6" spans="1:5" x14ac:dyDescent="0.35">
      <c r="B6" s="51"/>
      <c r="C6" s="51"/>
      <c r="D6" s="37" t="s">
        <v>196</v>
      </c>
    </row>
    <row r="7" spans="1:5" x14ac:dyDescent="0.35">
      <c r="D7" s="20"/>
      <c r="E7" s="20"/>
    </row>
    <row r="8" spans="1:5" x14ac:dyDescent="0.35">
      <c r="A8" s="209" t="s">
        <v>10</v>
      </c>
      <c r="B8" s="209"/>
      <c r="C8" s="209"/>
      <c r="D8" s="209"/>
      <c r="E8" s="50"/>
    </row>
    <row r="9" spans="1:5" x14ac:dyDescent="0.35">
      <c r="B9" s="53"/>
      <c r="C9" s="53"/>
      <c r="D9" s="20"/>
      <c r="E9" s="20"/>
    </row>
    <row r="10" spans="1:5" x14ac:dyDescent="0.35">
      <c r="A10" s="210" t="s">
        <v>1</v>
      </c>
      <c r="B10" s="210"/>
      <c r="C10" s="9"/>
      <c r="D10" s="20"/>
      <c r="E10" s="20"/>
    </row>
    <row r="11" spans="1:5" x14ac:dyDescent="0.35">
      <c r="A11" s="210" t="s">
        <v>0</v>
      </c>
      <c r="B11" s="210"/>
      <c r="C11" s="9"/>
      <c r="D11" s="20"/>
      <c r="E11" s="20"/>
    </row>
    <row r="12" spans="1:5" x14ac:dyDescent="0.35">
      <c r="A12" s="9"/>
      <c r="B12" s="9" t="s">
        <v>213</v>
      </c>
      <c r="C12" s="9"/>
      <c r="D12" s="20"/>
      <c r="E12" s="20"/>
    </row>
    <row r="13" spans="1:5" x14ac:dyDescent="0.35">
      <c r="A13" s="9"/>
      <c r="B13" s="9" t="s">
        <v>214</v>
      </c>
      <c r="C13" s="9"/>
      <c r="D13" s="20"/>
      <c r="E13" s="20"/>
    </row>
    <row r="14" spans="1:5" x14ac:dyDescent="0.35">
      <c r="A14" s="9"/>
      <c r="B14" s="9" t="s">
        <v>217</v>
      </c>
      <c r="C14" s="9"/>
      <c r="D14" s="20"/>
      <c r="E14" s="20"/>
    </row>
    <row r="15" spans="1:5" x14ac:dyDescent="0.35">
      <c r="A15" s="9"/>
      <c r="B15" s="9" t="s">
        <v>219</v>
      </c>
      <c r="C15" s="9"/>
      <c r="D15" s="20"/>
      <c r="E15" s="20"/>
    </row>
    <row r="16" spans="1:5" x14ac:dyDescent="0.35">
      <c r="A16" s="9"/>
      <c r="B16" s="9" t="s">
        <v>221</v>
      </c>
      <c r="C16" s="9"/>
      <c r="D16" s="20"/>
      <c r="E16" s="20"/>
    </row>
    <row r="17" spans="1:5" x14ac:dyDescent="0.35">
      <c r="A17" s="9" t="s">
        <v>2</v>
      </c>
      <c r="B17" s="9" t="s">
        <v>197</v>
      </c>
      <c r="C17" s="9"/>
      <c r="D17" s="20"/>
      <c r="E17" s="20"/>
    </row>
    <row r="18" spans="1:5" ht="69.75" customHeight="1" x14ac:dyDescent="0.35">
      <c r="A18" s="43" t="s">
        <v>3</v>
      </c>
      <c r="B18" s="43" t="s">
        <v>4</v>
      </c>
      <c r="C18" s="43"/>
      <c r="D18" s="43" t="s">
        <v>5</v>
      </c>
      <c r="E18" s="43" t="s">
        <v>5</v>
      </c>
    </row>
    <row r="19" spans="1:5" x14ac:dyDescent="0.35">
      <c r="A19" s="22">
        <v>1</v>
      </c>
      <c r="B19" s="23">
        <v>2</v>
      </c>
      <c r="C19" s="23"/>
      <c r="D19" s="23">
        <v>3</v>
      </c>
      <c r="E19" s="23">
        <v>3</v>
      </c>
    </row>
    <row r="20" spans="1:5" x14ac:dyDescent="0.35">
      <c r="A20" s="22"/>
      <c r="B20" s="54" t="s">
        <v>6</v>
      </c>
      <c r="C20" s="54"/>
      <c r="D20" s="55"/>
      <c r="E20" s="55"/>
    </row>
    <row r="21" spans="1:5" x14ac:dyDescent="0.35">
      <c r="A21" s="27">
        <v>1100</v>
      </c>
      <c r="B21" s="27" t="s">
        <v>134</v>
      </c>
      <c r="C21" s="27">
        <v>27.727</v>
      </c>
      <c r="D21" s="28">
        <v>1386.35</v>
      </c>
      <c r="E21" s="28">
        <v>762.49</v>
      </c>
    </row>
    <row r="22" spans="1:5" x14ac:dyDescent="0.35">
      <c r="A22" s="27">
        <v>1200</v>
      </c>
      <c r="B22" s="55" t="s">
        <v>135</v>
      </c>
      <c r="C22" s="55">
        <f>C21*0.2359</f>
        <v>6.5407992999999998</v>
      </c>
      <c r="D22" s="28">
        <v>327.04000000000002</v>
      </c>
      <c r="E22" s="28">
        <v>179.87</v>
      </c>
    </row>
    <row r="23" spans="1:5" x14ac:dyDescent="0.35">
      <c r="A23" s="27">
        <v>2222</v>
      </c>
      <c r="B23" s="56" t="s">
        <v>139</v>
      </c>
      <c r="C23" s="56">
        <v>1.2011510000000001</v>
      </c>
      <c r="D23" s="28">
        <v>60.06</v>
      </c>
      <c r="E23" s="28">
        <f t="shared" ref="E23:E40" si="0">D23/50*25</f>
        <v>30.03</v>
      </c>
    </row>
    <row r="24" spans="1:5" x14ac:dyDescent="0.35">
      <c r="A24" s="27">
        <v>2223</v>
      </c>
      <c r="B24" s="56" t="s">
        <v>140</v>
      </c>
      <c r="C24" s="56">
        <v>3.4836</v>
      </c>
      <c r="D24" s="28">
        <v>174.18</v>
      </c>
      <c r="E24" s="28">
        <v>100.15</v>
      </c>
    </row>
    <row r="25" spans="1:5" ht="31" x14ac:dyDescent="0.35">
      <c r="A25" s="27">
        <v>2224</v>
      </c>
      <c r="B25" s="56" t="s">
        <v>141</v>
      </c>
      <c r="C25" s="56">
        <v>1.0717000000000001E-2</v>
      </c>
      <c r="D25" s="28">
        <v>0.54</v>
      </c>
      <c r="E25" s="28">
        <v>0.31</v>
      </c>
    </row>
    <row r="26" spans="1:5" x14ac:dyDescent="0.35">
      <c r="A26" s="27">
        <v>2231</v>
      </c>
      <c r="B26" s="56" t="s">
        <v>142</v>
      </c>
      <c r="C26" s="56">
        <v>5.1662E-2</v>
      </c>
      <c r="D26" s="28">
        <v>2.58</v>
      </c>
      <c r="E26" s="28">
        <f t="shared" si="0"/>
        <v>1.29</v>
      </c>
    </row>
    <row r="27" spans="1:5" x14ac:dyDescent="0.35">
      <c r="A27" s="27">
        <v>2239</v>
      </c>
      <c r="B27" s="109" t="s">
        <v>195</v>
      </c>
      <c r="C27" s="56">
        <v>6.7710000000000001E-3</v>
      </c>
      <c r="D27" s="28">
        <v>0.34</v>
      </c>
      <c r="E27" s="28">
        <f t="shared" si="0"/>
        <v>0.17</v>
      </c>
    </row>
    <row r="28" spans="1:5" x14ac:dyDescent="0.35">
      <c r="A28" s="27">
        <v>2243</v>
      </c>
      <c r="B28" s="54" t="s">
        <v>147</v>
      </c>
      <c r="C28" s="54">
        <v>0.1153</v>
      </c>
      <c r="D28" s="28">
        <v>5.77</v>
      </c>
      <c r="E28" s="28">
        <v>3.32</v>
      </c>
    </row>
    <row r="29" spans="1:5" x14ac:dyDescent="0.35">
      <c r="A29" s="27">
        <v>2244</v>
      </c>
      <c r="B29" s="54" t="s">
        <v>148</v>
      </c>
      <c r="C29" s="54">
        <v>4.5880000000000001</v>
      </c>
      <c r="D29" s="28">
        <v>229.4</v>
      </c>
      <c r="E29" s="28">
        <f t="shared" si="0"/>
        <v>114.7</v>
      </c>
    </row>
    <row r="30" spans="1:5" x14ac:dyDescent="0.35">
      <c r="A30" s="27">
        <v>2250</v>
      </c>
      <c r="B30" s="54" t="s">
        <v>151</v>
      </c>
      <c r="C30" s="54">
        <v>0.24329999999999999</v>
      </c>
      <c r="D30" s="28">
        <v>12.17</v>
      </c>
      <c r="E30" s="28">
        <f t="shared" si="0"/>
        <v>6.085</v>
      </c>
    </row>
    <row r="31" spans="1:5" x14ac:dyDescent="0.35">
      <c r="A31" s="27">
        <v>2311</v>
      </c>
      <c r="B31" s="56" t="s">
        <v>155</v>
      </c>
      <c r="C31" s="54">
        <f>3.583-0.07</f>
        <v>3.5130000000000003</v>
      </c>
      <c r="D31" s="28">
        <v>175.65</v>
      </c>
      <c r="E31" s="28">
        <f t="shared" si="0"/>
        <v>87.825000000000003</v>
      </c>
    </row>
    <row r="32" spans="1:5" x14ac:dyDescent="0.35">
      <c r="A32" s="27">
        <v>2312</v>
      </c>
      <c r="B32" s="54" t="s">
        <v>156</v>
      </c>
      <c r="C32" s="54">
        <v>1.6910000000000001</v>
      </c>
      <c r="D32" s="28">
        <v>84.55</v>
      </c>
      <c r="E32" s="28">
        <f t="shared" si="0"/>
        <v>42.274999999999999</v>
      </c>
    </row>
    <row r="33" spans="1:5" x14ac:dyDescent="0.35">
      <c r="A33" s="27">
        <v>2314</v>
      </c>
      <c r="B33" s="54" t="s">
        <v>157</v>
      </c>
      <c r="C33" s="54">
        <v>5.5399999999999998E-3</v>
      </c>
      <c r="D33" s="28">
        <v>0.28000000000000003</v>
      </c>
      <c r="E33" s="28">
        <f t="shared" si="0"/>
        <v>0.14000000000000001</v>
      </c>
    </row>
    <row r="34" spans="1:5" x14ac:dyDescent="0.35">
      <c r="A34" s="27">
        <v>2321</v>
      </c>
      <c r="B34" s="56" t="s">
        <v>158</v>
      </c>
      <c r="C34" s="56">
        <v>2.6031499999999999</v>
      </c>
      <c r="D34" s="28">
        <v>130.16</v>
      </c>
      <c r="E34" s="28">
        <v>74.84</v>
      </c>
    </row>
    <row r="35" spans="1:5" x14ac:dyDescent="0.35">
      <c r="A35" s="27">
        <v>2341</v>
      </c>
      <c r="B35" s="56" t="s">
        <v>136</v>
      </c>
      <c r="C35" s="56">
        <v>0.55430000000000001</v>
      </c>
      <c r="D35" s="28">
        <v>27.72</v>
      </c>
      <c r="E35" s="28">
        <f t="shared" si="0"/>
        <v>13.86</v>
      </c>
    </row>
    <row r="36" spans="1:5" x14ac:dyDescent="0.35">
      <c r="A36" s="27">
        <v>2350</v>
      </c>
      <c r="B36" s="55" t="s">
        <v>137</v>
      </c>
      <c r="C36" s="56">
        <v>1.1054999999999999</v>
      </c>
      <c r="D36" s="28">
        <v>55.28</v>
      </c>
      <c r="E36" s="28">
        <f t="shared" si="0"/>
        <v>27.639999999999997</v>
      </c>
    </row>
    <row r="37" spans="1:5" x14ac:dyDescent="0.35">
      <c r="A37" s="27">
        <v>2361</v>
      </c>
      <c r="B37" s="56" t="s">
        <v>170</v>
      </c>
      <c r="C37" s="56">
        <v>0.47499999999999998</v>
      </c>
      <c r="D37" s="28">
        <v>23.75</v>
      </c>
      <c r="E37" s="28">
        <f t="shared" si="0"/>
        <v>11.875</v>
      </c>
    </row>
    <row r="38" spans="1:5" x14ac:dyDescent="0.35">
      <c r="A38" s="27">
        <v>2362</v>
      </c>
      <c r="B38" s="56" t="s">
        <v>171</v>
      </c>
      <c r="C38" s="56">
        <v>4.052E-2</v>
      </c>
      <c r="D38" s="28">
        <v>2.0299999999999998</v>
      </c>
      <c r="E38" s="28">
        <f t="shared" si="0"/>
        <v>1.0149999999999999</v>
      </c>
    </row>
    <row r="39" spans="1:5" x14ac:dyDescent="0.35">
      <c r="A39" s="27">
        <v>2363</v>
      </c>
      <c r="B39" s="56" t="s">
        <v>172</v>
      </c>
      <c r="C39" s="110">
        <v>9.75</v>
      </c>
      <c r="D39" s="28">
        <f>9.75*50</f>
        <v>487.5</v>
      </c>
      <c r="E39" s="28">
        <f t="shared" si="0"/>
        <v>243.75</v>
      </c>
    </row>
    <row r="40" spans="1:5" x14ac:dyDescent="0.35">
      <c r="A40" s="27">
        <v>5239</v>
      </c>
      <c r="B40" s="55" t="s">
        <v>165</v>
      </c>
      <c r="C40" s="55" t="e">
        <f>#REF!</f>
        <v>#REF!</v>
      </c>
      <c r="D40" s="28">
        <v>110.69</v>
      </c>
      <c r="E40" s="28">
        <f t="shared" si="0"/>
        <v>55.344999999999999</v>
      </c>
    </row>
    <row r="41" spans="1:5" x14ac:dyDescent="0.35">
      <c r="A41" s="27"/>
      <c r="B41" s="57" t="s">
        <v>7</v>
      </c>
      <c r="C41" s="57" t="e">
        <f>SUM(C21:C40)</f>
        <v>#REF!</v>
      </c>
      <c r="D41" s="31">
        <f>SUM(D21:D40)</f>
        <v>3296.0400000000004</v>
      </c>
      <c r="E41" s="31">
        <f>SUM(E21:E40)</f>
        <v>1756.9800000000002</v>
      </c>
    </row>
    <row r="42" spans="1:5" x14ac:dyDescent="0.35">
      <c r="A42" s="32"/>
      <c r="B42" s="57" t="s">
        <v>8</v>
      </c>
      <c r="C42" s="57"/>
      <c r="D42" s="28"/>
      <c r="E42" s="28"/>
    </row>
    <row r="43" spans="1:5" x14ac:dyDescent="0.35">
      <c r="A43" s="27">
        <v>1100</v>
      </c>
      <c r="B43" s="54" t="s">
        <v>134</v>
      </c>
      <c r="C43" s="55">
        <v>0.51439999999999997</v>
      </c>
      <c r="D43" s="28">
        <v>575.1</v>
      </c>
      <c r="E43" s="28">
        <v>360.68</v>
      </c>
    </row>
    <row r="44" spans="1:5" ht="16.5" customHeight="1" x14ac:dyDescent="0.35">
      <c r="A44" s="27">
        <v>1200</v>
      </c>
      <c r="B44" s="54" t="s">
        <v>135</v>
      </c>
      <c r="C44" s="55">
        <f>C43*0.2359</f>
        <v>0.12134695999999999</v>
      </c>
      <c r="D44" s="28">
        <v>135.66999999999999</v>
      </c>
      <c r="E44" s="28">
        <v>85.08</v>
      </c>
    </row>
    <row r="45" spans="1:5" ht="16.5" customHeight="1" x14ac:dyDescent="0.35">
      <c r="A45" s="27">
        <v>2100</v>
      </c>
      <c r="B45" s="33" t="s">
        <v>44</v>
      </c>
      <c r="C45" s="55">
        <v>8.0999999999999996E-4</v>
      </c>
      <c r="D45" s="28">
        <v>0.91</v>
      </c>
      <c r="E45" s="28">
        <f t="shared" ref="E45:E71" si="1">D45/50*25</f>
        <v>0.45500000000000002</v>
      </c>
    </row>
    <row r="46" spans="1:5" x14ac:dyDescent="0.35">
      <c r="A46" s="34">
        <v>2210</v>
      </c>
      <c r="B46" s="56" t="s">
        <v>138</v>
      </c>
      <c r="C46" s="55">
        <v>8.0000000000000002E-3</v>
      </c>
      <c r="D46" s="28">
        <v>8.94</v>
      </c>
      <c r="E46" s="28">
        <f t="shared" si="1"/>
        <v>4.47</v>
      </c>
    </row>
    <row r="47" spans="1:5" x14ac:dyDescent="0.35">
      <c r="A47" s="27">
        <v>2222</v>
      </c>
      <c r="B47" s="56" t="s">
        <v>139</v>
      </c>
      <c r="C47" s="55">
        <v>4.4400000000000004E-3</v>
      </c>
      <c r="D47" s="28">
        <v>4.96</v>
      </c>
      <c r="E47" s="28">
        <v>4.96</v>
      </c>
    </row>
    <row r="48" spans="1:5" x14ac:dyDescent="0.35">
      <c r="A48" s="27">
        <v>2223</v>
      </c>
      <c r="B48" s="56" t="s">
        <v>140</v>
      </c>
      <c r="C48" s="55">
        <v>5.4940000000000003E-2</v>
      </c>
      <c r="D48" s="28">
        <v>61.42</v>
      </c>
      <c r="E48" s="28">
        <v>46.07</v>
      </c>
    </row>
    <row r="49" spans="1:5" ht="31" x14ac:dyDescent="0.35">
      <c r="A49" s="27">
        <v>2224</v>
      </c>
      <c r="B49" s="56" t="s">
        <v>141</v>
      </c>
      <c r="C49" s="55">
        <v>3.0899999999999999E-3</v>
      </c>
      <c r="D49" s="28">
        <v>3.45</v>
      </c>
      <c r="E49" s="28">
        <v>2.0699999999999998</v>
      </c>
    </row>
    <row r="50" spans="1:5" ht="15.75" customHeight="1" x14ac:dyDescent="0.35">
      <c r="A50" s="27">
        <v>2231</v>
      </c>
      <c r="B50" s="54" t="s">
        <v>142</v>
      </c>
      <c r="C50" s="55">
        <v>1.5E-3</v>
      </c>
      <c r="D50" s="28">
        <v>1.68</v>
      </c>
      <c r="E50" s="28">
        <f t="shared" si="1"/>
        <v>0.84</v>
      </c>
    </row>
    <row r="51" spans="1:5" ht="15.75" customHeight="1" x14ac:dyDescent="0.35">
      <c r="A51" s="27">
        <v>2235</v>
      </c>
      <c r="B51" s="58" t="s">
        <v>143</v>
      </c>
      <c r="C51" s="55">
        <v>2.5100000000000001E-3</v>
      </c>
      <c r="D51" s="28">
        <v>2.81</v>
      </c>
      <c r="E51" s="28">
        <f t="shared" si="1"/>
        <v>1.405</v>
      </c>
    </row>
    <row r="52" spans="1:5" x14ac:dyDescent="0.35">
      <c r="A52" s="27">
        <v>2239</v>
      </c>
      <c r="B52" s="54" t="s">
        <v>144</v>
      </c>
      <c r="C52" s="55">
        <v>1.7899999999999999E-3</v>
      </c>
      <c r="D52" s="28">
        <v>2</v>
      </c>
      <c r="E52" s="28">
        <f t="shared" si="1"/>
        <v>1</v>
      </c>
    </row>
    <row r="53" spans="1:5" x14ac:dyDescent="0.35">
      <c r="A53" s="27">
        <v>2241</v>
      </c>
      <c r="B53" s="54" t="s">
        <v>145</v>
      </c>
      <c r="C53" s="55">
        <v>1.6500000000000001E-2</v>
      </c>
      <c r="D53" s="28">
        <v>18.45</v>
      </c>
      <c r="E53" s="28">
        <v>11.07</v>
      </c>
    </row>
    <row r="54" spans="1:5" x14ac:dyDescent="0.35">
      <c r="A54" s="27">
        <v>2242</v>
      </c>
      <c r="B54" s="56" t="s">
        <v>146</v>
      </c>
      <c r="C54" s="55">
        <v>8.4999999999999995E-4</v>
      </c>
      <c r="D54" s="28">
        <v>0.95</v>
      </c>
      <c r="E54" s="28">
        <f t="shared" si="1"/>
        <v>0.47499999999999998</v>
      </c>
    </row>
    <row r="55" spans="1:5" ht="15.75" customHeight="1" x14ac:dyDescent="0.35">
      <c r="A55" s="27">
        <v>2243</v>
      </c>
      <c r="B55" s="54" t="s">
        <v>147</v>
      </c>
      <c r="C55" s="55">
        <v>4.0000000000000002E-4</v>
      </c>
      <c r="D55" s="28">
        <f>0.45+0.07</f>
        <v>0.52</v>
      </c>
      <c r="E55" s="28">
        <f t="shared" si="1"/>
        <v>0.26</v>
      </c>
    </row>
    <row r="56" spans="1:5" x14ac:dyDescent="0.35">
      <c r="A56" s="27">
        <v>2244</v>
      </c>
      <c r="B56" s="54" t="s">
        <v>148</v>
      </c>
      <c r="C56" s="55">
        <v>6.8070000000000006E-2</v>
      </c>
      <c r="D56" s="28">
        <v>76.099999999999994</v>
      </c>
      <c r="E56" s="28">
        <f t="shared" si="1"/>
        <v>38.049999999999997</v>
      </c>
    </row>
    <row r="57" spans="1:5" x14ac:dyDescent="0.35">
      <c r="A57" s="27">
        <v>2247</v>
      </c>
      <c r="B57" s="54" t="s">
        <v>149</v>
      </c>
      <c r="C57" s="55">
        <v>2.2000000000000001E-4</v>
      </c>
      <c r="D57" s="28">
        <v>0.25</v>
      </c>
      <c r="E57" s="28">
        <f t="shared" si="1"/>
        <v>0.125</v>
      </c>
    </row>
    <row r="58" spans="1:5" x14ac:dyDescent="0.35">
      <c r="A58" s="27">
        <v>2249</v>
      </c>
      <c r="B58" s="54" t="s">
        <v>150</v>
      </c>
      <c r="C58" s="55">
        <v>2.5000000000000001E-4</v>
      </c>
      <c r="D58" s="28">
        <v>0.28000000000000003</v>
      </c>
      <c r="E58" s="28">
        <f t="shared" si="1"/>
        <v>0.14000000000000001</v>
      </c>
    </row>
    <row r="59" spans="1:5" x14ac:dyDescent="0.35">
      <c r="A59" s="27">
        <v>2250</v>
      </c>
      <c r="B59" s="54" t="s">
        <v>151</v>
      </c>
      <c r="C59" s="55">
        <v>2.8400000000000002E-2</v>
      </c>
      <c r="D59" s="28">
        <v>31.75</v>
      </c>
      <c r="E59" s="28">
        <f t="shared" si="1"/>
        <v>15.875</v>
      </c>
    </row>
    <row r="60" spans="1:5" x14ac:dyDescent="0.35">
      <c r="A60" s="27">
        <v>2262</v>
      </c>
      <c r="B60" s="56" t="s">
        <v>152</v>
      </c>
      <c r="C60" s="55">
        <v>1.137E-2</v>
      </c>
      <c r="D60" s="28">
        <v>12.71</v>
      </c>
      <c r="E60" s="28">
        <f t="shared" si="1"/>
        <v>6.3550000000000013</v>
      </c>
    </row>
    <row r="61" spans="1:5" x14ac:dyDescent="0.35">
      <c r="A61" s="27">
        <v>2263</v>
      </c>
      <c r="B61" s="56" t="s">
        <v>153</v>
      </c>
      <c r="C61" s="55">
        <v>4.58E-2</v>
      </c>
      <c r="D61" s="28">
        <v>51.2</v>
      </c>
      <c r="E61" s="28">
        <f t="shared" si="1"/>
        <v>25.6</v>
      </c>
    </row>
    <row r="62" spans="1:5" x14ac:dyDescent="0.35">
      <c r="A62" s="27">
        <v>2264</v>
      </c>
      <c r="B62" s="54" t="s">
        <v>154</v>
      </c>
      <c r="C62" s="55">
        <v>2.4000000000000001E-4</v>
      </c>
      <c r="D62" s="28">
        <v>0.27</v>
      </c>
      <c r="E62" s="28">
        <f t="shared" si="1"/>
        <v>0.13500000000000001</v>
      </c>
    </row>
    <row r="63" spans="1:5" x14ac:dyDescent="0.35">
      <c r="A63" s="27">
        <v>2311</v>
      </c>
      <c r="B63" s="56" t="s">
        <v>155</v>
      </c>
      <c r="C63" s="108">
        <v>7.1000000000000002E-4</v>
      </c>
      <c r="D63" s="28">
        <v>0.79</v>
      </c>
      <c r="E63" s="28">
        <f t="shared" si="1"/>
        <v>0.39500000000000002</v>
      </c>
    </row>
    <row r="64" spans="1:5" x14ac:dyDescent="0.35">
      <c r="A64" s="27">
        <v>2314</v>
      </c>
      <c r="B64" s="58" t="s">
        <v>157</v>
      </c>
      <c r="C64" s="55">
        <v>4.6000000000000001E-4</v>
      </c>
      <c r="D64" s="28">
        <v>0.51</v>
      </c>
      <c r="E64" s="28">
        <f t="shared" si="1"/>
        <v>0.255</v>
      </c>
    </row>
    <row r="65" spans="1:5" x14ac:dyDescent="0.35">
      <c r="A65" s="27">
        <v>2321</v>
      </c>
      <c r="B65" s="56" t="s">
        <v>158</v>
      </c>
      <c r="C65" s="55">
        <v>6.0220000000000003E-2</v>
      </c>
      <c r="D65" s="28">
        <v>67.33</v>
      </c>
      <c r="E65" s="28">
        <v>1.2</v>
      </c>
    </row>
    <row r="66" spans="1:5" x14ac:dyDescent="0.35">
      <c r="A66" s="27">
        <v>2322</v>
      </c>
      <c r="B66" s="56" t="s">
        <v>159</v>
      </c>
      <c r="C66" s="55">
        <v>2.0999999999999999E-3</v>
      </c>
      <c r="D66" s="28">
        <v>2.35</v>
      </c>
      <c r="E66" s="28">
        <f>1.29+39.21</f>
        <v>40.5</v>
      </c>
    </row>
    <row r="67" spans="1:5" ht="15.75" customHeight="1" x14ac:dyDescent="0.35">
      <c r="A67" s="27">
        <v>2513</v>
      </c>
      <c r="B67" s="55" t="s">
        <v>160</v>
      </c>
      <c r="C67" s="55">
        <v>6.3000000000000003E-4</v>
      </c>
      <c r="D67" s="28">
        <v>0.7</v>
      </c>
      <c r="E67" s="28">
        <f t="shared" si="1"/>
        <v>0.35</v>
      </c>
    </row>
    <row r="68" spans="1:5" x14ac:dyDescent="0.35">
      <c r="A68" s="27">
        <v>2515</v>
      </c>
      <c r="B68" s="56" t="s">
        <v>161</v>
      </c>
      <c r="C68" s="55">
        <v>2.7499999999999998E-3</v>
      </c>
      <c r="D68" s="28">
        <v>3.07</v>
      </c>
      <c r="E68" s="28">
        <f t="shared" si="1"/>
        <v>1.5349999999999999</v>
      </c>
    </row>
    <row r="69" spans="1:5" x14ac:dyDescent="0.35">
      <c r="A69" s="27">
        <v>2519</v>
      </c>
      <c r="B69" s="56" t="s">
        <v>162</v>
      </c>
      <c r="C69" s="55">
        <v>1.5100000000000001E-3</v>
      </c>
      <c r="D69" s="28">
        <v>1.69</v>
      </c>
      <c r="E69" s="28">
        <f t="shared" si="1"/>
        <v>0.84499999999999997</v>
      </c>
    </row>
    <row r="70" spans="1:5" x14ac:dyDescent="0.35">
      <c r="A70" s="27">
        <v>5220</v>
      </c>
      <c r="B70" s="56" t="s">
        <v>163</v>
      </c>
      <c r="C70" s="55">
        <v>1.06E-2</v>
      </c>
      <c r="D70" s="28">
        <v>11.85</v>
      </c>
      <c r="E70" s="28">
        <f t="shared" si="1"/>
        <v>5.9249999999999998</v>
      </c>
    </row>
    <row r="71" spans="1:5" x14ac:dyDescent="0.35">
      <c r="A71" s="27">
        <v>5238</v>
      </c>
      <c r="B71" s="55" t="s">
        <v>164</v>
      </c>
      <c r="C71" s="55">
        <v>1.65E-3</v>
      </c>
      <c r="D71" s="28">
        <v>1.84</v>
      </c>
      <c r="E71" s="28">
        <f t="shared" si="1"/>
        <v>0.91999999999999993</v>
      </c>
    </row>
    <row r="72" spans="1:5" x14ac:dyDescent="0.35">
      <c r="A72" s="27">
        <v>5239</v>
      </c>
      <c r="B72" s="55" t="s">
        <v>165</v>
      </c>
      <c r="C72" s="55">
        <v>1.9800000000000002E-2</v>
      </c>
      <c r="D72" s="28">
        <v>22.14</v>
      </c>
      <c r="E72" s="28">
        <f>D72/50*25-0.25</f>
        <v>10.82</v>
      </c>
    </row>
    <row r="73" spans="1:5" x14ac:dyDescent="0.35">
      <c r="A73" s="27">
        <v>5250</v>
      </c>
      <c r="B73" s="56" t="s">
        <v>166</v>
      </c>
      <c r="C73" s="55">
        <v>1.4999999999999999E-2</v>
      </c>
      <c r="D73" s="28">
        <v>16.27</v>
      </c>
      <c r="E73" s="28">
        <v>10.66</v>
      </c>
    </row>
    <row r="74" spans="1:5" x14ac:dyDescent="0.35">
      <c r="A74" s="32"/>
      <c r="B74" s="59" t="s">
        <v>167</v>
      </c>
      <c r="C74" s="59"/>
      <c r="D74" s="31">
        <f>SUM(D43:D73)</f>
        <v>1117.9599999999998</v>
      </c>
      <c r="E74" s="31">
        <f>SUM(E43:E73)</f>
        <v>678.51999999999987</v>
      </c>
    </row>
    <row r="75" spans="1:5" x14ac:dyDescent="0.35">
      <c r="A75" s="32"/>
      <c r="B75" s="59" t="s">
        <v>168</v>
      </c>
      <c r="C75" s="59"/>
      <c r="D75" s="31">
        <f>D41+D74</f>
        <v>4414</v>
      </c>
      <c r="E75" s="31">
        <f>E41+E74</f>
        <v>2435.5</v>
      </c>
    </row>
    <row r="76" spans="1:5" ht="12.75" customHeight="1" x14ac:dyDescent="0.35">
      <c r="A76" s="37"/>
      <c r="B76" s="20"/>
      <c r="C76" s="20"/>
      <c r="D76" s="60"/>
      <c r="E76" s="60"/>
    </row>
    <row r="77" spans="1:5" ht="15.75" customHeight="1" x14ac:dyDescent="0.35">
      <c r="A77" s="211" t="s">
        <v>51</v>
      </c>
      <c r="B77" s="211"/>
      <c r="C77" s="61"/>
      <c r="D77" s="44">
        <v>50</v>
      </c>
      <c r="E77" s="44">
        <v>25</v>
      </c>
    </row>
    <row r="78" spans="1:5" ht="15.75" customHeight="1" x14ac:dyDescent="0.35">
      <c r="A78" s="211" t="s">
        <v>58</v>
      </c>
      <c r="B78" s="211"/>
      <c r="C78" s="61"/>
      <c r="D78" s="45">
        <f>D75/D77</f>
        <v>88.28</v>
      </c>
      <c r="E78" s="45">
        <f>E75/E77</f>
        <v>97.42</v>
      </c>
    </row>
    <row r="79" spans="1:5" ht="9.75" customHeight="1" x14ac:dyDescent="0.35">
      <c r="A79" s="41"/>
      <c r="B79" s="42"/>
      <c r="C79" s="42"/>
    </row>
    <row r="80" spans="1:5" ht="15.75" customHeight="1" x14ac:dyDescent="0.35">
      <c r="A80" s="208" t="s">
        <v>52</v>
      </c>
      <c r="B80" s="208"/>
      <c r="C80" s="62"/>
      <c r="D80" s="40"/>
      <c r="E80" s="40"/>
    </row>
    <row r="81" spans="1:5" ht="15.75" customHeight="1" x14ac:dyDescent="0.35">
      <c r="A81" s="208" t="s">
        <v>74</v>
      </c>
      <c r="B81" s="208"/>
      <c r="C81" s="62"/>
      <c r="D81" s="69"/>
      <c r="E81" s="69"/>
    </row>
    <row r="82" spans="1:5" ht="8.25" customHeight="1" x14ac:dyDescent="0.35">
      <c r="A82" s="17"/>
      <c r="B82" s="17"/>
      <c r="C82" s="17"/>
      <c r="D82" s="17"/>
      <c r="E82" s="17"/>
    </row>
    <row r="83" spans="1:5" x14ac:dyDescent="0.35">
      <c r="A83" s="17" t="s">
        <v>53</v>
      </c>
      <c r="B83" s="17"/>
      <c r="C83" s="17"/>
      <c r="D83" s="48"/>
      <c r="E83" s="48"/>
    </row>
    <row r="84" spans="1:5" x14ac:dyDescent="0.35">
      <c r="A84" s="17"/>
      <c r="B84" s="17"/>
      <c r="C84" s="48"/>
      <c r="D84" s="48"/>
      <c r="E84" s="48"/>
    </row>
    <row r="85" spans="1:5" x14ac:dyDescent="0.35">
      <c r="A85" s="17" t="s">
        <v>68</v>
      </c>
      <c r="B85" s="18"/>
      <c r="C85" s="18"/>
      <c r="D85" s="48"/>
      <c r="E85" s="48"/>
    </row>
    <row r="86" spans="1:5" x14ac:dyDescent="0.35">
      <c r="B86" s="63"/>
      <c r="C86" s="63"/>
      <c r="D86" s="64"/>
      <c r="E86" s="64"/>
    </row>
    <row r="88" spans="1:5" x14ac:dyDescent="0.35">
      <c r="D88" s="52"/>
      <c r="E88" s="52"/>
    </row>
  </sheetData>
  <mergeCells count="7">
    <mergeCell ref="A77:B77"/>
    <mergeCell ref="A78:B78"/>
    <mergeCell ref="A80:B80"/>
    <mergeCell ref="A81:B81"/>
    <mergeCell ref="A8:D8"/>
    <mergeCell ref="A10:B10"/>
    <mergeCell ref="A11:B11"/>
  </mergeCells>
  <pageMargins left="0.70866141732283472" right="1.2382440476190477" top="0.74803149606299213" bottom="0.74803149606299213" header="0.31496062992125984" footer="0.31496062992125984"/>
  <pageSetup paperSize="9" scale="53" orientation="portrait" r:id="rId1"/>
  <headerFooter>
    <oddFooter>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7"/>
  <sheetViews>
    <sheetView view="pageLayout" topLeftCell="A58" zoomScale="80" zoomScaleNormal="90" zoomScalePageLayoutView="80" workbookViewId="0">
      <selection activeCell="B78" sqref="B78"/>
    </sheetView>
  </sheetViews>
  <sheetFormatPr defaultColWidth="9.1796875" defaultRowHeight="15.5" x14ac:dyDescent="0.35"/>
  <cols>
    <col min="1" max="1" width="19.26953125" style="12" customWidth="1"/>
    <col min="2" max="2" width="95.1796875" style="12" customWidth="1"/>
    <col min="3" max="3" width="10" style="12" hidden="1" customWidth="1"/>
    <col min="4" max="4" width="25.1796875" style="12" hidden="1" customWidth="1"/>
    <col min="5" max="6" width="28.81640625" style="12" hidden="1" customWidth="1"/>
    <col min="7" max="7" width="33.81640625" style="12" hidden="1" customWidth="1"/>
    <col min="8" max="8" width="36.26953125" style="12" customWidth="1"/>
    <col min="9" max="9" width="13" style="12" customWidth="1"/>
    <col min="10" max="16384" width="9.1796875" style="12"/>
  </cols>
  <sheetData>
    <row r="1" spans="1:8" ht="15.75" customHeight="1" x14ac:dyDescent="0.35">
      <c r="B1" s="10"/>
      <c r="C1" s="10"/>
      <c r="D1" s="49" t="s">
        <v>50</v>
      </c>
      <c r="E1" s="49" t="s">
        <v>50</v>
      </c>
      <c r="F1" s="49" t="s">
        <v>50</v>
      </c>
      <c r="G1" s="49" t="s">
        <v>50</v>
      </c>
      <c r="H1" s="49" t="s">
        <v>50</v>
      </c>
    </row>
    <row r="2" spans="1:8" x14ac:dyDescent="0.35">
      <c r="B2" s="11"/>
      <c r="C2" s="11"/>
      <c r="D2" s="11"/>
      <c r="E2" s="11"/>
      <c r="F2" s="11"/>
      <c r="G2" s="10"/>
      <c r="H2" s="10" t="s">
        <v>54</v>
      </c>
    </row>
    <row r="3" spans="1:8" x14ac:dyDescent="0.35">
      <c r="B3" s="11"/>
      <c r="C3" s="11"/>
      <c r="D3" s="46" t="s">
        <v>76</v>
      </c>
      <c r="E3" s="46" t="s">
        <v>76</v>
      </c>
      <c r="F3" s="46" t="s">
        <v>76</v>
      </c>
      <c r="G3" s="46" t="s">
        <v>76</v>
      </c>
      <c r="H3" s="46" t="s">
        <v>76</v>
      </c>
    </row>
    <row r="4" spans="1:8" x14ac:dyDescent="0.35">
      <c r="B4" s="10"/>
      <c r="C4" s="10"/>
      <c r="D4" s="37"/>
      <c r="E4" s="37"/>
      <c r="F4" s="37"/>
      <c r="G4" s="37"/>
      <c r="H4" s="37"/>
    </row>
    <row r="5" spans="1:8" x14ac:dyDescent="0.35">
      <c r="B5" s="51"/>
      <c r="C5" s="51"/>
    </row>
    <row r="6" spans="1:8" x14ac:dyDescent="0.35">
      <c r="B6" s="51"/>
      <c r="C6" s="51"/>
      <c r="D6" s="37" t="s">
        <v>196</v>
      </c>
      <c r="E6" s="37" t="s">
        <v>196</v>
      </c>
      <c r="F6" s="37" t="s">
        <v>196</v>
      </c>
      <c r="G6" s="37" t="s">
        <v>196</v>
      </c>
      <c r="H6" s="37" t="s">
        <v>246</v>
      </c>
    </row>
    <row r="7" spans="1:8" x14ac:dyDescent="0.35">
      <c r="D7" s="20"/>
      <c r="E7" s="20"/>
      <c r="F7" s="20"/>
      <c r="G7" s="20"/>
      <c r="H7" s="20"/>
    </row>
    <row r="8" spans="1:8" x14ac:dyDescent="0.35">
      <c r="A8" s="209" t="s">
        <v>10</v>
      </c>
      <c r="B8" s="209"/>
      <c r="C8" s="209"/>
      <c r="D8" s="209"/>
      <c r="E8" s="50"/>
      <c r="F8" s="50"/>
      <c r="G8" s="50"/>
      <c r="H8" s="50"/>
    </row>
    <row r="9" spans="1:8" x14ac:dyDescent="0.35">
      <c r="B9" s="53"/>
      <c r="C9" s="53"/>
      <c r="D9" s="20"/>
      <c r="E9" s="20"/>
      <c r="F9" s="20"/>
      <c r="G9" s="20"/>
      <c r="H9" s="20"/>
    </row>
    <row r="10" spans="1:8" x14ac:dyDescent="0.35">
      <c r="A10" s="210" t="s">
        <v>1</v>
      </c>
      <c r="B10" s="210"/>
      <c r="C10" s="9"/>
      <c r="D10" s="20"/>
      <c r="E10" s="20"/>
      <c r="F10" s="20"/>
      <c r="G10" s="20"/>
      <c r="H10" s="20"/>
    </row>
    <row r="11" spans="1:8" x14ac:dyDescent="0.35">
      <c r="A11" s="210" t="s">
        <v>0</v>
      </c>
      <c r="B11" s="210"/>
      <c r="C11" s="9"/>
      <c r="D11" s="20"/>
      <c r="E11" s="20"/>
      <c r="F11" s="20"/>
      <c r="G11" s="20"/>
      <c r="H11" s="20"/>
    </row>
    <row r="12" spans="1:8" x14ac:dyDescent="0.35">
      <c r="A12" s="9"/>
      <c r="B12" s="9" t="s">
        <v>213</v>
      </c>
      <c r="C12" s="9"/>
      <c r="D12" s="20"/>
      <c r="E12" s="20"/>
      <c r="F12" s="20"/>
      <c r="G12" s="20"/>
      <c r="H12" s="20"/>
    </row>
    <row r="13" spans="1:8" x14ac:dyDescent="0.35">
      <c r="A13" s="9"/>
      <c r="B13" s="9" t="s">
        <v>214</v>
      </c>
      <c r="C13" s="9"/>
      <c r="D13" s="20"/>
      <c r="E13" s="20"/>
      <c r="F13" s="20"/>
      <c r="G13" s="20"/>
      <c r="H13" s="20"/>
    </row>
    <row r="14" spans="1:8" x14ac:dyDescent="0.35">
      <c r="A14" s="9"/>
      <c r="B14" s="9" t="s">
        <v>217</v>
      </c>
      <c r="C14" s="9"/>
      <c r="D14" s="20"/>
      <c r="E14" s="20"/>
      <c r="F14" s="20"/>
      <c r="G14" s="20"/>
      <c r="H14" s="20"/>
    </row>
    <row r="15" spans="1:8" x14ac:dyDescent="0.35">
      <c r="A15" s="9"/>
      <c r="B15" s="9" t="s">
        <v>222</v>
      </c>
      <c r="C15" s="9"/>
      <c r="D15" s="20"/>
      <c r="E15" s="20"/>
      <c r="F15" s="20"/>
      <c r="G15" s="20"/>
      <c r="H15" s="20"/>
    </row>
    <row r="16" spans="1:8" x14ac:dyDescent="0.35">
      <c r="A16" s="9" t="s">
        <v>2</v>
      </c>
      <c r="B16" s="9" t="s">
        <v>197</v>
      </c>
      <c r="C16" s="9"/>
      <c r="D16" s="20"/>
      <c r="E16" s="20"/>
      <c r="F16" s="20"/>
      <c r="G16" s="20"/>
      <c r="H16" s="20"/>
    </row>
    <row r="17" spans="1:9" ht="69.75" customHeight="1" x14ac:dyDescent="0.35">
      <c r="A17" s="43" t="s">
        <v>3</v>
      </c>
      <c r="B17" s="43" t="s">
        <v>4</v>
      </c>
      <c r="C17" s="43"/>
      <c r="D17" s="43" t="s">
        <v>5</v>
      </c>
      <c r="E17" s="43" t="s">
        <v>5</v>
      </c>
      <c r="F17" s="43" t="s">
        <v>5</v>
      </c>
      <c r="G17" s="43" t="s">
        <v>5</v>
      </c>
      <c r="H17" s="43" t="s">
        <v>5</v>
      </c>
    </row>
    <row r="18" spans="1:9" x14ac:dyDescent="0.35">
      <c r="A18" s="22">
        <v>1</v>
      </c>
      <c r="B18" s="23">
        <v>2</v>
      </c>
      <c r="C18" s="23"/>
      <c r="D18" s="23">
        <v>3</v>
      </c>
      <c r="E18" s="23">
        <v>3</v>
      </c>
      <c r="F18" s="23">
        <v>3</v>
      </c>
      <c r="G18" s="23">
        <v>3</v>
      </c>
      <c r="H18" s="23">
        <v>3</v>
      </c>
    </row>
    <row r="19" spans="1:9" x14ac:dyDescent="0.35">
      <c r="A19" s="22"/>
      <c r="B19" s="54" t="s">
        <v>6</v>
      </c>
      <c r="C19" s="54"/>
      <c r="D19" s="55"/>
      <c r="E19" s="55"/>
      <c r="F19" s="55"/>
      <c r="G19" s="55"/>
      <c r="H19" s="55"/>
    </row>
    <row r="20" spans="1:9" x14ac:dyDescent="0.35">
      <c r="A20" s="27">
        <v>1100</v>
      </c>
      <c r="B20" s="27" t="s">
        <v>134</v>
      </c>
      <c r="C20" s="27" t="e">
        <f>#REF!</f>
        <v>#REF!</v>
      </c>
      <c r="D20" s="28">
        <v>1361.07</v>
      </c>
      <c r="E20" s="28">
        <f>D20/50*250</f>
        <v>6805.3499999999995</v>
      </c>
      <c r="F20" s="28">
        <v>18299.759999999998</v>
      </c>
      <c r="G20" s="28">
        <f>F20/600*500</f>
        <v>15249.8</v>
      </c>
      <c r="H20" s="28">
        <f>G20/500*400</f>
        <v>12199.839999999998</v>
      </c>
    </row>
    <row r="21" spans="1:9" x14ac:dyDescent="0.35">
      <c r="A21" s="27">
        <v>1200</v>
      </c>
      <c r="B21" s="55" t="s">
        <v>135</v>
      </c>
      <c r="C21" s="55" t="e">
        <f>C20*0.2359</f>
        <v>#REF!</v>
      </c>
      <c r="D21" s="28">
        <v>321.08</v>
      </c>
      <c r="E21" s="28">
        <f t="shared" ref="E21:E39" si="0">D21/50*250</f>
        <v>1605.3999999999999</v>
      </c>
      <c r="F21" s="28">
        <v>4316.91</v>
      </c>
      <c r="G21" s="28">
        <f t="shared" ref="G21:G39" si="1">F21/600*500</f>
        <v>3597.4249999999997</v>
      </c>
      <c r="H21" s="28">
        <f t="shared" ref="H21:H39" si="2">G21/500*400</f>
        <v>2877.94</v>
      </c>
    </row>
    <row r="22" spans="1:9" x14ac:dyDescent="0.35">
      <c r="A22" s="27">
        <v>2222</v>
      </c>
      <c r="B22" s="56" t="s">
        <v>139</v>
      </c>
      <c r="C22" s="56" t="e">
        <f>#REF!</f>
        <v>#REF!</v>
      </c>
      <c r="D22" s="28">
        <v>58.96</v>
      </c>
      <c r="E22" s="28">
        <f t="shared" si="0"/>
        <v>294.8</v>
      </c>
      <c r="F22" s="28">
        <f>E22/250*600</f>
        <v>707.52</v>
      </c>
      <c r="G22" s="28">
        <f t="shared" si="1"/>
        <v>589.6</v>
      </c>
      <c r="H22" s="28">
        <f t="shared" si="2"/>
        <v>471.68</v>
      </c>
    </row>
    <row r="23" spans="1:9" x14ac:dyDescent="0.35">
      <c r="A23" s="27">
        <v>2223</v>
      </c>
      <c r="B23" s="56" t="s">
        <v>140</v>
      </c>
      <c r="C23" s="56" t="e">
        <f>#REF!</f>
        <v>#REF!</v>
      </c>
      <c r="D23" s="28">
        <v>168.55</v>
      </c>
      <c r="E23" s="28">
        <f t="shared" si="0"/>
        <v>842.75000000000011</v>
      </c>
      <c r="F23" s="28">
        <v>2025.54</v>
      </c>
      <c r="G23" s="28">
        <f t="shared" si="1"/>
        <v>1687.95</v>
      </c>
      <c r="H23" s="28">
        <f t="shared" si="2"/>
        <v>1350.3600000000001</v>
      </c>
      <c r="I23" s="52"/>
    </row>
    <row r="24" spans="1:9" ht="31" x14ac:dyDescent="0.35">
      <c r="A24" s="27">
        <v>2224</v>
      </c>
      <c r="B24" s="56" t="s">
        <v>141</v>
      </c>
      <c r="C24" s="56" t="e">
        <f>#REF!</f>
        <v>#REF!</v>
      </c>
      <c r="D24" s="28">
        <v>0.53</v>
      </c>
      <c r="E24" s="28">
        <f t="shared" si="0"/>
        <v>2.65</v>
      </c>
      <c r="F24" s="28">
        <v>8.83</v>
      </c>
      <c r="G24" s="28">
        <f t="shared" si="1"/>
        <v>7.3583333333333334</v>
      </c>
      <c r="H24" s="28">
        <f t="shared" si="2"/>
        <v>5.8866666666666667</v>
      </c>
    </row>
    <row r="25" spans="1:9" x14ac:dyDescent="0.35">
      <c r="A25" s="27">
        <v>2231</v>
      </c>
      <c r="B25" s="56" t="s">
        <v>142</v>
      </c>
      <c r="C25" s="56" t="e">
        <f>#REF!</f>
        <v>#REF!</v>
      </c>
      <c r="D25" s="28">
        <v>2.54</v>
      </c>
      <c r="E25" s="28">
        <f t="shared" si="0"/>
        <v>12.7</v>
      </c>
      <c r="F25" s="28">
        <f t="shared" ref="F25:F32" si="3">E25/250*600</f>
        <v>30.48</v>
      </c>
      <c r="G25" s="28">
        <f t="shared" si="1"/>
        <v>25.4</v>
      </c>
      <c r="H25" s="28">
        <f t="shared" si="2"/>
        <v>20.32</v>
      </c>
    </row>
    <row r="26" spans="1:9" x14ac:dyDescent="0.35">
      <c r="A26" s="27">
        <v>2239</v>
      </c>
      <c r="B26" s="109" t="s">
        <v>195</v>
      </c>
      <c r="C26" s="56" t="e">
        <f>#REF!</f>
        <v>#REF!</v>
      </c>
      <c r="D26" s="28">
        <v>0.33</v>
      </c>
      <c r="E26" s="28">
        <f t="shared" si="0"/>
        <v>1.65</v>
      </c>
      <c r="F26" s="28">
        <f t="shared" si="3"/>
        <v>3.96</v>
      </c>
      <c r="G26" s="28">
        <f t="shared" si="1"/>
        <v>3.3</v>
      </c>
      <c r="H26" s="28">
        <f t="shared" si="2"/>
        <v>2.64</v>
      </c>
    </row>
    <row r="27" spans="1:9" x14ac:dyDescent="0.35">
      <c r="A27" s="27">
        <v>2243</v>
      </c>
      <c r="B27" s="54" t="s">
        <v>147</v>
      </c>
      <c r="C27" s="54" t="e">
        <f>#REF!</f>
        <v>#REF!</v>
      </c>
      <c r="D27" s="28">
        <v>5.66</v>
      </c>
      <c r="E27" s="28">
        <f t="shared" si="0"/>
        <v>28.3</v>
      </c>
      <c r="F27" s="28">
        <f t="shared" si="3"/>
        <v>67.92</v>
      </c>
      <c r="G27" s="28">
        <f t="shared" si="1"/>
        <v>56.6</v>
      </c>
      <c r="H27" s="28">
        <f t="shared" si="2"/>
        <v>45.28</v>
      </c>
    </row>
    <row r="28" spans="1:9" x14ac:dyDescent="0.35">
      <c r="A28" s="27">
        <v>2244</v>
      </c>
      <c r="B28" s="54" t="s">
        <v>148</v>
      </c>
      <c r="C28" s="54" t="e">
        <f>#REF!</f>
        <v>#REF!</v>
      </c>
      <c r="D28" s="28">
        <v>225.24</v>
      </c>
      <c r="E28" s="28">
        <f t="shared" si="0"/>
        <v>1126.2</v>
      </c>
      <c r="F28" s="28">
        <f t="shared" si="3"/>
        <v>2702.88</v>
      </c>
      <c r="G28" s="28">
        <f t="shared" si="1"/>
        <v>2252.4</v>
      </c>
      <c r="H28" s="28">
        <f t="shared" si="2"/>
        <v>1801.92</v>
      </c>
    </row>
    <row r="29" spans="1:9" x14ac:dyDescent="0.35">
      <c r="A29" s="27">
        <v>2250</v>
      </c>
      <c r="B29" s="54" t="s">
        <v>151</v>
      </c>
      <c r="C29" s="54" t="e">
        <f>#REF!</f>
        <v>#REF!</v>
      </c>
      <c r="D29" s="28">
        <v>11.94</v>
      </c>
      <c r="E29" s="28">
        <f t="shared" si="0"/>
        <v>59.699999999999996</v>
      </c>
      <c r="F29" s="28">
        <f t="shared" si="3"/>
        <v>143.28</v>
      </c>
      <c r="G29" s="28">
        <f t="shared" si="1"/>
        <v>119.4</v>
      </c>
      <c r="H29" s="28">
        <f t="shared" si="2"/>
        <v>95.52000000000001</v>
      </c>
    </row>
    <row r="30" spans="1:9" x14ac:dyDescent="0.35">
      <c r="A30" s="27">
        <v>2311</v>
      </c>
      <c r="B30" s="56" t="s">
        <v>155</v>
      </c>
      <c r="C30" s="54" t="e">
        <f>#REF!</f>
        <v>#REF!</v>
      </c>
      <c r="D30" s="28">
        <v>175.91</v>
      </c>
      <c r="E30" s="28">
        <f t="shared" si="0"/>
        <v>879.55</v>
      </c>
      <c r="F30" s="28">
        <f t="shared" si="3"/>
        <v>2110.92</v>
      </c>
      <c r="G30" s="28">
        <f t="shared" si="1"/>
        <v>1759.1000000000001</v>
      </c>
      <c r="H30" s="28">
        <f t="shared" si="2"/>
        <v>1407.2800000000002</v>
      </c>
    </row>
    <row r="31" spans="1:9" x14ac:dyDescent="0.35">
      <c r="A31" s="27">
        <v>2312</v>
      </c>
      <c r="B31" s="54" t="s">
        <v>156</v>
      </c>
      <c r="C31" s="54" t="e">
        <f>#REF!</f>
        <v>#REF!</v>
      </c>
      <c r="D31" s="28">
        <v>83.03</v>
      </c>
      <c r="E31" s="28">
        <f t="shared" si="0"/>
        <v>415.15000000000003</v>
      </c>
      <c r="F31" s="28">
        <f t="shared" si="3"/>
        <v>996.36</v>
      </c>
      <c r="G31" s="28">
        <f t="shared" si="1"/>
        <v>830.30000000000007</v>
      </c>
      <c r="H31" s="28">
        <f t="shared" si="2"/>
        <v>664.24</v>
      </c>
    </row>
    <row r="32" spans="1:9" x14ac:dyDescent="0.35">
      <c r="A32" s="27">
        <v>2314</v>
      </c>
      <c r="B32" s="54" t="s">
        <v>157</v>
      </c>
      <c r="C32" s="54" t="e">
        <f>#REF!</f>
        <v>#REF!</v>
      </c>
      <c r="D32" s="28">
        <v>0.27</v>
      </c>
      <c r="E32" s="28">
        <f t="shared" si="0"/>
        <v>1.35</v>
      </c>
      <c r="F32" s="28">
        <f t="shared" si="3"/>
        <v>3.24</v>
      </c>
      <c r="G32" s="28">
        <f t="shared" si="1"/>
        <v>2.7</v>
      </c>
      <c r="H32" s="28">
        <f t="shared" si="2"/>
        <v>2.16</v>
      </c>
    </row>
    <row r="33" spans="1:9" x14ac:dyDescent="0.35">
      <c r="A33" s="27">
        <v>2321</v>
      </c>
      <c r="B33" s="56" t="s">
        <v>158</v>
      </c>
      <c r="C33" s="56" t="e">
        <f>#REF!</f>
        <v>#REF!</v>
      </c>
      <c r="D33" s="28">
        <v>127.78</v>
      </c>
      <c r="E33" s="28">
        <f t="shared" si="0"/>
        <v>638.9</v>
      </c>
      <c r="F33" s="28">
        <v>1686.7</v>
      </c>
      <c r="G33" s="28">
        <f t="shared" si="1"/>
        <v>1405.5833333333335</v>
      </c>
      <c r="H33" s="28">
        <f t="shared" si="2"/>
        <v>1124.4666666666667</v>
      </c>
    </row>
    <row r="34" spans="1:9" x14ac:dyDescent="0.35">
      <c r="A34" s="27">
        <v>2341</v>
      </c>
      <c r="B34" s="56" t="s">
        <v>136</v>
      </c>
      <c r="C34" s="56" t="e">
        <f>#REF!</f>
        <v>#REF!</v>
      </c>
      <c r="D34" s="28">
        <v>27.21</v>
      </c>
      <c r="E34" s="28">
        <f t="shared" si="0"/>
        <v>136.05000000000001</v>
      </c>
      <c r="F34" s="28">
        <f t="shared" ref="F34:F39" si="4">E34/250*600</f>
        <v>326.52</v>
      </c>
      <c r="G34" s="28">
        <f t="shared" si="1"/>
        <v>272.10000000000002</v>
      </c>
      <c r="H34" s="28">
        <f t="shared" si="2"/>
        <v>217.68</v>
      </c>
    </row>
    <row r="35" spans="1:9" x14ac:dyDescent="0.35">
      <c r="A35" s="27">
        <v>2350</v>
      </c>
      <c r="B35" s="55" t="s">
        <v>137</v>
      </c>
      <c r="C35" s="56" t="e">
        <f>#REF!</f>
        <v>#REF!</v>
      </c>
      <c r="D35" s="28">
        <v>54.27</v>
      </c>
      <c r="E35" s="28">
        <f t="shared" si="0"/>
        <v>271.35000000000002</v>
      </c>
      <c r="F35" s="28">
        <f t="shared" si="4"/>
        <v>651.24000000000012</v>
      </c>
      <c r="G35" s="28">
        <f t="shared" si="1"/>
        <v>542.70000000000005</v>
      </c>
      <c r="H35" s="28">
        <f t="shared" si="2"/>
        <v>434.16000000000008</v>
      </c>
    </row>
    <row r="36" spans="1:9" x14ac:dyDescent="0.35">
      <c r="A36" s="27">
        <v>2361</v>
      </c>
      <c r="B36" s="56" t="s">
        <v>170</v>
      </c>
      <c r="C36" s="56" t="e">
        <f>#REF!</f>
        <v>#REF!</v>
      </c>
      <c r="D36" s="28">
        <v>23.32</v>
      </c>
      <c r="E36" s="28">
        <f t="shared" si="0"/>
        <v>116.6</v>
      </c>
      <c r="F36" s="28">
        <f t="shared" si="4"/>
        <v>279.83999999999997</v>
      </c>
      <c r="G36" s="28">
        <f t="shared" si="1"/>
        <v>233.2</v>
      </c>
      <c r="H36" s="28">
        <f t="shared" si="2"/>
        <v>186.56</v>
      </c>
    </row>
    <row r="37" spans="1:9" x14ac:dyDescent="0.35">
      <c r="A37" s="27">
        <v>2362</v>
      </c>
      <c r="B37" s="56" t="s">
        <v>171</v>
      </c>
      <c r="C37" s="56" t="e">
        <f>#REF!</f>
        <v>#REF!</v>
      </c>
      <c r="D37" s="28">
        <v>1.99</v>
      </c>
      <c r="E37" s="28">
        <f t="shared" si="0"/>
        <v>9.9500000000000011</v>
      </c>
      <c r="F37" s="28">
        <f t="shared" si="4"/>
        <v>23.880000000000003</v>
      </c>
      <c r="G37" s="28">
        <f t="shared" si="1"/>
        <v>19.900000000000002</v>
      </c>
      <c r="H37" s="28">
        <f t="shared" si="2"/>
        <v>15.920000000000002</v>
      </c>
    </row>
    <row r="38" spans="1:9" x14ac:dyDescent="0.35">
      <c r="A38" s="27">
        <v>2363</v>
      </c>
      <c r="B38" s="56" t="s">
        <v>172</v>
      </c>
      <c r="C38" s="110">
        <v>9.75</v>
      </c>
      <c r="D38" s="28">
        <f>9.75*50</f>
        <v>487.5</v>
      </c>
      <c r="E38" s="28">
        <f>9.75*250</f>
        <v>2437.5</v>
      </c>
      <c r="F38" s="28">
        <f t="shared" si="4"/>
        <v>5850</v>
      </c>
      <c r="G38" s="28">
        <f t="shared" si="1"/>
        <v>4875</v>
      </c>
      <c r="H38" s="28">
        <f t="shared" si="2"/>
        <v>3900</v>
      </c>
    </row>
    <row r="39" spans="1:9" x14ac:dyDescent="0.35">
      <c r="A39" s="27">
        <v>5239</v>
      </c>
      <c r="B39" s="55" t="s">
        <v>165</v>
      </c>
      <c r="C39" s="55" t="e">
        <f>#REF!</f>
        <v>#REF!</v>
      </c>
      <c r="D39" s="28">
        <v>108.67</v>
      </c>
      <c r="E39" s="28">
        <f t="shared" si="0"/>
        <v>543.35</v>
      </c>
      <c r="F39" s="28">
        <f t="shared" si="4"/>
        <v>1304.04</v>
      </c>
      <c r="G39" s="28">
        <f t="shared" si="1"/>
        <v>1086.7</v>
      </c>
      <c r="H39" s="28">
        <f t="shared" si="2"/>
        <v>869.36</v>
      </c>
    </row>
    <row r="40" spans="1:9" x14ac:dyDescent="0.35">
      <c r="A40" s="27"/>
      <c r="B40" s="57" t="s">
        <v>7</v>
      </c>
      <c r="C40" s="57" t="e">
        <f t="shared" ref="C40:H40" si="5">SUM(C20:C39)</f>
        <v>#REF!</v>
      </c>
      <c r="D40" s="31">
        <f t="shared" si="5"/>
        <v>3245.8500000000004</v>
      </c>
      <c r="E40" s="31">
        <f t="shared" si="5"/>
        <v>16229.25</v>
      </c>
      <c r="F40" s="31">
        <f t="shared" si="5"/>
        <v>41539.819999999992</v>
      </c>
      <c r="G40" s="31">
        <f t="shared" si="5"/>
        <v>34616.516666666663</v>
      </c>
      <c r="H40" s="31">
        <f t="shared" si="5"/>
        <v>27693.21333333333</v>
      </c>
    </row>
    <row r="41" spans="1:9" x14ac:dyDescent="0.35">
      <c r="A41" s="32"/>
      <c r="B41" s="57" t="s">
        <v>8</v>
      </c>
      <c r="C41" s="57"/>
      <c r="D41" s="28"/>
      <c r="E41" s="28"/>
      <c r="F41" s="28"/>
      <c r="G41" s="28"/>
      <c r="H41" s="28"/>
    </row>
    <row r="42" spans="1:9" x14ac:dyDescent="0.35">
      <c r="A42" s="27">
        <v>1100</v>
      </c>
      <c r="B42" s="54" t="s">
        <v>134</v>
      </c>
      <c r="C42" s="55">
        <v>0.51439999999999997</v>
      </c>
      <c r="D42" s="28">
        <v>559.49</v>
      </c>
      <c r="E42" s="28">
        <f t="shared" ref="E42:E72" si="6">D42/50*250</f>
        <v>2797.45</v>
      </c>
      <c r="F42" s="28">
        <v>8320.66</v>
      </c>
      <c r="G42" s="28">
        <f t="shared" ref="G42:G72" si="7">F42/600*500</f>
        <v>6933.8833333333332</v>
      </c>
      <c r="H42" s="28">
        <f t="shared" ref="H42:H72" si="8">G42/500*400</f>
        <v>5547.1066666666666</v>
      </c>
    </row>
    <row r="43" spans="1:9" ht="16.5" customHeight="1" x14ac:dyDescent="0.35">
      <c r="A43" s="27">
        <v>1200</v>
      </c>
      <c r="B43" s="54" t="s">
        <v>135</v>
      </c>
      <c r="C43" s="55">
        <f>C42*0.2359</f>
        <v>0.12134695999999999</v>
      </c>
      <c r="D43" s="28">
        <v>131.97999999999999</v>
      </c>
      <c r="E43" s="28">
        <f t="shared" si="6"/>
        <v>659.9</v>
      </c>
      <c r="F43" s="28">
        <v>1962.84</v>
      </c>
      <c r="G43" s="28">
        <f t="shared" si="7"/>
        <v>1635.6999999999998</v>
      </c>
      <c r="H43" s="28">
        <f t="shared" si="8"/>
        <v>1308.5599999999997</v>
      </c>
    </row>
    <row r="44" spans="1:9" ht="16.5" customHeight="1" x14ac:dyDescent="0.35">
      <c r="A44" s="27">
        <v>2100</v>
      </c>
      <c r="B44" s="33" t="s">
        <v>44</v>
      </c>
      <c r="C44" s="55">
        <v>8.0999999999999996E-4</v>
      </c>
      <c r="D44" s="28">
        <v>0.88</v>
      </c>
      <c r="E44" s="28">
        <f t="shared" si="6"/>
        <v>4.4000000000000004</v>
      </c>
      <c r="F44" s="28">
        <f>E44/250*600</f>
        <v>10.56</v>
      </c>
      <c r="G44" s="28">
        <f t="shared" si="7"/>
        <v>8.8000000000000007</v>
      </c>
      <c r="H44" s="28">
        <f t="shared" si="8"/>
        <v>7.04</v>
      </c>
    </row>
    <row r="45" spans="1:9" x14ac:dyDescent="0.35">
      <c r="A45" s="34">
        <v>2210</v>
      </c>
      <c r="B45" s="56" t="s">
        <v>138</v>
      </c>
      <c r="C45" s="55">
        <v>8.0000000000000002E-3</v>
      </c>
      <c r="D45" s="28">
        <v>8.6999999999999993</v>
      </c>
      <c r="E45" s="28">
        <f t="shared" si="6"/>
        <v>43.5</v>
      </c>
      <c r="F45" s="28">
        <f>E45/250*600</f>
        <v>104.39999999999999</v>
      </c>
      <c r="G45" s="28">
        <f t="shared" si="7"/>
        <v>87</v>
      </c>
      <c r="H45" s="28">
        <f t="shared" si="8"/>
        <v>69.599999999999994</v>
      </c>
    </row>
    <row r="46" spans="1:9" x14ac:dyDescent="0.35">
      <c r="A46" s="27">
        <v>2222</v>
      </c>
      <c r="B46" s="56" t="s">
        <v>139</v>
      </c>
      <c r="C46" s="55">
        <v>4.4400000000000004E-3</v>
      </c>
      <c r="D46" s="28">
        <v>4.83</v>
      </c>
      <c r="E46" s="28">
        <f t="shared" si="6"/>
        <v>24.150000000000002</v>
      </c>
      <c r="F46" s="28">
        <v>115.92</v>
      </c>
      <c r="G46" s="28">
        <f t="shared" si="7"/>
        <v>96.600000000000009</v>
      </c>
      <c r="H46" s="28">
        <f t="shared" si="8"/>
        <v>77.28</v>
      </c>
    </row>
    <row r="47" spans="1:9" x14ac:dyDescent="0.35">
      <c r="A47" s="27">
        <v>2223</v>
      </c>
      <c r="B47" s="56" t="s">
        <v>140</v>
      </c>
      <c r="C47" s="55">
        <v>5.4940000000000003E-2</v>
      </c>
      <c r="D47" s="28">
        <v>59.76</v>
      </c>
      <c r="E47" s="28">
        <f t="shared" si="6"/>
        <v>298.8</v>
      </c>
      <c r="F47" s="28">
        <v>1049.28</v>
      </c>
      <c r="G47" s="28">
        <f t="shared" si="7"/>
        <v>874.4</v>
      </c>
      <c r="H47" s="28">
        <f t="shared" si="8"/>
        <v>699.52</v>
      </c>
      <c r="I47" s="52"/>
    </row>
    <row r="48" spans="1:9" ht="31" x14ac:dyDescent="0.35">
      <c r="A48" s="27">
        <v>2224</v>
      </c>
      <c r="B48" s="56" t="s">
        <v>141</v>
      </c>
      <c r="C48" s="55">
        <v>3.0899999999999999E-3</v>
      </c>
      <c r="D48" s="28">
        <v>3.36</v>
      </c>
      <c r="E48" s="28">
        <f t="shared" si="6"/>
        <v>16.8</v>
      </c>
      <c r="F48" s="28">
        <v>48.38</v>
      </c>
      <c r="G48" s="28">
        <f t="shared" si="7"/>
        <v>40.31666666666667</v>
      </c>
      <c r="H48" s="28">
        <f t="shared" si="8"/>
        <v>32.25333333333333</v>
      </c>
    </row>
    <row r="49" spans="1:8" ht="15.75" customHeight="1" x14ac:dyDescent="0.35">
      <c r="A49" s="27">
        <v>2231</v>
      </c>
      <c r="B49" s="54" t="s">
        <v>142</v>
      </c>
      <c r="C49" s="55">
        <v>1.5E-3</v>
      </c>
      <c r="D49" s="28">
        <v>1.63</v>
      </c>
      <c r="E49" s="28">
        <f t="shared" si="6"/>
        <v>8.1499999999999986</v>
      </c>
      <c r="F49" s="28">
        <f>E49/250*600</f>
        <v>19.559999999999999</v>
      </c>
      <c r="G49" s="28">
        <f t="shared" si="7"/>
        <v>16.299999999999997</v>
      </c>
      <c r="H49" s="28">
        <f t="shared" si="8"/>
        <v>13.04</v>
      </c>
    </row>
    <row r="50" spans="1:8" ht="15.75" customHeight="1" x14ac:dyDescent="0.35">
      <c r="A50" s="27">
        <v>2235</v>
      </c>
      <c r="B50" s="58" t="s">
        <v>143</v>
      </c>
      <c r="C50" s="55">
        <v>2.5100000000000001E-3</v>
      </c>
      <c r="D50" s="28">
        <v>2.73</v>
      </c>
      <c r="E50" s="28">
        <f t="shared" si="6"/>
        <v>13.65</v>
      </c>
      <c r="F50" s="28">
        <f>E50/250*600</f>
        <v>32.760000000000005</v>
      </c>
      <c r="G50" s="28">
        <f t="shared" si="7"/>
        <v>27.300000000000004</v>
      </c>
      <c r="H50" s="28">
        <f t="shared" si="8"/>
        <v>21.840000000000003</v>
      </c>
    </row>
    <row r="51" spans="1:8" x14ac:dyDescent="0.35">
      <c r="A51" s="27">
        <v>2239</v>
      </c>
      <c r="B51" s="54" t="s">
        <v>144</v>
      </c>
      <c r="C51" s="55">
        <v>1.7899999999999999E-3</v>
      </c>
      <c r="D51" s="28">
        <v>1.95</v>
      </c>
      <c r="E51" s="28">
        <f t="shared" si="6"/>
        <v>9.75</v>
      </c>
      <c r="F51" s="28">
        <f>E51/250*600</f>
        <v>23.4</v>
      </c>
      <c r="G51" s="28">
        <f t="shared" si="7"/>
        <v>19.5</v>
      </c>
      <c r="H51" s="28">
        <f t="shared" si="8"/>
        <v>15.6</v>
      </c>
    </row>
    <row r="52" spans="1:8" x14ac:dyDescent="0.35">
      <c r="A52" s="27">
        <v>2241</v>
      </c>
      <c r="B52" s="54" t="s">
        <v>145</v>
      </c>
      <c r="C52" s="55">
        <v>1.6500000000000001E-2</v>
      </c>
      <c r="D52" s="28">
        <v>17.95</v>
      </c>
      <c r="E52" s="28">
        <f t="shared" si="6"/>
        <v>89.75</v>
      </c>
      <c r="F52" s="28">
        <v>258.48</v>
      </c>
      <c r="G52" s="28">
        <f t="shared" si="7"/>
        <v>215.4</v>
      </c>
      <c r="H52" s="28">
        <f t="shared" si="8"/>
        <v>172.32</v>
      </c>
    </row>
    <row r="53" spans="1:8" x14ac:dyDescent="0.35">
      <c r="A53" s="27">
        <v>2242</v>
      </c>
      <c r="B53" s="56" t="s">
        <v>146</v>
      </c>
      <c r="C53" s="55">
        <v>8.4999999999999995E-4</v>
      </c>
      <c r="D53" s="28">
        <v>0.92</v>
      </c>
      <c r="E53" s="28">
        <f t="shared" si="6"/>
        <v>4.5999999999999996</v>
      </c>
      <c r="F53" s="28">
        <f>E53/250*600</f>
        <v>11.04</v>
      </c>
      <c r="G53" s="28">
        <f t="shared" si="7"/>
        <v>9.1999999999999993</v>
      </c>
      <c r="H53" s="28">
        <f t="shared" si="8"/>
        <v>7.3599999999999994</v>
      </c>
    </row>
    <row r="54" spans="1:8" ht="15.75" customHeight="1" x14ac:dyDescent="0.35">
      <c r="A54" s="27">
        <v>2243</v>
      </c>
      <c r="B54" s="54" t="s">
        <v>147</v>
      </c>
      <c r="C54" s="55">
        <v>4.0000000000000002E-4</v>
      </c>
      <c r="D54" s="28">
        <v>0.64</v>
      </c>
      <c r="E54" s="28">
        <f t="shared" si="6"/>
        <v>3.2</v>
      </c>
      <c r="F54" s="28">
        <f>E54/250*600</f>
        <v>7.6800000000000006</v>
      </c>
      <c r="G54" s="28">
        <f t="shared" si="7"/>
        <v>6.4</v>
      </c>
      <c r="H54" s="28">
        <f t="shared" si="8"/>
        <v>5.12</v>
      </c>
    </row>
    <row r="55" spans="1:8" x14ac:dyDescent="0.35">
      <c r="A55" s="27">
        <v>2244</v>
      </c>
      <c r="B55" s="54" t="s">
        <v>148</v>
      </c>
      <c r="C55" s="55">
        <v>6.8070000000000006E-2</v>
      </c>
      <c r="D55" s="28">
        <v>74.040000000000006</v>
      </c>
      <c r="E55" s="28">
        <f t="shared" si="6"/>
        <v>370.20000000000005</v>
      </c>
      <c r="F55" s="28">
        <f>E55/250*600</f>
        <v>888.48</v>
      </c>
      <c r="G55" s="28">
        <f t="shared" si="7"/>
        <v>740.40000000000009</v>
      </c>
      <c r="H55" s="28">
        <f t="shared" si="8"/>
        <v>592.32000000000005</v>
      </c>
    </row>
    <row r="56" spans="1:8" x14ac:dyDescent="0.35">
      <c r="A56" s="27">
        <v>2247</v>
      </c>
      <c r="B56" s="54" t="s">
        <v>149</v>
      </c>
      <c r="C56" s="55">
        <v>2.2000000000000001E-4</v>
      </c>
      <c r="D56" s="28">
        <v>0.24</v>
      </c>
      <c r="E56" s="28">
        <f t="shared" si="6"/>
        <v>1.2</v>
      </c>
      <c r="F56" s="28">
        <f>E56/250*600</f>
        <v>2.88</v>
      </c>
      <c r="G56" s="28">
        <f t="shared" si="7"/>
        <v>2.4</v>
      </c>
      <c r="H56" s="28">
        <f t="shared" si="8"/>
        <v>1.92</v>
      </c>
    </row>
    <row r="57" spans="1:8" x14ac:dyDescent="0.35">
      <c r="A57" s="27">
        <v>2249</v>
      </c>
      <c r="B57" s="54" t="s">
        <v>150</v>
      </c>
      <c r="C57" s="55">
        <v>2.5000000000000001E-4</v>
      </c>
      <c r="D57" s="28">
        <v>0.27</v>
      </c>
      <c r="E57" s="28">
        <f t="shared" si="6"/>
        <v>1.35</v>
      </c>
      <c r="F57" s="28">
        <f>E57/250*600</f>
        <v>3.24</v>
      </c>
      <c r="G57" s="28">
        <f t="shared" si="7"/>
        <v>2.7</v>
      </c>
      <c r="H57" s="28">
        <f t="shared" si="8"/>
        <v>2.16</v>
      </c>
    </row>
    <row r="58" spans="1:8" x14ac:dyDescent="0.35">
      <c r="A58" s="27">
        <v>2250</v>
      </c>
      <c r="B58" s="54" t="s">
        <v>151</v>
      </c>
      <c r="C58" s="55">
        <v>2.8400000000000002E-2</v>
      </c>
      <c r="D58" s="28">
        <v>30.89</v>
      </c>
      <c r="E58" s="28">
        <f t="shared" si="6"/>
        <v>154.45000000000002</v>
      </c>
      <c r="F58" s="28">
        <v>444.82</v>
      </c>
      <c r="G58" s="28">
        <f t="shared" si="7"/>
        <v>370.68333333333334</v>
      </c>
      <c r="H58" s="28">
        <f t="shared" si="8"/>
        <v>296.54666666666668</v>
      </c>
    </row>
    <row r="59" spans="1:8" x14ac:dyDescent="0.35">
      <c r="A59" s="27">
        <v>2262</v>
      </c>
      <c r="B59" s="56" t="s">
        <v>152</v>
      </c>
      <c r="C59" s="55">
        <v>1.137E-2</v>
      </c>
      <c r="D59" s="28">
        <v>12.37</v>
      </c>
      <c r="E59" s="28">
        <f t="shared" si="6"/>
        <v>61.849999999999994</v>
      </c>
      <c r="F59" s="28">
        <f>E59/250*600</f>
        <v>148.44</v>
      </c>
      <c r="G59" s="28">
        <f t="shared" si="7"/>
        <v>123.7</v>
      </c>
      <c r="H59" s="28">
        <f t="shared" si="8"/>
        <v>98.960000000000008</v>
      </c>
    </row>
    <row r="60" spans="1:8" x14ac:dyDescent="0.35">
      <c r="A60" s="27">
        <v>2263</v>
      </c>
      <c r="B60" s="56" t="s">
        <v>153</v>
      </c>
      <c r="C60" s="55">
        <v>4.58E-2</v>
      </c>
      <c r="D60" s="28">
        <v>49.82</v>
      </c>
      <c r="E60" s="28">
        <f t="shared" si="6"/>
        <v>249.1</v>
      </c>
      <c r="F60" s="28">
        <f>E60/250*600</f>
        <v>597.83999999999992</v>
      </c>
      <c r="G60" s="28">
        <f t="shared" si="7"/>
        <v>498.19999999999993</v>
      </c>
      <c r="H60" s="28">
        <f t="shared" si="8"/>
        <v>398.55999999999995</v>
      </c>
    </row>
    <row r="61" spans="1:8" x14ac:dyDescent="0.35">
      <c r="A61" s="27">
        <v>2264</v>
      </c>
      <c r="B61" s="54" t="s">
        <v>154</v>
      </c>
      <c r="C61" s="55">
        <v>2.4000000000000001E-4</v>
      </c>
      <c r="D61" s="28">
        <v>0.26</v>
      </c>
      <c r="E61" s="28">
        <f t="shared" si="6"/>
        <v>1.3</v>
      </c>
      <c r="F61" s="28">
        <f>E61/250*600</f>
        <v>3.1199999999999997</v>
      </c>
      <c r="G61" s="28">
        <f t="shared" si="7"/>
        <v>2.6</v>
      </c>
      <c r="H61" s="28">
        <f t="shared" si="8"/>
        <v>2.08</v>
      </c>
    </row>
    <row r="62" spans="1:8" x14ac:dyDescent="0.35">
      <c r="A62" s="27">
        <v>2311</v>
      </c>
      <c r="B62" s="56" t="s">
        <v>155</v>
      </c>
      <c r="C62" s="108">
        <v>7.1000000000000002E-4</v>
      </c>
      <c r="D62" s="28">
        <v>0.77</v>
      </c>
      <c r="E62" s="28">
        <f t="shared" si="6"/>
        <v>3.85</v>
      </c>
      <c r="F62" s="28">
        <f>E62/250*600</f>
        <v>9.24</v>
      </c>
      <c r="G62" s="28">
        <f t="shared" si="7"/>
        <v>7.7</v>
      </c>
      <c r="H62" s="28">
        <f t="shared" si="8"/>
        <v>6.16</v>
      </c>
    </row>
    <row r="63" spans="1:8" x14ac:dyDescent="0.35">
      <c r="A63" s="27">
        <v>2314</v>
      </c>
      <c r="B63" s="58" t="s">
        <v>157</v>
      </c>
      <c r="C63" s="55">
        <v>4.6000000000000001E-4</v>
      </c>
      <c r="D63" s="28">
        <v>0.5</v>
      </c>
      <c r="E63" s="28">
        <f t="shared" si="6"/>
        <v>2.5</v>
      </c>
      <c r="F63" s="28">
        <f>E63/250*600</f>
        <v>6</v>
      </c>
      <c r="G63" s="28">
        <f t="shared" si="7"/>
        <v>5</v>
      </c>
      <c r="H63" s="28">
        <f t="shared" si="8"/>
        <v>4</v>
      </c>
    </row>
    <row r="64" spans="1:8" x14ac:dyDescent="0.35">
      <c r="A64" s="27">
        <v>2321</v>
      </c>
      <c r="B64" s="56" t="s">
        <v>158</v>
      </c>
      <c r="C64" s="55">
        <v>6.0220000000000003E-2</v>
      </c>
      <c r="D64" s="28">
        <v>65.5</v>
      </c>
      <c r="E64" s="28">
        <f t="shared" si="6"/>
        <v>327.5</v>
      </c>
      <c r="F64" s="28">
        <v>1132.44</v>
      </c>
      <c r="G64" s="28">
        <f t="shared" si="7"/>
        <v>943.7</v>
      </c>
      <c r="H64" s="28">
        <f t="shared" si="8"/>
        <v>754.96</v>
      </c>
    </row>
    <row r="65" spans="1:8" x14ac:dyDescent="0.35">
      <c r="A65" s="27">
        <v>2322</v>
      </c>
      <c r="B65" s="56" t="s">
        <v>159</v>
      </c>
      <c r="C65" s="55">
        <v>2.0999999999999999E-3</v>
      </c>
      <c r="D65" s="28">
        <v>2.2799999999999998</v>
      </c>
      <c r="E65" s="28">
        <f t="shared" si="6"/>
        <v>11.399999999999999</v>
      </c>
      <c r="F65" s="28">
        <f t="shared" ref="F65:F71" si="9">E65/250*600</f>
        <v>27.359999999999996</v>
      </c>
      <c r="G65" s="28">
        <f t="shared" si="7"/>
        <v>22.799999999999997</v>
      </c>
      <c r="H65" s="28">
        <f t="shared" si="8"/>
        <v>18.239999999999998</v>
      </c>
    </row>
    <row r="66" spans="1:8" ht="15.75" customHeight="1" x14ac:dyDescent="0.35">
      <c r="A66" s="27">
        <v>2513</v>
      </c>
      <c r="B66" s="55" t="s">
        <v>160</v>
      </c>
      <c r="C66" s="55">
        <v>6.3000000000000003E-4</v>
      </c>
      <c r="D66" s="28">
        <v>0.69</v>
      </c>
      <c r="E66" s="28">
        <f t="shared" si="6"/>
        <v>3.4499999999999997</v>
      </c>
      <c r="F66" s="28">
        <f t="shared" si="9"/>
        <v>8.2799999999999994</v>
      </c>
      <c r="G66" s="28">
        <f t="shared" si="7"/>
        <v>6.8999999999999995</v>
      </c>
      <c r="H66" s="28">
        <f t="shared" si="8"/>
        <v>5.52</v>
      </c>
    </row>
    <row r="67" spans="1:8" x14ac:dyDescent="0.35">
      <c r="A67" s="27">
        <v>2515</v>
      </c>
      <c r="B67" s="56" t="s">
        <v>161</v>
      </c>
      <c r="C67" s="55">
        <v>2.7499999999999998E-3</v>
      </c>
      <c r="D67" s="28">
        <v>2.99</v>
      </c>
      <c r="E67" s="28">
        <f t="shared" si="6"/>
        <v>14.950000000000001</v>
      </c>
      <c r="F67" s="28">
        <f t="shared" si="9"/>
        <v>35.880000000000003</v>
      </c>
      <c r="G67" s="28">
        <f t="shared" si="7"/>
        <v>29.900000000000002</v>
      </c>
      <c r="H67" s="28">
        <f t="shared" si="8"/>
        <v>23.92</v>
      </c>
    </row>
    <row r="68" spans="1:8" x14ac:dyDescent="0.35">
      <c r="A68" s="27">
        <v>2519</v>
      </c>
      <c r="B68" s="56" t="s">
        <v>162</v>
      </c>
      <c r="C68" s="55">
        <v>1.5100000000000001E-3</v>
      </c>
      <c r="D68" s="28">
        <v>1.64</v>
      </c>
      <c r="E68" s="28">
        <f t="shared" si="6"/>
        <v>8.1999999999999993</v>
      </c>
      <c r="F68" s="28">
        <f t="shared" si="9"/>
        <v>19.679999999999996</v>
      </c>
      <c r="G68" s="28">
        <f t="shared" si="7"/>
        <v>16.399999999999999</v>
      </c>
      <c r="H68" s="28">
        <f t="shared" si="8"/>
        <v>13.119999999999997</v>
      </c>
    </row>
    <row r="69" spans="1:8" x14ac:dyDescent="0.35">
      <c r="A69" s="27">
        <v>5220</v>
      </c>
      <c r="B69" s="56" t="s">
        <v>163</v>
      </c>
      <c r="C69" s="55">
        <v>1.06E-2</v>
      </c>
      <c r="D69" s="28">
        <v>11.53</v>
      </c>
      <c r="E69" s="28">
        <f t="shared" si="6"/>
        <v>57.65</v>
      </c>
      <c r="F69" s="28">
        <f t="shared" si="9"/>
        <v>138.36000000000001</v>
      </c>
      <c r="G69" s="28">
        <f t="shared" si="7"/>
        <v>115.30000000000001</v>
      </c>
      <c r="H69" s="28">
        <f t="shared" si="8"/>
        <v>92.240000000000009</v>
      </c>
    </row>
    <row r="70" spans="1:8" x14ac:dyDescent="0.35">
      <c r="A70" s="27">
        <v>5238</v>
      </c>
      <c r="B70" s="55" t="s">
        <v>164</v>
      </c>
      <c r="C70" s="55">
        <v>1.65E-3</v>
      </c>
      <c r="D70" s="28">
        <v>1.79</v>
      </c>
      <c r="E70" s="28">
        <f t="shared" si="6"/>
        <v>8.9499999999999993</v>
      </c>
      <c r="F70" s="28">
        <f t="shared" si="9"/>
        <v>21.48</v>
      </c>
      <c r="G70" s="28">
        <f t="shared" si="7"/>
        <v>17.899999999999999</v>
      </c>
      <c r="H70" s="28">
        <f t="shared" si="8"/>
        <v>14.32</v>
      </c>
    </row>
    <row r="71" spans="1:8" x14ac:dyDescent="0.35">
      <c r="A71" s="27">
        <v>5239</v>
      </c>
      <c r="B71" s="55" t="s">
        <v>165</v>
      </c>
      <c r="C71" s="55">
        <v>1.9800000000000002E-2</v>
      </c>
      <c r="D71" s="28">
        <v>21.54</v>
      </c>
      <c r="E71" s="28">
        <f t="shared" si="6"/>
        <v>107.69999999999999</v>
      </c>
      <c r="F71" s="28">
        <f t="shared" si="9"/>
        <v>258.47999999999996</v>
      </c>
      <c r="G71" s="28">
        <f t="shared" si="7"/>
        <v>215.39999999999998</v>
      </c>
      <c r="H71" s="28">
        <f t="shared" si="8"/>
        <v>172.32</v>
      </c>
    </row>
    <row r="72" spans="1:8" x14ac:dyDescent="0.35">
      <c r="A72" s="27">
        <v>5250</v>
      </c>
      <c r="B72" s="56" t="s">
        <v>166</v>
      </c>
      <c r="C72" s="55">
        <v>1.4999999999999999E-2</v>
      </c>
      <c r="D72" s="28">
        <v>15.21</v>
      </c>
      <c r="E72" s="28">
        <f t="shared" si="6"/>
        <v>76.050000000000011</v>
      </c>
      <c r="F72" s="28">
        <v>205.2</v>
      </c>
      <c r="G72" s="28">
        <f t="shared" si="7"/>
        <v>170.99999999999997</v>
      </c>
      <c r="H72" s="28">
        <f t="shared" si="8"/>
        <v>136.79999999999998</v>
      </c>
    </row>
    <row r="73" spans="1:8" x14ac:dyDescent="0.35">
      <c r="A73" s="32"/>
      <c r="B73" s="59" t="s">
        <v>167</v>
      </c>
      <c r="C73" s="59"/>
      <c r="D73" s="31">
        <f>SUM(D42:D72)</f>
        <v>1087.1500000000001</v>
      </c>
      <c r="E73" s="31">
        <f>SUM(E42:E72)</f>
        <v>5435.75</v>
      </c>
      <c r="F73" s="31">
        <f>SUM(F42:F72)</f>
        <v>15916.18</v>
      </c>
      <c r="G73" s="31">
        <f>SUM(G42:G72)</f>
        <v>13263.48333333333</v>
      </c>
      <c r="H73" s="31">
        <f>SUM(H42:H72)</f>
        <v>10610.786666666663</v>
      </c>
    </row>
    <row r="74" spans="1:8" x14ac:dyDescent="0.35">
      <c r="A74" s="32"/>
      <c r="B74" s="59" t="s">
        <v>168</v>
      </c>
      <c r="C74" s="59"/>
      <c r="D74" s="31">
        <f>D40+D73</f>
        <v>4333</v>
      </c>
      <c r="E74" s="31">
        <f>E40+E73</f>
        <v>21665</v>
      </c>
      <c r="F74" s="31">
        <f>F40+F73</f>
        <v>57455.999999999993</v>
      </c>
      <c r="G74" s="31">
        <f>G40+G73</f>
        <v>47879.999999999993</v>
      </c>
      <c r="H74" s="31">
        <f>H40+H73</f>
        <v>38303.999999999993</v>
      </c>
    </row>
    <row r="75" spans="1:8" ht="12.75" customHeight="1" x14ac:dyDescent="0.35">
      <c r="A75" s="37"/>
      <c r="B75" s="20"/>
      <c r="C75" s="20"/>
      <c r="D75" s="60"/>
      <c r="E75" s="60"/>
      <c r="F75" s="60"/>
      <c r="G75" s="60"/>
      <c r="H75" s="60"/>
    </row>
    <row r="76" spans="1:8" ht="15.75" customHeight="1" x14ac:dyDescent="0.35">
      <c r="A76" s="211" t="s">
        <v>51</v>
      </c>
      <c r="B76" s="211"/>
      <c r="C76" s="61"/>
      <c r="D76" s="44">
        <v>50</v>
      </c>
      <c r="E76" s="44">
        <v>250</v>
      </c>
      <c r="F76" s="44">
        <v>600</v>
      </c>
      <c r="G76" s="44">
        <v>500</v>
      </c>
      <c r="H76" s="44">
        <v>400</v>
      </c>
    </row>
    <row r="77" spans="1:8" ht="15.75" customHeight="1" x14ac:dyDescent="0.35">
      <c r="A77" s="211" t="s">
        <v>58</v>
      </c>
      <c r="B77" s="211"/>
      <c r="C77" s="61"/>
      <c r="D77" s="45">
        <f>D74/D76</f>
        <v>86.66</v>
      </c>
      <c r="E77" s="45">
        <f>E74/E76</f>
        <v>86.66</v>
      </c>
      <c r="F77" s="45">
        <f>F74/F76</f>
        <v>95.759999999999991</v>
      </c>
      <c r="G77" s="45">
        <f>G74/G76</f>
        <v>95.759999999999991</v>
      </c>
      <c r="H77" s="45">
        <f>H74/H76</f>
        <v>95.759999999999977</v>
      </c>
    </row>
    <row r="78" spans="1:8" ht="9.75" customHeight="1" x14ac:dyDescent="0.35">
      <c r="A78" s="41"/>
      <c r="B78" s="42"/>
      <c r="C78" s="42"/>
    </row>
    <row r="79" spans="1:8" ht="15.75" customHeight="1" x14ac:dyDescent="0.35">
      <c r="A79" s="208" t="s">
        <v>52</v>
      </c>
      <c r="B79" s="208"/>
      <c r="C79" s="62"/>
      <c r="D79" s="187"/>
      <c r="E79" s="187"/>
      <c r="F79" s="187"/>
      <c r="G79" s="187"/>
      <c r="H79" s="187"/>
    </row>
    <row r="80" spans="1:8" ht="15.75" customHeight="1" x14ac:dyDescent="0.35">
      <c r="A80" s="208" t="s">
        <v>74</v>
      </c>
      <c r="B80" s="208"/>
      <c r="C80" s="62"/>
      <c r="D80" s="40"/>
      <c r="E80" s="40"/>
      <c r="F80" s="40"/>
      <c r="G80" s="40"/>
      <c r="H80" s="40"/>
    </row>
    <row r="81" spans="1:8" ht="15.75" customHeight="1" x14ac:dyDescent="0.35">
      <c r="A81" s="17"/>
      <c r="B81" s="17"/>
      <c r="C81" s="17"/>
      <c r="D81" s="17"/>
      <c r="E81" s="17"/>
      <c r="F81" s="17"/>
      <c r="G81" s="17"/>
      <c r="H81" s="17"/>
    </row>
    <row r="82" spans="1:8" x14ac:dyDescent="0.35">
      <c r="A82" s="17" t="s">
        <v>53</v>
      </c>
      <c r="B82" s="17"/>
      <c r="C82" s="17"/>
      <c r="D82" s="48"/>
      <c r="E82" s="48"/>
      <c r="F82" s="48"/>
      <c r="G82" s="48"/>
      <c r="H82" s="48"/>
    </row>
    <row r="83" spans="1:8" x14ac:dyDescent="0.35">
      <c r="A83" s="17"/>
      <c r="B83" s="17"/>
      <c r="C83" s="48"/>
      <c r="D83" s="48"/>
      <c r="E83" s="48"/>
      <c r="F83" s="48"/>
      <c r="G83" s="48"/>
      <c r="H83" s="48"/>
    </row>
    <row r="84" spans="1:8" x14ac:dyDescent="0.35">
      <c r="A84" s="17" t="s">
        <v>68</v>
      </c>
      <c r="B84" s="18"/>
      <c r="C84" s="18"/>
      <c r="D84" s="48"/>
      <c r="E84" s="48"/>
      <c r="F84" s="48"/>
      <c r="G84" s="48"/>
      <c r="H84" s="48"/>
    </row>
    <row r="85" spans="1:8" x14ac:dyDescent="0.35">
      <c r="B85" s="63"/>
      <c r="C85" s="63"/>
      <c r="D85" s="64"/>
      <c r="E85" s="64"/>
      <c r="F85" s="64"/>
      <c r="G85" s="64"/>
      <c r="H85" s="64"/>
    </row>
    <row r="87" spans="1:8" x14ac:dyDescent="0.35">
      <c r="D87" s="52"/>
      <c r="E87" s="52"/>
      <c r="F87" s="52"/>
      <c r="G87" s="52"/>
      <c r="H87" s="52"/>
    </row>
  </sheetData>
  <mergeCells count="7">
    <mergeCell ref="A76:B76"/>
    <mergeCell ref="A77:B77"/>
    <mergeCell ref="A79:B79"/>
    <mergeCell ref="A80:B80"/>
    <mergeCell ref="A10:B10"/>
    <mergeCell ref="A8:D8"/>
    <mergeCell ref="A11:B11"/>
  </mergeCells>
  <pageMargins left="0.94488188976377963" right="0.55118110236220474" top="0.62992125984251968" bottom="0.55118110236220474" header="0.31496062992125984" footer="0.31496062992125984"/>
  <pageSetup paperSize="9" scale="55" firstPageNumber="4" orientation="portrait" useFirstPageNumber="1" r:id="rId1"/>
  <headerFooter>
    <oddFooter>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7"/>
  <sheetViews>
    <sheetView view="pageLayout" zoomScale="80" zoomScaleNormal="90" zoomScalePageLayoutView="80" workbookViewId="0">
      <selection activeCell="B83" sqref="B83"/>
    </sheetView>
  </sheetViews>
  <sheetFormatPr defaultColWidth="9.1796875" defaultRowHeight="15.5" x14ac:dyDescent="0.35"/>
  <cols>
    <col min="1" max="1" width="19.26953125" style="12" customWidth="1"/>
    <col min="2" max="2" width="91.81640625" style="12" customWidth="1"/>
    <col min="3" max="3" width="10" style="12" hidden="1" customWidth="1"/>
    <col min="4" max="4" width="25.1796875" style="12" hidden="1" customWidth="1"/>
    <col min="5" max="5" width="31.1796875" style="12" hidden="1" customWidth="1"/>
    <col min="6" max="6" width="34.7265625" style="12" hidden="1" customWidth="1"/>
    <col min="7" max="7" width="34.7265625" style="12" customWidth="1"/>
    <col min="8" max="8" width="10.81640625" style="12" customWidth="1"/>
    <col min="9" max="16384" width="9.1796875" style="12"/>
  </cols>
  <sheetData>
    <row r="1" spans="1:7" ht="15.75" customHeight="1" x14ac:dyDescent="0.35">
      <c r="B1" s="10"/>
      <c r="C1" s="10"/>
      <c r="D1" s="49" t="s">
        <v>50</v>
      </c>
      <c r="E1" s="49" t="s">
        <v>50</v>
      </c>
      <c r="F1" s="49" t="s">
        <v>50</v>
      </c>
      <c r="G1" s="49" t="s">
        <v>50</v>
      </c>
    </row>
    <row r="2" spans="1:7" x14ac:dyDescent="0.35">
      <c r="B2" s="212"/>
      <c r="C2" s="212"/>
      <c r="D2" s="212"/>
      <c r="E2" s="212"/>
      <c r="F2" s="212"/>
      <c r="G2" s="49" t="s">
        <v>54</v>
      </c>
    </row>
    <row r="3" spans="1:7" x14ac:dyDescent="0.35">
      <c r="B3" s="11"/>
      <c r="C3" s="11"/>
      <c r="D3" s="46" t="s">
        <v>76</v>
      </c>
      <c r="E3" s="46" t="s">
        <v>76</v>
      </c>
      <c r="F3" s="46" t="s">
        <v>76</v>
      </c>
      <c r="G3" s="46" t="s">
        <v>76</v>
      </c>
    </row>
    <row r="4" spans="1:7" x14ac:dyDescent="0.35">
      <c r="B4" s="11"/>
      <c r="C4" s="11"/>
      <c r="D4" s="46"/>
      <c r="E4" s="46"/>
      <c r="F4" s="46"/>
      <c r="G4" s="46"/>
    </row>
    <row r="5" spans="1:7" x14ac:dyDescent="0.35">
      <c r="B5" s="10"/>
      <c r="C5" s="10"/>
      <c r="D5" s="37"/>
      <c r="E5" s="37"/>
      <c r="F5" s="37"/>
      <c r="G5" s="37"/>
    </row>
    <row r="6" spans="1:7" x14ac:dyDescent="0.35">
      <c r="B6" s="51"/>
      <c r="C6" s="51"/>
      <c r="D6" s="37" t="s">
        <v>196</v>
      </c>
      <c r="E6" s="37" t="s">
        <v>196</v>
      </c>
      <c r="F6" s="37" t="s">
        <v>239</v>
      </c>
      <c r="G6" s="37" t="s">
        <v>246</v>
      </c>
    </row>
    <row r="7" spans="1:7" x14ac:dyDescent="0.35">
      <c r="D7" s="20"/>
      <c r="E7" s="20"/>
      <c r="F7" s="20"/>
      <c r="G7" s="20"/>
    </row>
    <row r="8" spans="1:7" x14ac:dyDescent="0.35">
      <c r="A8" s="209" t="s">
        <v>10</v>
      </c>
      <c r="B8" s="209"/>
      <c r="C8" s="209"/>
      <c r="D8" s="209"/>
      <c r="E8" s="50"/>
      <c r="F8" s="50"/>
      <c r="G8" s="50"/>
    </row>
    <row r="9" spans="1:7" x14ac:dyDescent="0.35">
      <c r="B9" s="53"/>
      <c r="C9" s="53"/>
      <c r="D9" s="20"/>
      <c r="E9" s="20"/>
      <c r="F9" s="20"/>
      <c r="G9" s="20"/>
    </row>
    <row r="10" spans="1:7" x14ac:dyDescent="0.35">
      <c r="A10" s="210" t="s">
        <v>1</v>
      </c>
      <c r="B10" s="210"/>
      <c r="C10" s="9"/>
      <c r="D10" s="20"/>
      <c r="E10" s="20"/>
      <c r="F10" s="20"/>
      <c r="G10" s="20"/>
    </row>
    <row r="11" spans="1:7" x14ac:dyDescent="0.35">
      <c r="A11" s="210" t="s">
        <v>0</v>
      </c>
      <c r="B11" s="210"/>
      <c r="C11" s="9"/>
      <c r="D11" s="20"/>
      <c r="E11" s="20"/>
      <c r="F11" s="20"/>
      <c r="G11" s="20"/>
    </row>
    <row r="12" spans="1:7" x14ac:dyDescent="0.35">
      <c r="A12" s="9"/>
      <c r="B12" s="9" t="s">
        <v>213</v>
      </c>
      <c r="C12" s="9"/>
      <c r="D12" s="20"/>
      <c r="E12" s="20"/>
      <c r="F12" s="20"/>
      <c r="G12" s="20"/>
    </row>
    <row r="13" spans="1:7" x14ac:dyDescent="0.35">
      <c r="A13" s="9"/>
      <c r="B13" s="9" t="s">
        <v>214</v>
      </c>
      <c r="C13" s="9"/>
      <c r="D13" s="20"/>
      <c r="E13" s="20"/>
      <c r="F13" s="20"/>
      <c r="G13" s="20"/>
    </row>
    <row r="14" spans="1:7" x14ac:dyDescent="0.35">
      <c r="A14" s="9"/>
      <c r="B14" s="9" t="s">
        <v>217</v>
      </c>
      <c r="C14" s="9"/>
      <c r="D14" s="20"/>
      <c r="E14" s="20"/>
      <c r="F14" s="20"/>
      <c r="G14" s="20"/>
    </row>
    <row r="15" spans="1:7" x14ac:dyDescent="0.35">
      <c r="A15" s="9"/>
      <c r="B15" s="9" t="s">
        <v>223</v>
      </c>
      <c r="C15" s="9"/>
      <c r="D15" s="20"/>
      <c r="E15" s="20"/>
      <c r="F15" s="20"/>
      <c r="G15" s="20"/>
    </row>
    <row r="16" spans="1:7" x14ac:dyDescent="0.35">
      <c r="A16" s="9" t="s">
        <v>2</v>
      </c>
      <c r="B16" s="9" t="s">
        <v>197</v>
      </c>
      <c r="C16" s="9"/>
      <c r="D16" s="20"/>
      <c r="E16" s="20"/>
      <c r="F16" s="20"/>
      <c r="G16" s="20"/>
    </row>
    <row r="17" spans="1:7" ht="69.75" customHeight="1" x14ac:dyDescent="0.35">
      <c r="A17" s="43" t="s">
        <v>3</v>
      </c>
      <c r="B17" s="43" t="s">
        <v>4</v>
      </c>
      <c r="C17" s="43"/>
      <c r="D17" s="43" t="s">
        <v>5</v>
      </c>
      <c r="E17" s="43" t="s">
        <v>5</v>
      </c>
      <c r="F17" s="43" t="s">
        <v>5</v>
      </c>
      <c r="G17" s="43" t="s">
        <v>5</v>
      </c>
    </row>
    <row r="18" spans="1:7" x14ac:dyDescent="0.35">
      <c r="A18" s="22">
        <v>1</v>
      </c>
      <c r="B18" s="23">
        <v>2</v>
      </c>
      <c r="C18" s="23"/>
      <c r="D18" s="23">
        <v>3</v>
      </c>
      <c r="E18" s="23">
        <v>3</v>
      </c>
      <c r="F18" s="23">
        <v>3</v>
      </c>
      <c r="G18" s="23">
        <v>3</v>
      </c>
    </row>
    <row r="19" spans="1:7" x14ac:dyDescent="0.35">
      <c r="A19" s="22"/>
      <c r="B19" s="54" t="s">
        <v>6</v>
      </c>
      <c r="C19" s="54"/>
      <c r="D19" s="55"/>
      <c r="E19" s="55"/>
      <c r="F19" s="55"/>
      <c r="G19" s="55"/>
    </row>
    <row r="20" spans="1:7" x14ac:dyDescent="0.35">
      <c r="A20" s="27">
        <v>1100</v>
      </c>
      <c r="B20" s="27" t="s">
        <v>134</v>
      </c>
      <c r="C20" s="27" t="e">
        <f>#REF!</f>
        <v>#REF!</v>
      </c>
      <c r="D20" s="28">
        <v>1411.17</v>
      </c>
      <c r="E20" s="28">
        <f>D20/50*40</f>
        <v>1128.9360000000001</v>
      </c>
      <c r="F20" s="28">
        <v>2483.66</v>
      </c>
      <c r="G20" s="28">
        <f>F20/80*70</f>
        <v>2173.2024999999999</v>
      </c>
    </row>
    <row r="21" spans="1:7" x14ac:dyDescent="0.35">
      <c r="A21" s="27">
        <v>1200</v>
      </c>
      <c r="B21" s="55" t="s">
        <v>135</v>
      </c>
      <c r="C21" s="55" t="e">
        <f>C20*0.2359</f>
        <v>#REF!</v>
      </c>
      <c r="D21" s="28">
        <v>332.89</v>
      </c>
      <c r="E21" s="28">
        <f t="shared" ref="E21:E39" si="0">D21/50*40</f>
        <v>266.31200000000001</v>
      </c>
      <c r="F21" s="28">
        <v>585.9</v>
      </c>
      <c r="G21" s="28">
        <f t="shared" ref="G21:G39" si="1">F21/80*70</f>
        <v>512.66250000000002</v>
      </c>
    </row>
    <row r="22" spans="1:7" x14ac:dyDescent="0.35">
      <c r="A22" s="27">
        <v>2222</v>
      </c>
      <c r="B22" s="56" t="s">
        <v>139</v>
      </c>
      <c r="C22" s="56" t="e">
        <f>#REF!</f>
        <v>#REF!</v>
      </c>
      <c r="D22" s="28">
        <v>61.13</v>
      </c>
      <c r="E22" s="28">
        <f t="shared" si="0"/>
        <v>48.904000000000003</v>
      </c>
      <c r="F22" s="28">
        <v>112.48</v>
      </c>
      <c r="G22" s="28">
        <f t="shared" si="1"/>
        <v>98.420000000000016</v>
      </c>
    </row>
    <row r="23" spans="1:7" x14ac:dyDescent="0.35">
      <c r="A23" s="27">
        <v>2223</v>
      </c>
      <c r="B23" s="56" t="s">
        <v>140</v>
      </c>
      <c r="C23" s="56" t="e">
        <f>#REF!</f>
        <v>#REF!</v>
      </c>
      <c r="D23" s="28">
        <v>174.75</v>
      </c>
      <c r="E23" s="28">
        <f t="shared" si="0"/>
        <v>139.80000000000001</v>
      </c>
      <c r="F23" s="28">
        <v>335.52</v>
      </c>
      <c r="G23" s="28">
        <f t="shared" si="1"/>
        <v>293.58</v>
      </c>
    </row>
    <row r="24" spans="1:7" ht="31" x14ac:dyDescent="0.35">
      <c r="A24" s="27">
        <v>2224</v>
      </c>
      <c r="B24" s="56" t="s">
        <v>141</v>
      </c>
      <c r="C24" s="56" t="e">
        <f>#REF!</f>
        <v>#REF!</v>
      </c>
      <c r="D24" s="28">
        <v>0.55000000000000004</v>
      </c>
      <c r="E24" s="28">
        <f t="shared" si="0"/>
        <v>0.44000000000000006</v>
      </c>
      <c r="F24" s="28">
        <v>0.88</v>
      </c>
      <c r="G24" s="28">
        <f t="shared" si="1"/>
        <v>0.76999999999999991</v>
      </c>
    </row>
    <row r="25" spans="1:7" x14ac:dyDescent="0.35">
      <c r="A25" s="27">
        <v>2231</v>
      </c>
      <c r="B25" s="56" t="s">
        <v>142</v>
      </c>
      <c r="C25" s="56" t="e">
        <f>#REF!</f>
        <v>#REF!</v>
      </c>
      <c r="D25" s="28">
        <v>2.63</v>
      </c>
      <c r="E25" s="28">
        <f t="shared" si="0"/>
        <v>2.1040000000000001</v>
      </c>
      <c r="F25" s="28">
        <v>4.21</v>
      </c>
      <c r="G25" s="28">
        <f t="shared" si="1"/>
        <v>3.6837499999999999</v>
      </c>
    </row>
    <row r="26" spans="1:7" x14ac:dyDescent="0.35">
      <c r="A26" s="27">
        <v>2239</v>
      </c>
      <c r="B26" s="109" t="s">
        <v>195</v>
      </c>
      <c r="C26" s="56" t="e">
        <f>#REF!</f>
        <v>#REF!</v>
      </c>
      <c r="D26" s="28">
        <v>0.34</v>
      </c>
      <c r="E26" s="28">
        <f t="shared" si="0"/>
        <v>0.27200000000000002</v>
      </c>
      <c r="F26" s="28">
        <v>0.54</v>
      </c>
      <c r="G26" s="28">
        <f t="shared" si="1"/>
        <v>0.47250000000000003</v>
      </c>
    </row>
    <row r="27" spans="1:7" x14ac:dyDescent="0.35">
      <c r="A27" s="27">
        <v>2243</v>
      </c>
      <c r="B27" s="54" t="s">
        <v>147</v>
      </c>
      <c r="C27" s="54" t="e">
        <f>#REF!</f>
        <v>#REF!</v>
      </c>
      <c r="D27" s="28">
        <v>5.87</v>
      </c>
      <c r="E27" s="28">
        <f t="shared" si="0"/>
        <v>4.6959999999999997</v>
      </c>
      <c r="F27" s="28">
        <v>9.39</v>
      </c>
      <c r="G27" s="28">
        <f t="shared" si="1"/>
        <v>8.2162500000000005</v>
      </c>
    </row>
    <row r="28" spans="1:7" x14ac:dyDescent="0.35">
      <c r="A28" s="27">
        <v>2244</v>
      </c>
      <c r="B28" s="54" t="s">
        <v>148</v>
      </c>
      <c r="C28" s="54" t="e">
        <f>#REF!</f>
        <v>#REF!</v>
      </c>
      <c r="D28" s="28">
        <v>233.53</v>
      </c>
      <c r="E28" s="28">
        <f t="shared" si="0"/>
        <v>186.82400000000001</v>
      </c>
      <c r="F28" s="28">
        <v>373.65</v>
      </c>
      <c r="G28" s="28">
        <f t="shared" si="1"/>
        <v>326.94374999999997</v>
      </c>
    </row>
    <row r="29" spans="1:7" x14ac:dyDescent="0.35">
      <c r="A29" s="27">
        <v>2250</v>
      </c>
      <c r="B29" s="54" t="s">
        <v>151</v>
      </c>
      <c r="C29" s="54" t="e">
        <f>#REF!</f>
        <v>#REF!</v>
      </c>
      <c r="D29" s="28">
        <v>12.38</v>
      </c>
      <c r="E29" s="28">
        <f t="shared" si="0"/>
        <v>9.9039999999999999</v>
      </c>
      <c r="F29" s="28">
        <v>19.809999999999999</v>
      </c>
      <c r="G29" s="28">
        <f t="shared" si="1"/>
        <v>17.333749999999998</v>
      </c>
    </row>
    <row r="30" spans="1:7" x14ac:dyDescent="0.35">
      <c r="A30" s="27">
        <v>2311</v>
      </c>
      <c r="B30" s="56" t="s">
        <v>155</v>
      </c>
      <c r="C30" s="54" t="e">
        <f>#REF!</f>
        <v>#REF!</v>
      </c>
      <c r="D30" s="28">
        <v>182.38</v>
      </c>
      <c r="E30" s="28">
        <f t="shared" si="0"/>
        <v>145.904</v>
      </c>
      <c r="F30" s="28">
        <v>291.81</v>
      </c>
      <c r="G30" s="28">
        <f t="shared" si="1"/>
        <v>255.33375000000001</v>
      </c>
    </row>
    <row r="31" spans="1:7" x14ac:dyDescent="0.35">
      <c r="A31" s="27">
        <v>2312</v>
      </c>
      <c r="B31" s="54" t="s">
        <v>156</v>
      </c>
      <c r="C31" s="54" t="e">
        <f>#REF!</f>
        <v>#REF!</v>
      </c>
      <c r="D31" s="28">
        <v>86.08</v>
      </c>
      <c r="E31" s="28">
        <f t="shared" si="0"/>
        <v>68.864000000000004</v>
      </c>
      <c r="F31" s="28">
        <v>137.72999999999999</v>
      </c>
      <c r="G31" s="28">
        <f t="shared" si="1"/>
        <v>120.51375</v>
      </c>
    </row>
    <row r="32" spans="1:7" x14ac:dyDescent="0.35">
      <c r="A32" s="27">
        <v>2314</v>
      </c>
      <c r="B32" s="54" t="s">
        <v>157</v>
      </c>
      <c r="C32" s="54" t="e">
        <f>#REF!</f>
        <v>#REF!</v>
      </c>
      <c r="D32" s="28">
        <v>0.28000000000000003</v>
      </c>
      <c r="E32" s="28">
        <f t="shared" si="0"/>
        <v>0.22400000000000003</v>
      </c>
      <c r="F32" s="28">
        <v>0.45</v>
      </c>
      <c r="G32" s="28">
        <f t="shared" si="1"/>
        <v>0.39374999999999999</v>
      </c>
    </row>
    <row r="33" spans="1:7" x14ac:dyDescent="0.35">
      <c r="A33" s="27">
        <v>2321</v>
      </c>
      <c r="B33" s="56" t="s">
        <v>158</v>
      </c>
      <c r="C33" s="56" t="e">
        <f>#REF!</f>
        <v>#REF!</v>
      </c>
      <c r="D33" s="28">
        <v>132.49</v>
      </c>
      <c r="E33" s="28">
        <f t="shared" si="0"/>
        <v>105.99200000000002</v>
      </c>
      <c r="F33" s="28">
        <v>254.38</v>
      </c>
      <c r="G33" s="28">
        <f t="shared" si="1"/>
        <v>222.58249999999998</v>
      </c>
    </row>
    <row r="34" spans="1:7" x14ac:dyDescent="0.35">
      <c r="A34" s="27">
        <v>2341</v>
      </c>
      <c r="B34" s="56" t="s">
        <v>136</v>
      </c>
      <c r="C34" s="56" t="e">
        <f>#REF!</f>
        <v>#REF!</v>
      </c>
      <c r="D34" s="28">
        <v>28.21</v>
      </c>
      <c r="E34" s="28">
        <f t="shared" si="0"/>
        <v>22.568000000000001</v>
      </c>
      <c r="F34" s="28">
        <v>45.14</v>
      </c>
      <c r="G34" s="28">
        <f t="shared" si="1"/>
        <v>39.497500000000002</v>
      </c>
    </row>
    <row r="35" spans="1:7" x14ac:dyDescent="0.35">
      <c r="A35" s="27">
        <v>2350</v>
      </c>
      <c r="B35" s="55" t="s">
        <v>137</v>
      </c>
      <c r="C35" s="56" t="e">
        <f>#REF!</f>
        <v>#REF!</v>
      </c>
      <c r="D35" s="28">
        <v>56.26</v>
      </c>
      <c r="E35" s="28">
        <f t="shared" si="0"/>
        <v>45.007999999999996</v>
      </c>
      <c r="F35" s="28">
        <v>90.02</v>
      </c>
      <c r="G35" s="28">
        <f t="shared" si="1"/>
        <v>78.767499999999984</v>
      </c>
    </row>
    <row r="36" spans="1:7" x14ac:dyDescent="0.35">
      <c r="A36" s="27">
        <v>2361</v>
      </c>
      <c r="B36" s="56" t="s">
        <v>170</v>
      </c>
      <c r="C36" s="56" t="e">
        <f>#REF!</f>
        <v>#REF!</v>
      </c>
      <c r="D36" s="28">
        <v>24.18</v>
      </c>
      <c r="E36" s="28">
        <f t="shared" si="0"/>
        <v>19.343999999999998</v>
      </c>
      <c r="F36" s="28">
        <v>38.69</v>
      </c>
      <c r="G36" s="28">
        <f t="shared" si="1"/>
        <v>33.853749999999998</v>
      </c>
    </row>
    <row r="37" spans="1:7" x14ac:dyDescent="0.35">
      <c r="A37" s="27">
        <v>2362</v>
      </c>
      <c r="B37" s="56" t="s">
        <v>171</v>
      </c>
      <c r="C37" s="56" t="e">
        <f>#REF!</f>
        <v>#REF!</v>
      </c>
      <c r="D37" s="28">
        <v>2.06</v>
      </c>
      <c r="E37" s="28">
        <f t="shared" si="0"/>
        <v>1.6480000000000001</v>
      </c>
      <c r="F37" s="28">
        <v>3.3</v>
      </c>
      <c r="G37" s="28">
        <f t="shared" si="1"/>
        <v>2.8874999999999997</v>
      </c>
    </row>
    <row r="38" spans="1:7" x14ac:dyDescent="0.35">
      <c r="A38" s="27">
        <v>2363</v>
      </c>
      <c r="B38" s="56" t="s">
        <v>172</v>
      </c>
      <c r="C38" s="110">
        <v>9.75</v>
      </c>
      <c r="D38" s="28">
        <f>C38*50</f>
        <v>487.5</v>
      </c>
      <c r="E38" s="28">
        <f>9.75*40</f>
        <v>390</v>
      </c>
      <c r="F38" s="28">
        <v>780</v>
      </c>
      <c r="G38" s="28">
        <f t="shared" si="1"/>
        <v>682.5</v>
      </c>
    </row>
    <row r="39" spans="1:7" x14ac:dyDescent="0.35">
      <c r="A39" s="27">
        <v>5239</v>
      </c>
      <c r="B39" s="55" t="s">
        <v>165</v>
      </c>
      <c r="C39" s="55" t="e">
        <f>#REF!</f>
        <v>#REF!</v>
      </c>
      <c r="D39" s="28">
        <v>112.67</v>
      </c>
      <c r="E39" s="28">
        <f t="shared" si="0"/>
        <v>90.135999999999996</v>
      </c>
      <c r="F39" s="28">
        <v>180.27</v>
      </c>
      <c r="G39" s="28">
        <f t="shared" si="1"/>
        <v>157.73625000000001</v>
      </c>
    </row>
    <row r="40" spans="1:7" x14ac:dyDescent="0.35">
      <c r="A40" s="27"/>
      <c r="B40" s="57" t="s">
        <v>7</v>
      </c>
      <c r="C40" s="57" t="e">
        <f>SUM(C20:C39)</f>
        <v>#REF!</v>
      </c>
      <c r="D40" s="31">
        <f>SUM(D20:D39)</f>
        <v>3347.3500000000004</v>
      </c>
      <c r="E40" s="31">
        <f>SUM(E20:E39)</f>
        <v>2677.88</v>
      </c>
      <c r="F40" s="31">
        <f>SUM(F20:F39)</f>
        <v>5747.8300000000008</v>
      </c>
      <c r="G40" s="31">
        <f>SUM(G20:G39)</f>
        <v>5029.3512499999997</v>
      </c>
    </row>
    <row r="41" spans="1:7" x14ac:dyDescent="0.35">
      <c r="A41" s="32"/>
      <c r="B41" s="57" t="s">
        <v>8</v>
      </c>
      <c r="C41" s="57"/>
      <c r="D41" s="28"/>
      <c r="E41" s="28"/>
      <c r="F41" s="28"/>
      <c r="G41" s="28"/>
    </row>
    <row r="42" spans="1:7" x14ac:dyDescent="0.35">
      <c r="A42" s="27">
        <v>1100</v>
      </c>
      <c r="B42" s="54" t="s">
        <v>134</v>
      </c>
      <c r="C42" s="55">
        <v>0.51439999999999997</v>
      </c>
      <c r="D42" s="28">
        <v>589.32000000000005</v>
      </c>
      <c r="E42" s="28">
        <f t="shared" ref="E42:E72" si="2">D42/50*40</f>
        <v>471.45600000000002</v>
      </c>
      <c r="F42" s="28">
        <v>1221.19</v>
      </c>
      <c r="G42" s="28">
        <f t="shared" ref="G42:G72" si="3">F42/80*70</f>
        <v>1068.54125</v>
      </c>
    </row>
    <row r="43" spans="1:7" ht="16.5" customHeight="1" x14ac:dyDescent="0.35">
      <c r="A43" s="27">
        <v>1200</v>
      </c>
      <c r="B43" s="54" t="s">
        <v>135</v>
      </c>
      <c r="C43" s="55">
        <f>C42*0.2359</f>
        <v>0.12134695999999999</v>
      </c>
      <c r="D43" s="28">
        <v>139.02000000000001</v>
      </c>
      <c r="E43" s="28">
        <f t="shared" si="2"/>
        <v>111.21600000000001</v>
      </c>
      <c r="F43" s="28">
        <v>288.08</v>
      </c>
      <c r="G43" s="28">
        <f t="shared" si="3"/>
        <v>252.07</v>
      </c>
    </row>
    <row r="44" spans="1:7" ht="16.5" customHeight="1" x14ac:dyDescent="0.35">
      <c r="A44" s="27">
        <v>2100</v>
      </c>
      <c r="B44" s="33" t="s">
        <v>44</v>
      </c>
      <c r="C44" s="55">
        <v>8.0999999999999996E-4</v>
      </c>
      <c r="D44" s="28">
        <v>0.93</v>
      </c>
      <c r="E44" s="28">
        <f t="shared" si="2"/>
        <v>0.74400000000000011</v>
      </c>
      <c r="F44" s="28">
        <v>1.49</v>
      </c>
      <c r="G44" s="28">
        <f t="shared" si="3"/>
        <v>1.30375</v>
      </c>
    </row>
    <row r="45" spans="1:7" x14ac:dyDescent="0.35">
      <c r="A45" s="34">
        <v>2210</v>
      </c>
      <c r="B45" s="56" t="s">
        <v>138</v>
      </c>
      <c r="C45" s="55">
        <v>8.0000000000000002E-3</v>
      </c>
      <c r="D45" s="28">
        <v>9.17</v>
      </c>
      <c r="E45" s="28">
        <f t="shared" si="2"/>
        <v>7.3360000000000003</v>
      </c>
      <c r="F45" s="28">
        <v>14.67</v>
      </c>
      <c r="G45" s="28">
        <f t="shared" si="3"/>
        <v>12.836250000000001</v>
      </c>
    </row>
    <row r="46" spans="1:7" x14ac:dyDescent="0.35">
      <c r="A46" s="27">
        <v>2222</v>
      </c>
      <c r="B46" s="56" t="s">
        <v>139</v>
      </c>
      <c r="C46" s="55">
        <v>4.4400000000000004E-3</v>
      </c>
      <c r="D46" s="28">
        <v>5.09</v>
      </c>
      <c r="E46" s="28">
        <f t="shared" si="2"/>
        <v>4.0720000000000001</v>
      </c>
      <c r="F46" s="28">
        <v>8.14</v>
      </c>
      <c r="G46" s="28">
        <f t="shared" si="3"/>
        <v>7.1225000000000005</v>
      </c>
    </row>
    <row r="47" spans="1:7" x14ac:dyDescent="0.35">
      <c r="A47" s="27">
        <v>2223</v>
      </c>
      <c r="B47" s="56" t="s">
        <v>140</v>
      </c>
      <c r="C47" s="55">
        <v>5.4940000000000003E-2</v>
      </c>
      <c r="D47" s="28">
        <v>62.94</v>
      </c>
      <c r="E47" s="28">
        <f t="shared" si="2"/>
        <v>50.351999999999997</v>
      </c>
      <c r="F47" s="28">
        <v>100.7</v>
      </c>
      <c r="G47" s="28">
        <f t="shared" si="3"/>
        <v>88.112499999999997</v>
      </c>
    </row>
    <row r="48" spans="1:7" ht="31" x14ac:dyDescent="0.35">
      <c r="A48" s="27">
        <v>2224</v>
      </c>
      <c r="B48" s="56" t="s">
        <v>141</v>
      </c>
      <c r="C48" s="55">
        <v>3.0899999999999999E-3</v>
      </c>
      <c r="D48" s="28">
        <v>3.54</v>
      </c>
      <c r="E48" s="28">
        <f t="shared" si="2"/>
        <v>2.8319999999999999</v>
      </c>
      <c r="F48" s="28">
        <v>5.66</v>
      </c>
      <c r="G48" s="28">
        <f t="shared" si="3"/>
        <v>4.9525000000000006</v>
      </c>
    </row>
    <row r="49" spans="1:7" ht="15.75" customHeight="1" x14ac:dyDescent="0.35">
      <c r="A49" s="27">
        <v>2231</v>
      </c>
      <c r="B49" s="54" t="s">
        <v>142</v>
      </c>
      <c r="C49" s="55">
        <v>1.5E-3</v>
      </c>
      <c r="D49" s="28">
        <v>1.72</v>
      </c>
      <c r="E49" s="28">
        <f t="shared" si="2"/>
        <v>1.3759999999999999</v>
      </c>
      <c r="F49" s="28">
        <v>2.75</v>
      </c>
      <c r="G49" s="28">
        <f t="shared" si="3"/>
        <v>2.40625</v>
      </c>
    </row>
    <row r="50" spans="1:7" ht="15.75" customHeight="1" x14ac:dyDescent="0.35">
      <c r="A50" s="27">
        <v>2235</v>
      </c>
      <c r="B50" s="58" t="s">
        <v>143</v>
      </c>
      <c r="C50" s="55">
        <v>2.5100000000000001E-3</v>
      </c>
      <c r="D50" s="28">
        <v>2.88</v>
      </c>
      <c r="E50" s="28">
        <f t="shared" si="2"/>
        <v>2.3039999999999998</v>
      </c>
      <c r="F50" s="28">
        <v>4.6100000000000003</v>
      </c>
      <c r="G50" s="28">
        <f t="shared" si="3"/>
        <v>4.0337500000000004</v>
      </c>
    </row>
    <row r="51" spans="1:7" x14ac:dyDescent="0.35">
      <c r="A51" s="27">
        <v>2239</v>
      </c>
      <c r="B51" s="54" t="s">
        <v>144</v>
      </c>
      <c r="C51" s="55">
        <v>1.7899999999999999E-3</v>
      </c>
      <c r="D51" s="28">
        <v>2.0499999999999998</v>
      </c>
      <c r="E51" s="28">
        <f t="shared" si="2"/>
        <v>1.6399999999999997</v>
      </c>
      <c r="F51" s="28">
        <v>3.28</v>
      </c>
      <c r="G51" s="28">
        <f t="shared" si="3"/>
        <v>2.8699999999999997</v>
      </c>
    </row>
    <row r="52" spans="1:7" x14ac:dyDescent="0.35">
      <c r="A52" s="27">
        <v>2241</v>
      </c>
      <c r="B52" s="54" t="s">
        <v>145</v>
      </c>
      <c r="C52" s="55">
        <v>1.6500000000000001E-2</v>
      </c>
      <c r="D52" s="28">
        <v>18.899999999999999</v>
      </c>
      <c r="E52" s="28">
        <f t="shared" si="2"/>
        <v>15.119999999999997</v>
      </c>
      <c r="F52" s="28">
        <v>30.24</v>
      </c>
      <c r="G52" s="28">
        <f t="shared" si="3"/>
        <v>26.46</v>
      </c>
    </row>
    <row r="53" spans="1:7" x14ac:dyDescent="0.35">
      <c r="A53" s="27">
        <v>2242</v>
      </c>
      <c r="B53" s="56" t="s">
        <v>146</v>
      </c>
      <c r="C53" s="55">
        <v>8.4999999999999995E-4</v>
      </c>
      <c r="D53" s="28">
        <v>0.97</v>
      </c>
      <c r="E53" s="28">
        <f t="shared" si="2"/>
        <v>0.77600000000000002</v>
      </c>
      <c r="F53" s="28">
        <v>1.55</v>
      </c>
      <c r="G53" s="28">
        <f t="shared" si="3"/>
        <v>1.35625</v>
      </c>
    </row>
    <row r="54" spans="1:7" ht="15.75" customHeight="1" x14ac:dyDescent="0.35">
      <c r="A54" s="27">
        <v>2243</v>
      </c>
      <c r="B54" s="54" t="s">
        <v>147</v>
      </c>
      <c r="C54" s="55">
        <v>4.0000000000000002E-4</v>
      </c>
      <c r="D54" s="28">
        <v>0.56000000000000005</v>
      </c>
      <c r="E54" s="28">
        <f t="shared" si="2"/>
        <v>0.44800000000000006</v>
      </c>
      <c r="F54" s="28">
        <v>0.9</v>
      </c>
      <c r="G54" s="28">
        <f t="shared" si="3"/>
        <v>0.78749999999999998</v>
      </c>
    </row>
    <row r="55" spans="1:7" x14ac:dyDescent="0.35">
      <c r="A55" s="27">
        <v>2244</v>
      </c>
      <c r="B55" s="54" t="s">
        <v>148</v>
      </c>
      <c r="C55" s="55">
        <v>6.8070000000000006E-2</v>
      </c>
      <c r="D55" s="28">
        <v>77.98</v>
      </c>
      <c r="E55" s="28">
        <f t="shared" si="2"/>
        <v>62.384</v>
      </c>
      <c r="F55" s="28">
        <v>124.77</v>
      </c>
      <c r="G55" s="28">
        <f t="shared" si="3"/>
        <v>109.17375</v>
      </c>
    </row>
    <row r="56" spans="1:7" x14ac:dyDescent="0.35">
      <c r="A56" s="27">
        <v>2247</v>
      </c>
      <c r="B56" s="54" t="s">
        <v>149</v>
      </c>
      <c r="C56" s="55">
        <v>2.2000000000000001E-4</v>
      </c>
      <c r="D56" s="28">
        <v>0.25</v>
      </c>
      <c r="E56" s="28">
        <f t="shared" si="2"/>
        <v>0.2</v>
      </c>
      <c r="F56" s="28">
        <v>0.4</v>
      </c>
      <c r="G56" s="28">
        <f t="shared" si="3"/>
        <v>0.35000000000000003</v>
      </c>
    </row>
    <row r="57" spans="1:7" x14ac:dyDescent="0.35">
      <c r="A57" s="27">
        <v>2249</v>
      </c>
      <c r="B57" s="54" t="s">
        <v>150</v>
      </c>
      <c r="C57" s="55">
        <v>2.5000000000000001E-4</v>
      </c>
      <c r="D57" s="28">
        <v>0.28999999999999998</v>
      </c>
      <c r="E57" s="28">
        <f t="shared" si="2"/>
        <v>0.23199999999999998</v>
      </c>
      <c r="F57" s="28">
        <v>0.46</v>
      </c>
      <c r="G57" s="28">
        <f t="shared" si="3"/>
        <v>0.40249999999999997</v>
      </c>
    </row>
    <row r="58" spans="1:7" x14ac:dyDescent="0.35">
      <c r="A58" s="27">
        <v>2250</v>
      </c>
      <c r="B58" s="54" t="s">
        <v>151</v>
      </c>
      <c r="C58" s="55">
        <v>2.8400000000000002E-2</v>
      </c>
      <c r="D58" s="28">
        <v>32.54</v>
      </c>
      <c r="E58" s="28">
        <f t="shared" si="2"/>
        <v>26.031999999999996</v>
      </c>
      <c r="F58" s="28">
        <v>52.06</v>
      </c>
      <c r="G58" s="28">
        <f t="shared" si="3"/>
        <v>45.552500000000002</v>
      </c>
    </row>
    <row r="59" spans="1:7" x14ac:dyDescent="0.35">
      <c r="A59" s="27">
        <v>2262</v>
      </c>
      <c r="B59" s="56" t="s">
        <v>152</v>
      </c>
      <c r="C59" s="55">
        <v>1.137E-2</v>
      </c>
      <c r="D59" s="28">
        <v>13.03</v>
      </c>
      <c r="E59" s="28">
        <f t="shared" si="2"/>
        <v>10.423999999999999</v>
      </c>
      <c r="F59" s="28">
        <v>20.85</v>
      </c>
      <c r="G59" s="28">
        <f t="shared" si="3"/>
        <v>18.243749999999999</v>
      </c>
    </row>
    <row r="60" spans="1:7" x14ac:dyDescent="0.35">
      <c r="A60" s="27">
        <v>2263</v>
      </c>
      <c r="B60" s="56" t="s">
        <v>153</v>
      </c>
      <c r="C60" s="55">
        <v>4.58E-2</v>
      </c>
      <c r="D60" s="28">
        <v>52.47</v>
      </c>
      <c r="E60" s="28">
        <f t="shared" si="2"/>
        <v>41.975999999999999</v>
      </c>
      <c r="F60" s="28">
        <v>83.95</v>
      </c>
      <c r="G60" s="28">
        <f t="shared" si="3"/>
        <v>73.456249999999997</v>
      </c>
    </row>
    <row r="61" spans="1:7" x14ac:dyDescent="0.35">
      <c r="A61" s="27">
        <v>2264</v>
      </c>
      <c r="B61" s="54" t="s">
        <v>154</v>
      </c>
      <c r="C61" s="55">
        <v>2.4000000000000001E-4</v>
      </c>
      <c r="D61" s="28">
        <v>0.27</v>
      </c>
      <c r="E61" s="28">
        <f t="shared" si="2"/>
        <v>0.21600000000000003</v>
      </c>
      <c r="F61" s="28">
        <v>0.43</v>
      </c>
      <c r="G61" s="28">
        <f t="shared" si="3"/>
        <v>0.37624999999999997</v>
      </c>
    </row>
    <row r="62" spans="1:7" x14ac:dyDescent="0.35">
      <c r="A62" s="27">
        <v>2311</v>
      </c>
      <c r="B62" s="56" t="s">
        <v>155</v>
      </c>
      <c r="C62" s="108">
        <v>7.1000000000000002E-4</v>
      </c>
      <c r="D62" s="28">
        <v>0.81</v>
      </c>
      <c r="E62" s="28">
        <f t="shared" si="2"/>
        <v>0.64800000000000013</v>
      </c>
      <c r="F62" s="28">
        <v>1.3</v>
      </c>
      <c r="G62" s="28">
        <f t="shared" si="3"/>
        <v>1.1375</v>
      </c>
    </row>
    <row r="63" spans="1:7" x14ac:dyDescent="0.35">
      <c r="A63" s="27">
        <v>2314</v>
      </c>
      <c r="B63" s="58" t="s">
        <v>157</v>
      </c>
      <c r="C63" s="55">
        <v>4.6000000000000001E-4</v>
      </c>
      <c r="D63" s="28">
        <v>0.53</v>
      </c>
      <c r="E63" s="28">
        <f t="shared" si="2"/>
        <v>0.42399999999999999</v>
      </c>
      <c r="F63" s="28">
        <v>0.85</v>
      </c>
      <c r="G63" s="28">
        <f t="shared" si="3"/>
        <v>0.74374999999999991</v>
      </c>
    </row>
    <row r="64" spans="1:7" x14ac:dyDescent="0.35">
      <c r="A64" s="27">
        <v>2321</v>
      </c>
      <c r="B64" s="56" t="s">
        <v>158</v>
      </c>
      <c r="C64" s="55">
        <v>6.0220000000000003E-2</v>
      </c>
      <c r="D64" s="28">
        <v>68.989999999999995</v>
      </c>
      <c r="E64" s="28">
        <f t="shared" si="2"/>
        <v>55.191999999999993</v>
      </c>
      <c r="F64" s="28">
        <v>110.38</v>
      </c>
      <c r="G64" s="28">
        <f t="shared" si="3"/>
        <v>96.582499999999996</v>
      </c>
    </row>
    <row r="65" spans="1:7" x14ac:dyDescent="0.35">
      <c r="A65" s="27">
        <v>2322</v>
      </c>
      <c r="B65" s="56" t="s">
        <v>159</v>
      </c>
      <c r="C65" s="55">
        <v>2.0999999999999999E-3</v>
      </c>
      <c r="D65" s="28">
        <v>2.41</v>
      </c>
      <c r="E65" s="28">
        <f t="shared" si="2"/>
        <v>1.9279999999999999</v>
      </c>
      <c r="F65" s="28">
        <v>3.86</v>
      </c>
      <c r="G65" s="28">
        <f t="shared" si="3"/>
        <v>3.3774999999999999</v>
      </c>
    </row>
    <row r="66" spans="1:7" ht="15.75" customHeight="1" x14ac:dyDescent="0.35">
      <c r="A66" s="27">
        <v>2513</v>
      </c>
      <c r="B66" s="55" t="s">
        <v>160</v>
      </c>
      <c r="C66" s="55">
        <v>6.3000000000000003E-4</v>
      </c>
      <c r="D66" s="28">
        <v>0.72</v>
      </c>
      <c r="E66" s="28">
        <f t="shared" si="2"/>
        <v>0.57599999999999996</v>
      </c>
      <c r="F66" s="28">
        <v>1.1499999999999999</v>
      </c>
      <c r="G66" s="28">
        <f t="shared" si="3"/>
        <v>1.0062499999999999</v>
      </c>
    </row>
    <row r="67" spans="1:7" x14ac:dyDescent="0.35">
      <c r="A67" s="27">
        <v>2515</v>
      </c>
      <c r="B67" s="56" t="s">
        <v>161</v>
      </c>
      <c r="C67" s="55">
        <v>2.7499999999999998E-3</v>
      </c>
      <c r="D67" s="28">
        <v>3.15</v>
      </c>
      <c r="E67" s="28">
        <f t="shared" si="2"/>
        <v>2.52</v>
      </c>
      <c r="F67" s="28">
        <v>5.04</v>
      </c>
      <c r="G67" s="28">
        <f t="shared" si="3"/>
        <v>4.41</v>
      </c>
    </row>
    <row r="68" spans="1:7" x14ac:dyDescent="0.35">
      <c r="A68" s="27">
        <v>2519</v>
      </c>
      <c r="B68" s="56" t="s">
        <v>162</v>
      </c>
      <c r="C68" s="55">
        <v>1.5100000000000001E-3</v>
      </c>
      <c r="D68" s="28">
        <v>1.73</v>
      </c>
      <c r="E68" s="28">
        <f t="shared" si="2"/>
        <v>1.3839999999999999</v>
      </c>
      <c r="F68" s="28">
        <v>2.77</v>
      </c>
      <c r="G68" s="28">
        <f t="shared" si="3"/>
        <v>2.4237500000000001</v>
      </c>
    </row>
    <row r="69" spans="1:7" x14ac:dyDescent="0.35">
      <c r="A69" s="27">
        <v>5220</v>
      </c>
      <c r="B69" s="56" t="s">
        <v>163</v>
      </c>
      <c r="C69" s="55">
        <v>1.06E-2</v>
      </c>
      <c r="D69" s="28">
        <v>12.14</v>
      </c>
      <c r="E69" s="28">
        <f t="shared" si="2"/>
        <v>9.7119999999999997</v>
      </c>
      <c r="F69" s="28">
        <v>19.420000000000002</v>
      </c>
      <c r="G69" s="28">
        <f t="shared" si="3"/>
        <v>16.9925</v>
      </c>
    </row>
    <row r="70" spans="1:7" x14ac:dyDescent="0.35">
      <c r="A70" s="27">
        <v>5238</v>
      </c>
      <c r="B70" s="55" t="s">
        <v>164</v>
      </c>
      <c r="C70" s="55">
        <v>1.65E-3</v>
      </c>
      <c r="D70" s="28">
        <v>1.89</v>
      </c>
      <c r="E70" s="28">
        <f t="shared" si="2"/>
        <v>1.512</v>
      </c>
      <c r="F70" s="28">
        <v>3.02</v>
      </c>
      <c r="G70" s="28">
        <f t="shared" si="3"/>
        <v>2.6425000000000001</v>
      </c>
    </row>
    <row r="71" spans="1:7" x14ac:dyDescent="0.35">
      <c r="A71" s="27">
        <v>5239</v>
      </c>
      <c r="B71" s="55" t="s">
        <v>165</v>
      </c>
      <c r="C71" s="55">
        <v>1.9800000000000002E-2</v>
      </c>
      <c r="D71" s="28">
        <v>22.68</v>
      </c>
      <c r="E71" s="28">
        <f t="shared" si="2"/>
        <v>18.143999999999998</v>
      </c>
      <c r="F71" s="28">
        <v>36.29</v>
      </c>
      <c r="G71" s="28">
        <f t="shared" si="3"/>
        <v>31.75375</v>
      </c>
    </row>
    <row r="72" spans="1:7" x14ac:dyDescent="0.35">
      <c r="A72" s="27">
        <v>5250</v>
      </c>
      <c r="B72" s="56" t="s">
        <v>166</v>
      </c>
      <c r="C72" s="55">
        <v>1.4999999999999999E-2</v>
      </c>
      <c r="D72" s="28">
        <v>16.68</v>
      </c>
      <c r="E72" s="28">
        <f t="shared" si="2"/>
        <v>13.344000000000001</v>
      </c>
      <c r="F72" s="28">
        <v>26.71</v>
      </c>
      <c r="G72" s="28">
        <f t="shared" si="3"/>
        <v>23.371250000000003</v>
      </c>
    </row>
    <row r="73" spans="1:7" x14ac:dyDescent="0.35">
      <c r="A73" s="32"/>
      <c r="B73" s="59" t="s">
        <v>167</v>
      </c>
      <c r="C73" s="59"/>
      <c r="D73" s="31">
        <f>SUM(D42:D72)</f>
        <v>1145.6500000000003</v>
      </c>
      <c r="E73" s="31">
        <f>SUM(E42:E72)</f>
        <v>916.52</v>
      </c>
      <c r="F73" s="31">
        <f>SUM(F42:F72)</f>
        <v>2176.9700000000003</v>
      </c>
      <c r="G73" s="31">
        <f>SUM(G42:G72)</f>
        <v>1904.8487499999999</v>
      </c>
    </row>
    <row r="74" spans="1:7" x14ac:dyDescent="0.35">
      <c r="A74" s="32"/>
      <c r="B74" s="59" t="s">
        <v>168</v>
      </c>
      <c r="C74" s="59"/>
      <c r="D74" s="31">
        <f>D40+D73</f>
        <v>4493.0000000000009</v>
      </c>
      <c r="E74" s="31">
        <f>E40+E73</f>
        <v>3594.4</v>
      </c>
      <c r="F74" s="31">
        <f>F40+F73</f>
        <v>7924.8000000000011</v>
      </c>
      <c r="G74" s="31">
        <f>G40+G73</f>
        <v>6934.2</v>
      </c>
    </row>
    <row r="75" spans="1:7" ht="12.75" customHeight="1" x14ac:dyDescent="0.35">
      <c r="A75" s="37"/>
      <c r="B75" s="20"/>
      <c r="C75" s="20"/>
      <c r="D75" s="60"/>
      <c r="E75" s="60"/>
      <c r="F75" s="60"/>
      <c r="G75" s="60"/>
    </row>
    <row r="76" spans="1:7" ht="15.75" customHeight="1" x14ac:dyDescent="0.35">
      <c r="A76" s="211" t="s">
        <v>51</v>
      </c>
      <c r="B76" s="211"/>
      <c r="C76" s="61"/>
      <c r="D76" s="44">
        <v>50</v>
      </c>
      <c r="E76" s="44">
        <v>40</v>
      </c>
      <c r="F76" s="44">
        <v>80</v>
      </c>
      <c r="G76" s="44">
        <v>70</v>
      </c>
    </row>
    <row r="77" spans="1:7" ht="15.75" customHeight="1" x14ac:dyDescent="0.35">
      <c r="A77" s="211" t="s">
        <v>58</v>
      </c>
      <c r="B77" s="211"/>
      <c r="C77" s="61"/>
      <c r="D77" s="45">
        <f>D74/D76</f>
        <v>89.860000000000014</v>
      </c>
      <c r="E77" s="45">
        <f>E74/E76</f>
        <v>89.86</v>
      </c>
      <c r="F77" s="45">
        <f>F74/F76</f>
        <v>99.060000000000016</v>
      </c>
      <c r="G77" s="45">
        <f>G74/G76</f>
        <v>99.06</v>
      </c>
    </row>
    <row r="78" spans="1:7" ht="9.75" customHeight="1" x14ac:dyDescent="0.35">
      <c r="A78" s="41"/>
      <c r="B78" s="42"/>
      <c r="C78" s="42"/>
    </row>
    <row r="79" spans="1:7" ht="15.75" customHeight="1" x14ac:dyDescent="0.35">
      <c r="A79" s="208" t="s">
        <v>52</v>
      </c>
      <c r="B79" s="208"/>
      <c r="C79" s="62"/>
      <c r="D79" s="40"/>
      <c r="E79" s="40"/>
      <c r="F79" s="40"/>
      <c r="G79" s="40"/>
    </row>
    <row r="80" spans="1:7" ht="15.75" customHeight="1" x14ac:dyDescent="0.35">
      <c r="A80" s="208" t="s">
        <v>74</v>
      </c>
      <c r="B80" s="208"/>
      <c r="C80" s="62"/>
      <c r="D80" s="40"/>
      <c r="E80" s="40"/>
      <c r="F80" s="193"/>
      <c r="G80" s="193"/>
    </row>
    <row r="81" spans="1:7" ht="8.25" customHeight="1" x14ac:dyDescent="0.35">
      <c r="A81" s="17"/>
      <c r="B81" s="17"/>
      <c r="C81" s="17"/>
      <c r="D81" s="17"/>
      <c r="E81" s="17"/>
      <c r="F81" s="17"/>
      <c r="G81" s="17"/>
    </row>
    <row r="82" spans="1:7" x14ac:dyDescent="0.35">
      <c r="A82" s="17" t="s">
        <v>53</v>
      </c>
      <c r="B82" s="17"/>
      <c r="C82" s="17"/>
      <c r="D82" s="48"/>
      <c r="E82" s="48"/>
      <c r="F82" s="48"/>
      <c r="G82" s="48"/>
    </row>
    <row r="83" spans="1:7" x14ac:dyDescent="0.35">
      <c r="A83" s="17"/>
      <c r="B83" s="17"/>
      <c r="C83" s="48"/>
      <c r="D83" s="48"/>
      <c r="E83" s="48"/>
      <c r="F83" s="48"/>
      <c r="G83" s="48"/>
    </row>
    <row r="84" spans="1:7" x14ac:dyDescent="0.35">
      <c r="A84" s="17" t="s">
        <v>68</v>
      </c>
      <c r="B84" s="18"/>
      <c r="C84" s="18"/>
      <c r="D84" s="48"/>
      <c r="E84" s="48"/>
      <c r="F84" s="48"/>
      <c r="G84" s="48"/>
    </row>
    <row r="85" spans="1:7" x14ac:dyDescent="0.35">
      <c r="B85" s="63"/>
      <c r="C85" s="63"/>
      <c r="D85" s="64"/>
      <c r="E85" s="64"/>
      <c r="F85" s="64"/>
      <c r="G85" s="64"/>
    </row>
    <row r="87" spans="1:7" x14ac:dyDescent="0.35">
      <c r="D87" s="52"/>
      <c r="E87" s="52"/>
      <c r="F87" s="52"/>
      <c r="G87" s="52"/>
    </row>
  </sheetData>
  <mergeCells count="8">
    <mergeCell ref="B2:F2"/>
    <mergeCell ref="A79:B79"/>
    <mergeCell ref="A80:B80"/>
    <mergeCell ref="A8:D8"/>
    <mergeCell ref="A11:B11"/>
    <mergeCell ref="A76:B76"/>
    <mergeCell ref="A77:B77"/>
    <mergeCell ref="A10:B10"/>
  </mergeCells>
  <pageMargins left="0.94488188976377963" right="0.55118110236220474" top="0.55118110236220474" bottom="0.55118110236220474" header="0.31496062992125984" footer="0.31496062992125984"/>
  <pageSetup paperSize="9" scale="56" firstPageNumber="5" orientation="portrait" useFirstPageNumber="1" r:id="rId1"/>
  <headerFooter>
    <oddFooter>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9"/>
  <sheetViews>
    <sheetView zoomScale="90" zoomScaleNormal="90" zoomScalePageLayoutView="90" workbookViewId="0">
      <selection activeCell="B16" sqref="B16"/>
    </sheetView>
  </sheetViews>
  <sheetFormatPr defaultRowHeight="12.5" x14ac:dyDescent="0.25"/>
  <cols>
    <col min="1" max="1" width="12.453125" customWidth="1"/>
    <col min="2" max="2" width="99.7265625" customWidth="1"/>
    <col min="3" max="3" width="26.453125" hidden="1" customWidth="1"/>
    <col min="4" max="4" width="33.54296875" style="7" bestFit="1" customWidth="1"/>
  </cols>
  <sheetData>
    <row r="1" spans="1:4" ht="15.75" customHeight="1" x14ac:dyDescent="0.35">
      <c r="A1" s="5"/>
      <c r="B1" s="212" t="s">
        <v>50</v>
      </c>
      <c r="C1" s="212"/>
      <c r="D1" s="212"/>
    </row>
    <row r="2" spans="1:4" ht="15.5" x14ac:dyDescent="0.35">
      <c r="A2" s="5"/>
      <c r="B2" s="213" t="s">
        <v>54</v>
      </c>
      <c r="C2" s="213"/>
      <c r="D2" s="213"/>
    </row>
    <row r="3" spans="1:4" ht="15.5" x14ac:dyDescent="0.35">
      <c r="A3" s="5"/>
      <c r="B3" s="10"/>
      <c r="C3" s="10"/>
      <c r="D3" s="46" t="s">
        <v>132</v>
      </c>
    </row>
    <row r="4" spans="1:4" ht="15.5" x14ac:dyDescent="0.35">
      <c r="A4" s="5"/>
      <c r="B4" s="10"/>
      <c r="C4" s="10"/>
      <c r="D4" s="37"/>
    </row>
    <row r="5" spans="1:4" ht="15.5" x14ac:dyDescent="0.35">
      <c r="A5" s="5"/>
      <c r="B5" s="15"/>
      <c r="C5" s="15"/>
      <c r="D5" s="37" t="s">
        <v>133</v>
      </c>
    </row>
    <row r="6" spans="1:4" ht="14" x14ac:dyDescent="0.3">
      <c r="A6" s="5"/>
      <c r="B6" s="1"/>
      <c r="C6" s="1"/>
      <c r="D6" s="1"/>
    </row>
    <row r="7" spans="1:4" ht="17.5" x14ac:dyDescent="0.35">
      <c r="A7" s="214" t="s">
        <v>10</v>
      </c>
      <c r="B7" s="214"/>
      <c r="C7" s="214"/>
      <c r="D7" s="214"/>
    </row>
    <row r="8" spans="1:4" ht="14" x14ac:dyDescent="0.3">
      <c r="A8" s="6"/>
      <c r="B8" s="6"/>
      <c r="C8" s="6"/>
      <c r="D8" s="2"/>
    </row>
    <row r="9" spans="1:4" ht="15.75" customHeight="1" x14ac:dyDescent="0.35">
      <c r="A9" s="210" t="s">
        <v>1</v>
      </c>
      <c r="B9" s="210"/>
      <c r="C9" s="9"/>
      <c r="D9" s="8"/>
    </row>
    <row r="10" spans="1:4" ht="15.75" customHeight="1" x14ac:dyDescent="0.35">
      <c r="A10" s="210" t="s">
        <v>0</v>
      </c>
      <c r="B10" s="210"/>
      <c r="C10" s="9"/>
      <c r="D10" s="8"/>
    </row>
    <row r="11" spans="1:4" ht="15" customHeight="1" x14ac:dyDescent="0.35">
      <c r="A11" s="9"/>
      <c r="B11" s="9" t="s">
        <v>47</v>
      </c>
      <c r="C11" s="9"/>
      <c r="D11" s="8"/>
    </row>
    <row r="12" spans="1:4" ht="15" customHeight="1" x14ac:dyDescent="0.35">
      <c r="A12" s="9"/>
      <c r="B12" s="9" t="s">
        <v>65</v>
      </c>
      <c r="C12" s="9"/>
      <c r="D12" s="14"/>
    </row>
    <row r="13" spans="1:4" ht="15" customHeight="1" x14ac:dyDescent="0.25">
      <c r="A13" s="9"/>
      <c r="B13" s="210" t="s">
        <v>66</v>
      </c>
      <c r="C13" s="210"/>
      <c r="D13" s="210"/>
    </row>
    <row r="14" spans="1:4" ht="15" customHeight="1" x14ac:dyDescent="0.25">
      <c r="A14" s="9"/>
      <c r="B14" s="210" t="s">
        <v>124</v>
      </c>
      <c r="C14" s="210"/>
      <c r="D14" s="210"/>
    </row>
    <row r="15" spans="1:4" ht="18" customHeight="1" x14ac:dyDescent="0.35">
      <c r="A15" s="9" t="s">
        <v>2</v>
      </c>
      <c r="B15" s="9">
        <v>2019</v>
      </c>
      <c r="C15" s="9"/>
      <c r="D15" s="8"/>
    </row>
    <row r="16" spans="1:4" ht="67.5" customHeight="1" x14ac:dyDescent="0.25">
      <c r="A16" s="43" t="s">
        <v>3</v>
      </c>
      <c r="B16" s="43" t="s">
        <v>4</v>
      </c>
      <c r="C16" s="43"/>
      <c r="D16" s="43" t="s">
        <v>72</v>
      </c>
    </row>
    <row r="17" spans="1:6" ht="15" x14ac:dyDescent="0.25">
      <c r="A17" s="22">
        <v>1</v>
      </c>
      <c r="B17" s="23">
        <v>2</v>
      </c>
      <c r="C17" s="23"/>
      <c r="D17" s="23">
        <v>3</v>
      </c>
    </row>
    <row r="18" spans="1:6" ht="15" customHeight="1" x14ac:dyDescent="0.25">
      <c r="A18" s="24"/>
      <c r="B18" s="25" t="s">
        <v>6</v>
      </c>
      <c r="C18" s="25"/>
      <c r="D18" s="26"/>
    </row>
    <row r="19" spans="1:6" ht="15" customHeight="1" x14ac:dyDescent="0.25">
      <c r="A19" s="27">
        <v>1100</v>
      </c>
      <c r="B19" s="27" t="s">
        <v>77</v>
      </c>
      <c r="C19" s="28">
        <f>789.02+100*0.96</f>
        <v>885.02</v>
      </c>
      <c r="D19" s="28">
        <v>536.5</v>
      </c>
      <c r="F19" s="47"/>
    </row>
    <row r="20" spans="1:6" ht="15.5" x14ac:dyDescent="0.25">
      <c r="A20" s="27">
        <v>1200</v>
      </c>
      <c r="B20" s="29" t="s">
        <v>78</v>
      </c>
      <c r="C20" s="28">
        <f>190.08+100*0.23</f>
        <v>213.08</v>
      </c>
      <c r="D20" s="28">
        <v>129.24</v>
      </c>
    </row>
    <row r="21" spans="1:6" ht="15" customHeight="1" x14ac:dyDescent="0.25">
      <c r="A21" s="27">
        <v>2222</v>
      </c>
      <c r="B21" s="29" t="s">
        <v>41</v>
      </c>
      <c r="C21" s="28">
        <v>55.49</v>
      </c>
      <c r="D21" s="28">
        <v>27.75</v>
      </c>
    </row>
    <row r="22" spans="1:6" ht="15" customHeight="1" x14ac:dyDescent="0.25">
      <c r="A22" s="27">
        <v>2223</v>
      </c>
      <c r="B22" s="29" t="s">
        <v>42</v>
      </c>
      <c r="C22" s="28">
        <v>52.91</v>
      </c>
      <c r="D22" s="28">
        <v>26.46</v>
      </c>
    </row>
    <row r="23" spans="1:6" ht="15" customHeight="1" x14ac:dyDescent="0.25">
      <c r="A23" s="27">
        <v>2243</v>
      </c>
      <c r="B23" s="29" t="s">
        <v>14</v>
      </c>
      <c r="C23" s="28">
        <v>14.2</v>
      </c>
      <c r="D23" s="28">
        <v>7.1</v>
      </c>
    </row>
    <row r="24" spans="1:6" ht="15" hidden="1" customHeight="1" x14ac:dyDescent="0.25">
      <c r="A24" s="27">
        <v>2249</v>
      </c>
      <c r="B24" s="29" t="s">
        <v>16</v>
      </c>
      <c r="C24" s="28">
        <v>0</v>
      </c>
      <c r="D24" s="28">
        <f>C24/100*50</f>
        <v>0</v>
      </c>
    </row>
    <row r="25" spans="1:6" ht="15" customHeight="1" x14ac:dyDescent="0.25">
      <c r="A25" s="27">
        <v>2321</v>
      </c>
      <c r="B25" s="29" t="s">
        <v>24</v>
      </c>
      <c r="C25" s="28">
        <v>78.34</v>
      </c>
      <c r="D25" s="28">
        <v>39.17</v>
      </c>
    </row>
    <row r="26" spans="1:6" ht="15" customHeight="1" x14ac:dyDescent="0.25">
      <c r="A26" s="27">
        <v>2341</v>
      </c>
      <c r="B26" s="29" t="s">
        <v>26</v>
      </c>
      <c r="C26" s="28">
        <v>35.659999999999997</v>
      </c>
      <c r="D26" s="28">
        <v>17.829999999999998</v>
      </c>
    </row>
    <row r="27" spans="1:6" ht="15" hidden="1" customHeight="1" x14ac:dyDescent="0.25">
      <c r="A27" s="27">
        <v>2350</v>
      </c>
      <c r="B27" s="29" t="s">
        <v>28</v>
      </c>
      <c r="C27" s="28">
        <v>0</v>
      </c>
      <c r="D27" s="28">
        <f>C27/100*50</f>
        <v>0</v>
      </c>
    </row>
    <row r="28" spans="1:6" ht="15" customHeight="1" x14ac:dyDescent="0.25">
      <c r="A28" s="27">
        <v>2363</v>
      </c>
      <c r="B28" s="29" t="s">
        <v>31</v>
      </c>
      <c r="C28" s="28">
        <v>352</v>
      </c>
      <c r="D28" s="28">
        <v>196</v>
      </c>
    </row>
    <row r="29" spans="1:6" ht="15" customHeight="1" x14ac:dyDescent="0.25">
      <c r="A29" s="27">
        <v>5232</v>
      </c>
      <c r="B29" s="29" t="s">
        <v>35</v>
      </c>
      <c r="C29" s="28">
        <v>22.27</v>
      </c>
      <c r="D29" s="28">
        <v>11.14</v>
      </c>
    </row>
    <row r="30" spans="1:6" ht="15" customHeight="1" x14ac:dyDescent="0.25">
      <c r="A30" s="27"/>
      <c r="B30" s="30" t="s">
        <v>7</v>
      </c>
      <c r="C30" s="31">
        <f>SUM(C19:C29)</f>
        <v>1708.97</v>
      </c>
      <c r="D30" s="31">
        <f>SUM(D19:D29)</f>
        <v>991.19</v>
      </c>
    </row>
    <row r="31" spans="1:6" ht="15" customHeight="1" x14ac:dyDescent="0.25">
      <c r="A31" s="32"/>
      <c r="B31" s="27" t="s">
        <v>8</v>
      </c>
      <c r="C31" s="26"/>
      <c r="D31" s="26"/>
    </row>
    <row r="32" spans="1:6" ht="15" customHeight="1" x14ac:dyDescent="0.25">
      <c r="A32" s="27">
        <v>1100</v>
      </c>
      <c r="B32" s="27" t="s">
        <v>77</v>
      </c>
      <c r="C32" s="28">
        <v>713.12</v>
      </c>
      <c r="D32" s="28">
        <f t="shared" ref="D32:D72" si="0">C32/100*50</f>
        <v>356.56</v>
      </c>
    </row>
    <row r="33" spans="1:4" ht="15.5" x14ac:dyDescent="0.25">
      <c r="A33" s="27">
        <v>1200</v>
      </c>
      <c r="B33" s="29" t="s">
        <v>78</v>
      </c>
      <c r="C33" s="28">
        <v>171.79</v>
      </c>
      <c r="D33" s="28">
        <f t="shared" si="0"/>
        <v>85.894999999999996</v>
      </c>
    </row>
    <row r="34" spans="1:4" ht="15.75" hidden="1" customHeight="1" x14ac:dyDescent="0.25">
      <c r="A34" s="27">
        <v>2100</v>
      </c>
      <c r="B34" s="33" t="s">
        <v>44</v>
      </c>
      <c r="C34" s="28">
        <v>0</v>
      </c>
      <c r="D34" s="28">
        <f t="shared" si="0"/>
        <v>0</v>
      </c>
    </row>
    <row r="35" spans="1:4" ht="15" customHeight="1" x14ac:dyDescent="0.25">
      <c r="A35" s="34">
        <v>2210</v>
      </c>
      <c r="B35" s="29" t="s">
        <v>40</v>
      </c>
      <c r="C35" s="28">
        <v>11.22</v>
      </c>
      <c r="D35" s="28">
        <f t="shared" si="0"/>
        <v>5.61</v>
      </c>
    </row>
    <row r="36" spans="1:4" ht="15" customHeight="1" x14ac:dyDescent="0.25">
      <c r="A36" s="27">
        <v>2222</v>
      </c>
      <c r="B36" s="29" t="s">
        <v>41</v>
      </c>
      <c r="C36" s="28">
        <v>88.35</v>
      </c>
      <c r="D36" s="28">
        <f t="shared" si="0"/>
        <v>44.174999999999997</v>
      </c>
    </row>
    <row r="37" spans="1:4" ht="15" customHeight="1" x14ac:dyDescent="0.25">
      <c r="A37" s="27">
        <v>2223</v>
      </c>
      <c r="B37" s="29" t="s">
        <v>42</v>
      </c>
      <c r="C37" s="28">
        <v>112.41</v>
      </c>
      <c r="D37" s="28">
        <f t="shared" si="0"/>
        <v>56.204999999999991</v>
      </c>
    </row>
    <row r="38" spans="1:4" ht="15" customHeight="1" x14ac:dyDescent="0.25">
      <c r="A38" s="27">
        <v>2230</v>
      </c>
      <c r="B38" s="29" t="s">
        <v>43</v>
      </c>
      <c r="C38" s="28">
        <v>7.64</v>
      </c>
      <c r="D38" s="28">
        <f t="shared" si="0"/>
        <v>3.82</v>
      </c>
    </row>
    <row r="39" spans="1:4" ht="15.75" hidden="1" customHeight="1" x14ac:dyDescent="0.25">
      <c r="A39" s="27">
        <v>2241</v>
      </c>
      <c r="B39" s="29" t="s">
        <v>12</v>
      </c>
      <c r="C39" s="28">
        <v>0</v>
      </c>
      <c r="D39" s="28">
        <f t="shared" si="0"/>
        <v>0</v>
      </c>
    </row>
    <row r="40" spans="1:4" ht="15" customHeight="1" x14ac:dyDescent="0.25">
      <c r="A40" s="27">
        <v>2242</v>
      </c>
      <c r="B40" s="29" t="s">
        <v>13</v>
      </c>
      <c r="C40" s="28">
        <v>2.0699999999999998</v>
      </c>
      <c r="D40" s="28">
        <f t="shared" si="0"/>
        <v>1.0349999999999999</v>
      </c>
    </row>
    <row r="41" spans="1:4" ht="15" customHeight="1" x14ac:dyDescent="0.25">
      <c r="A41" s="27">
        <v>2243</v>
      </c>
      <c r="B41" s="29" t="s">
        <v>14</v>
      </c>
      <c r="C41" s="28">
        <v>11</v>
      </c>
      <c r="D41" s="28">
        <f t="shared" si="0"/>
        <v>5.5</v>
      </c>
    </row>
    <row r="42" spans="1:4" ht="15" customHeight="1" x14ac:dyDescent="0.25">
      <c r="A42" s="27">
        <v>2244</v>
      </c>
      <c r="B42" s="29" t="s">
        <v>15</v>
      </c>
      <c r="C42" s="28">
        <v>224.42</v>
      </c>
      <c r="D42" s="28">
        <v>179</v>
      </c>
    </row>
    <row r="43" spans="1:4" ht="15" customHeight="1" x14ac:dyDescent="0.25">
      <c r="A43" s="27">
        <v>2247</v>
      </c>
      <c r="B43" s="25" t="s">
        <v>79</v>
      </c>
      <c r="C43" s="28">
        <v>0.69</v>
      </c>
      <c r="D43" s="28">
        <f t="shared" si="0"/>
        <v>0.34499999999999997</v>
      </c>
    </row>
    <row r="44" spans="1:4" ht="15" customHeight="1" x14ac:dyDescent="0.25">
      <c r="A44" s="27">
        <v>2249</v>
      </c>
      <c r="B44" s="29" t="s">
        <v>16</v>
      </c>
      <c r="C44" s="28">
        <v>2.86</v>
      </c>
      <c r="D44" s="28">
        <f t="shared" si="0"/>
        <v>1.43</v>
      </c>
    </row>
    <row r="45" spans="1:4" ht="15" customHeight="1" x14ac:dyDescent="0.25">
      <c r="A45" s="27">
        <v>2251</v>
      </c>
      <c r="B45" s="29" t="s">
        <v>80</v>
      </c>
      <c r="C45" s="28">
        <v>28.72</v>
      </c>
      <c r="D45" s="28">
        <f t="shared" si="0"/>
        <v>14.360000000000001</v>
      </c>
    </row>
    <row r="46" spans="1:4" ht="15.75" hidden="1" customHeight="1" x14ac:dyDescent="0.25">
      <c r="A46" s="27">
        <v>2252</v>
      </c>
      <c r="B46" s="29" t="s">
        <v>11</v>
      </c>
      <c r="C46" s="28">
        <v>0</v>
      </c>
      <c r="D46" s="28">
        <f t="shared" si="0"/>
        <v>0</v>
      </c>
    </row>
    <row r="47" spans="1:4" ht="15" customHeight="1" x14ac:dyDescent="0.25">
      <c r="A47" s="27">
        <v>2259</v>
      </c>
      <c r="B47" s="29" t="s">
        <v>81</v>
      </c>
      <c r="C47" s="28">
        <v>0.08</v>
      </c>
      <c r="D47" s="28">
        <f t="shared" si="0"/>
        <v>0.04</v>
      </c>
    </row>
    <row r="48" spans="1:4" ht="15" hidden="1" customHeight="1" x14ac:dyDescent="0.25">
      <c r="A48" s="27">
        <v>2261</v>
      </c>
      <c r="B48" s="29" t="s">
        <v>17</v>
      </c>
      <c r="C48" s="28">
        <v>0</v>
      </c>
      <c r="D48" s="28">
        <f t="shared" si="0"/>
        <v>0</v>
      </c>
    </row>
    <row r="49" spans="1:4" ht="15" customHeight="1" x14ac:dyDescent="0.25">
      <c r="A49" s="27">
        <v>2262</v>
      </c>
      <c r="B49" s="29" t="s">
        <v>18</v>
      </c>
      <c r="C49" s="28">
        <v>8.0399999999999991</v>
      </c>
      <c r="D49" s="28">
        <f t="shared" si="0"/>
        <v>4.0199999999999996</v>
      </c>
    </row>
    <row r="50" spans="1:4" ht="15" customHeight="1" x14ac:dyDescent="0.25">
      <c r="A50" s="27">
        <v>2263</v>
      </c>
      <c r="B50" s="29" t="s">
        <v>19</v>
      </c>
      <c r="C50" s="28">
        <v>28.68</v>
      </c>
      <c r="D50" s="28">
        <f t="shared" si="0"/>
        <v>14.34</v>
      </c>
    </row>
    <row r="51" spans="1:4" ht="15.75" customHeight="1" x14ac:dyDescent="0.25">
      <c r="A51" s="27">
        <v>2264</v>
      </c>
      <c r="B51" s="29" t="s">
        <v>20</v>
      </c>
      <c r="C51" s="28">
        <v>0.08</v>
      </c>
      <c r="D51" s="28">
        <f t="shared" si="0"/>
        <v>0.04</v>
      </c>
    </row>
    <row r="52" spans="1:4" ht="15.75" customHeight="1" x14ac:dyDescent="0.25">
      <c r="A52" s="27">
        <v>2279</v>
      </c>
      <c r="B52" s="29" t="s">
        <v>21</v>
      </c>
      <c r="C52" s="28">
        <v>38.340000000000003</v>
      </c>
      <c r="D52" s="28">
        <f t="shared" si="0"/>
        <v>19.170000000000002</v>
      </c>
    </row>
    <row r="53" spans="1:4" ht="15" customHeight="1" x14ac:dyDescent="0.25">
      <c r="A53" s="27">
        <v>2311</v>
      </c>
      <c r="B53" s="29" t="s">
        <v>22</v>
      </c>
      <c r="C53" s="28">
        <v>12.53</v>
      </c>
      <c r="D53" s="28">
        <f t="shared" si="0"/>
        <v>6.2649999999999997</v>
      </c>
    </row>
    <row r="54" spans="1:4" ht="15" customHeight="1" x14ac:dyDescent="0.25">
      <c r="A54" s="27">
        <v>2312</v>
      </c>
      <c r="B54" s="29" t="s">
        <v>23</v>
      </c>
      <c r="C54" s="28">
        <v>38.68</v>
      </c>
      <c r="D54" s="28">
        <f t="shared" si="0"/>
        <v>19.34</v>
      </c>
    </row>
    <row r="55" spans="1:4" ht="15" customHeight="1" x14ac:dyDescent="0.25">
      <c r="A55" s="27">
        <v>2321</v>
      </c>
      <c r="B55" s="29" t="s">
        <v>24</v>
      </c>
      <c r="C55" s="28">
        <v>195.41</v>
      </c>
      <c r="D55" s="28">
        <f t="shared" si="0"/>
        <v>97.704999999999998</v>
      </c>
    </row>
    <row r="56" spans="1:4" ht="15" customHeight="1" x14ac:dyDescent="0.25">
      <c r="A56" s="27">
        <v>2322</v>
      </c>
      <c r="B56" s="29" t="s">
        <v>25</v>
      </c>
      <c r="C56" s="28">
        <v>19.350000000000001</v>
      </c>
      <c r="D56" s="28">
        <f t="shared" si="0"/>
        <v>9.6750000000000007</v>
      </c>
    </row>
    <row r="57" spans="1:4" ht="15" customHeight="1" x14ac:dyDescent="0.25">
      <c r="A57" s="27">
        <v>2341</v>
      </c>
      <c r="B57" s="29" t="s">
        <v>26</v>
      </c>
      <c r="C57" s="28">
        <v>1.32</v>
      </c>
      <c r="D57" s="28">
        <f t="shared" si="0"/>
        <v>0.66</v>
      </c>
    </row>
    <row r="58" spans="1:4" ht="15" customHeight="1" x14ac:dyDescent="0.25">
      <c r="A58" s="27">
        <v>2344</v>
      </c>
      <c r="B58" s="29" t="s">
        <v>27</v>
      </c>
      <c r="C58" s="28">
        <v>0.03</v>
      </c>
      <c r="D58" s="28">
        <f t="shared" si="0"/>
        <v>1.4999999999999999E-2</v>
      </c>
    </row>
    <row r="59" spans="1:4" ht="15" customHeight="1" x14ac:dyDescent="0.25">
      <c r="A59" s="27">
        <v>2350</v>
      </c>
      <c r="B59" s="29" t="s">
        <v>28</v>
      </c>
      <c r="C59" s="28">
        <v>27.92</v>
      </c>
      <c r="D59" s="28">
        <f t="shared" si="0"/>
        <v>13.96</v>
      </c>
    </row>
    <row r="60" spans="1:4" ht="15" customHeight="1" x14ac:dyDescent="0.25">
      <c r="A60" s="27">
        <v>2361</v>
      </c>
      <c r="B60" s="29" t="s">
        <v>29</v>
      </c>
      <c r="C60" s="28">
        <v>20.85</v>
      </c>
      <c r="D60" s="28">
        <f t="shared" si="0"/>
        <v>10.425000000000001</v>
      </c>
    </row>
    <row r="61" spans="1:4" ht="15" customHeight="1" x14ac:dyDescent="0.25">
      <c r="A61" s="27">
        <v>2362</v>
      </c>
      <c r="B61" s="29" t="s">
        <v>30</v>
      </c>
      <c r="C61" s="28">
        <v>14.69</v>
      </c>
      <c r="D61" s="28">
        <f t="shared" si="0"/>
        <v>7.3449999999999998</v>
      </c>
    </row>
    <row r="62" spans="1:4" ht="15" hidden="1" customHeight="1" x14ac:dyDescent="0.25">
      <c r="A62" s="27">
        <v>2363</v>
      </c>
      <c r="B62" s="29" t="s">
        <v>31</v>
      </c>
      <c r="C62" s="28">
        <v>0</v>
      </c>
      <c r="D62" s="28">
        <f t="shared" si="0"/>
        <v>0</v>
      </c>
    </row>
    <row r="63" spans="1:4" ht="15.75" hidden="1" customHeight="1" x14ac:dyDescent="0.25">
      <c r="A63" s="27">
        <v>2370</v>
      </c>
      <c r="B63" s="29" t="s">
        <v>32</v>
      </c>
      <c r="C63" s="28">
        <v>0</v>
      </c>
      <c r="D63" s="28">
        <f t="shared" si="0"/>
        <v>0</v>
      </c>
    </row>
    <row r="64" spans="1:4" ht="15" customHeight="1" x14ac:dyDescent="0.25">
      <c r="A64" s="27">
        <v>2400</v>
      </c>
      <c r="B64" s="29" t="s">
        <v>45</v>
      </c>
      <c r="C64" s="28">
        <v>0.96</v>
      </c>
      <c r="D64" s="28">
        <f t="shared" si="0"/>
        <v>0.48</v>
      </c>
    </row>
    <row r="65" spans="1:4" ht="15" customHeight="1" x14ac:dyDescent="0.25">
      <c r="A65" s="27">
        <v>2513</v>
      </c>
      <c r="B65" s="29" t="s">
        <v>33</v>
      </c>
      <c r="C65" s="28">
        <v>17.260000000000002</v>
      </c>
      <c r="D65" s="28">
        <f t="shared" si="0"/>
        <v>8.6300000000000008</v>
      </c>
    </row>
    <row r="66" spans="1:4" ht="15" customHeight="1" x14ac:dyDescent="0.25">
      <c r="A66" s="27">
        <v>2515</v>
      </c>
      <c r="B66" s="29" t="s">
        <v>82</v>
      </c>
      <c r="C66" s="28">
        <v>2.3199999999999998</v>
      </c>
      <c r="D66" s="28">
        <f t="shared" si="0"/>
        <v>1.1599999999999999</v>
      </c>
    </row>
    <row r="67" spans="1:4" ht="15" customHeight="1" x14ac:dyDescent="0.25">
      <c r="A67" s="27">
        <v>2519</v>
      </c>
      <c r="B67" s="29" t="s">
        <v>36</v>
      </c>
      <c r="C67" s="28">
        <v>4.3099999999999996</v>
      </c>
      <c r="D67" s="28">
        <f t="shared" si="0"/>
        <v>2.1549999999999998</v>
      </c>
    </row>
    <row r="68" spans="1:4" ht="15.75" hidden="1" customHeight="1" x14ac:dyDescent="0.25">
      <c r="A68" s="27">
        <v>6240</v>
      </c>
      <c r="B68" s="29" t="s">
        <v>48</v>
      </c>
      <c r="C68" s="28">
        <v>0</v>
      </c>
      <c r="D68" s="28">
        <f t="shared" si="0"/>
        <v>0</v>
      </c>
    </row>
    <row r="69" spans="1:4" ht="15.75" hidden="1" customHeight="1" x14ac:dyDescent="0.25">
      <c r="A69" s="27">
        <v>6290</v>
      </c>
      <c r="B69" s="29" t="s">
        <v>49</v>
      </c>
      <c r="C69" s="28">
        <v>0</v>
      </c>
      <c r="D69" s="28">
        <f t="shared" si="0"/>
        <v>0</v>
      </c>
    </row>
    <row r="70" spans="1:4" ht="15" customHeight="1" x14ac:dyDescent="0.25">
      <c r="A70" s="27">
        <v>5121</v>
      </c>
      <c r="B70" s="29" t="s">
        <v>34</v>
      </c>
      <c r="C70" s="28">
        <v>3.07</v>
      </c>
      <c r="D70" s="28">
        <f t="shared" si="0"/>
        <v>1.5349999999999999</v>
      </c>
    </row>
    <row r="71" spans="1:4" ht="15" customHeight="1" x14ac:dyDescent="0.25">
      <c r="A71" s="27">
        <v>5232</v>
      </c>
      <c r="B71" s="29" t="s">
        <v>35</v>
      </c>
      <c r="C71" s="28">
        <v>11.48</v>
      </c>
      <c r="D71" s="28">
        <f t="shared" si="0"/>
        <v>5.74</v>
      </c>
    </row>
    <row r="72" spans="1:4" ht="12.75" hidden="1" customHeight="1" x14ac:dyDescent="0.25">
      <c r="A72" s="27">
        <v>5238</v>
      </c>
      <c r="B72" s="29" t="s">
        <v>37</v>
      </c>
      <c r="C72" s="28">
        <v>0</v>
      </c>
      <c r="D72" s="28">
        <f t="shared" si="0"/>
        <v>0</v>
      </c>
    </row>
    <row r="73" spans="1:4" ht="15" customHeight="1" x14ac:dyDescent="0.25">
      <c r="A73" s="27">
        <v>5240</v>
      </c>
      <c r="B73" s="29" t="s">
        <v>38</v>
      </c>
      <c r="C73" s="28">
        <v>15.34</v>
      </c>
      <c r="D73" s="28">
        <v>7.67</v>
      </c>
    </row>
    <row r="74" spans="1:4" ht="15.5" x14ac:dyDescent="0.25">
      <c r="A74" s="27">
        <v>5250</v>
      </c>
      <c r="B74" s="29" t="s">
        <v>39</v>
      </c>
      <c r="C74" s="35"/>
      <c r="D74" s="35"/>
    </row>
    <row r="75" spans="1:4" ht="15" customHeight="1" x14ac:dyDescent="0.25">
      <c r="A75" s="32"/>
      <c r="B75" s="36" t="s">
        <v>9</v>
      </c>
      <c r="C75" s="31">
        <f>SUM(C32:C74)</f>
        <v>1835.0299999999997</v>
      </c>
      <c r="D75" s="31">
        <f>SUM(D32:D74)</f>
        <v>984.30499999999984</v>
      </c>
    </row>
    <row r="76" spans="1:4" ht="15" customHeight="1" x14ac:dyDescent="0.25">
      <c r="A76" s="32"/>
      <c r="B76" s="36" t="s">
        <v>46</v>
      </c>
      <c r="C76" s="31">
        <f>C75+C30</f>
        <v>3544</v>
      </c>
      <c r="D76" s="31">
        <f>D75+D30</f>
        <v>1975.4949999999999</v>
      </c>
    </row>
    <row r="77" spans="1:4" ht="15.5" x14ac:dyDescent="0.35">
      <c r="A77" s="37"/>
      <c r="B77" s="20"/>
      <c r="C77" s="8"/>
      <c r="D77" s="8"/>
    </row>
    <row r="78" spans="1:4" ht="15.75" customHeight="1" x14ac:dyDescent="0.25">
      <c r="A78" s="210" t="s">
        <v>57</v>
      </c>
      <c r="B78" s="215"/>
      <c r="C78" s="21">
        <v>100</v>
      </c>
      <c r="D78" s="44">
        <v>50</v>
      </c>
    </row>
    <row r="79" spans="1:4" ht="15.75" customHeight="1" x14ac:dyDescent="0.3">
      <c r="A79" s="210" t="s">
        <v>58</v>
      </c>
      <c r="B79" s="215"/>
      <c r="C79" s="39">
        <f>C76/C78</f>
        <v>35.44</v>
      </c>
      <c r="D79" s="45">
        <f>D76/D78</f>
        <v>39.509899999999995</v>
      </c>
    </row>
    <row r="80" spans="1:4" ht="15.75" customHeight="1" x14ac:dyDescent="0.3">
      <c r="A80" s="9"/>
      <c r="B80" s="9"/>
      <c r="C80" s="38"/>
      <c r="D80" s="38"/>
    </row>
    <row r="81" spans="1:4" s="3" customFormat="1" ht="15.75" customHeight="1" x14ac:dyDescent="0.35">
      <c r="A81" s="216" t="s">
        <v>52</v>
      </c>
      <c r="B81" s="217"/>
      <c r="C81" s="16">
        <v>34.25</v>
      </c>
      <c r="D81" s="40"/>
    </row>
    <row r="82" spans="1:4" s="3" customFormat="1" ht="15.75" customHeight="1" x14ac:dyDescent="0.35">
      <c r="A82" s="216" t="s">
        <v>74</v>
      </c>
      <c r="B82" s="217"/>
      <c r="C82" s="16"/>
      <c r="D82" s="40"/>
    </row>
    <row r="83" spans="1:4" s="3" customFormat="1" ht="15.5" x14ac:dyDescent="0.35">
      <c r="A83" s="17"/>
      <c r="B83" s="17"/>
      <c r="C83" s="17"/>
      <c r="D83" s="17"/>
    </row>
    <row r="84" spans="1:4" s="3" customFormat="1" ht="15.5" x14ac:dyDescent="0.35">
      <c r="A84" s="17" t="s">
        <v>53</v>
      </c>
      <c r="B84" s="17"/>
      <c r="C84" s="17"/>
      <c r="D84" s="17"/>
    </row>
    <row r="85" spans="1:4" s="3" customFormat="1" ht="15.5" x14ac:dyDescent="0.35">
      <c r="A85" s="17"/>
      <c r="B85" s="17"/>
      <c r="C85" s="17"/>
      <c r="D85" s="17"/>
    </row>
    <row r="86" spans="1:4" s="3" customFormat="1" ht="15.5" x14ac:dyDescent="0.35">
      <c r="A86" s="17" t="s">
        <v>68</v>
      </c>
      <c r="B86" s="18"/>
      <c r="C86" s="18"/>
      <c r="D86" s="18"/>
    </row>
    <row r="87" spans="1:4" s="3" customFormat="1" ht="13.9" customHeight="1" x14ac:dyDescent="0.35">
      <c r="A87" s="17"/>
      <c r="B87" s="19"/>
      <c r="C87" s="19"/>
      <c r="D87" s="17"/>
    </row>
    <row r="88" spans="1:4" s="3" customFormat="1" ht="13.9" customHeight="1" x14ac:dyDescent="0.3">
      <c r="B88" s="4"/>
      <c r="C88" s="4"/>
    </row>
    <row r="89" spans="1:4" s="2" customFormat="1" ht="14" x14ac:dyDescent="0.3"/>
  </sheetData>
  <mergeCells count="11">
    <mergeCell ref="B14:D14"/>
    <mergeCell ref="A78:B78"/>
    <mergeCell ref="A79:B79"/>
    <mergeCell ref="A81:B81"/>
    <mergeCell ref="A82:B82"/>
    <mergeCell ref="B1:D1"/>
    <mergeCell ref="B2:D2"/>
    <mergeCell ref="A9:B9"/>
    <mergeCell ref="A10:B10"/>
    <mergeCell ref="A7:D7"/>
    <mergeCell ref="B13:D13"/>
  </mergeCells>
  <pageMargins left="0.94488188976377963" right="0.55118110236220474" top="0.62992125984251968" bottom="0.62992125984251968" header="0.31496062992125984" footer="0.31496062992125984"/>
  <pageSetup paperSize="9" scale="60" firstPageNumber="6" fitToHeight="0" orientation="portrait" useFirstPageNumber="1" r:id="rId1"/>
  <headerFooter>
    <oddFooter>&amp;C&amp;"Times New Roman,Regular"LManotp2_150319_MK1002; Grozījumi MK 24.09.2013. noteikumos Nr.1002 "Sociālās integrācijas valsts aģēntūras sniegto maksas pakalpojumu cenrādis"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7"/>
  <sheetViews>
    <sheetView view="pageLayout" topLeftCell="A55" zoomScale="80" zoomScaleNormal="90" zoomScalePageLayoutView="80" workbookViewId="0">
      <selection activeCell="B67" sqref="B67"/>
    </sheetView>
  </sheetViews>
  <sheetFormatPr defaultColWidth="9.1796875" defaultRowHeight="15.5" x14ac:dyDescent="0.35"/>
  <cols>
    <col min="1" max="1" width="19.26953125" style="12" customWidth="1"/>
    <col min="2" max="2" width="94.1796875" style="12" customWidth="1"/>
    <col min="3" max="3" width="6.7265625" style="78" hidden="1" customWidth="1"/>
    <col min="4" max="4" width="25.1796875" style="12" hidden="1" customWidth="1"/>
    <col min="5" max="5" width="32.54296875" style="12" customWidth="1"/>
    <col min="6" max="6" width="32.54296875" style="12" hidden="1" customWidth="1"/>
    <col min="7" max="16384" width="9.1796875" style="12"/>
  </cols>
  <sheetData>
    <row r="1" spans="1:6" ht="15.75" customHeight="1" x14ac:dyDescent="0.35">
      <c r="B1" s="10"/>
      <c r="C1" s="73"/>
      <c r="D1" s="49" t="s">
        <v>50</v>
      </c>
      <c r="E1" s="49" t="s">
        <v>50</v>
      </c>
      <c r="F1" s="49" t="s">
        <v>50</v>
      </c>
    </row>
    <row r="2" spans="1:6" x14ac:dyDescent="0.35">
      <c r="B2" s="11"/>
      <c r="C2" s="11"/>
      <c r="D2" s="11"/>
      <c r="E2" s="10" t="s">
        <v>54</v>
      </c>
      <c r="F2" s="10" t="s">
        <v>54</v>
      </c>
    </row>
    <row r="3" spans="1:6" x14ac:dyDescent="0.35">
      <c r="B3" s="11"/>
      <c r="C3" s="141"/>
      <c r="D3" s="46" t="s">
        <v>76</v>
      </c>
      <c r="E3" s="46" t="s">
        <v>76</v>
      </c>
      <c r="F3" s="46" t="s">
        <v>76</v>
      </c>
    </row>
    <row r="4" spans="1:6" x14ac:dyDescent="0.35">
      <c r="B4" s="10"/>
      <c r="C4" s="73"/>
      <c r="D4" s="37"/>
      <c r="E4" s="37"/>
      <c r="F4" s="37"/>
    </row>
    <row r="5" spans="1:6" x14ac:dyDescent="0.35">
      <c r="B5" s="51"/>
      <c r="C5" s="80"/>
    </row>
    <row r="6" spans="1:6" x14ac:dyDescent="0.35">
      <c r="B6" s="51"/>
      <c r="C6" s="80"/>
      <c r="D6" s="37" t="s">
        <v>196</v>
      </c>
      <c r="E6" s="37" t="s">
        <v>246</v>
      </c>
      <c r="F6" s="37" t="s">
        <v>239</v>
      </c>
    </row>
    <row r="7" spans="1:6" x14ac:dyDescent="0.35">
      <c r="D7" s="20"/>
      <c r="E7" s="20"/>
      <c r="F7" s="20"/>
    </row>
    <row r="8" spans="1:6" x14ac:dyDescent="0.35">
      <c r="A8" s="209" t="s">
        <v>10</v>
      </c>
      <c r="B8" s="209"/>
      <c r="C8" s="209"/>
      <c r="D8" s="209"/>
      <c r="E8" s="50"/>
      <c r="F8" s="50"/>
    </row>
    <row r="9" spans="1:6" x14ac:dyDescent="0.35">
      <c r="B9" s="53"/>
      <c r="C9" s="142"/>
      <c r="D9" s="20"/>
      <c r="E9" s="20"/>
      <c r="F9" s="20"/>
    </row>
    <row r="10" spans="1:6" x14ac:dyDescent="0.35">
      <c r="A10" s="210" t="s">
        <v>1</v>
      </c>
      <c r="B10" s="210"/>
      <c r="C10" s="143"/>
      <c r="D10" s="20"/>
      <c r="E10" s="20"/>
      <c r="F10" s="20"/>
    </row>
    <row r="11" spans="1:6" x14ac:dyDescent="0.35">
      <c r="A11" s="210" t="s">
        <v>0</v>
      </c>
      <c r="B11" s="210"/>
      <c r="C11" s="143"/>
      <c r="D11" s="20"/>
      <c r="E11" s="20"/>
      <c r="F11" s="20"/>
    </row>
    <row r="12" spans="1:6" x14ac:dyDescent="0.35">
      <c r="A12" s="9"/>
      <c r="B12" s="9" t="s">
        <v>213</v>
      </c>
      <c r="C12" s="143"/>
      <c r="D12" s="20"/>
      <c r="E12" s="20"/>
      <c r="F12" s="20"/>
    </row>
    <row r="13" spans="1:6" x14ac:dyDescent="0.35">
      <c r="A13" s="9"/>
      <c r="B13" s="9" t="s">
        <v>214</v>
      </c>
      <c r="C13" s="143"/>
      <c r="D13" s="20"/>
      <c r="E13" s="20"/>
      <c r="F13" s="20"/>
    </row>
    <row r="14" spans="1:6" x14ac:dyDescent="0.35">
      <c r="A14" s="9"/>
      <c r="B14" s="9" t="s">
        <v>217</v>
      </c>
      <c r="C14" s="143"/>
      <c r="D14" s="20"/>
      <c r="E14" s="20"/>
      <c r="F14" s="20"/>
    </row>
    <row r="15" spans="1:6" x14ac:dyDescent="0.35">
      <c r="A15" s="9"/>
      <c r="B15" s="9" t="s">
        <v>224</v>
      </c>
      <c r="C15" s="143"/>
      <c r="D15" s="20"/>
      <c r="E15" s="20"/>
      <c r="F15" s="20"/>
    </row>
    <row r="16" spans="1:6" x14ac:dyDescent="0.35">
      <c r="A16" s="9" t="s">
        <v>2</v>
      </c>
      <c r="B16" s="9" t="s">
        <v>197</v>
      </c>
      <c r="C16" s="143"/>
      <c r="D16" s="20"/>
      <c r="E16" s="20"/>
      <c r="F16" s="20"/>
    </row>
    <row r="17" spans="1:8" ht="69.75" customHeight="1" x14ac:dyDescent="0.35">
      <c r="A17" s="43" t="s">
        <v>3</v>
      </c>
      <c r="B17" s="43" t="s">
        <v>4</v>
      </c>
      <c r="C17" s="144"/>
      <c r="D17" s="43" t="s">
        <v>5</v>
      </c>
      <c r="E17" s="43" t="s">
        <v>5</v>
      </c>
      <c r="F17" s="43" t="s">
        <v>5</v>
      </c>
    </row>
    <row r="18" spans="1:8" x14ac:dyDescent="0.35">
      <c r="A18" s="22">
        <v>1</v>
      </c>
      <c r="B18" s="23">
        <v>2</v>
      </c>
      <c r="C18" s="145"/>
      <c r="D18" s="23">
        <v>3</v>
      </c>
      <c r="E18" s="23">
        <v>3</v>
      </c>
      <c r="F18" s="23">
        <v>3</v>
      </c>
    </row>
    <row r="19" spans="1:8" x14ac:dyDescent="0.35">
      <c r="A19" s="22"/>
      <c r="B19" s="54" t="s">
        <v>6</v>
      </c>
      <c r="C19" s="146"/>
      <c r="D19" s="55"/>
      <c r="E19" s="55"/>
      <c r="F19" s="55"/>
    </row>
    <row r="20" spans="1:8" x14ac:dyDescent="0.35">
      <c r="A20" s="27">
        <v>1100</v>
      </c>
      <c r="B20" s="27" t="s">
        <v>134</v>
      </c>
      <c r="C20" s="147" t="e">
        <f>#REF!</f>
        <v>#REF!</v>
      </c>
      <c r="D20" s="28">
        <v>1048.4000000000001</v>
      </c>
      <c r="E20" s="28">
        <v>5063.7700000000004</v>
      </c>
      <c r="F20" s="28">
        <f>E20/230*236</f>
        <v>5195.8683478260873</v>
      </c>
      <c r="H20" s="52"/>
    </row>
    <row r="21" spans="1:8" x14ac:dyDescent="0.35">
      <c r="A21" s="27">
        <v>1200</v>
      </c>
      <c r="B21" s="55" t="s">
        <v>135</v>
      </c>
      <c r="C21" s="151" t="e">
        <f>C20*0.2359</f>
        <v>#REF!</v>
      </c>
      <c r="D21" s="28">
        <v>247.32</v>
      </c>
      <c r="E21" s="28">
        <v>1194.54</v>
      </c>
      <c r="F21" s="28">
        <f t="shared" ref="F21:F39" si="0">E21/230*236</f>
        <v>1225.7019130434783</v>
      </c>
    </row>
    <row r="22" spans="1:8" x14ac:dyDescent="0.35">
      <c r="A22" s="27">
        <v>2222</v>
      </c>
      <c r="B22" s="56" t="s">
        <v>139</v>
      </c>
      <c r="C22" s="149" t="e">
        <f>#REF!</f>
        <v>#REF!</v>
      </c>
      <c r="D22" s="28">
        <v>45.42</v>
      </c>
      <c r="E22" s="28">
        <v>250.72</v>
      </c>
      <c r="F22" s="28">
        <f t="shared" si="0"/>
        <v>257.26052173913041</v>
      </c>
    </row>
    <row r="23" spans="1:8" x14ac:dyDescent="0.35">
      <c r="A23" s="27">
        <v>2223</v>
      </c>
      <c r="B23" s="56" t="s">
        <v>140</v>
      </c>
      <c r="C23" s="149" t="e">
        <f>#REF!</f>
        <v>#REF!</v>
      </c>
      <c r="D23" s="28">
        <v>129.83000000000001</v>
      </c>
      <c r="E23" s="28">
        <v>716.66</v>
      </c>
      <c r="F23" s="28">
        <f t="shared" si="0"/>
        <v>735.35547826086963</v>
      </c>
    </row>
    <row r="24" spans="1:8" ht="31" x14ac:dyDescent="0.35">
      <c r="A24" s="27">
        <v>2224</v>
      </c>
      <c r="B24" s="56" t="s">
        <v>141</v>
      </c>
      <c r="C24" s="149" t="e">
        <f>#REF!</f>
        <v>#REF!</v>
      </c>
      <c r="D24" s="28">
        <v>0.41</v>
      </c>
      <c r="E24" s="28">
        <v>2.2599999999999998</v>
      </c>
      <c r="F24" s="28">
        <f t="shared" si="0"/>
        <v>2.3189565217391301</v>
      </c>
    </row>
    <row r="25" spans="1:8" x14ac:dyDescent="0.35">
      <c r="A25" s="27">
        <v>2231</v>
      </c>
      <c r="B25" s="56" t="s">
        <v>142</v>
      </c>
      <c r="C25" s="149" t="e">
        <f>#REF!</f>
        <v>#REF!</v>
      </c>
      <c r="D25" s="28">
        <v>1.95</v>
      </c>
      <c r="E25" s="28">
        <v>8.9700000000000006</v>
      </c>
      <c r="F25" s="28">
        <f t="shared" si="0"/>
        <v>9.2040000000000006</v>
      </c>
    </row>
    <row r="26" spans="1:8" x14ac:dyDescent="0.35">
      <c r="A26" s="27">
        <v>2239</v>
      </c>
      <c r="B26" s="109" t="s">
        <v>195</v>
      </c>
      <c r="C26" s="149" t="e">
        <f>#REF!</f>
        <v>#REF!</v>
      </c>
      <c r="D26" s="28">
        <v>0.26</v>
      </c>
      <c r="E26" s="28">
        <v>1.2</v>
      </c>
      <c r="F26" s="28">
        <f t="shared" si="0"/>
        <v>1.2313043478260868</v>
      </c>
    </row>
    <row r="27" spans="1:8" x14ac:dyDescent="0.35">
      <c r="A27" s="27">
        <v>2243</v>
      </c>
      <c r="B27" s="54" t="s">
        <v>147</v>
      </c>
      <c r="C27" s="146" t="e">
        <f>#REF!</f>
        <v>#REF!</v>
      </c>
      <c r="D27" s="28">
        <v>4.3600000000000003</v>
      </c>
      <c r="E27" s="28">
        <v>20.059999999999999</v>
      </c>
      <c r="F27" s="28">
        <f t="shared" si="0"/>
        <v>20.583304347826086</v>
      </c>
    </row>
    <row r="28" spans="1:8" x14ac:dyDescent="0.35">
      <c r="A28" s="27">
        <v>2244</v>
      </c>
      <c r="B28" s="54" t="s">
        <v>148</v>
      </c>
      <c r="C28" s="146" t="e">
        <f>#REF!</f>
        <v>#REF!</v>
      </c>
      <c r="D28" s="28">
        <v>173.49</v>
      </c>
      <c r="E28" s="28">
        <v>798.05</v>
      </c>
      <c r="F28" s="28">
        <f t="shared" si="0"/>
        <v>818.86869565217387</v>
      </c>
    </row>
    <row r="29" spans="1:8" x14ac:dyDescent="0.35">
      <c r="A29" s="27">
        <v>2250</v>
      </c>
      <c r="B29" s="54" t="s">
        <v>151</v>
      </c>
      <c r="C29" s="146" t="e">
        <f>#REF!</f>
        <v>#REF!</v>
      </c>
      <c r="D29" s="28">
        <v>9.1999999999999993</v>
      </c>
      <c r="E29" s="28">
        <v>42.32</v>
      </c>
      <c r="F29" s="28">
        <f t="shared" si="0"/>
        <v>43.423999999999999</v>
      </c>
    </row>
    <row r="30" spans="1:8" x14ac:dyDescent="0.35">
      <c r="A30" s="27">
        <v>2311</v>
      </c>
      <c r="B30" s="56" t="s">
        <v>155</v>
      </c>
      <c r="C30" s="146" t="e">
        <f>#REF!</f>
        <v>#REF!</v>
      </c>
      <c r="D30" s="28">
        <v>135.5</v>
      </c>
      <c r="E30" s="28">
        <v>623.29999999999995</v>
      </c>
      <c r="F30" s="28">
        <f t="shared" si="0"/>
        <v>639.55999999999995</v>
      </c>
    </row>
    <row r="31" spans="1:8" x14ac:dyDescent="0.35">
      <c r="A31" s="27">
        <v>2312</v>
      </c>
      <c r="B31" s="54" t="s">
        <v>156</v>
      </c>
      <c r="C31" s="146" t="e">
        <f>#REF!</f>
        <v>#REF!</v>
      </c>
      <c r="D31" s="28">
        <v>63.95</v>
      </c>
      <c r="E31" s="28">
        <v>294.17</v>
      </c>
      <c r="F31" s="28">
        <f t="shared" si="0"/>
        <v>301.84400000000005</v>
      </c>
    </row>
    <row r="32" spans="1:8" x14ac:dyDescent="0.35">
      <c r="A32" s="27">
        <v>2314</v>
      </c>
      <c r="B32" s="54" t="s">
        <v>157</v>
      </c>
      <c r="C32" s="146" t="e">
        <f>#REF!</f>
        <v>#REF!</v>
      </c>
      <c r="D32" s="28">
        <v>0.21</v>
      </c>
      <c r="E32" s="28">
        <v>0.97</v>
      </c>
      <c r="F32" s="28">
        <f t="shared" si="0"/>
        <v>0.99530434782608679</v>
      </c>
    </row>
    <row r="33" spans="1:6" x14ac:dyDescent="0.35">
      <c r="A33" s="27">
        <v>2321</v>
      </c>
      <c r="B33" s="56" t="s">
        <v>158</v>
      </c>
      <c r="C33" s="149" t="e">
        <f>#REF!</f>
        <v>#REF!</v>
      </c>
      <c r="D33" s="28">
        <v>98.43</v>
      </c>
      <c r="E33" s="28">
        <v>543.33000000000004</v>
      </c>
      <c r="F33" s="28">
        <f t="shared" si="0"/>
        <v>557.50382608695656</v>
      </c>
    </row>
    <row r="34" spans="1:6" x14ac:dyDescent="0.35">
      <c r="A34" s="27">
        <v>2341</v>
      </c>
      <c r="B34" s="56" t="s">
        <v>136</v>
      </c>
      <c r="C34" s="149" t="e">
        <f>#REF!</f>
        <v>#REF!</v>
      </c>
      <c r="D34" s="28">
        <v>20.96</v>
      </c>
      <c r="E34" s="28">
        <v>96.42</v>
      </c>
      <c r="F34" s="28">
        <f t="shared" si="0"/>
        <v>98.93530434782609</v>
      </c>
    </row>
    <row r="35" spans="1:6" x14ac:dyDescent="0.35">
      <c r="A35" s="27">
        <v>2350</v>
      </c>
      <c r="B35" s="55" t="s">
        <v>137</v>
      </c>
      <c r="C35" s="149" t="e">
        <f>#REF!</f>
        <v>#REF!</v>
      </c>
      <c r="D35" s="28">
        <v>41.8</v>
      </c>
      <c r="E35" s="28">
        <v>192.28</v>
      </c>
      <c r="F35" s="28">
        <f t="shared" si="0"/>
        <v>197.29599999999999</v>
      </c>
    </row>
    <row r="36" spans="1:6" x14ac:dyDescent="0.35">
      <c r="A36" s="27">
        <v>2361</v>
      </c>
      <c r="B36" s="56" t="s">
        <v>170</v>
      </c>
      <c r="C36" s="149" t="e">
        <f>#REF!</f>
        <v>#REF!</v>
      </c>
      <c r="D36" s="28">
        <v>17.97</v>
      </c>
      <c r="E36" s="28">
        <v>82.66</v>
      </c>
      <c r="F36" s="28">
        <f t="shared" si="0"/>
        <v>84.816347826086954</v>
      </c>
    </row>
    <row r="37" spans="1:6" x14ac:dyDescent="0.35">
      <c r="A37" s="27">
        <v>2362</v>
      </c>
      <c r="B37" s="56" t="s">
        <v>171</v>
      </c>
      <c r="C37" s="149" t="e">
        <f>#REF!</f>
        <v>#REF!</v>
      </c>
      <c r="D37" s="28">
        <v>1.53</v>
      </c>
      <c r="E37" s="28">
        <v>7.04</v>
      </c>
      <c r="F37" s="28">
        <f t="shared" si="0"/>
        <v>7.2236521739130435</v>
      </c>
    </row>
    <row r="38" spans="1:6" x14ac:dyDescent="0.35">
      <c r="A38" s="27">
        <v>2363</v>
      </c>
      <c r="B38" s="56" t="s">
        <v>172</v>
      </c>
      <c r="C38" s="150">
        <v>9.75</v>
      </c>
      <c r="D38" s="28">
        <f>9.75*50</f>
        <v>487.5</v>
      </c>
      <c r="E38" s="28">
        <v>2242.5</v>
      </c>
      <c r="F38" s="28">
        <f t="shared" si="0"/>
        <v>2301</v>
      </c>
    </row>
    <row r="39" spans="1:6" x14ac:dyDescent="0.35">
      <c r="A39" s="27">
        <v>5239</v>
      </c>
      <c r="B39" s="55" t="s">
        <v>165</v>
      </c>
      <c r="C39" s="151" t="e">
        <f>#REF!</f>
        <v>#REF!</v>
      </c>
      <c r="D39" s="28">
        <v>83.7</v>
      </c>
      <c r="E39" s="28">
        <v>385.02</v>
      </c>
      <c r="F39" s="28">
        <f t="shared" si="0"/>
        <v>395.06399999999996</v>
      </c>
    </row>
    <row r="40" spans="1:6" x14ac:dyDescent="0.35">
      <c r="A40" s="27"/>
      <c r="B40" s="57" t="s">
        <v>7</v>
      </c>
      <c r="C40" s="152" t="e">
        <f>SUM(C20:C39)</f>
        <v>#REF!</v>
      </c>
      <c r="D40" s="31">
        <f>SUM(D20:D39)</f>
        <v>2612.19</v>
      </c>
      <c r="E40" s="31">
        <f>SUM(E20:E39)</f>
        <v>12566.240000000002</v>
      </c>
      <c r="F40" s="31">
        <f>SUM(F20:F39)</f>
        <v>12894.054956521739</v>
      </c>
    </row>
    <row r="41" spans="1:6" x14ac:dyDescent="0.35">
      <c r="A41" s="32"/>
      <c r="B41" s="57" t="s">
        <v>8</v>
      </c>
      <c r="C41" s="152"/>
      <c r="D41" s="28"/>
      <c r="E41" s="28"/>
      <c r="F41" s="28"/>
    </row>
    <row r="42" spans="1:6" x14ac:dyDescent="0.35">
      <c r="A42" s="27">
        <v>1100</v>
      </c>
      <c r="B42" s="54" t="s">
        <v>134</v>
      </c>
      <c r="C42" s="151">
        <v>0.51439999999999997</v>
      </c>
      <c r="D42" s="28">
        <v>373.36</v>
      </c>
      <c r="E42" s="28">
        <v>2527.46</v>
      </c>
      <c r="F42" s="28">
        <f t="shared" ref="F42:F72" si="1">E42/230*236</f>
        <v>2593.3937391304348</v>
      </c>
    </row>
    <row r="43" spans="1:6" ht="16.5" customHeight="1" x14ac:dyDescent="0.35">
      <c r="A43" s="27">
        <v>1200</v>
      </c>
      <c r="B43" s="54" t="s">
        <v>135</v>
      </c>
      <c r="C43" s="151">
        <f>C42*0.2359</f>
        <v>0.12134695999999999</v>
      </c>
      <c r="D43" s="28">
        <v>88.08</v>
      </c>
      <c r="E43" s="28">
        <v>596.23</v>
      </c>
      <c r="F43" s="28">
        <f t="shared" si="1"/>
        <v>611.78382608695654</v>
      </c>
    </row>
    <row r="44" spans="1:6" ht="16.5" customHeight="1" x14ac:dyDescent="0.35">
      <c r="A44" s="27">
        <v>2100</v>
      </c>
      <c r="B44" s="33" t="s">
        <v>44</v>
      </c>
      <c r="C44" s="151">
        <v>8.0999999999999996E-4</v>
      </c>
      <c r="D44" s="28">
        <v>0.59</v>
      </c>
      <c r="E44" s="28">
        <v>2.71</v>
      </c>
      <c r="F44" s="28">
        <f t="shared" si="1"/>
        <v>2.7806956521739128</v>
      </c>
    </row>
    <row r="45" spans="1:6" x14ac:dyDescent="0.35">
      <c r="A45" s="34">
        <v>2210</v>
      </c>
      <c r="B45" s="56" t="s">
        <v>138</v>
      </c>
      <c r="C45" s="151">
        <v>8.0000000000000002E-3</v>
      </c>
      <c r="D45" s="28">
        <v>5.81</v>
      </c>
      <c r="E45" s="28">
        <v>26.73</v>
      </c>
      <c r="F45" s="28">
        <f t="shared" si="1"/>
        <v>27.427304347826087</v>
      </c>
    </row>
    <row r="46" spans="1:6" x14ac:dyDescent="0.35">
      <c r="A46" s="27">
        <v>2222</v>
      </c>
      <c r="B46" s="56" t="s">
        <v>139</v>
      </c>
      <c r="C46" s="151">
        <v>4.4400000000000004E-3</v>
      </c>
      <c r="D46" s="28">
        <v>3.22</v>
      </c>
      <c r="E46" s="28">
        <v>44.44</v>
      </c>
      <c r="F46" s="28">
        <f t="shared" si="1"/>
        <v>45.599304347826084</v>
      </c>
    </row>
    <row r="47" spans="1:6" x14ac:dyDescent="0.35">
      <c r="A47" s="27">
        <v>2223</v>
      </c>
      <c r="B47" s="56" t="s">
        <v>140</v>
      </c>
      <c r="C47" s="151">
        <v>5.4940000000000003E-2</v>
      </c>
      <c r="D47" s="28">
        <v>39.880000000000003</v>
      </c>
      <c r="E47" s="28">
        <v>249.31</v>
      </c>
      <c r="F47" s="28">
        <f t="shared" si="1"/>
        <v>255.81373913043478</v>
      </c>
    </row>
    <row r="48" spans="1:6" ht="31" x14ac:dyDescent="0.35">
      <c r="A48" s="27">
        <v>2224</v>
      </c>
      <c r="B48" s="56" t="s">
        <v>141</v>
      </c>
      <c r="C48" s="151">
        <v>3.0899999999999999E-3</v>
      </c>
      <c r="D48" s="28">
        <v>2.2400000000000002</v>
      </c>
      <c r="E48" s="28">
        <f>12.36+2.3</f>
        <v>14.66</v>
      </c>
      <c r="F48" s="28">
        <f t="shared" si="1"/>
        <v>15.042434782608694</v>
      </c>
    </row>
    <row r="49" spans="1:6" ht="15.75" customHeight="1" x14ac:dyDescent="0.35">
      <c r="A49" s="27">
        <v>2231</v>
      </c>
      <c r="B49" s="54" t="s">
        <v>142</v>
      </c>
      <c r="C49" s="151">
        <v>1.5E-3</v>
      </c>
      <c r="D49" s="28">
        <v>1.0900000000000001</v>
      </c>
      <c r="E49" s="28">
        <v>5.01</v>
      </c>
      <c r="F49" s="28">
        <f t="shared" si="1"/>
        <v>5.1406956521739131</v>
      </c>
    </row>
    <row r="50" spans="1:6" ht="15.75" customHeight="1" x14ac:dyDescent="0.35">
      <c r="A50" s="27">
        <v>2235</v>
      </c>
      <c r="B50" s="58" t="s">
        <v>143</v>
      </c>
      <c r="C50" s="151">
        <v>2.5100000000000001E-3</v>
      </c>
      <c r="D50" s="28">
        <v>1.82</v>
      </c>
      <c r="E50" s="28">
        <v>8.31</v>
      </c>
      <c r="F50" s="28">
        <f t="shared" si="1"/>
        <v>8.5267826086956529</v>
      </c>
    </row>
    <row r="51" spans="1:6" x14ac:dyDescent="0.35">
      <c r="A51" s="27">
        <v>2239</v>
      </c>
      <c r="B51" s="54" t="s">
        <v>144</v>
      </c>
      <c r="C51" s="151">
        <v>1.7899999999999999E-3</v>
      </c>
      <c r="D51" s="28">
        <v>1.3</v>
      </c>
      <c r="E51" s="28">
        <v>5.98</v>
      </c>
      <c r="F51" s="28">
        <f t="shared" si="1"/>
        <v>6.1360000000000001</v>
      </c>
    </row>
    <row r="52" spans="1:6" x14ac:dyDescent="0.35">
      <c r="A52" s="27">
        <v>2241</v>
      </c>
      <c r="B52" s="54" t="s">
        <v>145</v>
      </c>
      <c r="C52" s="151">
        <v>1.6500000000000001E-2</v>
      </c>
      <c r="D52" s="28">
        <v>11.98</v>
      </c>
      <c r="E52" s="28">
        <v>70.11</v>
      </c>
      <c r="F52" s="28">
        <f t="shared" si="1"/>
        <v>71.938956521739129</v>
      </c>
    </row>
    <row r="53" spans="1:6" x14ac:dyDescent="0.35">
      <c r="A53" s="27">
        <v>2242</v>
      </c>
      <c r="B53" s="56" t="s">
        <v>146</v>
      </c>
      <c r="C53" s="151">
        <v>8.4999999999999995E-4</v>
      </c>
      <c r="D53" s="28">
        <v>0.62</v>
      </c>
      <c r="E53" s="28">
        <v>2.85</v>
      </c>
      <c r="F53" s="28">
        <f t="shared" si="1"/>
        <v>2.9243478260869566</v>
      </c>
    </row>
    <row r="54" spans="1:6" ht="15.75" customHeight="1" x14ac:dyDescent="0.35">
      <c r="A54" s="27">
        <v>2243</v>
      </c>
      <c r="B54" s="54" t="s">
        <v>147</v>
      </c>
      <c r="C54" s="151">
        <v>4.0000000000000002E-4</v>
      </c>
      <c r="D54" s="28">
        <f>0.29+0.22</f>
        <v>0.51</v>
      </c>
      <c r="E54" s="28">
        <v>2.35</v>
      </c>
      <c r="F54" s="28">
        <f t="shared" si="1"/>
        <v>2.4113043478260869</v>
      </c>
    </row>
    <row r="55" spans="1:6" x14ac:dyDescent="0.35">
      <c r="A55" s="27">
        <v>2244</v>
      </c>
      <c r="B55" s="54" t="s">
        <v>148</v>
      </c>
      <c r="C55" s="151">
        <v>6.8070000000000006E-2</v>
      </c>
      <c r="D55" s="28">
        <v>49.41</v>
      </c>
      <c r="E55" s="28">
        <v>227.29</v>
      </c>
      <c r="F55" s="28">
        <f t="shared" si="1"/>
        <v>233.2193043478261</v>
      </c>
    </row>
    <row r="56" spans="1:6" x14ac:dyDescent="0.35">
      <c r="A56" s="27">
        <v>2247</v>
      </c>
      <c r="B56" s="54" t="s">
        <v>149</v>
      </c>
      <c r="C56" s="151">
        <v>2.2000000000000001E-4</v>
      </c>
      <c r="D56" s="28">
        <v>0.16</v>
      </c>
      <c r="E56" s="28">
        <v>0.74</v>
      </c>
      <c r="F56" s="28">
        <f t="shared" si="1"/>
        <v>0.75930434782608691</v>
      </c>
    </row>
    <row r="57" spans="1:6" x14ac:dyDescent="0.35">
      <c r="A57" s="27">
        <v>2249</v>
      </c>
      <c r="B57" s="54" t="s">
        <v>150</v>
      </c>
      <c r="C57" s="151">
        <v>2.5000000000000001E-4</v>
      </c>
      <c r="D57" s="28">
        <v>0.18</v>
      </c>
      <c r="E57" s="28">
        <v>0.83</v>
      </c>
      <c r="F57" s="28">
        <f t="shared" si="1"/>
        <v>0.85165217391304338</v>
      </c>
    </row>
    <row r="58" spans="1:6" x14ac:dyDescent="0.35">
      <c r="A58" s="27">
        <v>2250</v>
      </c>
      <c r="B58" s="54" t="s">
        <v>151</v>
      </c>
      <c r="C58" s="151">
        <v>2.8400000000000002E-2</v>
      </c>
      <c r="D58" s="28">
        <v>20.61</v>
      </c>
      <c r="E58" s="28">
        <v>113.73</v>
      </c>
      <c r="F58" s="28">
        <f t="shared" si="1"/>
        <v>116.6968695652174</v>
      </c>
    </row>
    <row r="59" spans="1:6" x14ac:dyDescent="0.35">
      <c r="A59" s="27">
        <v>2262</v>
      </c>
      <c r="B59" s="56" t="s">
        <v>152</v>
      </c>
      <c r="C59" s="151">
        <v>1.137E-2</v>
      </c>
      <c r="D59" s="28">
        <v>8.25</v>
      </c>
      <c r="E59" s="28">
        <v>37.950000000000003</v>
      </c>
      <c r="F59" s="28">
        <f t="shared" si="1"/>
        <v>38.940000000000005</v>
      </c>
    </row>
    <row r="60" spans="1:6" x14ac:dyDescent="0.35">
      <c r="A60" s="27">
        <v>2263</v>
      </c>
      <c r="B60" s="56" t="s">
        <v>153</v>
      </c>
      <c r="C60" s="151">
        <v>4.58E-2</v>
      </c>
      <c r="D60" s="28">
        <v>33.24</v>
      </c>
      <c r="E60" s="28">
        <v>152.9</v>
      </c>
      <c r="F60" s="28">
        <f t="shared" si="1"/>
        <v>156.88869565217391</v>
      </c>
    </row>
    <row r="61" spans="1:6" x14ac:dyDescent="0.35">
      <c r="A61" s="27">
        <v>2264</v>
      </c>
      <c r="B61" s="54" t="s">
        <v>154</v>
      </c>
      <c r="C61" s="151">
        <v>2.4000000000000001E-4</v>
      </c>
      <c r="D61" s="28">
        <v>0.17</v>
      </c>
      <c r="E61" s="28">
        <v>0.78</v>
      </c>
      <c r="F61" s="28">
        <f t="shared" si="1"/>
        <v>0.80034782608695654</v>
      </c>
    </row>
    <row r="62" spans="1:6" x14ac:dyDescent="0.35">
      <c r="A62" s="27">
        <v>2311</v>
      </c>
      <c r="B62" s="56" t="s">
        <v>155</v>
      </c>
      <c r="C62" s="153">
        <v>7.1000000000000002E-4</v>
      </c>
      <c r="D62" s="28">
        <v>0.52</v>
      </c>
      <c r="E62" s="28">
        <v>2.39</v>
      </c>
      <c r="F62" s="28">
        <f t="shared" si="1"/>
        <v>2.4523478260869567</v>
      </c>
    </row>
    <row r="63" spans="1:6" x14ac:dyDescent="0.35">
      <c r="A63" s="27">
        <v>2314</v>
      </c>
      <c r="B63" s="58" t="s">
        <v>157</v>
      </c>
      <c r="C63" s="151">
        <v>4.6000000000000001E-4</v>
      </c>
      <c r="D63" s="28">
        <v>0.33</v>
      </c>
      <c r="E63" s="28">
        <v>1.52</v>
      </c>
      <c r="F63" s="28">
        <f t="shared" si="1"/>
        <v>1.5596521739130436</v>
      </c>
    </row>
    <row r="64" spans="1:6" x14ac:dyDescent="0.35">
      <c r="A64" s="27">
        <v>2321</v>
      </c>
      <c r="B64" s="56" t="s">
        <v>158</v>
      </c>
      <c r="C64" s="151">
        <v>6.0220000000000003E-2</v>
      </c>
      <c r="D64" s="28">
        <v>43.71</v>
      </c>
      <c r="E64" s="28">
        <v>241.17</v>
      </c>
      <c r="F64" s="28">
        <f t="shared" si="1"/>
        <v>247.46139130434781</v>
      </c>
    </row>
    <row r="65" spans="1:6" x14ac:dyDescent="0.35">
      <c r="A65" s="27">
        <v>2322</v>
      </c>
      <c r="B65" s="56" t="s">
        <v>159</v>
      </c>
      <c r="C65" s="151">
        <v>2.0999999999999999E-3</v>
      </c>
      <c r="D65" s="28">
        <v>1.52</v>
      </c>
      <c r="E65" s="28">
        <v>7.09</v>
      </c>
      <c r="F65" s="28">
        <f t="shared" si="1"/>
        <v>7.2749565217391305</v>
      </c>
    </row>
    <row r="66" spans="1:6" ht="15.75" customHeight="1" x14ac:dyDescent="0.35">
      <c r="A66" s="27">
        <v>2513</v>
      </c>
      <c r="B66" s="55" t="s">
        <v>160</v>
      </c>
      <c r="C66" s="151">
        <v>6.3000000000000003E-4</v>
      </c>
      <c r="D66" s="28">
        <v>0.46</v>
      </c>
      <c r="E66" s="28">
        <v>2.12</v>
      </c>
      <c r="F66" s="28">
        <f t="shared" si="1"/>
        <v>2.1753043478260872</v>
      </c>
    </row>
    <row r="67" spans="1:6" x14ac:dyDescent="0.35">
      <c r="A67" s="27">
        <v>2515</v>
      </c>
      <c r="B67" s="56" t="s">
        <v>161</v>
      </c>
      <c r="C67" s="151">
        <v>2.7499999999999998E-3</v>
      </c>
      <c r="D67" s="28">
        <v>2</v>
      </c>
      <c r="E67" s="28">
        <v>9.1999999999999993</v>
      </c>
      <c r="F67" s="28">
        <f t="shared" si="1"/>
        <v>9.4399999999999977</v>
      </c>
    </row>
    <row r="68" spans="1:6" x14ac:dyDescent="0.35">
      <c r="A68" s="27">
        <v>2519</v>
      </c>
      <c r="B68" s="56" t="s">
        <v>162</v>
      </c>
      <c r="C68" s="151">
        <v>1.5100000000000001E-3</v>
      </c>
      <c r="D68" s="28">
        <v>1.1000000000000001</v>
      </c>
      <c r="E68" s="28">
        <v>5.0599999999999996</v>
      </c>
      <c r="F68" s="28">
        <f t="shared" si="1"/>
        <v>5.1919999999999993</v>
      </c>
    </row>
    <row r="69" spans="1:6" x14ac:dyDescent="0.35">
      <c r="A69" s="27">
        <v>5220</v>
      </c>
      <c r="B69" s="56" t="s">
        <v>163</v>
      </c>
      <c r="C69" s="151">
        <v>1.06E-2</v>
      </c>
      <c r="D69" s="28">
        <v>7.69</v>
      </c>
      <c r="E69" s="28">
        <v>35.369999999999997</v>
      </c>
      <c r="F69" s="28">
        <f t="shared" si="1"/>
        <v>36.292695652173911</v>
      </c>
    </row>
    <row r="70" spans="1:6" x14ac:dyDescent="0.35">
      <c r="A70" s="27">
        <v>5238</v>
      </c>
      <c r="B70" s="55" t="s">
        <v>164</v>
      </c>
      <c r="C70" s="151">
        <v>1.65E-3</v>
      </c>
      <c r="D70" s="28">
        <v>1.2</v>
      </c>
      <c r="E70" s="28">
        <v>5.52</v>
      </c>
      <c r="F70" s="28">
        <f t="shared" si="1"/>
        <v>5.6639999999999997</v>
      </c>
    </row>
    <row r="71" spans="1:6" x14ac:dyDescent="0.35">
      <c r="A71" s="27">
        <v>5239</v>
      </c>
      <c r="B71" s="55" t="s">
        <v>165</v>
      </c>
      <c r="C71" s="151">
        <v>1.9800000000000002E-2</v>
      </c>
      <c r="D71" s="28">
        <v>13.87</v>
      </c>
      <c r="E71" s="28">
        <v>63.15</v>
      </c>
      <c r="F71" s="28">
        <f t="shared" si="1"/>
        <v>64.797391304347826</v>
      </c>
    </row>
    <row r="72" spans="1:6" x14ac:dyDescent="0.35">
      <c r="A72" s="27">
        <v>5250</v>
      </c>
      <c r="B72" s="56" t="s">
        <v>166</v>
      </c>
      <c r="C72" s="151">
        <v>1.4999999999999999E-2</v>
      </c>
      <c r="D72" s="28">
        <v>10.89</v>
      </c>
      <c r="E72" s="28">
        <v>52.9</v>
      </c>
      <c r="F72" s="28">
        <f t="shared" si="1"/>
        <v>54.279999999999994</v>
      </c>
    </row>
    <row r="73" spans="1:6" x14ac:dyDescent="0.35">
      <c r="A73" s="32"/>
      <c r="B73" s="59" t="s">
        <v>167</v>
      </c>
      <c r="C73" s="154"/>
      <c r="D73" s="31">
        <f>SUM(D42:D72)</f>
        <v>725.81000000000006</v>
      </c>
      <c r="E73" s="31">
        <f>SUM(E42:E72)</f>
        <v>4515.8599999999997</v>
      </c>
      <c r="F73" s="31">
        <f>SUM(F42:F72)</f>
        <v>4633.6650434782605</v>
      </c>
    </row>
    <row r="74" spans="1:6" x14ac:dyDescent="0.35">
      <c r="A74" s="32"/>
      <c r="B74" s="59" t="s">
        <v>168</v>
      </c>
      <c r="C74" s="154"/>
      <c r="D74" s="31">
        <f>D40+D73</f>
        <v>3338</v>
      </c>
      <c r="E74" s="31">
        <f>E40+E73</f>
        <v>17082.100000000002</v>
      </c>
      <c r="F74" s="31">
        <f>F40+F73</f>
        <v>17527.72</v>
      </c>
    </row>
    <row r="75" spans="1:6" ht="12.75" customHeight="1" x14ac:dyDescent="0.35">
      <c r="A75" s="37"/>
      <c r="B75" s="20"/>
      <c r="C75" s="155"/>
      <c r="D75" s="60"/>
      <c r="E75" s="60"/>
      <c r="F75" s="60"/>
    </row>
    <row r="76" spans="1:6" ht="15.75" customHeight="1" x14ac:dyDescent="0.35">
      <c r="A76" s="211" t="s">
        <v>51</v>
      </c>
      <c r="B76" s="211"/>
      <c r="C76" s="156"/>
      <c r="D76" s="44">
        <v>50</v>
      </c>
      <c r="E76" s="44">
        <v>230</v>
      </c>
      <c r="F76" s="44">
        <v>236</v>
      </c>
    </row>
    <row r="77" spans="1:6" ht="15.75" customHeight="1" x14ac:dyDescent="0.35">
      <c r="A77" s="211" t="s">
        <v>58</v>
      </c>
      <c r="B77" s="211"/>
      <c r="C77" s="156"/>
      <c r="D77" s="45">
        <f>D74/D76</f>
        <v>66.760000000000005</v>
      </c>
      <c r="E77" s="45">
        <f>E74/E76</f>
        <v>74.27000000000001</v>
      </c>
      <c r="F77" s="45">
        <f>F74/F76</f>
        <v>74.27000000000001</v>
      </c>
    </row>
    <row r="78" spans="1:6" ht="9.75" customHeight="1" x14ac:dyDescent="0.35">
      <c r="A78" s="41"/>
      <c r="B78" s="42"/>
      <c r="C78" s="157"/>
    </row>
    <row r="79" spans="1:6" ht="15.75" customHeight="1" x14ac:dyDescent="0.35">
      <c r="A79" s="208" t="s">
        <v>52</v>
      </c>
      <c r="B79" s="208"/>
      <c r="C79" s="158"/>
      <c r="D79" s="187"/>
      <c r="E79" s="187"/>
      <c r="F79" s="187"/>
    </row>
    <row r="80" spans="1:6" ht="15.75" customHeight="1" x14ac:dyDescent="0.35">
      <c r="A80" s="208" t="s">
        <v>74</v>
      </c>
      <c r="B80" s="208"/>
      <c r="C80" s="158"/>
      <c r="D80" s="188"/>
      <c r="E80" s="186"/>
      <c r="F80" s="186"/>
    </row>
    <row r="81" spans="1:6" ht="8.25" customHeight="1" x14ac:dyDescent="0.35">
      <c r="A81" s="17"/>
      <c r="B81" s="17"/>
      <c r="C81" s="159"/>
      <c r="D81" s="17"/>
      <c r="E81" s="17"/>
      <c r="F81" s="17"/>
    </row>
    <row r="82" spans="1:6" x14ac:dyDescent="0.35">
      <c r="A82" s="17" t="s">
        <v>53</v>
      </c>
      <c r="B82" s="17"/>
      <c r="C82" s="159"/>
      <c r="D82" s="48"/>
      <c r="E82" s="48"/>
      <c r="F82" s="48"/>
    </row>
    <row r="83" spans="1:6" x14ac:dyDescent="0.35">
      <c r="A83" s="17"/>
      <c r="B83" s="17"/>
      <c r="C83" s="160"/>
      <c r="D83" s="48"/>
      <c r="E83" s="48"/>
      <c r="F83" s="48"/>
    </row>
    <row r="84" spans="1:6" x14ac:dyDescent="0.35">
      <c r="A84" s="17" t="s">
        <v>68</v>
      </c>
      <c r="B84" s="18"/>
      <c r="C84" s="161"/>
      <c r="D84" s="48"/>
      <c r="E84" s="48"/>
      <c r="F84" s="48"/>
    </row>
    <row r="85" spans="1:6" x14ac:dyDescent="0.35">
      <c r="B85" s="63"/>
      <c r="C85" s="162"/>
      <c r="D85" s="64"/>
      <c r="E85" s="64"/>
      <c r="F85" s="64"/>
    </row>
    <row r="87" spans="1:6" x14ac:dyDescent="0.35">
      <c r="D87" s="52"/>
      <c r="E87" s="52"/>
      <c r="F87" s="52"/>
    </row>
  </sheetData>
  <mergeCells count="7">
    <mergeCell ref="A76:B76"/>
    <mergeCell ref="A77:B77"/>
    <mergeCell ref="A79:B79"/>
    <mergeCell ref="A80:B80"/>
    <mergeCell ref="A10:B10"/>
    <mergeCell ref="A8:D8"/>
    <mergeCell ref="A11:B11"/>
  </mergeCells>
  <pageMargins left="0.94488188976377963" right="0.55118110236220474" top="0.55118110236220474" bottom="0.62992125984251968" header="0.31496062992125984" footer="0.31496062992125984"/>
  <pageSetup paperSize="9" scale="55" firstPageNumber="7" orientation="portrait" useFirstPageNumber="1" r:id="rId1"/>
  <headerFooter>
    <oddFooter>&amp;F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9"/>
  <sheetViews>
    <sheetView view="pageLayout" topLeftCell="A43" zoomScale="90" zoomScaleNormal="90" zoomScalePageLayoutView="90" workbookViewId="0">
      <selection activeCell="B52" sqref="B52"/>
    </sheetView>
  </sheetViews>
  <sheetFormatPr defaultColWidth="9.1796875" defaultRowHeight="14" x14ac:dyDescent="0.3"/>
  <cols>
    <col min="1" max="1" width="20.1796875" style="113" customWidth="1"/>
    <col min="2" max="2" width="97.26953125" style="113" customWidth="1"/>
    <col min="3" max="3" width="11.26953125" style="113" hidden="1" customWidth="1"/>
    <col min="4" max="4" width="27" style="112" customWidth="1"/>
    <col min="5" max="16384" width="9.1796875" style="112"/>
  </cols>
  <sheetData>
    <row r="1" spans="1:4" ht="15.75" customHeight="1" x14ac:dyDescent="0.35">
      <c r="A1" s="111"/>
      <c r="B1" s="85"/>
      <c r="C1" s="85"/>
      <c r="D1" s="82" t="s">
        <v>50</v>
      </c>
    </row>
    <row r="2" spans="1:4" ht="15.75" customHeight="1" x14ac:dyDescent="0.35">
      <c r="A2" s="111"/>
      <c r="B2" s="85"/>
      <c r="D2" s="81" t="s">
        <v>54</v>
      </c>
    </row>
    <row r="3" spans="1:4" ht="15.5" x14ac:dyDescent="0.35">
      <c r="A3" s="111"/>
      <c r="B3" s="114"/>
      <c r="C3" s="114"/>
      <c r="D3" s="84" t="s">
        <v>76</v>
      </c>
    </row>
    <row r="4" spans="1:4" ht="15.5" x14ac:dyDescent="0.35">
      <c r="A4" s="111"/>
      <c r="B4" s="85"/>
      <c r="C4" s="85"/>
    </row>
    <row r="5" spans="1:4" ht="15.5" x14ac:dyDescent="0.35">
      <c r="A5" s="111"/>
      <c r="B5" s="85"/>
      <c r="C5" s="85"/>
      <c r="D5" s="85" t="s">
        <v>192</v>
      </c>
    </row>
    <row r="6" spans="1:4" x14ac:dyDescent="0.3">
      <c r="A6" s="111"/>
      <c r="B6" s="115"/>
      <c r="C6" s="115"/>
    </row>
    <row r="7" spans="1:4" ht="17.25" customHeight="1" x14ac:dyDescent="0.35">
      <c r="A7" s="222" t="s">
        <v>10</v>
      </c>
      <c r="B7" s="222"/>
      <c r="C7" s="222"/>
    </row>
    <row r="8" spans="1:4" x14ac:dyDescent="0.3">
      <c r="A8" s="116"/>
      <c r="B8" s="117"/>
      <c r="C8" s="117"/>
    </row>
    <row r="9" spans="1:4" ht="15" customHeight="1" x14ac:dyDescent="0.25">
      <c r="A9" s="218" t="s">
        <v>1</v>
      </c>
      <c r="B9" s="219"/>
      <c r="C9" s="118"/>
    </row>
    <row r="10" spans="1:4" ht="15" customHeight="1" x14ac:dyDescent="0.25">
      <c r="A10" s="218" t="s">
        <v>0</v>
      </c>
      <c r="B10" s="219"/>
      <c r="C10" s="118"/>
    </row>
    <row r="11" spans="1:4" ht="15" customHeight="1" x14ac:dyDescent="0.25">
      <c r="A11" s="87"/>
      <c r="B11" s="87" t="s">
        <v>47</v>
      </c>
      <c r="C11" s="87"/>
    </row>
    <row r="12" spans="1:4" ht="15" customHeight="1" x14ac:dyDescent="0.25">
      <c r="A12" s="87"/>
      <c r="B12" s="218" t="s">
        <v>65</v>
      </c>
      <c r="C12" s="218"/>
    </row>
    <row r="13" spans="1:4" ht="15.75" customHeight="1" x14ac:dyDescent="0.25">
      <c r="A13" s="87"/>
      <c r="B13" s="218" t="s">
        <v>176</v>
      </c>
      <c r="C13" s="218"/>
    </row>
    <row r="14" spans="1:4" ht="15.75" customHeight="1" x14ac:dyDescent="0.25">
      <c r="A14" s="87"/>
      <c r="B14" s="218" t="s">
        <v>177</v>
      </c>
      <c r="C14" s="218"/>
    </row>
    <row r="15" spans="1:4" ht="15" customHeight="1" x14ac:dyDescent="0.25">
      <c r="A15" s="87"/>
      <c r="B15" s="218"/>
      <c r="C15" s="218"/>
    </row>
    <row r="16" spans="1:4" ht="15.75" customHeight="1" x14ac:dyDescent="0.25">
      <c r="A16" s="87" t="s">
        <v>2</v>
      </c>
      <c r="B16" s="87" t="s">
        <v>191</v>
      </c>
      <c r="C16" s="87"/>
    </row>
    <row r="17" spans="1:8" ht="63" customHeight="1" x14ac:dyDescent="0.25">
      <c r="A17" s="88" t="s">
        <v>3</v>
      </c>
      <c r="B17" s="88" t="s">
        <v>4</v>
      </c>
      <c r="C17" s="88"/>
      <c r="D17" s="88" t="s">
        <v>72</v>
      </c>
    </row>
    <row r="18" spans="1:8" ht="15" x14ac:dyDescent="0.25">
      <c r="A18" s="89">
        <v>1</v>
      </c>
      <c r="B18" s="90">
        <v>2</v>
      </c>
      <c r="C18" s="90"/>
      <c r="D18" s="90">
        <v>3</v>
      </c>
    </row>
    <row r="19" spans="1:8" ht="15.5" x14ac:dyDescent="0.25">
      <c r="A19" s="119"/>
      <c r="B19" s="120" t="s">
        <v>6</v>
      </c>
      <c r="C19" s="120"/>
      <c r="D19" s="121"/>
    </row>
    <row r="20" spans="1:8" ht="15" customHeight="1" x14ac:dyDescent="0.25">
      <c r="A20" s="93">
        <v>1100</v>
      </c>
      <c r="B20" s="93" t="s">
        <v>134</v>
      </c>
      <c r="C20" s="93"/>
      <c r="D20" s="94">
        <f>23.91*350</f>
        <v>8368.5</v>
      </c>
      <c r="E20" s="122"/>
      <c r="G20" s="122"/>
    </row>
    <row r="21" spans="1:8" ht="15.5" x14ac:dyDescent="0.35">
      <c r="A21" s="93">
        <v>1200</v>
      </c>
      <c r="B21" s="92" t="s">
        <v>135</v>
      </c>
      <c r="C21" s="92"/>
      <c r="D21" s="94">
        <v>1974.13</v>
      </c>
      <c r="E21" s="122"/>
      <c r="G21" s="122"/>
      <c r="H21" s="122"/>
    </row>
    <row r="22" spans="1:8" ht="15.5" x14ac:dyDescent="0.35">
      <c r="A22" s="93">
        <v>2222</v>
      </c>
      <c r="B22" s="95" t="s">
        <v>139</v>
      </c>
      <c r="C22" s="95"/>
      <c r="D22" s="94">
        <v>268.88</v>
      </c>
    </row>
    <row r="23" spans="1:8" ht="15.5" x14ac:dyDescent="0.35">
      <c r="A23" s="93">
        <v>2223</v>
      </c>
      <c r="B23" s="95" t="s">
        <v>140</v>
      </c>
      <c r="C23" s="95"/>
      <c r="D23" s="94">
        <v>295.8</v>
      </c>
    </row>
    <row r="24" spans="1:8" ht="15.5" hidden="1" x14ac:dyDescent="0.35">
      <c r="A24" s="93">
        <v>2243</v>
      </c>
      <c r="B24" s="91" t="s">
        <v>147</v>
      </c>
      <c r="C24" s="91"/>
      <c r="D24" s="94">
        <v>0</v>
      </c>
    </row>
    <row r="25" spans="1:8" ht="15.5" x14ac:dyDescent="0.35">
      <c r="A25" s="93">
        <v>2244</v>
      </c>
      <c r="B25" s="91" t="s">
        <v>148</v>
      </c>
      <c r="C25" s="91"/>
      <c r="D25" s="94">
        <f>2.12*350</f>
        <v>742</v>
      </c>
    </row>
    <row r="26" spans="1:8" ht="15.5" x14ac:dyDescent="0.35">
      <c r="A26" s="93">
        <v>2312</v>
      </c>
      <c r="B26" s="95" t="s">
        <v>156</v>
      </c>
      <c r="C26" s="91"/>
      <c r="D26" s="94">
        <f>0.28*350</f>
        <v>98.000000000000014</v>
      </c>
    </row>
    <row r="27" spans="1:8" ht="15.5" x14ac:dyDescent="0.35">
      <c r="A27" s="93">
        <v>2321</v>
      </c>
      <c r="B27" s="95" t="s">
        <v>158</v>
      </c>
      <c r="C27" s="95"/>
      <c r="D27" s="94">
        <v>459.05</v>
      </c>
    </row>
    <row r="28" spans="1:8" ht="15.5" x14ac:dyDescent="0.35">
      <c r="A28" s="93">
        <v>2341</v>
      </c>
      <c r="B28" s="95" t="s">
        <v>136</v>
      </c>
      <c r="C28" s="95"/>
      <c r="D28" s="94">
        <v>457.93</v>
      </c>
    </row>
    <row r="29" spans="1:8" ht="15.5" x14ac:dyDescent="0.35">
      <c r="A29" s="93">
        <v>2361</v>
      </c>
      <c r="B29" s="95" t="s">
        <v>170</v>
      </c>
      <c r="C29" s="95"/>
      <c r="D29" s="94">
        <f>2.25*350</f>
        <v>787.5</v>
      </c>
    </row>
    <row r="30" spans="1:8" ht="15.5" x14ac:dyDescent="0.35">
      <c r="A30" s="93">
        <v>2363</v>
      </c>
      <c r="B30" s="95" t="s">
        <v>172</v>
      </c>
      <c r="C30" s="95"/>
      <c r="D30" s="94">
        <f>8.12*350</f>
        <v>2841.9999999999995</v>
      </c>
    </row>
    <row r="31" spans="1:8" ht="15" customHeight="1" x14ac:dyDescent="0.35">
      <c r="A31" s="93">
        <v>5239</v>
      </c>
      <c r="B31" s="92" t="s">
        <v>165</v>
      </c>
      <c r="C31" s="92"/>
      <c r="D31" s="94">
        <v>113.61</v>
      </c>
    </row>
    <row r="32" spans="1:8" ht="15" customHeight="1" x14ac:dyDescent="0.25">
      <c r="A32" s="93"/>
      <c r="B32" s="123" t="s">
        <v>7</v>
      </c>
      <c r="C32" s="123"/>
      <c r="D32" s="96">
        <f>SUM(D20:D31)</f>
        <v>16407.399999999998</v>
      </c>
      <c r="E32" s="122"/>
    </row>
    <row r="33" spans="1:4" ht="15" customHeight="1" x14ac:dyDescent="0.25">
      <c r="A33" s="97"/>
      <c r="B33" s="93" t="s">
        <v>8</v>
      </c>
      <c r="C33" s="93"/>
      <c r="D33" s="121"/>
    </row>
    <row r="34" spans="1:4" ht="15" customHeight="1" x14ac:dyDescent="0.35">
      <c r="A34" s="93">
        <v>1100</v>
      </c>
      <c r="B34" s="91" t="s">
        <v>134</v>
      </c>
      <c r="C34" s="92">
        <f>0.388+0.024</f>
        <v>0.41200000000000003</v>
      </c>
      <c r="D34" s="94">
        <v>3999.07</v>
      </c>
    </row>
    <row r="35" spans="1:4" ht="15.5" x14ac:dyDescent="0.35">
      <c r="A35" s="93">
        <v>1200</v>
      </c>
      <c r="B35" s="91" t="s">
        <v>135</v>
      </c>
      <c r="C35" s="92">
        <f>C34*0.2359</f>
        <v>9.7190800000000008E-2</v>
      </c>
      <c r="D35" s="94">
        <v>943.38</v>
      </c>
    </row>
    <row r="36" spans="1:4" ht="15.5" x14ac:dyDescent="0.35">
      <c r="A36" s="93">
        <v>2100</v>
      </c>
      <c r="B36" s="98" t="s">
        <v>44</v>
      </c>
      <c r="C36" s="92">
        <v>1.1659999999999999E-3</v>
      </c>
      <c r="D36" s="94">
        <v>11.32</v>
      </c>
    </row>
    <row r="37" spans="1:4" ht="15.5" x14ac:dyDescent="0.35">
      <c r="A37" s="99">
        <v>2210</v>
      </c>
      <c r="B37" s="95" t="s">
        <v>138</v>
      </c>
      <c r="C37" s="92">
        <v>7.6E-3</v>
      </c>
      <c r="D37" s="94">
        <v>73.77</v>
      </c>
    </row>
    <row r="38" spans="1:4" ht="15" customHeight="1" x14ac:dyDescent="0.35">
      <c r="A38" s="93">
        <v>2222</v>
      </c>
      <c r="B38" s="95" t="s">
        <v>139</v>
      </c>
      <c r="C38" s="92">
        <v>9.4999999999999998E-3</v>
      </c>
      <c r="D38" s="94">
        <v>92.21</v>
      </c>
    </row>
    <row r="39" spans="1:4" ht="15" customHeight="1" x14ac:dyDescent="0.35">
      <c r="A39" s="93">
        <v>2223</v>
      </c>
      <c r="B39" s="95" t="s">
        <v>140</v>
      </c>
      <c r="C39" s="92">
        <v>1.9019999999999999E-2</v>
      </c>
      <c r="D39" s="94">
        <v>184.62</v>
      </c>
    </row>
    <row r="40" spans="1:4" ht="31" x14ac:dyDescent="0.35">
      <c r="A40" s="93">
        <v>2224</v>
      </c>
      <c r="B40" s="95" t="s">
        <v>141</v>
      </c>
      <c r="C40" s="92">
        <v>4.9500000000000004E-3</v>
      </c>
      <c r="D40" s="94">
        <v>48.05</v>
      </c>
    </row>
    <row r="41" spans="1:4" ht="15.5" x14ac:dyDescent="0.35">
      <c r="A41" s="93">
        <v>2231</v>
      </c>
      <c r="B41" s="91" t="s">
        <v>142</v>
      </c>
      <c r="C41" s="92">
        <v>1.5499999999999999E-3</v>
      </c>
      <c r="D41" s="94">
        <v>15.05</v>
      </c>
    </row>
    <row r="42" spans="1:4" ht="15.5" x14ac:dyDescent="0.35">
      <c r="A42" s="93">
        <v>2235</v>
      </c>
      <c r="B42" s="100" t="s">
        <v>143</v>
      </c>
      <c r="C42" s="92">
        <v>1.65E-3</v>
      </c>
      <c r="D42" s="94">
        <v>16.02</v>
      </c>
    </row>
    <row r="43" spans="1:4" ht="15" customHeight="1" x14ac:dyDescent="0.35">
      <c r="A43" s="93">
        <v>2239</v>
      </c>
      <c r="B43" s="91" t="s">
        <v>144</v>
      </c>
      <c r="C43" s="92">
        <v>4.4099999999999999E-3</v>
      </c>
      <c r="D43" s="94">
        <v>42.81</v>
      </c>
    </row>
    <row r="44" spans="1:4" ht="15.5" x14ac:dyDescent="0.35">
      <c r="A44" s="93">
        <v>2241</v>
      </c>
      <c r="B44" s="91" t="s">
        <v>145</v>
      </c>
      <c r="C44" s="92">
        <v>1.6500000000000001E-2</v>
      </c>
      <c r="D44" s="94">
        <v>160.16</v>
      </c>
    </row>
    <row r="45" spans="1:4" ht="15.5" x14ac:dyDescent="0.35">
      <c r="A45" s="93">
        <v>2242</v>
      </c>
      <c r="B45" s="95" t="s">
        <v>146</v>
      </c>
      <c r="C45" s="92">
        <v>2.2599999999999999E-3</v>
      </c>
      <c r="D45" s="94">
        <v>21.94</v>
      </c>
    </row>
    <row r="46" spans="1:4" ht="14.25" customHeight="1" x14ac:dyDescent="0.35">
      <c r="A46" s="93">
        <v>2243</v>
      </c>
      <c r="B46" s="91" t="s">
        <v>147</v>
      </c>
      <c r="C46" s="92">
        <v>3.2599999999999997E-2</v>
      </c>
      <c r="D46" s="94">
        <f>316.43+2.59</f>
        <v>319.02</v>
      </c>
    </row>
    <row r="47" spans="1:4" ht="15" customHeight="1" x14ac:dyDescent="0.35">
      <c r="A47" s="93">
        <v>2244</v>
      </c>
      <c r="B47" s="91" t="s">
        <v>148</v>
      </c>
      <c r="C47" s="92">
        <v>0.20397000000000001</v>
      </c>
      <c r="D47" s="94">
        <v>1979.83</v>
      </c>
    </row>
    <row r="48" spans="1:4" ht="15" customHeight="1" x14ac:dyDescent="0.35">
      <c r="A48" s="93">
        <v>2247</v>
      </c>
      <c r="B48" s="91" t="s">
        <v>149</v>
      </c>
      <c r="C48" s="92">
        <v>7.1900000000000002E-4</v>
      </c>
      <c r="D48" s="94">
        <v>6.98</v>
      </c>
    </row>
    <row r="49" spans="1:4" ht="15.5" x14ac:dyDescent="0.35">
      <c r="A49" s="93">
        <v>2249</v>
      </c>
      <c r="B49" s="91" t="s">
        <v>150</v>
      </c>
      <c r="C49" s="92">
        <v>2.32E-4</v>
      </c>
      <c r="D49" s="94">
        <v>2.25</v>
      </c>
    </row>
    <row r="50" spans="1:4" ht="15.5" x14ac:dyDescent="0.35">
      <c r="A50" s="93">
        <v>2250</v>
      </c>
      <c r="B50" s="91" t="s">
        <v>151</v>
      </c>
      <c r="C50" s="92">
        <v>2.4025999999999999E-2</v>
      </c>
      <c r="D50" s="94">
        <v>233.21</v>
      </c>
    </row>
    <row r="51" spans="1:4" ht="15.5" hidden="1" x14ac:dyDescent="0.35">
      <c r="A51" s="93">
        <v>2261</v>
      </c>
      <c r="B51" s="95" t="s">
        <v>169</v>
      </c>
      <c r="C51" s="92">
        <v>0</v>
      </c>
      <c r="D51" s="94">
        <v>0</v>
      </c>
    </row>
    <row r="52" spans="1:4" ht="15.5" x14ac:dyDescent="0.35">
      <c r="A52" s="93">
        <v>2262</v>
      </c>
      <c r="B52" s="95" t="s">
        <v>152</v>
      </c>
      <c r="C52" s="92">
        <v>6.2599999999999999E-3</v>
      </c>
      <c r="D52" s="94">
        <v>60.76</v>
      </c>
    </row>
    <row r="53" spans="1:4" ht="15.5" x14ac:dyDescent="0.35">
      <c r="A53" s="93">
        <v>2263</v>
      </c>
      <c r="B53" s="95" t="s">
        <v>153</v>
      </c>
      <c r="C53" s="92">
        <v>4.58E-2</v>
      </c>
      <c r="D53" s="94">
        <v>444.56</v>
      </c>
    </row>
    <row r="54" spans="1:4" ht="15.5" x14ac:dyDescent="0.35">
      <c r="A54" s="93">
        <v>2264</v>
      </c>
      <c r="B54" s="91" t="s">
        <v>154</v>
      </c>
      <c r="C54" s="92">
        <v>1.49E-3</v>
      </c>
      <c r="D54" s="94">
        <v>14.46</v>
      </c>
    </row>
    <row r="55" spans="1:4" ht="15" customHeight="1" x14ac:dyDescent="0.35">
      <c r="A55" s="93">
        <v>2311</v>
      </c>
      <c r="B55" s="95" t="s">
        <v>155</v>
      </c>
      <c r="C55" s="92">
        <v>4.7699999999999999E-3</v>
      </c>
      <c r="D55" s="94">
        <v>46.3</v>
      </c>
    </row>
    <row r="56" spans="1:4" ht="15" customHeight="1" x14ac:dyDescent="0.35">
      <c r="A56" s="93">
        <v>2312</v>
      </c>
      <c r="B56" s="95" t="s">
        <v>156</v>
      </c>
      <c r="C56" s="92">
        <v>5.79E-3</v>
      </c>
      <c r="D56" s="94">
        <v>56.2</v>
      </c>
    </row>
    <row r="57" spans="1:4" ht="15" customHeight="1" x14ac:dyDescent="0.35">
      <c r="A57" s="93">
        <v>2314</v>
      </c>
      <c r="B57" s="100" t="s">
        <v>157</v>
      </c>
      <c r="C57" s="92">
        <v>2.2200000000000002E-3</v>
      </c>
      <c r="D57" s="94">
        <v>21.55</v>
      </c>
    </row>
    <row r="58" spans="1:4" ht="15" customHeight="1" x14ac:dyDescent="0.35">
      <c r="A58" s="93">
        <v>2321</v>
      </c>
      <c r="B58" s="95" t="s">
        <v>158</v>
      </c>
      <c r="C58" s="92">
        <v>1.9800000000000002E-2</v>
      </c>
      <c r="D58" s="94">
        <v>192.19</v>
      </c>
    </row>
    <row r="59" spans="1:4" ht="15" customHeight="1" x14ac:dyDescent="0.35">
      <c r="A59" s="93">
        <v>2322</v>
      </c>
      <c r="B59" s="95" t="s">
        <v>159</v>
      </c>
      <c r="C59" s="92">
        <v>3.5000000000000001E-3</v>
      </c>
      <c r="D59" s="94">
        <v>33.97</v>
      </c>
    </row>
    <row r="60" spans="1:4" ht="15" hidden="1" customHeight="1" x14ac:dyDescent="0.35">
      <c r="A60" s="93">
        <v>2341</v>
      </c>
      <c r="B60" s="95" t="s">
        <v>136</v>
      </c>
      <c r="C60" s="92"/>
      <c r="D60" s="94">
        <v>0</v>
      </c>
    </row>
    <row r="61" spans="1:4" ht="15.75" customHeight="1" x14ac:dyDescent="0.35">
      <c r="A61" s="93">
        <v>2350</v>
      </c>
      <c r="B61" s="92" t="s">
        <v>137</v>
      </c>
      <c r="C61" s="92">
        <v>8.5000000000000006E-3</v>
      </c>
      <c r="D61" s="94">
        <v>82.5</v>
      </c>
    </row>
    <row r="62" spans="1:4" ht="15.5" hidden="1" x14ac:dyDescent="0.35">
      <c r="A62" s="93">
        <v>2361</v>
      </c>
      <c r="B62" s="95" t="s">
        <v>170</v>
      </c>
      <c r="C62" s="92">
        <v>0</v>
      </c>
      <c r="D62" s="94">
        <v>0</v>
      </c>
    </row>
    <row r="63" spans="1:4" ht="15.5" hidden="1" x14ac:dyDescent="0.35">
      <c r="A63" s="93">
        <v>2362</v>
      </c>
      <c r="B63" s="95" t="s">
        <v>171</v>
      </c>
      <c r="C63" s="92">
        <v>0</v>
      </c>
      <c r="D63" s="94">
        <v>0</v>
      </c>
    </row>
    <row r="64" spans="1:4" ht="15.5" hidden="1" x14ac:dyDescent="0.35">
      <c r="A64" s="93">
        <v>2363</v>
      </c>
      <c r="B64" s="95" t="s">
        <v>172</v>
      </c>
      <c r="C64" s="92">
        <v>0</v>
      </c>
      <c r="D64" s="94">
        <v>0</v>
      </c>
    </row>
    <row r="65" spans="1:7" ht="15.5" hidden="1" x14ac:dyDescent="0.35">
      <c r="A65" s="93">
        <v>2370</v>
      </c>
      <c r="B65" s="95" t="s">
        <v>173</v>
      </c>
      <c r="C65" s="92">
        <v>0</v>
      </c>
      <c r="D65" s="94">
        <v>0</v>
      </c>
    </row>
    <row r="66" spans="1:7" ht="15.5" hidden="1" x14ac:dyDescent="0.35">
      <c r="A66" s="93">
        <v>2400</v>
      </c>
      <c r="B66" s="95" t="s">
        <v>174</v>
      </c>
      <c r="C66" s="92">
        <v>0</v>
      </c>
      <c r="D66" s="94">
        <v>0</v>
      </c>
    </row>
    <row r="67" spans="1:7" ht="15" hidden="1" customHeight="1" x14ac:dyDescent="0.35">
      <c r="A67" s="93">
        <v>2512</v>
      </c>
      <c r="B67" s="95" t="s">
        <v>175</v>
      </c>
      <c r="C67" s="92">
        <v>0</v>
      </c>
      <c r="D67" s="94">
        <v>0</v>
      </c>
    </row>
    <row r="68" spans="1:7" ht="15.5" x14ac:dyDescent="0.35">
      <c r="A68" s="93">
        <v>2513</v>
      </c>
      <c r="B68" s="92" t="s">
        <v>160</v>
      </c>
      <c r="C68" s="92">
        <v>1.4599999999999999E-3</v>
      </c>
      <c r="D68" s="94">
        <v>14.17</v>
      </c>
    </row>
    <row r="69" spans="1:7" ht="15.5" x14ac:dyDescent="0.35">
      <c r="A69" s="93">
        <v>2515</v>
      </c>
      <c r="B69" s="95" t="s">
        <v>161</v>
      </c>
      <c r="C69" s="92">
        <v>1.9E-3</v>
      </c>
      <c r="D69" s="94">
        <v>18.440000000000001</v>
      </c>
    </row>
    <row r="70" spans="1:7" ht="15.5" x14ac:dyDescent="0.35">
      <c r="A70" s="93">
        <v>2519</v>
      </c>
      <c r="B70" s="95" t="s">
        <v>162</v>
      </c>
      <c r="C70" s="92">
        <v>2E-3</v>
      </c>
      <c r="D70" s="94">
        <v>19.41</v>
      </c>
    </row>
    <row r="71" spans="1:7" ht="15.5" x14ac:dyDescent="0.35">
      <c r="A71" s="93">
        <v>5220</v>
      </c>
      <c r="B71" s="95" t="s">
        <v>163</v>
      </c>
      <c r="C71" s="92">
        <v>1.06E-2</v>
      </c>
      <c r="D71" s="94">
        <v>102.89</v>
      </c>
    </row>
    <row r="72" spans="1:7" ht="15.5" x14ac:dyDescent="0.35">
      <c r="A72" s="93">
        <v>5238</v>
      </c>
      <c r="B72" s="92" t="s">
        <v>164</v>
      </c>
      <c r="C72" s="92">
        <v>1.65E-3</v>
      </c>
      <c r="D72" s="94">
        <v>17.12</v>
      </c>
    </row>
    <row r="73" spans="1:7" ht="15.5" x14ac:dyDescent="0.35">
      <c r="A73" s="93">
        <v>5239</v>
      </c>
      <c r="B73" s="92" t="s">
        <v>165</v>
      </c>
      <c r="C73" s="92">
        <v>1.9800000000000002E-2</v>
      </c>
      <c r="D73" s="94">
        <f>192.19</f>
        <v>192.19</v>
      </c>
    </row>
    <row r="74" spans="1:7" ht="15.5" x14ac:dyDescent="0.35">
      <c r="A74" s="93">
        <v>5250</v>
      </c>
      <c r="B74" s="95" t="s">
        <v>166</v>
      </c>
      <c r="C74" s="92">
        <v>2.5000000000000001E-2</v>
      </c>
      <c r="D74" s="94">
        <f>242.66-2.96</f>
        <v>239.7</v>
      </c>
    </row>
    <row r="75" spans="1:7" ht="15.5" x14ac:dyDescent="0.25">
      <c r="A75" s="97"/>
      <c r="B75" s="124" t="s">
        <v>9</v>
      </c>
      <c r="C75" s="124"/>
      <c r="D75" s="96">
        <f>SUM(D34:D74)</f>
        <v>9706.0999999999985</v>
      </c>
    </row>
    <row r="76" spans="1:7" ht="15.5" x14ac:dyDescent="0.25">
      <c r="A76" s="97"/>
      <c r="B76" s="124" t="s">
        <v>46</v>
      </c>
      <c r="C76" s="124"/>
      <c r="D76" s="96">
        <f>D75+D32</f>
        <v>26113.499999999996</v>
      </c>
    </row>
    <row r="77" spans="1:7" ht="15.5" x14ac:dyDescent="0.25">
      <c r="A77" s="125"/>
      <c r="B77" s="102"/>
      <c r="C77" s="102"/>
      <c r="D77" s="103"/>
    </row>
    <row r="78" spans="1:7" ht="15" customHeight="1" x14ac:dyDescent="0.35">
      <c r="A78" s="220" t="s">
        <v>51</v>
      </c>
      <c r="B78" s="221"/>
      <c r="C78" s="101"/>
      <c r="D78" s="126">
        <v>350</v>
      </c>
    </row>
    <row r="79" spans="1:7" ht="15.75" customHeight="1" x14ac:dyDescent="0.35">
      <c r="A79" s="220" t="s">
        <v>73</v>
      </c>
      <c r="B79" s="221"/>
      <c r="C79" s="101"/>
      <c r="D79" s="127">
        <f>D76/D78</f>
        <v>74.609999999999985</v>
      </c>
    </row>
    <row r="80" spans="1:7" ht="15.75" customHeight="1" x14ac:dyDescent="0.35">
      <c r="A80" s="86"/>
      <c r="B80" s="128"/>
      <c r="C80" s="128"/>
      <c r="D80" s="129"/>
      <c r="G80" s="122"/>
    </row>
    <row r="81" spans="1:4" s="132" customFormat="1" ht="15.75" customHeight="1" x14ac:dyDescent="0.35">
      <c r="A81" s="220" t="s">
        <v>52</v>
      </c>
      <c r="B81" s="221"/>
      <c r="C81" s="130"/>
      <c r="D81" s="104"/>
    </row>
    <row r="82" spans="1:4" s="132" customFormat="1" ht="15.75" customHeight="1" x14ac:dyDescent="0.35">
      <c r="A82" s="220" t="s">
        <v>75</v>
      </c>
      <c r="B82" s="221"/>
      <c r="C82" s="130"/>
      <c r="D82" s="104"/>
    </row>
    <row r="83" spans="1:4" s="132" customFormat="1" ht="15.5" x14ac:dyDescent="0.35">
      <c r="A83" s="114"/>
      <c r="B83" s="128"/>
      <c r="C83" s="128"/>
    </row>
    <row r="84" spans="1:4" s="132" customFormat="1" ht="15.5" x14ac:dyDescent="0.35">
      <c r="A84" s="105" t="s">
        <v>53</v>
      </c>
      <c r="B84" s="105"/>
      <c r="C84" s="105"/>
    </row>
    <row r="85" spans="1:4" s="132" customFormat="1" ht="15.5" x14ac:dyDescent="0.35">
      <c r="A85" s="105"/>
      <c r="B85" s="105"/>
      <c r="C85" s="105"/>
    </row>
    <row r="86" spans="1:4" s="132" customFormat="1" ht="15.5" x14ac:dyDescent="0.35">
      <c r="A86" s="105" t="s">
        <v>68</v>
      </c>
      <c r="B86" s="107"/>
      <c r="C86" s="107"/>
      <c r="D86" s="135"/>
    </row>
    <row r="87" spans="1:4" s="132" customFormat="1" ht="13.9" customHeight="1" x14ac:dyDescent="0.35">
      <c r="A87" s="105"/>
      <c r="B87" s="133"/>
      <c r="C87" s="133"/>
    </row>
    <row r="88" spans="1:4" s="132" customFormat="1" ht="13.9" customHeight="1" x14ac:dyDescent="0.3">
      <c r="B88" s="134"/>
      <c r="C88" s="134"/>
    </row>
    <row r="89" spans="1:4" s="113" customFormat="1" x14ac:dyDescent="0.3"/>
  </sheetData>
  <mergeCells count="11">
    <mergeCell ref="A9:B9"/>
    <mergeCell ref="A10:B10"/>
    <mergeCell ref="A78:B78"/>
    <mergeCell ref="A79:B79"/>
    <mergeCell ref="A81:B81"/>
    <mergeCell ref="A82:B82"/>
    <mergeCell ref="A7:C7"/>
    <mergeCell ref="B12:C12"/>
    <mergeCell ref="B13:C13"/>
    <mergeCell ref="B14:C14"/>
    <mergeCell ref="B15:C15"/>
  </mergeCells>
  <pageMargins left="0.56145833333333328" right="0.7729166666666667" top="0.33" bottom="0.59055118110236227" header="0.31496062992125984" footer="0.31496062992125984"/>
  <pageSetup paperSize="9" scale="62" firstPageNumber="8" orientation="portrait" useFirstPageNumber="1" r:id="rId1"/>
  <headerFooter>
    <oddFooter>&amp;F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9"/>
  <sheetViews>
    <sheetView view="pageLayout" zoomScale="90" zoomScaleNormal="90" zoomScalePageLayoutView="90" workbookViewId="0">
      <selection sqref="A1:IV65536"/>
    </sheetView>
  </sheetViews>
  <sheetFormatPr defaultColWidth="9.1796875" defaultRowHeight="14" x14ac:dyDescent="0.3"/>
  <cols>
    <col min="1" max="1" width="12.1796875" style="113" customWidth="1"/>
    <col min="2" max="2" width="97.26953125" style="113" customWidth="1"/>
    <col min="3" max="3" width="11.26953125" style="113" hidden="1" customWidth="1"/>
    <col min="4" max="4" width="26.1796875" style="112" customWidth="1"/>
    <col min="5" max="16384" width="9.1796875" style="112"/>
  </cols>
  <sheetData>
    <row r="1" spans="1:4" ht="15.75" customHeight="1" x14ac:dyDescent="0.35">
      <c r="A1" s="111"/>
      <c r="B1" s="85"/>
      <c r="C1" s="85"/>
      <c r="D1" s="82" t="s">
        <v>50</v>
      </c>
    </row>
    <row r="2" spans="1:4" ht="15.75" customHeight="1" x14ac:dyDescent="0.35">
      <c r="A2" s="111"/>
      <c r="B2" s="85"/>
      <c r="D2" s="81" t="s">
        <v>54</v>
      </c>
    </row>
    <row r="3" spans="1:4" ht="15.5" x14ac:dyDescent="0.35">
      <c r="A3" s="111"/>
      <c r="B3" s="114"/>
      <c r="C3" s="114"/>
      <c r="D3" s="84" t="s">
        <v>76</v>
      </c>
    </row>
    <row r="4" spans="1:4" ht="15.5" x14ac:dyDescent="0.35">
      <c r="A4" s="111"/>
      <c r="B4" s="85"/>
      <c r="C4" s="85"/>
    </row>
    <row r="5" spans="1:4" ht="15.5" x14ac:dyDescent="0.35">
      <c r="A5" s="111"/>
      <c r="B5" s="85"/>
      <c r="C5" s="85"/>
      <c r="D5" s="85" t="s">
        <v>192</v>
      </c>
    </row>
    <row r="6" spans="1:4" x14ac:dyDescent="0.3">
      <c r="A6" s="111"/>
      <c r="B6" s="115"/>
      <c r="C6" s="115"/>
    </row>
    <row r="7" spans="1:4" ht="17.25" customHeight="1" x14ac:dyDescent="0.35">
      <c r="A7" s="222" t="s">
        <v>10</v>
      </c>
      <c r="B7" s="222"/>
      <c r="C7" s="222"/>
    </row>
    <row r="8" spans="1:4" x14ac:dyDescent="0.3">
      <c r="A8" s="116"/>
      <c r="B8" s="117"/>
      <c r="C8" s="117"/>
    </row>
    <row r="9" spans="1:4" ht="15" customHeight="1" x14ac:dyDescent="0.25">
      <c r="A9" s="218" t="s">
        <v>1</v>
      </c>
      <c r="B9" s="219"/>
      <c r="C9" s="118"/>
    </row>
    <row r="10" spans="1:4" ht="15" customHeight="1" x14ac:dyDescent="0.25">
      <c r="A10" s="218" t="s">
        <v>0</v>
      </c>
      <c r="B10" s="219"/>
      <c r="C10" s="118"/>
    </row>
    <row r="11" spans="1:4" ht="15" customHeight="1" x14ac:dyDescent="0.25">
      <c r="A11" s="87"/>
      <c r="B11" s="87" t="s">
        <v>47</v>
      </c>
      <c r="C11" s="87"/>
    </row>
    <row r="12" spans="1:4" ht="15" customHeight="1" x14ac:dyDescent="0.25">
      <c r="A12" s="87"/>
      <c r="B12" s="218" t="s">
        <v>65</v>
      </c>
      <c r="C12" s="218"/>
    </row>
    <row r="13" spans="1:4" ht="15.75" customHeight="1" x14ac:dyDescent="0.25">
      <c r="A13" s="87"/>
      <c r="B13" s="218" t="s">
        <v>176</v>
      </c>
      <c r="C13" s="218"/>
    </row>
    <row r="14" spans="1:4" ht="15.75" customHeight="1" x14ac:dyDescent="0.25">
      <c r="A14" s="87"/>
      <c r="B14" s="218" t="s">
        <v>178</v>
      </c>
      <c r="C14" s="218"/>
    </row>
    <row r="15" spans="1:4" ht="15" customHeight="1" x14ac:dyDescent="0.25">
      <c r="A15" s="87"/>
      <c r="B15" s="218"/>
      <c r="C15" s="218"/>
    </row>
    <row r="16" spans="1:4" ht="15.75" customHeight="1" x14ac:dyDescent="0.25">
      <c r="A16" s="87" t="s">
        <v>2</v>
      </c>
      <c r="B16" s="87" t="s">
        <v>191</v>
      </c>
      <c r="C16" s="87"/>
    </row>
    <row r="17" spans="1:7" ht="63" customHeight="1" x14ac:dyDescent="0.25">
      <c r="A17" s="88" t="s">
        <v>3</v>
      </c>
      <c r="B17" s="88" t="s">
        <v>4</v>
      </c>
      <c r="C17" s="88"/>
      <c r="D17" s="88" t="s">
        <v>72</v>
      </c>
    </row>
    <row r="18" spans="1:7" ht="15" x14ac:dyDescent="0.25">
      <c r="A18" s="89">
        <v>1</v>
      </c>
      <c r="B18" s="90">
        <v>2</v>
      </c>
      <c r="C18" s="90"/>
      <c r="D18" s="90">
        <v>3</v>
      </c>
    </row>
    <row r="19" spans="1:7" ht="15.5" x14ac:dyDescent="0.25">
      <c r="A19" s="119"/>
      <c r="B19" s="120" t="s">
        <v>6</v>
      </c>
      <c r="C19" s="120"/>
      <c r="D19" s="121"/>
    </row>
    <row r="20" spans="1:7" ht="15" customHeight="1" x14ac:dyDescent="0.25">
      <c r="A20" s="93">
        <v>1100</v>
      </c>
      <c r="B20" s="93" t="s">
        <v>134</v>
      </c>
      <c r="C20" s="93"/>
      <c r="D20" s="94">
        <f>23.91*200</f>
        <v>4782</v>
      </c>
      <c r="E20" s="122"/>
      <c r="G20" s="122"/>
    </row>
    <row r="21" spans="1:7" ht="15.5" x14ac:dyDescent="0.35">
      <c r="A21" s="93">
        <v>1200</v>
      </c>
      <c r="B21" s="92" t="s">
        <v>135</v>
      </c>
      <c r="C21" s="92"/>
      <c r="D21" s="94">
        <v>1128.07</v>
      </c>
    </row>
    <row r="22" spans="1:7" ht="15.5" x14ac:dyDescent="0.35">
      <c r="A22" s="93">
        <v>2222</v>
      </c>
      <c r="B22" s="95" t="s">
        <v>139</v>
      </c>
      <c r="C22" s="95"/>
      <c r="D22" s="94">
        <v>145.97</v>
      </c>
    </row>
    <row r="23" spans="1:7" ht="15.5" x14ac:dyDescent="0.35">
      <c r="A23" s="93">
        <v>2223</v>
      </c>
      <c r="B23" s="95" t="s">
        <v>140</v>
      </c>
      <c r="C23" s="95"/>
      <c r="D23" s="94">
        <v>160.58000000000001</v>
      </c>
    </row>
    <row r="24" spans="1:7" ht="15.5" hidden="1" x14ac:dyDescent="0.35">
      <c r="A24" s="93">
        <v>2243</v>
      </c>
      <c r="B24" s="91" t="s">
        <v>147</v>
      </c>
      <c r="C24" s="91"/>
      <c r="D24" s="94">
        <v>0</v>
      </c>
    </row>
    <row r="25" spans="1:7" ht="15.5" x14ac:dyDescent="0.35">
      <c r="A25" s="93">
        <v>2244</v>
      </c>
      <c r="B25" s="91" t="s">
        <v>148</v>
      </c>
      <c r="C25" s="91"/>
      <c r="D25" s="94">
        <f>2.12*200/2</f>
        <v>212</v>
      </c>
    </row>
    <row r="26" spans="1:7" ht="15.5" x14ac:dyDescent="0.35">
      <c r="A26" s="93">
        <v>2312</v>
      </c>
      <c r="B26" s="95" t="s">
        <v>156</v>
      </c>
      <c r="C26" s="91"/>
      <c r="D26" s="94">
        <f>0.28*200</f>
        <v>56.000000000000007</v>
      </c>
    </row>
    <row r="27" spans="1:7" ht="15.5" x14ac:dyDescent="0.35">
      <c r="A27" s="93">
        <v>2321</v>
      </c>
      <c r="B27" s="95" t="s">
        <v>158</v>
      </c>
      <c r="C27" s="95"/>
      <c r="D27" s="94">
        <v>249.2</v>
      </c>
    </row>
    <row r="28" spans="1:7" ht="15.5" x14ac:dyDescent="0.35">
      <c r="A28" s="93">
        <v>2341</v>
      </c>
      <c r="B28" s="95" t="s">
        <v>136</v>
      </c>
      <c r="C28" s="95"/>
      <c r="D28" s="94">
        <v>248.59</v>
      </c>
    </row>
    <row r="29" spans="1:7" ht="15.5" x14ac:dyDescent="0.35">
      <c r="A29" s="93">
        <v>2361</v>
      </c>
      <c r="B29" s="95" t="s">
        <v>170</v>
      </c>
      <c r="C29" s="95"/>
      <c r="D29" s="94">
        <f>2.25*200</f>
        <v>450</v>
      </c>
    </row>
    <row r="30" spans="1:7" ht="15.5" x14ac:dyDescent="0.35">
      <c r="A30" s="93">
        <v>2363</v>
      </c>
      <c r="B30" s="95" t="s">
        <v>172</v>
      </c>
      <c r="C30" s="95"/>
      <c r="D30" s="94">
        <f>8.12*200</f>
        <v>1623.9999999999998</v>
      </c>
    </row>
    <row r="31" spans="1:7" ht="15" customHeight="1" x14ac:dyDescent="0.35">
      <c r="A31" s="93">
        <v>5239</v>
      </c>
      <c r="B31" s="92" t="s">
        <v>165</v>
      </c>
      <c r="C31" s="92"/>
      <c r="D31" s="94">
        <v>61.68</v>
      </c>
    </row>
    <row r="32" spans="1:7" ht="15" customHeight="1" x14ac:dyDescent="0.25">
      <c r="A32" s="93"/>
      <c r="B32" s="123" t="s">
        <v>7</v>
      </c>
      <c r="C32" s="123"/>
      <c r="D32" s="96">
        <f>SUM(D20:D31)</f>
        <v>9118.09</v>
      </c>
      <c r="F32" s="122"/>
      <c r="G32" s="122"/>
    </row>
    <row r="33" spans="1:6" ht="15" customHeight="1" x14ac:dyDescent="0.25">
      <c r="A33" s="97"/>
      <c r="B33" s="93" t="s">
        <v>8</v>
      </c>
      <c r="C33" s="93"/>
      <c r="D33" s="121"/>
    </row>
    <row r="34" spans="1:6" ht="15" customHeight="1" x14ac:dyDescent="0.35">
      <c r="A34" s="93">
        <v>1100</v>
      </c>
      <c r="B34" s="91" t="s">
        <v>134</v>
      </c>
      <c r="C34" s="92">
        <f>0.388+0.024</f>
        <v>0.41200000000000003</v>
      </c>
      <c r="D34" s="94">
        <v>2163.64</v>
      </c>
      <c r="F34" s="122"/>
    </row>
    <row r="35" spans="1:6" ht="15.5" x14ac:dyDescent="0.35">
      <c r="A35" s="93">
        <v>1200</v>
      </c>
      <c r="B35" s="91" t="s">
        <v>135</v>
      </c>
      <c r="C35" s="92">
        <f>C34*0.2359</f>
        <v>9.7190800000000008E-2</v>
      </c>
      <c r="D35" s="94">
        <v>510.4</v>
      </c>
    </row>
    <row r="36" spans="1:6" ht="15.5" x14ac:dyDescent="0.35">
      <c r="A36" s="93">
        <v>2100</v>
      </c>
      <c r="B36" s="98" t="s">
        <v>44</v>
      </c>
      <c r="C36" s="92">
        <v>1.1659999999999999E-3</v>
      </c>
      <c r="D36" s="94">
        <v>5.32</v>
      </c>
    </row>
    <row r="37" spans="1:6" ht="15.5" x14ac:dyDescent="0.35">
      <c r="A37" s="99">
        <v>2210</v>
      </c>
      <c r="B37" s="95" t="s">
        <v>138</v>
      </c>
      <c r="C37" s="92">
        <v>7.6E-3</v>
      </c>
      <c r="D37" s="94">
        <v>30.2</v>
      </c>
    </row>
    <row r="38" spans="1:6" ht="15" customHeight="1" x14ac:dyDescent="0.35">
      <c r="A38" s="93">
        <v>2222</v>
      </c>
      <c r="B38" s="95" t="s">
        <v>139</v>
      </c>
      <c r="C38" s="92">
        <v>9.4999999999999998E-3</v>
      </c>
      <c r="D38" s="94">
        <v>40.5</v>
      </c>
    </row>
    <row r="39" spans="1:6" ht="15" customHeight="1" x14ac:dyDescent="0.35">
      <c r="A39" s="93">
        <v>2223</v>
      </c>
      <c r="B39" s="95" t="s">
        <v>140</v>
      </c>
      <c r="C39" s="92">
        <v>1.9019999999999999E-2</v>
      </c>
      <c r="D39" s="94">
        <v>92.12</v>
      </c>
    </row>
    <row r="40" spans="1:6" ht="31" x14ac:dyDescent="0.35">
      <c r="A40" s="93">
        <v>2224</v>
      </c>
      <c r="B40" s="95" t="s">
        <v>141</v>
      </c>
      <c r="C40" s="92">
        <v>4.9500000000000004E-3</v>
      </c>
      <c r="D40" s="94">
        <v>20.84</v>
      </c>
    </row>
    <row r="41" spans="1:6" ht="15.5" x14ac:dyDescent="0.35">
      <c r="A41" s="93">
        <v>2231</v>
      </c>
      <c r="B41" s="91" t="s">
        <v>142</v>
      </c>
      <c r="C41" s="92">
        <v>1.5499999999999999E-3</v>
      </c>
      <c r="D41" s="94">
        <v>7.4</v>
      </c>
    </row>
    <row r="42" spans="1:6" ht="15.5" x14ac:dyDescent="0.35">
      <c r="A42" s="93">
        <v>2235</v>
      </c>
      <c r="B42" s="100" t="s">
        <v>143</v>
      </c>
      <c r="C42" s="92">
        <v>1.65E-3</v>
      </c>
      <c r="D42" s="94">
        <v>7.95</v>
      </c>
    </row>
    <row r="43" spans="1:6" ht="15" customHeight="1" x14ac:dyDescent="0.35">
      <c r="A43" s="93">
        <v>2239</v>
      </c>
      <c r="B43" s="91" t="s">
        <v>144</v>
      </c>
      <c r="C43" s="92">
        <v>4.4099999999999999E-3</v>
      </c>
      <c r="D43" s="94">
        <v>22.91</v>
      </c>
    </row>
    <row r="44" spans="1:6" ht="15.5" x14ac:dyDescent="0.35">
      <c r="A44" s="93">
        <v>2241</v>
      </c>
      <c r="B44" s="91" t="s">
        <v>145</v>
      </c>
      <c r="C44" s="92">
        <v>1.6500000000000001E-2</v>
      </c>
      <c r="D44" s="94">
        <v>88.45</v>
      </c>
    </row>
    <row r="45" spans="1:6" ht="15.5" x14ac:dyDescent="0.35">
      <c r="A45" s="93">
        <v>2242</v>
      </c>
      <c r="B45" s="95" t="s">
        <v>146</v>
      </c>
      <c r="C45" s="92">
        <v>2.2599999999999999E-3</v>
      </c>
      <c r="D45" s="94">
        <v>11.25</v>
      </c>
    </row>
    <row r="46" spans="1:6" ht="14.25" customHeight="1" x14ac:dyDescent="0.35">
      <c r="A46" s="93">
        <v>2243</v>
      </c>
      <c r="B46" s="91" t="s">
        <v>147</v>
      </c>
      <c r="C46" s="92">
        <v>3.2599999999999997E-2</v>
      </c>
      <c r="D46" s="94">
        <v>153.74</v>
      </c>
    </row>
    <row r="47" spans="1:6" ht="15" customHeight="1" x14ac:dyDescent="0.35">
      <c r="A47" s="93">
        <v>2244</v>
      </c>
      <c r="B47" s="91" t="s">
        <v>148</v>
      </c>
      <c r="C47" s="92">
        <v>0.20397000000000001</v>
      </c>
      <c r="D47" s="94">
        <v>1105.82</v>
      </c>
    </row>
    <row r="48" spans="1:6" ht="15" customHeight="1" x14ac:dyDescent="0.35">
      <c r="A48" s="93">
        <v>2247</v>
      </c>
      <c r="B48" s="91" t="s">
        <v>149</v>
      </c>
      <c r="C48" s="92">
        <v>7.1900000000000002E-4</v>
      </c>
      <c r="D48" s="94">
        <v>2.9</v>
      </c>
    </row>
    <row r="49" spans="1:4" ht="15.5" x14ac:dyDescent="0.35">
      <c r="A49" s="93">
        <v>2249</v>
      </c>
      <c r="B49" s="91" t="s">
        <v>150</v>
      </c>
      <c r="C49" s="92">
        <v>2.32E-4</v>
      </c>
      <c r="D49" s="94">
        <v>1.26</v>
      </c>
    </row>
    <row r="50" spans="1:4" ht="15.5" x14ac:dyDescent="0.35">
      <c r="A50" s="93">
        <v>2250</v>
      </c>
      <c r="B50" s="91" t="s">
        <v>151</v>
      </c>
      <c r="C50" s="92">
        <v>2.4025999999999999E-2</v>
      </c>
      <c r="D50" s="94">
        <v>120.26</v>
      </c>
    </row>
    <row r="51" spans="1:4" ht="15.5" hidden="1" x14ac:dyDescent="0.35">
      <c r="A51" s="93">
        <v>2261</v>
      </c>
      <c r="B51" s="95" t="s">
        <v>169</v>
      </c>
      <c r="C51" s="92">
        <v>0</v>
      </c>
      <c r="D51" s="94">
        <v>0</v>
      </c>
    </row>
    <row r="52" spans="1:4" ht="15.5" x14ac:dyDescent="0.35">
      <c r="A52" s="93">
        <v>2262</v>
      </c>
      <c r="B52" s="95" t="s">
        <v>152</v>
      </c>
      <c r="C52" s="92">
        <v>6.2599999999999999E-3</v>
      </c>
      <c r="D52" s="94">
        <v>32.94</v>
      </c>
    </row>
    <row r="53" spans="1:4" ht="15.5" x14ac:dyDescent="0.35">
      <c r="A53" s="93">
        <v>2263</v>
      </c>
      <c r="B53" s="95" t="s">
        <v>153</v>
      </c>
      <c r="C53" s="92">
        <v>4.58E-2</v>
      </c>
      <c r="D53" s="94">
        <v>243.3</v>
      </c>
    </row>
    <row r="54" spans="1:4" ht="15.5" x14ac:dyDescent="0.35">
      <c r="A54" s="93">
        <v>2264</v>
      </c>
      <c r="B54" s="91" t="s">
        <v>154</v>
      </c>
      <c r="C54" s="92">
        <v>1.49E-3</v>
      </c>
      <c r="D54" s="94">
        <v>7.08</v>
      </c>
    </row>
    <row r="55" spans="1:4" ht="15" customHeight="1" x14ac:dyDescent="0.35">
      <c r="A55" s="93">
        <v>2311</v>
      </c>
      <c r="B55" s="95" t="s">
        <v>155</v>
      </c>
      <c r="C55" s="92">
        <v>4.7699999999999999E-3</v>
      </c>
      <c r="D55" s="94">
        <v>24.86</v>
      </c>
    </row>
    <row r="56" spans="1:4" ht="15" customHeight="1" x14ac:dyDescent="0.35">
      <c r="A56" s="93">
        <v>2312</v>
      </c>
      <c r="B56" s="95" t="s">
        <v>156</v>
      </c>
      <c r="C56" s="92">
        <v>5.79E-3</v>
      </c>
      <c r="D56" s="94">
        <v>30.39</v>
      </c>
    </row>
    <row r="57" spans="1:4" ht="15" customHeight="1" x14ac:dyDescent="0.35">
      <c r="A57" s="93">
        <v>2314</v>
      </c>
      <c r="B57" s="100" t="s">
        <v>157</v>
      </c>
      <c r="C57" s="92">
        <v>2.2200000000000002E-3</v>
      </c>
      <c r="D57" s="94">
        <v>11.04</v>
      </c>
    </row>
    <row r="58" spans="1:4" ht="15" customHeight="1" x14ac:dyDescent="0.35">
      <c r="A58" s="93">
        <v>2321</v>
      </c>
      <c r="B58" s="95" t="s">
        <v>158</v>
      </c>
      <c r="C58" s="92">
        <v>1.9800000000000002E-2</v>
      </c>
      <c r="D58" s="94">
        <v>106.95</v>
      </c>
    </row>
    <row r="59" spans="1:4" ht="15" customHeight="1" x14ac:dyDescent="0.35">
      <c r="A59" s="93">
        <v>2322</v>
      </c>
      <c r="B59" s="95" t="s">
        <v>159</v>
      </c>
      <c r="C59" s="92">
        <v>3.5000000000000001E-3</v>
      </c>
      <c r="D59" s="94">
        <v>17.98</v>
      </c>
    </row>
    <row r="60" spans="1:4" ht="15" hidden="1" customHeight="1" x14ac:dyDescent="0.35">
      <c r="A60" s="93">
        <v>2341</v>
      </c>
      <c r="B60" s="95" t="s">
        <v>136</v>
      </c>
      <c r="C60" s="92"/>
      <c r="D60" s="94">
        <v>0</v>
      </c>
    </row>
    <row r="61" spans="1:4" ht="15.75" customHeight="1" x14ac:dyDescent="0.35">
      <c r="A61" s="93">
        <v>2350</v>
      </c>
      <c r="B61" s="92" t="s">
        <v>137</v>
      </c>
      <c r="C61" s="92">
        <v>8.5000000000000006E-3</v>
      </c>
      <c r="D61" s="94">
        <v>45.08</v>
      </c>
    </row>
    <row r="62" spans="1:4" ht="15.5" hidden="1" x14ac:dyDescent="0.35">
      <c r="A62" s="93">
        <v>2361</v>
      </c>
      <c r="B62" s="95" t="s">
        <v>170</v>
      </c>
      <c r="C62" s="92">
        <v>0</v>
      </c>
      <c r="D62" s="94">
        <v>0</v>
      </c>
    </row>
    <row r="63" spans="1:4" ht="15.5" hidden="1" x14ac:dyDescent="0.35">
      <c r="A63" s="93">
        <v>2362</v>
      </c>
      <c r="B63" s="95" t="s">
        <v>171</v>
      </c>
      <c r="C63" s="92">
        <v>0</v>
      </c>
      <c r="D63" s="94">
        <v>0</v>
      </c>
    </row>
    <row r="64" spans="1:4" ht="15.5" hidden="1" x14ac:dyDescent="0.35">
      <c r="A64" s="93">
        <v>2363</v>
      </c>
      <c r="B64" s="95" t="s">
        <v>172</v>
      </c>
      <c r="C64" s="92">
        <v>0</v>
      </c>
      <c r="D64" s="94">
        <v>0</v>
      </c>
    </row>
    <row r="65" spans="1:7" ht="15.5" hidden="1" x14ac:dyDescent="0.35">
      <c r="A65" s="93">
        <v>2370</v>
      </c>
      <c r="B65" s="95" t="s">
        <v>173</v>
      </c>
      <c r="C65" s="92">
        <v>0</v>
      </c>
      <c r="D65" s="94">
        <v>0</v>
      </c>
    </row>
    <row r="66" spans="1:7" ht="15.5" hidden="1" x14ac:dyDescent="0.35">
      <c r="A66" s="93">
        <v>2400</v>
      </c>
      <c r="B66" s="95" t="s">
        <v>174</v>
      </c>
      <c r="C66" s="92">
        <v>0</v>
      </c>
      <c r="D66" s="94">
        <v>0</v>
      </c>
    </row>
    <row r="67" spans="1:7" ht="15" hidden="1" customHeight="1" x14ac:dyDescent="0.35">
      <c r="A67" s="93">
        <v>2512</v>
      </c>
      <c r="B67" s="95" t="s">
        <v>175</v>
      </c>
      <c r="C67" s="92">
        <v>0</v>
      </c>
      <c r="D67" s="94">
        <v>0</v>
      </c>
    </row>
    <row r="68" spans="1:7" ht="15.5" x14ac:dyDescent="0.35">
      <c r="A68" s="93">
        <v>2513</v>
      </c>
      <c r="B68" s="92" t="s">
        <v>160</v>
      </c>
      <c r="C68" s="92">
        <v>1.4599999999999999E-3</v>
      </c>
      <c r="D68" s="94">
        <v>6.92</v>
      </c>
    </row>
    <row r="69" spans="1:7" ht="15.5" x14ac:dyDescent="0.35">
      <c r="A69" s="93">
        <v>2515</v>
      </c>
      <c r="B69" s="95" t="s">
        <v>161</v>
      </c>
      <c r="C69" s="92">
        <v>1.9E-3</v>
      </c>
      <c r="D69" s="94">
        <v>9.3000000000000007</v>
      </c>
    </row>
    <row r="70" spans="1:7" ht="15.5" x14ac:dyDescent="0.35">
      <c r="A70" s="93">
        <v>2519</v>
      </c>
      <c r="B70" s="95" t="s">
        <v>162</v>
      </c>
      <c r="C70" s="92">
        <v>2E-3</v>
      </c>
      <c r="D70" s="94">
        <v>9.84</v>
      </c>
    </row>
    <row r="71" spans="1:7" ht="15.5" x14ac:dyDescent="0.35">
      <c r="A71" s="93">
        <v>5220</v>
      </c>
      <c r="B71" s="95" t="s">
        <v>163</v>
      </c>
      <c r="C71" s="92">
        <v>1.06E-2</v>
      </c>
      <c r="D71" s="94">
        <v>56.47</v>
      </c>
    </row>
    <row r="72" spans="1:7" ht="15.5" x14ac:dyDescent="0.35">
      <c r="A72" s="93">
        <v>5238</v>
      </c>
      <c r="B72" s="92" t="s">
        <v>164</v>
      </c>
      <c r="C72" s="92">
        <v>1.65E-3</v>
      </c>
      <c r="D72" s="94">
        <v>7.95</v>
      </c>
    </row>
    <row r="73" spans="1:7" ht="15.5" x14ac:dyDescent="0.35">
      <c r="A73" s="93">
        <v>5239</v>
      </c>
      <c r="B73" s="92" t="s">
        <v>165</v>
      </c>
      <c r="C73" s="92">
        <v>1.9800000000000002E-2</v>
      </c>
      <c r="D73" s="94">
        <v>106.34</v>
      </c>
    </row>
    <row r="74" spans="1:7" ht="15.5" x14ac:dyDescent="0.35">
      <c r="A74" s="93">
        <v>5250</v>
      </c>
      <c r="B74" s="95" t="s">
        <v>166</v>
      </c>
      <c r="C74" s="92">
        <v>2.5000000000000001E-2</v>
      </c>
      <c r="D74" s="94">
        <v>130.51</v>
      </c>
    </row>
    <row r="75" spans="1:7" ht="15.5" x14ac:dyDescent="0.25">
      <c r="A75" s="97"/>
      <c r="B75" s="124" t="s">
        <v>9</v>
      </c>
      <c r="C75" s="124"/>
      <c r="D75" s="96">
        <f>SUM(D34:D74)</f>
        <v>5231.9099999999989</v>
      </c>
    </row>
    <row r="76" spans="1:7" ht="15.5" x14ac:dyDescent="0.25">
      <c r="A76" s="97"/>
      <c r="B76" s="124" t="s">
        <v>46</v>
      </c>
      <c r="C76" s="124"/>
      <c r="D76" s="96">
        <f>D75+D32</f>
        <v>14350</v>
      </c>
    </row>
    <row r="77" spans="1:7" ht="15.5" x14ac:dyDescent="0.25">
      <c r="A77" s="125"/>
      <c r="B77" s="102"/>
      <c r="C77" s="102"/>
      <c r="D77" s="103"/>
    </row>
    <row r="78" spans="1:7" ht="15" customHeight="1" x14ac:dyDescent="0.35">
      <c r="A78" s="220" t="s">
        <v>51</v>
      </c>
      <c r="B78" s="221"/>
      <c r="C78" s="101"/>
      <c r="D78" s="126">
        <v>200</v>
      </c>
    </row>
    <row r="79" spans="1:7" ht="15.75" customHeight="1" x14ac:dyDescent="0.35">
      <c r="A79" s="220" t="s">
        <v>73</v>
      </c>
      <c r="B79" s="221"/>
      <c r="C79" s="101"/>
      <c r="D79" s="127">
        <f>D76/D78</f>
        <v>71.75</v>
      </c>
      <c r="F79" s="122"/>
      <c r="G79" s="122"/>
    </row>
    <row r="80" spans="1:7" ht="15.75" customHeight="1" x14ac:dyDescent="0.35">
      <c r="A80" s="86"/>
      <c r="B80" s="128"/>
      <c r="C80" s="128"/>
      <c r="D80" s="129"/>
    </row>
    <row r="81" spans="1:4" s="132" customFormat="1" ht="15.75" customHeight="1" x14ac:dyDescent="0.35">
      <c r="A81" s="220" t="s">
        <v>52</v>
      </c>
      <c r="B81" s="221"/>
      <c r="C81" s="130"/>
      <c r="D81" s="131"/>
    </row>
    <row r="82" spans="1:4" s="132" customFormat="1" ht="15.75" customHeight="1" x14ac:dyDescent="0.35">
      <c r="A82" s="220" t="s">
        <v>75</v>
      </c>
      <c r="B82" s="221"/>
      <c r="C82" s="130"/>
      <c r="D82" s="104"/>
    </row>
    <row r="83" spans="1:4" s="132" customFormat="1" ht="15.5" x14ac:dyDescent="0.35">
      <c r="A83" s="114"/>
      <c r="B83" s="128"/>
      <c r="C83" s="128"/>
    </row>
    <row r="84" spans="1:4" s="132" customFormat="1" ht="15.5" x14ac:dyDescent="0.35">
      <c r="A84" s="105" t="s">
        <v>53</v>
      </c>
      <c r="B84" s="105"/>
      <c r="C84" s="105"/>
    </row>
    <row r="85" spans="1:4" s="132" customFormat="1" ht="15.5" x14ac:dyDescent="0.35">
      <c r="A85" s="105"/>
      <c r="B85" s="105"/>
      <c r="C85" s="105"/>
    </row>
    <row r="86" spans="1:4" s="132" customFormat="1" ht="15.5" x14ac:dyDescent="0.35">
      <c r="A86" s="105" t="s">
        <v>68</v>
      </c>
      <c r="B86" s="107"/>
      <c r="C86" s="107"/>
    </row>
    <row r="87" spans="1:4" s="132" customFormat="1" ht="13.9" customHeight="1" x14ac:dyDescent="0.35">
      <c r="A87" s="105"/>
      <c r="B87" s="133"/>
      <c r="C87" s="133"/>
    </row>
    <row r="88" spans="1:4" s="132" customFormat="1" ht="13.9" customHeight="1" x14ac:dyDescent="0.3">
      <c r="B88" s="134"/>
      <c r="C88" s="134"/>
    </row>
    <row r="89" spans="1:4" s="113" customFormat="1" x14ac:dyDescent="0.3"/>
  </sheetData>
  <mergeCells count="11">
    <mergeCell ref="A9:B9"/>
    <mergeCell ref="A10:B10"/>
    <mergeCell ref="A78:B78"/>
    <mergeCell ref="A79:B79"/>
    <mergeCell ref="A81:B81"/>
    <mergeCell ref="A82:B82"/>
    <mergeCell ref="A7:C7"/>
    <mergeCell ref="B12:C12"/>
    <mergeCell ref="B13:C13"/>
    <mergeCell ref="B14:C14"/>
    <mergeCell ref="B15:C15"/>
  </mergeCells>
  <pageMargins left="0.94488188976377963" right="0.55118110236220474" top="0.59055118110236227" bottom="0.62992125984251968" header="0.31496062992125984" footer="0.31496062992125984"/>
  <pageSetup paperSize="9" scale="61" firstPageNumber="9" orientation="portrait" useFirstPageNumber="1" r:id="rId1"/>
  <headerFooter>
    <oddFooter>&amp;F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8"/>
  <sheetViews>
    <sheetView view="pageLayout" topLeftCell="A7" zoomScale="90" zoomScaleNormal="90" zoomScalePageLayoutView="90" workbookViewId="0">
      <selection activeCell="A7" sqref="A1:IV65536"/>
    </sheetView>
  </sheetViews>
  <sheetFormatPr defaultColWidth="9.1796875" defaultRowHeight="15.5" x14ac:dyDescent="0.35"/>
  <cols>
    <col min="1" max="1" width="12.1796875" style="136" customWidth="1"/>
    <col min="2" max="2" width="97.26953125" style="136" customWidth="1"/>
    <col min="3" max="3" width="11.26953125" style="136" hidden="1" customWidth="1"/>
    <col min="4" max="4" width="26.1796875" style="136" customWidth="1"/>
    <col min="5" max="16384" width="9.1796875" style="136"/>
  </cols>
  <sheetData>
    <row r="1" spans="1:4" ht="15.75" customHeight="1" x14ac:dyDescent="0.35">
      <c r="A1" s="83"/>
      <c r="B1" s="85"/>
      <c r="C1" s="85"/>
      <c r="D1" s="82" t="s">
        <v>50</v>
      </c>
    </row>
    <row r="2" spans="1:4" ht="15.75" customHeight="1" x14ac:dyDescent="0.35">
      <c r="A2" s="83"/>
      <c r="B2" s="85"/>
      <c r="D2" s="81" t="s">
        <v>54</v>
      </c>
    </row>
    <row r="3" spans="1:4" x14ac:dyDescent="0.35">
      <c r="A3" s="83"/>
      <c r="B3" s="114"/>
      <c r="C3" s="114"/>
      <c r="D3" s="84" t="s">
        <v>76</v>
      </c>
    </row>
    <row r="4" spans="1:4" x14ac:dyDescent="0.35">
      <c r="A4" s="83"/>
      <c r="B4" s="85"/>
      <c r="C4" s="85"/>
    </row>
    <row r="5" spans="1:4" x14ac:dyDescent="0.35">
      <c r="A5" s="83"/>
      <c r="B5" s="85"/>
      <c r="C5" s="85"/>
      <c r="D5" s="85" t="s">
        <v>192</v>
      </c>
    </row>
    <row r="6" spans="1:4" x14ac:dyDescent="0.35">
      <c r="A6" s="83"/>
      <c r="B6" s="81"/>
      <c r="C6" s="81"/>
    </row>
    <row r="7" spans="1:4" ht="17.25" customHeight="1" x14ac:dyDescent="0.35">
      <c r="A7" s="223" t="s">
        <v>10</v>
      </c>
      <c r="B7" s="223"/>
      <c r="C7" s="223"/>
    </row>
    <row r="8" spans="1:4" x14ac:dyDescent="0.35">
      <c r="A8" s="137"/>
      <c r="B8" s="138"/>
      <c r="C8" s="138"/>
    </row>
    <row r="9" spans="1:4" ht="15" customHeight="1" x14ac:dyDescent="0.35">
      <c r="A9" s="218" t="s">
        <v>1</v>
      </c>
      <c r="B9" s="219"/>
      <c r="C9" s="118"/>
    </row>
    <row r="10" spans="1:4" ht="15" customHeight="1" x14ac:dyDescent="0.35">
      <c r="A10" s="218" t="s">
        <v>0</v>
      </c>
      <c r="B10" s="219"/>
      <c r="C10" s="118"/>
    </row>
    <row r="11" spans="1:4" ht="15" customHeight="1" x14ac:dyDescent="0.35">
      <c r="A11" s="87"/>
      <c r="B11" s="87" t="s">
        <v>47</v>
      </c>
      <c r="C11" s="87"/>
    </row>
    <row r="12" spans="1:4" ht="15" customHeight="1" x14ac:dyDescent="0.35">
      <c r="A12" s="87"/>
      <c r="B12" s="218" t="s">
        <v>65</v>
      </c>
      <c r="C12" s="218"/>
    </row>
    <row r="13" spans="1:4" ht="15.75" customHeight="1" x14ac:dyDescent="0.35">
      <c r="A13" s="87"/>
      <c r="B13" s="218" t="s">
        <v>176</v>
      </c>
      <c r="C13" s="218"/>
    </row>
    <row r="14" spans="1:4" ht="15.75" customHeight="1" x14ac:dyDescent="0.35">
      <c r="A14" s="87"/>
      <c r="B14" s="218" t="s">
        <v>179</v>
      </c>
      <c r="C14" s="218"/>
    </row>
    <row r="15" spans="1:4" ht="15" customHeight="1" x14ac:dyDescent="0.35">
      <c r="A15" s="87"/>
      <c r="B15" s="218"/>
      <c r="C15" s="218"/>
    </row>
    <row r="16" spans="1:4" ht="15.75" customHeight="1" x14ac:dyDescent="0.35">
      <c r="A16" s="87" t="s">
        <v>2</v>
      </c>
      <c r="B16" s="87" t="s">
        <v>191</v>
      </c>
      <c r="C16" s="87"/>
    </row>
    <row r="17" spans="1:7" ht="63" customHeight="1" x14ac:dyDescent="0.35">
      <c r="A17" s="88" t="s">
        <v>3</v>
      </c>
      <c r="B17" s="88" t="s">
        <v>4</v>
      </c>
      <c r="C17" s="88"/>
      <c r="D17" s="88" t="s">
        <v>72</v>
      </c>
    </row>
    <row r="18" spans="1:7" x14ac:dyDescent="0.35">
      <c r="A18" s="89">
        <v>1</v>
      </c>
      <c r="B18" s="90">
        <v>2</v>
      </c>
      <c r="C18" s="90"/>
      <c r="D18" s="90">
        <v>3</v>
      </c>
    </row>
    <row r="19" spans="1:7" x14ac:dyDescent="0.35">
      <c r="A19" s="119"/>
      <c r="B19" s="120" t="s">
        <v>6</v>
      </c>
      <c r="C19" s="120"/>
      <c r="D19" s="121"/>
    </row>
    <row r="20" spans="1:7" ht="15" customHeight="1" x14ac:dyDescent="0.35">
      <c r="A20" s="93">
        <v>1100</v>
      </c>
      <c r="B20" s="93" t="s">
        <v>134</v>
      </c>
      <c r="C20" s="93"/>
      <c r="D20" s="94">
        <f>23.91*50</f>
        <v>1195.5</v>
      </c>
      <c r="E20" s="139"/>
      <c r="G20" s="139"/>
    </row>
    <row r="21" spans="1:7" x14ac:dyDescent="0.35">
      <c r="A21" s="93">
        <v>1200</v>
      </c>
      <c r="B21" s="92" t="s">
        <v>135</v>
      </c>
      <c r="C21" s="92"/>
      <c r="D21" s="94">
        <v>282.02</v>
      </c>
    </row>
    <row r="22" spans="1:7" x14ac:dyDescent="0.35">
      <c r="A22" s="93">
        <v>2222</v>
      </c>
      <c r="B22" s="95" t="s">
        <v>139</v>
      </c>
      <c r="C22" s="95"/>
      <c r="D22" s="94">
        <v>37.590000000000003</v>
      </c>
    </row>
    <row r="23" spans="1:7" x14ac:dyDescent="0.35">
      <c r="A23" s="93">
        <v>2223</v>
      </c>
      <c r="B23" s="95" t="s">
        <v>140</v>
      </c>
      <c r="C23" s="95"/>
      <c r="D23" s="94">
        <v>41.35</v>
      </c>
    </row>
    <row r="24" spans="1:7" hidden="1" x14ac:dyDescent="0.35">
      <c r="A24" s="93">
        <v>2243</v>
      </c>
      <c r="B24" s="91" t="s">
        <v>147</v>
      </c>
      <c r="C24" s="91"/>
      <c r="D24" s="94">
        <v>0</v>
      </c>
    </row>
    <row r="25" spans="1:7" x14ac:dyDescent="0.35">
      <c r="A25" s="93">
        <v>2244</v>
      </c>
      <c r="B25" s="91" t="s">
        <v>148</v>
      </c>
      <c r="C25" s="91"/>
      <c r="D25" s="94">
        <f>2.12*50</f>
        <v>106</v>
      </c>
    </row>
    <row r="26" spans="1:7" x14ac:dyDescent="0.35">
      <c r="A26" s="93">
        <v>2312</v>
      </c>
      <c r="B26" s="95" t="s">
        <v>156</v>
      </c>
      <c r="C26" s="91"/>
      <c r="D26" s="94">
        <f>0.28*50</f>
        <v>14.000000000000002</v>
      </c>
    </row>
    <row r="27" spans="1:7" x14ac:dyDescent="0.35">
      <c r="A27" s="93">
        <v>2321</v>
      </c>
      <c r="B27" s="95" t="s">
        <v>158</v>
      </c>
      <c r="C27" s="95"/>
      <c r="D27" s="94">
        <v>64.17</v>
      </c>
    </row>
    <row r="28" spans="1:7" x14ac:dyDescent="0.35">
      <c r="A28" s="93">
        <v>2341</v>
      </c>
      <c r="B28" s="95" t="s">
        <v>136</v>
      </c>
      <c r="C28" s="95"/>
      <c r="D28" s="94">
        <v>64.010000000000005</v>
      </c>
    </row>
    <row r="29" spans="1:7" x14ac:dyDescent="0.35">
      <c r="A29" s="93">
        <v>2361</v>
      </c>
      <c r="B29" s="95" t="s">
        <v>170</v>
      </c>
      <c r="C29" s="95"/>
      <c r="D29" s="94">
        <f>2.25*50</f>
        <v>112.5</v>
      </c>
    </row>
    <row r="30" spans="1:7" x14ac:dyDescent="0.35">
      <c r="A30" s="93">
        <v>2363</v>
      </c>
      <c r="B30" s="95" t="s">
        <v>172</v>
      </c>
      <c r="C30" s="95"/>
      <c r="D30" s="94">
        <f>8.12*50</f>
        <v>405.99999999999994</v>
      </c>
    </row>
    <row r="31" spans="1:7" ht="15" customHeight="1" x14ac:dyDescent="0.35">
      <c r="A31" s="93">
        <v>5239</v>
      </c>
      <c r="B31" s="92" t="s">
        <v>165</v>
      </c>
      <c r="C31" s="92"/>
      <c r="D31" s="94">
        <v>15.88</v>
      </c>
    </row>
    <row r="32" spans="1:7" ht="15" customHeight="1" x14ac:dyDescent="0.35">
      <c r="A32" s="93"/>
      <c r="B32" s="123" t="s">
        <v>7</v>
      </c>
      <c r="C32" s="123"/>
      <c r="D32" s="96">
        <f>SUM(D20:D31)</f>
        <v>2339.02</v>
      </c>
      <c r="F32" s="139"/>
      <c r="G32" s="139"/>
    </row>
    <row r="33" spans="1:6" ht="15" customHeight="1" x14ac:dyDescent="0.35">
      <c r="A33" s="97"/>
      <c r="B33" s="93" t="s">
        <v>8</v>
      </c>
      <c r="C33" s="93"/>
      <c r="D33" s="121"/>
    </row>
    <row r="34" spans="1:6" ht="15" customHeight="1" x14ac:dyDescent="0.35">
      <c r="A34" s="93">
        <v>1100</v>
      </c>
      <c r="B34" s="91" t="s">
        <v>134</v>
      </c>
      <c r="C34" s="92">
        <f>0.388+0.024</f>
        <v>0.41200000000000003</v>
      </c>
      <c r="D34" s="94">
        <v>561.16</v>
      </c>
      <c r="F34" s="139"/>
    </row>
    <row r="35" spans="1:6" x14ac:dyDescent="0.35">
      <c r="A35" s="93">
        <v>1200</v>
      </c>
      <c r="B35" s="91" t="s">
        <v>135</v>
      </c>
      <c r="C35" s="92">
        <f>C34*0.2359</f>
        <v>9.7190800000000008E-2</v>
      </c>
      <c r="D35" s="94">
        <v>132.38</v>
      </c>
    </row>
    <row r="36" spans="1:6" x14ac:dyDescent="0.35">
      <c r="A36" s="93">
        <v>2100</v>
      </c>
      <c r="B36" s="98" t="s">
        <v>44</v>
      </c>
      <c r="C36" s="92">
        <v>1.1659999999999999E-3</v>
      </c>
      <c r="D36" s="94">
        <v>1.62</v>
      </c>
    </row>
    <row r="37" spans="1:6" x14ac:dyDescent="0.35">
      <c r="A37" s="99">
        <v>2210</v>
      </c>
      <c r="B37" s="95" t="s">
        <v>138</v>
      </c>
      <c r="C37" s="92">
        <v>7.6E-3</v>
      </c>
      <c r="D37" s="94">
        <v>10.54</v>
      </c>
    </row>
    <row r="38" spans="1:6" ht="15" customHeight="1" x14ac:dyDescent="0.35">
      <c r="A38" s="93">
        <v>2222</v>
      </c>
      <c r="B38" s="95" t="s">
        <v>139</v>
      </c>
      <c r="C38" s="92">
        <v>9.4999999999999998E-3</v>
      </c>
      <c r="D38" s="94">
        <v>13.17</v>
      </c>
    </row>
    <row r="39" spans="1:6" ht="15" customHeight="1" x14ac:dyDescent="0.35">
      <c r="A39" s="93">
        <v>2223</v>
      </c>
      <c r="B39" s="95" t="s">
        <v>140</v>
      </c>
      <c r="C39" s="92">
        <v>1.9019999999999999E-2</v>
      </c>
      <c r="D39" s="94">
        <v>26.37</v>
      </c>
    </row>
    <row r="40" spans="1:6" ht="31" x14ac:dyDescent="0.35">
      <c r="A40" s="93">
        <v>2224</v>
      </c>
      <c r="B40" s="95" t="s">
        <v>141</v>
      </c>
      <c r="C40" s="92">
        <v>4.9500000000000004E-3</v>
      </c>
      <c r="D40" s="94">
        <v>6.86</v>
      </c>
    </row>
    <row r="41" spans="1:6" x14ac:dyDescent="0.35">
      <c r="A41" s="93">
        <v>2231</v>
      </c>
      <c r="B41" s="91" t="s">
        <v>142</v>
      </c>
      <c r="C41" s="92">
        <v>1.5499999999999999E-3</v>
      </c>
      <c r="D41" s="94">
        <v>2.15</v>
      </c>
    </row>
    <row r="42" spans="1:6" x14ac:dyDescent="0.35">
      <c r="A42" s="93">
        <v>2235</v>
      </c>
      <c r="B42" s="100" t="s">
        <v>143</v>
      </c>
      <c r="C42" s="92">
        <v>1.65E-3</v>
      </c>
      <c r="D42" s="94">
        <v>2.29</v>
      </c>
    </row>
    <row r="43" spans="1:6" ht="15" customHeight="1" x14ac:dyDescent="0.35">
      <c r="A43" s="93">
        <v>2239</v>
      </c>
      <c r="B43" s="91" t="s">
        <v>144</v>
      </c>
      <c r="C43" s="92">
        <v>4.4099999999999999E-3</v>
      </c>
      <c r="D43" s="94">
        <v>6.11</v>
      </c>
    </row>
    <row r="44" spans="1:6" x14ac:dyDescent="0.35">
      <c r="A44" s="93">
        <v>2241</v>
      </c>
      <c r="B44" s="91" t="s">
        <v>145</v>
      </c>
      <c r="C44" s="92">
        <v>1.6500000000000001E-2</v>
      </c>
      <c r="D44" s="94">
        <v>22.87</v>
      </c>
    </row>
    <row r="45" spans="1:6" x14ac:dyDescent="0.35">
      <c r="A45" s="93">
        <v>2242</v>
      </c>
      <c r="B45" s="95" t="s">
        <v>146</v>
      </c>
      <c r="C45" s="92">
        <v>2.2599999999999999E-3</v>
      </c>
      <c r="D45" s="94">
        <v>3.13</v>
      </c>
    </row>
    <row r="46" spans="1:6" ht="14.25" customHeight="1" x14ac:dyDescent="0.35">
      <c r="A46" s="93">
        <v>2243</v>
      </c>
      <c r="B46" s="91" t="s">
        <v>147</v>
      </c>
      <c r="C46" s="92">
        <v>3.2599999999999997E-2</v>
      </c>
      <c r="D46" s="94">
        <v>45.35</v>
      </c>
    </row>
    <row r="47" spans="1:6" ht="15" customHeight="1" x14ac:dyDescent="0.35">
      <c r="A47" s="93">
        <v>2244</v>
      </c>
      <c r="B47" s="91" t="s">
        <v>148</v>
      </c>
      <c r="C47" s="92">
        <v>0.20397000000000001</v>
      </c>
      <c r="D47" s="94">
        <v>282.76</v>
      </c>
    </row>
    <row r="48" spans="1:6" ht="15" customHeight="1" x14ac:dyDescent="0.35">
      <c r="A48" s="93">
        <v>2247</v>
      </c>
      <c r="B48" s="91" t="s">
        <v>149</v>
      </c>
      <c r="C48" s="92">
        <v>7.1900000000000002E-4</v>
      </c>
      <c r="D48" s="94">
        <v>1</v>
      </c>
    </row>
    <row r="49" spans="1:4" x14ac:dyDescent="0.35">
      <c r="A49" s="93">
        <v>2249</v>
      </c>
      <c r="B49" s="91" t="s">
        <v>150</v>
      </c>
      <c r="C49" s="92">
        <v>2.32E-4</v>
      </c>
      <c r="D49" s="94">
        <v>0.32</v>
      </c>
    </row>
    <row r="50" spans="1:4" x14ac:dyDescent="0.35">
      <c r="A50" s="93">
        <v>2250</v>
      </c>
      <c r="B50" s="91" t="s">
        <v>151</v>
      </c>
      <c r="C50" s="92">
        <v>2.4025999999999999E-2</v>
      </c>
      <c r="D50" s="94">
        <v>33.31</v>
      </c>
    </row>
    <row r="51" spans="1:4" hidden="1" x14ac:dyDescent="0.35">
      <c r="A51" s="93">
        <v>2261</v>
      </c>
      <c r="B51" s="95" t="s">
        <v>169</v>
      </c>
      <c r="C51" s="92">
        <v>0</v>
      </c>
      <c r="D51" s="94">
        <v>0</v>
      </c>
    </row>
    <row r="52" spans="1:4" x14ac:dyDescent="0.35">
      <c r="A52" s="93">
        <v>2262</v>
      </c>
      <c r="B52" s="95" t="s">
        <v>152</v>
      </c>
      <c r="C52" s="92">
        <v>6.2599999999999999E-3</v>
      </c>
      <c r="D52" s="94">
        <v>8.68</v>
      </c>
    </row>
    <row r="53" spans="1:4" x14ac:dyDescent="0.35">
      <c r="A53" s="93">
        <v>2263</v>
      </c>
      <c r="B53" s="95" t="s">
        <v>153</v>
      </c>
      <c r="C53" s="92">
        <v>4.58E-2</v>
      </c>
      <c r="D53" s="94">
        <v>63.49</v>
      </c>
    </row>
    <row r="54" spans="1:4" x14ac:dyDescent="0.35">
      <c r="A54" s="93">
        <v>2264</v>
      </c>
      <c r="B54" s="91" t="s">
        <v>154</v>
      </c>
      <c r="C54" s="92">
        <v>1.49E-3</v>
      </c>
      <c r="D54" s="94">
        <v>2.0699999999999998</v>
      </c>
    </row>
    <row r="55" spans="1:4" ht="15" customHeight="1" x14ac:dyDescent="0.35">
      <c r="A55" s="93">
        <v>2311</v>
      </c>
      <c r="B55" s="95" t="s">
        <v>155</v>
      </c>
      <c r="C55" s="92">
        <v>4.7699999999999999E-3</v>
      </c>
      <c r="D55" s="94">
        <v>6.61</v>
      </c>
    </row>
    <row r="56" spans="1:4" ht="15" customHeight="1" x14ac:dyDescent="0.35">
      <c r="A56" s="93">
        <v>2312</v>
      </c>
      <c r="B56" s="95" t="s">
        <v>156</v>
      </c>
      <c r="C56" s="92">
        <v>5.79E-3</v>
      </c>
      <c r="D56" s="94">
        <v>8.0299999999999994</v>
      </c>
    </row>
    <row r="57" spans="1:4" ht="15" customHeight="1" x14ac:dyDescent="0.35">
      <c r="A57" s="93">
        <v>2314</v>
      </c>
      <c r="B57" s="100" t="s">
        <v>157</v>
      </c>
      <c r="C57" s="92">
        <v>2.2200000000000002E-3</v>
      </c>
      <c r="D57" s="94">
        <v>3.08</v>
      </c>
    </row>
    <row r="58" spans="1:4" ht="15" customHeight="1" x14ac:dyDescent="0.35">
      <c r="A58" s="93">
        <v>2321</v>
      </c>
      <c r="B58" s="95" t="s">
        <v>158</v>
      </c>
      <c r="C58" s="92">
        <v>1.9800000000000002E-2</v>
      </c>
      <c r="D58" s="94">
        <v>27.45</v>
      </c>
    </row>
    <row r="59" spans="1:4" ht="15" customHeight="1" x14ac:dyDescent="0.35">
      <c r="A59" s="93">
        <v>2322</v>
      </c>
      <c r="B59" s="95" t="s">
        <v>159</v>
      </c>
      <c r="C59" s="92">
        <v>3.5000000000000001E-3</v>
      </c>
      <c r="D59" s="94">
        <v>4.8499999999999996</v>
      </c>
    </row>
    <row r="60" spans="1:4" ht="15" hidden="1" customHeight="1" x14ac:dyDescent="0.35">
      <c r="A60" s="93">
        <v>2341</v>
      </c>
      <c r="B60" s="95" t="s">
        <v>136</v>
      </c>
      <c r="C60" s="92"/>
      <c r="D60" s="94">
        <v>0</v>
      </c>
    </row>
    <row r="61" spans="1:4" ht="15.75" customHeight="1" x14ac:dyDescent="0.35">
      <c r="A61" s="93">
        <v>2350</v>
      </c>
      <c r="B61" s="92" t="s">
        <v>137</v>
      </c>
      <c r="C61" s="92">
        <v>8.5000000000000006E-3</v>
      </c>
      <c r="D61" s="94">
        <v>11.78</v>
      </c>
    </row>
    <row r="62" spans="1:4" hidden="1" x14ac:dyDescent="0.35">
      <c r="A62" s="93">
        <v>2361</v>
      </c>
      <c r="B62" s="95" t="s">
        <v>170</v>
      </c>
      <c r="C62" s="92">
        <v>0</v>
      </c>
      <c r="D62" s="94">
        <v>0</v>
      </c>
    </row>
    <row r="63" spans="1:4" hidden="1" x14ac:dyDescent="0.35">
      <c r="A63" s="93">
        <v>2362</v>
      </c>
      <c r="B63" s="95" t="s">
        <v>171</v>
      </c>
      <c r="C63" s="92">
        <v>0</v>
      </c>
      <c r="D63" s="94">
        <v>0</v>
      </c>
    </row>
    <row r="64" spans="1:4" hidden="1" x14ac:dyDescent="0.35">
      <c r="A64" s="93">
        <v>2363</v>
      </c>
      <c r="B64" s="95" t="s">
        <v>172</v>
      </c>
      <c r="C64" s="92">
        <v>0</v>
      </c>
      <c r="D64" s="94">
        <v>0</v>
      </c>
    </row>
    <row r="65" spans="1:7" hidden="1" x14ac:dyDescent="0.35">
      <c r="A65" s="93">
        <v>2370</v>
      </c>
      <c r="B65" s="95" t="s">
        <v>173</v>
      </c>
      <c r="C65" s="92">
        <v>0</v>
      </c>
      <c r="D65" s="94">
        <v>0</v>
      </c>
    </row>
    <row r="66" spans="1:7" hidden="1" x14ac:dyDescent="0.35">
      <c r="A66" s="93">
        <v>2400</v>
      </c>
      <c r="B66" s="95" t="s">
        <v>174</v>
      </c>
      <c r="C66" s="92">
        <v>0</v>
      </c>
      <c r="D66" s="94">
        <v>0</v>
      </c>
    </row>
    <row r="67" spans="1:7" ht="15" hidden="1" customHeight="1" x14ac:dyDescent="0.35">
      <c r="A67" s="93">
        <v>2512</v>
      </c>
      <c r="B67" s="95" t="s">
        <v>175</v>
      </c>
      <c r="C67" s="92">
        <v>0</v>
      </c>
      <c r="D67" s="94">
        <v>0</v>
      </c>
    </row>
    <row r="68" spans="1:7" x14ac:dyDescent="0.35">
      <c r="A68" s="93">
        <v>2513</v>
      </c>
      <c r="B68" s="92" t="s">
        <v>160</v>
      </c>
      <c r="C68" s="92">
        <v>1.4599999999999999E-3</v>
      </c>
      <c r="D68" s="94">
        <v>2.02</v>
      </c>
    </row>
    <row r="69" spans="1:7" x14ac:dyDescent="0.35">
      <c r="A69" s="93">
        <v>2515</v>
      </c>
      <c r="B69" s="95" t="s">
        <v>161</v>
      </c>
      <c r="C69" s="92">
        <v>1.9E-3</v>
      </c>
      <c r="D69" s="94">
        <v>2.63</v>
      </c>
    </row>
    <row r="70" spans="1:7" x14ac:dyDescent="0.35">
      <c r="A70" s="93">
        <v>2519</v>
      </c>
      <c r="B70" s="95" t="s">
        <v>162</v>
      </c>
      <c r="C70" s="92">
        <v>2E-3</v>
      </c>
      <c r="D70" s="94">
        <v>2.77</v>
      </c>
    </row>
    <row r="71" spans="1:7" x14ac:dyDescent="0.35">
      <c r="A71" s="93">
        <v>5220</v>
      </c>
      <c r="B71" s="95" t="s">
        <v>163</v>
      </c>
      <c r="C71" s="92">
        <v>1.06E-2</v>
      </c>
      <c r="D71" s="94">
        <v>14.69</v>
      </c>
    </row>
    <row r="72" spans="1:7" x14ac:dyDescent="0.35">
      <c r="A72" s="93">
        <v>5238</v>
      </c>
      <c r="B72" s="92" t="s">
        <v>164</v>
      </c>
      <c r="C72" s="92">
        <v>1.65E-3</v>
      </c>
      <c r="D72" s="94">
        <v>2.29</v>
      </c>
    </row>
    <row r="73" spans="1:7" x14ac:dyDescent="0.35">
      <c r="A73" s="93">
        <v>5239</v>
      </c>
      <c r="B73" s="92" t="s">
        <v>165</v>
      </c>
      <c r="C73" s="92">
        <v>1.9800000000000002E-2</v>
      </c>
      <c r="D73" s="94">
        <v>23.45</v>
      </c>
    </row>
    <row r="74" spans="1:7" x14ac:dyDescent="0.35">
      <c r="A74" s="93">
        <v>5250</v>
      </c>
      <c r="B74" s="95" t="s">
        <v>166</v>
      </c>
      <c r="C74" s="92">
        <v>2.5000000000000001E-2</v>
      </c>
      <c r="D74" s="94">
        <v>30.2</v>
      </c>
    </row>
    <row r="75" spans="1:7" x14ac:dyDescent="0.35">
      <c r="A75" s="97"/>
      <c r="B75" s="124" t="s">
        <v>9</v>
      </c>
      <c r="C75" s="124"/>
      <c r="D75" s="96">
        <f>SUM(D34:D74)</f>
        <v>1365.4799999999996</v>
      </c>
    </row>
    <row r="76" spans="1:7" x14ac:dyDescent="0.35">
      <c r="A76" s="97"/>
      <c r="B76" s="124" t="s">
        <v>46</v>
      </c>
      <c r="C76" s="124"/>
      <c r="D76" s="96">
        <f>D75+D32</f>
        <v>3704.4999999999995</v>
      </c>
    </row>
    <row r="77" spans="1:7" x14ac:dyDescent="0.35">
      <c r="A77" s="125"/>
      <c r="B77" s="102"/>
      <c r="C77" s="102"/>
      <c r="D77" s="103"/>
    </row>
    <row r="78" spans="1:7" ht="15" customHeight="1" x14ac:dyDescent="0.35">
      <c r="A78" s="220" t="s">
        <v>51</v>
      </c>
      <c r="B78" s="221"/>
      <c r="C78" s="101"/>
      <c r="D78" s="126">
        <v>50</v>
      </c>
      <c r="G78" s="139"/>
    </row>
    <row r="79" spans="1:7" ht="15.75" customHeight="1" x14ac:dyDescent="0.35">
      <c r="A79" s="220" t="s">
        <v>73</v>
      </c>
      <c r="B79" s="221"/>
      <c r="C79" s="101"/>
      <c r="D79" s="127">
        <f>D76/D78</f>
        <v>74.089999999999989</v>
      </c>
      <c r="F79" s="139"/>
      <c r="G79" s="139"/>
    </row>
    <row r="80" spans="1:7" ht="15.75" customHeight="1" x14ac:dyDescent="0.35">
      <c r="A80" s="86"/>
      <c r="B80" s="128"/>
      <c r="C80" s="128"/>
      <c r="D80" s="129"/>
    </row>
    <row r="81" spans="1:4" s="105" customFormat="1" ht="15.75" customHeight="1" x14ac:dyDescent="0.35">
      <c r="A81" s="220" t="s">
        <v>52</v>
      </c>
      <c r="B81" s="221"/>
      <c r="C81" s="130"/>
      <c r="D81" s="104"/>
    </row>
    <row r="82" spans="1:4" s="105" customFormat="1" ht="15.75" customHeight="1" x14ac:dyDescent="0.35">
      <c r="A82" s="220" t="s">
        <v>75</v>
      </c>
      <c r="B82" s="221"/>
      <c r="C82" s="130"/>
      <c r="D82" s="104"/>
    </row>
    <row r="83" spans="1:4" s="105" customFormat="1" x14ac:dyDescent="0.35">
      <c r="A83" s="114"/>
      <c r="B83" s="128"/>
      <c r="C83" s="128"/>
      <c r="D83" s="106"/>
    </row>
    <row r="84" spans="1:4" s="105" customFormat="1" x14ac:dyDescent="0.35">
      <c r="A84" s="105" t="s">
        <v>53</v>
      </c>
    </row>
    <row r="85" spans="1:4" s="105" customFormat="1" x14ac:dyDescent="0.35"/>
    <row r="86" spans="1:4" s="105" customFormat="1" x14ac:dyDescent="0.35">
      <c r="A86" s="105" t="s">
        <v>68</v>
      </c>
      <c r="B86" s="107"/>
      <c r="C86" s="107"/>
    </row>
    <row r="87" spans="1:4" s="105" customFormat="1" ht="13.9" customHeight="1" x14ac:dyDescent="0.35">
      <c r="B87" s="133"/>
      <c r="C87" s="133"/>
    </row>
    <row r="88" spans="1:4" s="105" customFormat="1" ht="13.9" customHeight="1" x14ac:dyDescent="0.35">
      <c r="B88" s="133"/>
      <c r="C88" s="133"/>
    </row>
  </sheetData>
  <mergeCells count="11">
    <mergeCell ref="A10:B10"/>
    <mergeCell ref="A78:B78"/>
    <mergeCell ref="A79:B79"/>
    <mergeCell ref="A81:B81"/>
    <mergeCell ref="A82:B82"/>
    <mergeCell ref="A7:C7"/>
    <mergeCell ref="B12:C12"/>
    <mergeCell ref="B13:C13"/>
    <mergeCell ref="B14:C14"/>
    <mergeCell ref="B15:C15"/>
    <mergeCell ref="A9:B9"/>
  </mergeCells>
  <pageMargins left="0.94488188976377963" right="0.55118110236220474" top="0.59055118110236227" bottom="0.59055118110236227" header="0.31496062992125984" footer="0.31496062992125984"/>
  <pageSetup paperSize="9" scale="61" firstPageNumber="10" orientation="portrait" useFirstPageNumber="1" r:id="rId1"/>
  <headerFooter>
    <oddFooter>&amp;F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9"/>
  <sheetViews>
    <sheetView zoomScale="90" zoomScaleNormal="90" zoomScalePageLayoutView="90" workbookViewId="0">
      <selection sqref="A1:IV65536"/>
    </sheetView>
  </sheetViews>
  <sheetFormatPr defaultColWidth="9.1796875" defaultRowHeight="15.5" x14ac:dyDescent="0.35"/>
  <cols>
    <col min="1" max="1" width="12.453125" style="8" customWidth="1"/>
    <col min="2" max="2" width="100.1796875" style="8" customWidth="1"/>
    <col min="3" max="3" width="14.1796875" style="8" hidden="1" customWidth="1"/>
    <col min="4" max="4" width="32.54296875" style="8" customWidth="1"/>
    <col min="5" max="16384" width="9.1796875" style="7"/>
  </cols>
  <sheetData>
    <row r="1" spans="1:4" ht="15.75" customHeight="1" x14ac:dyDescent="0.35">
      <c r="A1" s="12"/>
      <c r="B1" s="212" t="s">
        <v>50</v>
      </c>
      <c r="C1" s="212"/>
      <c r="D1" s="224"/>
    </row>
    <row r="2" spans="1:4" x14ac:dyDescent="0.35">
      <c r="A2" s="12"/>
      <c r="B2" s="213" t="s">
        <v>54</v>
      </c>
      <c r="C2" s="213"/>
      <c r="D2" s="225"/>
    </row>
    <row r="3" spans="1:4" x14ac:dyDescent="0.35">
      <c r="A3" s="12"/>
      <c r="B3" s="10"/>
      <c r="C3" s="10"/>
      <c r="D3" s="46" t="s">
        <v>132</v>
      </c>
    </row>
    <row r="4" spans="1:4" x14ac:dyDescent="0.35">
      <c r="A4" s="12"/>
      <c r="B4" s="10"/>
      <c r="C4" s="10"/>
      <c r="D4" s="37"/>
    </row>
    <row r="5" spans="1:4" x14ac:dyDescent="0.35">
      <c r="A5" s="12"/>
      <c r="B5" s="15"/>
      <c r="C5" s="15"/>
      <c r="D5" s="37" t="s">
        <v>133</v>
      </c>
    </row>
    <row r="6" spans="1:4" x14ac:dyDescent="0.35">
      <c r="A6" s="12"/>
      <c r="B6" s="10"/>
      <c r="C6" s="10"/>
      <c r="D6" s="65"/>
    </row>
    <row r="7" spans="1:4" ht="15" x14ac:dyDescent="0.3">
      <c r="A7" s="209" t="s">
        <v>10</v>
      </c>
      <c r="B7" s="209"/>
      <c r="C7" s="209"/>
      <c r="D7" s="209"/>
    </row>
    <row r="8" spans="1:4" x14ac:dyDescent="0.35">
      <c r="A8" s="50"/>
      <c r="B8" s="50"/>
      <c r="C8" s="50"/>
    </row>
    <row r="9" spans="1:4" x14ac:dyDescent="0.35">
      <c r="A9" s="210" t="s">
        <v>1</v>
      </c>
      <c r="B9" s="210"/>
      <c r="C9" s="9"/>
    </row>
    <row r="10" spans="1:4" x14ac:dyDescent="0.35">
      <c r="A10" s="210" t="s">
        <v>0</v>
      </c>
      <c r="B10" s="210"/>
      <c r="C10" s="9"/>
    </row>
    <row r="11" spans="1:4" ht="15" customHeight="1" x14ac:dyDescent="0.35">
      <c r="A11" s="9"/>
      <c r="B11" s="9" t="s">
        <v>47</v>
      </c>
      <c r="C11" s="9"/>
    </row>
    <row r="12" spans="1:4" ht="15" customHeight="1" x14ac:dyDescent="0.35">
      <c r="A12" s="9"/>
      <c r="B12" s="9" t="s">
        <v>65</v>
      </c>
      <c r="C12" s="9"/>
      <c r="D12" s="14"/>
    </row>
    <row r="13" spans="1:4" ht="15" customHeight="1" x14ac:dyDescent="0.35">
      <c r="A13" s="9"/>
      <c r="B13" s="210" t="s">
        <v>67</v>
      </c>
      <c r="C13" s="210"/>
      <c r="D13" s="224"/>
    </row>
    <row r="14" spans="1:4" ht="15" customHeight="1" x14ac:dyDescent="0.35">
      <c r="A14" s="9"/>
      <c r="B14" s="210" t="s">
        <v>125</v>
      </c>
      <c r="C14" s="210"/>
      <c r="D14" s="224"/>
    </row>
    <row r="15" spans="1:4" ht="15" customHeight="1" x14ac:dyDescent="0.35">
      <c r="A15" s="9" t="s">
        <v>2</v>
      </c>
      <c r="B15" s="9" t="str">
        <f>'1.1.1.1.'!B14</f>
        <v>1.1.1. Rehabilitācijas kurss  Dubultu prospektā 71, 2.korpuss, Jūrmalā</v>
      </c>
      <c r="C15" s="9"/>
    </row>
    <row r="16" spans="1:4" ht="67.5" customHeight="1" x14ac:dyDescent="0.25">
      <c r="A16" s="43" t="s">
        <v>3</v>
      </c>
      <c r="B16" s="43" t="s">
        <v>4</v>
      </c>
      <c r="C16" s="43"/>
      <c r="D16" s="43" t="s">
        <v>72</v>
      </c>
    </row>
    <row r="17" spans="1:4" ht="15" x14ac:dyDescent="0.25">
      <c r="A17" s="22">
        <v>1</v>
      </c>
      <c r="B17" s="23">
        <v>2</v>
      </c>
      <c r="C17" s="23"/>
      <c r="D17" s="23">
        <v>3</v>
      </c>
    </row>
    <row r="18" spans="1:4" x14ac:dyDescent="0.25">
      <c r="A18" s="24"/>
      <c r="B18" s="25" t="s">
        <v>6</v>
      </c>
      <c r="C18" s="25"/>
      <c r="D18" s="26"/>
    </row>
    <row r="19" spans="1:4" x14ac:dyDescent="0.25">
      <c r="A19" s="27">
        <v>1100</v>
      </c>
      <c r="B19" s="27" t="s">
        <v>77</v>
      </c>
      <c r="C19" s="28">
        <f>795+0.96*100</f>
        <v>891</v>
      </c>
      <c r="D19" s="28">
        <v>540</v>
      </c>
    </row>
    <row r="20" spans="1:4" x14ac:dyDescent="0.25">
      <c r="A20" s="27">
        <v>1200</v>
      </c>
      <c r="B20" s="29" t="s">
        <v>78</v>
      </c>
      <c r="C20" s="28">
        <f>191.51+0.23*100</f>
        <v>214.51</v>
      </c>
      <c r="D20" s="28">
        <v>130.09</v>
      </c>
    </row>
    <row r="21" spans="1:4" x14ac:dyDescent="0.25">
      <c r="A21" s="27">
        <v>2222</v>
      </c>
      <c r="B21" s="29" t="s">
        <v>41</v>
      </c>
      <c r="C21" s="28">
        <v>55.83</v>
      </c>
      <c r="D21" s="28">
        <f t="shared" ref="D21:D29" si="0">C21/100*50</f>
        <v>27.914999999999999</v>
      </c>
    </row>
    <row r="22" spans="1:4" x14ac:dyDescent="0.25">
      <c r="A22" s="27">
        <v>2223</v>
      </c>
      <c r="B22" s="29" t="s">
        <v>42</v>
      </c>
      <c r="C22" s="28">
        <v>53.25</v>
      </c>
      <c r="D22" s="28">
        <f t="shared" si="0"/>
        <v>26.625</v>
      </c>
    </row>
    <row r="23" spans="1:4" x14ac:dyDescent="0.25">
      <c r="A23" s="27">
        <v>2243</v>
      </c>
      <c r="B23" s="29" t="s">
        <v>14</v>
      </c>
      <c r="C23" s="28">
        <v>14.62</v>
      </c>
      <c r="D23" s="28">
        <f t="shared" si="0"/>
        <v>7.31</v>
      </c>
    </row>
    <row r="24" spans="1:4" hidden="1" x14ac:dyDescent="0.25">
      <c r="A24" s="27">
        <v>2249</v>
      </c>
      <c r="B24" s="29" t="s">
        <v>16</v>
      </c>
      <c r="C24" s="28">
        <v>0</v>
      </c>
      <c r="D24" s="28">
        <f t="shared" si="0"/>
        <v>0</v>
      </c>
    </row>
    <row r="25" spans="1:4" x14ac:dyDescent="0.25">
      <c r="A25" s="27">
        <v>2321</v>
      </c>
      <c r="B25" s="29" t="s">
        <v>24</v>
      </c>
      <c r="C25" s="28">
        <v>82.5</v>
      </c>
      <c r="D25" s="28">
        <f t="shared" si="0"/>
        <v>41.25</v>
      </c>
    </row>
    <row r="26" spans="1:4" x14ac:dyDescent="0.25">
      <c r="A26" s="27">
        <v>2341</v>
      </c>
      <c r="B26" s="29" t="s">
        <v>26</v>
      </c>
      <c r="C26" s="28">
        <v>35.659999999999997</v>
      </c>
      <c r="D26" s="28">
        <f t="shared" si="0"/>
        <v>17.829999999999998</v>
      </c>
    </row>
    <row r="27" spans="1:4" ht="15" customHeight="1" x14ac:dyDescent="0.25">
      <c r="A27" s="27">
        <v>2350</v>
      </c>
      <c r="B27" s="29" t="s">
        <v>28</v>
      </c>
      <c r="C27" s="28">
        <v>0</v>
      </c>
      <c r="D27" s="28">
        <f t="shared" si="0"/>
        <v>0</v>
      </c>
    </row>
    <row r="28" spans="1:4" x14ac:dyDescent="0.25">
      <c r="A28" s="27">
        <v>2363</v>
      </c>
      <c r="B28" s="29" t="s">
        <v>31</v>
      </c>
      <c r="C28" s="28">
        <v>352</v>
      </c>
      <c r="D28" s="28">
        <v>196</v>
      </c>
    </row>
    <row r="29" spans="1:4" x14ac:dyDescent="0.25">
      <c r="A29" s="27">
        <v>5232</v>
      </c>
      <c r="B29" s="29" t="s">
        <v>35</v>
      </c>
      <c r="C29" s="28">
        <v>5.2</v>
      </c>
      <c r="D29" s="28">
        <f t="shared" si="0"/>
        <v>2.6</v>
      </c>
    </row>
    <row r="30" spans="1:4" x14ac:dyDescent="0.25">
      <c r="A30" s="27"/>
      <c r="B30" s="30" t="s">
        <v>7</v>
      </c>
      <c r="C30" s="31">
        <f>SUM(C19:C29)</f>
        <v>1704.57</v>
      </c>
      <c r="D30" s="31">
        <f>SUM(D19:D29)</f>
        <v>989.62</v>
      </c>
    </row>
    <row r="31" spans="1:4" x14ac:dyDescent="0.25">
      <c r="A31" s="32"/>
      <c r="B31" s="27" t="s">
        <v>8</v>
      </c>
      <c r="C31" s="26"/>
      <c r="D31" s="26"/>
    </row>
    <row r="32" spans="1:4" x14ac:dyDescent="0.25">
      <c r="A32" s="27">
        <v>1100</v>
      </c>
      <c r="B32" s="27" t="s">
        <v>77</v>
      </c>
      <c r="C32" s="28">
        <v>734.52</v>
      </c>
      <c r="D32" s="28">
        <f t="shared" ref="D32:D74" si="1">C32/100*50</f>
        <v>367.26</v>
      </c>
    </row>
    <row r="33" spans="1:4" x14ac:dyDescent="0.25">
      <c r="A33" s="27">
        <v>1200</v>
      </c>
      <c r="B33" s="29" t="s">
        <v>78</v>
      </c>
      <c r="C33" s="28">
        <v>176.94</v>
      </c>
      <c r="D33" s="28">
        <f t="shared" si="1"/>
        <v>88.47</v>
      </c>
    </row>
    <row r="34" spans="1:4" hidden="1" x14ac:dyDescent="0.25">
      <c r="A34" s="27">
        <v>2100</v>
      </c>
      <c r="B34" s="33" t="s">
        <v>44</v>
      </c>
      <c r="C34" s="28">
        <v>0</v>
      </c>
      <c r="D34" s="28">
        <f t="shared" si="1"/>
        <v>0</v>
      </c>
    </row>
    <row r="35" spans="1:4" x14ac:dyDescent="0.25">
      <c r="A35" s="34">
        <v>2210</v>
      </c>
      <c r="B35" s="29" t="s">
        <v>40</v>
      </c>
      <c r="C35" s="28">
        <v>11.56</v>
      </c>
      <c r="D35" s="28">
        <f t="shared" si="1"/>
        <v>5.78</v>
      </c>
    </row>
    <row r="36" spans="1:4" x14ac:dyDescent="0.25">
      <c r="A36" s="27">
        <v>2222</v>
      </c>
      <c r="B36" s="29" t="s">
        <v>41</v>
      </c>
      <c r="C36" s="28">
        <v>83.52</v>
      </c>
      <c r="D36" s="28">
        <f t="shared" si="1"/>
        <v>41.76</v>
      </c>
    </row>
    <row r="37" spans="1:4" x14ac:dyDescent="0.25">
      <c r="A37" s="27">
        <v>2223</v>
      </c>
      <c r="B37" s="29" t="s">
        <v>42</v>
      </c>
      <c r="C37" s="28">
        <v>114.36</v>
      </c>
      <c r="D37" s="28">
        <f t="shared" si="1"/>
        <v>57.18</v>
      </c>
    </row>
    <row r="38" spans="1:4" x14ac:dyDescent="0.25">
      <c r="A38" s="27">
        <v>2230</v>
      </c>
      <c r="B38" s="29" t="s">
        <v>43</v>
      </c>
      <c r="C38" s="28">
        <v>7.89</v>
      </c>
      <c r="D38" s="28">
        <f t="shared" si="1"/>
        <v>3.9449999999999998</v>
      </c>
    </row>
    <row r="39" spans="1:4" x14ac:dyDescent="0.25">
      <c r="A39" s="27">
        <v>2241</v>
      </c>
      <c r="B39" s="29" t="s">
        <v>12</v>
      </c>
      <c r="C39" s="28">
        <v>0</v>
      </c>
      <c r="D39" s="28">
        <f t="shared" si="1"/>
        <v>0</v>
      </c>
    </row>
    <row r="40" spans="1:4" x14ac:dyDescent="0.25">
      <c r="A40" s="27">
        <v>2242</v>
      </c>
      <c r="B40" s="29" t="s">
        <v>13</v>
      </c>
      <c r="C40" s="28">
        <v>2.12</v>
      </c>
      <c r="D40" s="28">
        <f t="shared" si="1"/>
        <v>1.06</v>
      </c>
    </row>
    <row r="41" spans="1:4" ht="15" customHeight="1" x14ac:dyDescent="0.25">
      <c r="A41" s="27">
        <v>2243</v>
      </c>
      <c r="B41" s="29" t="s">
        <v>14</v>
      </c>
      <c r="C41" s="28">
        <v>11.33</v>
      </c>
      <c r="D41" s="28">
        <f t="shared" si="1"/>
        <v>5.665</v>
      </c>
    </row>
    <row r="42" spans="1:4" x14ac:dyDescent="0.25">
      <c r="A42" s="27">
        <v>2244</v>
      </c>
      <c r="B42" s="29" t="s">
        <v>15</v>
      </c>
      <c r="C42" s="28">
        <v>224.5</v>
      </c>
      <c r="D42" s="28">
        <v>178.41</v>
      </c>
    </row>
    <row r="43" spans="1:4" x14ac:dyDescent="0.25">
      <c r="A43" s="27">
        <v>2247</v>
      </c>
      <c r="B43" s="25" t="s">
        <v>79</v>
      </c>
      <c r="C43" s="28">
        <v>0.71</v>
      </c>
      <c r="D43" s="28">
        <f t="shared" si="1"/>
        <v>0.35499999999999998</v>
      </c>
    </row>
    <row r="44" spans="1:4" ht="15" customHeight="1" x14ac:dyDescent="0.25">
      <c r="A44" s="27">
        <v>2249</v>
      </c>
      <c r="B44" s="29" t="s">
        <v>16</v>
      </c>
      <c r="C44" s="28">
        <v>2.94</v>
      </c>
      <c r="D44" s="28">
        <f t="shared" si="1"/>
        <v>1.47</v>
      </c>
    </row>
    <row r="45" spans="1:4" x14ac:dyDescent="0.25">
      <c r="A45" s="27">
        <v>2251</v>
      </c>
      <c r="B45" s="29" t="s">
        <v>80</v>
      </c>
      <c r="C45" s="28">
        <v>27.01</v>
      </c>
      <c r="D45" s="28">
        <f t="shared" si="1"/>
        <v>13.505000000000001</v>
      </c>
    </row>
    <row r="46" spans="1:4" hidden="1" x14ac:dyDescent="0.25">
      <c r="A46" s="27">
        <v>2252</v>
      </c>
      <c r="B46" s="29" t="s">
        <v>11</v>
      </c>
      <c r="C46" s="28">
        <v>0</v>
      </c>
      <c r="D46" s="28">
        <f t="shared" si="1"/>
        <v>0</v>
      </c>
    </row>
    <row r="47" spans="1:4" x14ac:dyDescent="0.25">
      <c r="A47" s="27">
        <v>2259</v>
      </c>
      <c r="B47" s="29" t="s">
        <v>81</v>
      </c>
      <c r="C47" s="28">
        <v>0.09</v>
      </c>
      <c r="D47" s="28">
        <f t="shared" si="1"/>
        <v>4.4999999999999998E-2</v>
      </c>
    </row>
    <row r="48" spans="1:4" hidden="1" x14ac:dyDescent="0.25">
      <c r="A48" s="27">
        <v>2261</v>
      </c>
      <c r="B48" s="29" t="s">
        <v>17</v>
      </c>
      <c r="C48" s="28"/>
      <c r="D48" s="28">
        <f t="shared" si="1"/>
        <v>0</v>
      </c>
    </row>
    <row r="49" spans="1:4" x14ac:dyDescent="0.25">
      <c r="A49" s="27">
        <v>2262</v>
      </c>
      <c r="B49" s="29" t="s">
        <v>18</v>
      </c>
      <c r="C49" s="28">
        <v>8.2799999999999994</v>
      </c>
      <c r="D49" s="28">
        <f t="shared" si="1"/>
        <v>4.1399999999999997</v>
      </c>
    </row>
    <row r="50" spans="1:4" x14ac:dyDescent="0.25">
      <c r="A50" s="27">
        <v>2263</v>
      </c>
      <c r="B50" s="29" t="s">
        <v>19</v>
      </c>
      <c r="C50" s="28">
        <v>29.52</v>
      </c>
      <c r="D50" s="28">
        <f t="shared" si="1"/>
        <v>14.760000000000002</v>
      </c>
    </row>
    <row r="51" spans="1:4" x14ac:dyDescent="0.25">
      <c r="A51" s="27">
        <v>2264</v>
      </c>
      <c r="B51" s="29" t="s">
        <v>20</v>
      </c>
      <c r="C51" s="28">
        <v>0.08</v>
      </c>
      <c r="D51" s="28">
        <f t="shared" si="1"/>
        <v>0.04</v>
      </c>
    </row>
    <row r="52" spans="1:4" ht="14.25" customHeight="1" x14ac:dyDescent="0.25">
      <c r="A52" s="27">
        <v>2279</v>
      </c>
      <c r="B52" s="29" t="s">
        <v>21</v>
      </c>
      <c r="C52" s="28">
        <v>39.49</v>
      </c>
      <c r="D52" s="28">
        <f t="shared" si="1"/>
        <v>19.745000000000001</v>
      </c>
    </row>
    <row r="53" spans="1:4" x14ac:dyDescent="0.25">
      <c r="A53" s="27">
        <v>2311</v>
      </c>
      <c r="B53" s="29" t="s">
        <v>22</v>
      </c>
      <c r="C53" s="28">
        <v>2.6</v>
      </c>
      <c r="D53" s="28">
        <f t="shared" si="1"/>
        <v>1.3</v>
      </c>
    </row>
    <row r="54" spans="1:4" x14ac:dyDescent="0.25">
      <c r="A54" s="27">
        <v>2312</v>
      </c>
      <c r="B54" s="29" t="s">
        <v>23</v>
      </c>
      <c r="C54" s="28">
        <v>8.94</v>
      </c>
      <c r="D54" s="28">
        <f t="shared" si="1"/>
        <v>4.47</v>
      </c>
    </row>
    <row r="55" spans="1:4" ht="15" customHeight="1" x14ac:dyDescent="0.25">
      <c r="A55" s="27">
        <v>2321</v>
      </c>
      <c r="B55" s="29" t="s">
        <v>24</v>
      </c>
      <c r="C55" s="28">
        <v>201.52</v>
      </c>
      <c r="D55" s="28">
        <f t="shared" si="1"/>
        <v>100.76</v>
      </c>
    </row>
    <row r="56" spans="1:4" ht="15" customHeight="1" x14ac:dyDescent="0.25">
      <c r="A56" s="27">
        <v>2322</v>
      </c>
      <c r="B56" s="29" t="s">
        <v>25</v>
      </c>
      <c r="C56" s="28">
        <v>20.75</v>
      </c>
      <c r="D56" s="28">
        <f t="shared" si="1"/>
        <v>10.375</v>
      </c>
    </row>
    <row r="57" spans="1:4" ht="15" customHeight="1" x14ac:dyDescent="0.25">
      <c r="A57" s="27">
        <v>2341</v>
      </c>
      <c r="B57" s="29" t="s">
        <v>26</v>
      </c>
      <c r="C57" s="28">
        <v>1.36</v>
      </c>
      <c r="D57" s="28">
        <f t="shared" si="1"/>
        <v>0.68</v>
      </c>
    </row>
    <row r="58" spans="1:4" ht="15" customHeight="1" x14ac:dyDescent="0.25">
      <c r="A58" s="27">
        <v>2344</v>
      </c>
      <c r="B58" s="29" t="s">
        <v>27</v>
      </c>
      <c r="C58" s="28">
        <v>0.02</v>
      </c>
      <c r="D58" s="28">
        <f t="shared" si="1"/>
        <v>0.01</v>
      </c>
    </row>
    <row r="59" spans="1:4" ht="15" customHeight="1" x14ac:dyDescent="0.25">
      <c r="A59" s="27">
        <v>2350</v>
      </c>
      <c r="B59" s="29" t="s">
        <v>28</v>
      </c>
      <c r="C59" s="28">
        <v>28.78</v>
      </c>
      <c r="D59" s="28">
        <f t="shared" si="1"/>
        <v>14.39</v>
      </c>
    </row>
    <row r="60" spans="1:4" ht="15" customHeight="1" x14ac:dyDescent="0.25">
      <c r="A60" s="27">
        <v>2361</v>
      </c>
      <c r="B60" s="29" t="s">
        <v>29</v>
      </c>
      <c r="C60" s="28">
        <v>21.46</v>
      </c>
      <c r="D60" s="28">
        <f t="shared" si="1"/>
        <v>10.73</v>
      </c>
    </row>
    <row r="61" spans="1:4" ht="15" customHeight="1" x14ac:dyDescent="0.25">
      <c r="A61" s="27">
        <v>2362</v>
      </c>
      <c r="B61" s="29" t="s">
        <v>30</v>
      </c>
      <c r="C61" s="28">
        <v>0.7</v>
      </c>
      <c r="D61" s="28">
        <f t="shared" si="1"/>
        <v>0.35</v>
      </c>
    </row>
    <row r="62" spans="1:4" x14ac:dyDescent="0.25">
      <c r="A62" s="27">
        <v>2363</v>
      </c>
      <c r="B62" s="29" t="s">
        <v>31</v>
      </c>
      <c r="C62" s="28">
        <v>5.74</v>
      </c>
      <c r="D62" s="28">
        <f t="shared" si="1"/>
        <v>2.87</v>
      </c>
    </row>
    <row r="63" spans="1:4" hidden="1" x14ac:dyDescent="0.25">
      <c r="A63" s="27">
        <v>2370</v>
      </c>
      <c r="B63" s="29" t="s">
        <v>32</v>
      </c>
      <c r="C63" s="28">
        <v>0</v>
      </c>
      <c r="D63" s="28">
        <f t="shared" si="1"/>
        <v>0</v>
      </c>
    </row>
    <row r="64" spans="1:4" x14ac:dyDescent="0.25">
      <c r="A64" s="27">
        <v>2400</v>
      </c>
      <c r="B64" s="29" t="s">
        <v>45</v>
      </c>
      <c r="C64" s="28">
        <v>0.99</v>
      </c>
      <c r="D64" s="28">
        <f t="shared" si="1"/>
        <v>0.49499999999999994</v>
      </c>
    </row>
    <row r="65" spans="1:4" x14ac:dyDescent="0.25">
      <c r="A65" s="27">
        <v>2513</v>
      </c>
      <c r="B65" s="29" t="s">
        <v>33</v>
      </c>
      <c r="C65" s="28">
        <v>17.77</v>
      </c>
      <c r="D65" s="28">
        <f t="shared" si="1"/>
        <v>8.8849999999999998</v>
      </c>
    </row>
    <row r="66" spans="1:4" ht="15" customHeight="1" x14ac:dyDescent="0.25">
      <c r="A66" s="27">
        <v>2515</v>
      </c>
      <c r="B66" s="29" t="s">
        <v>82</v>
      </c>
      <c r="C66" s="28">
        <v>2.41</v>
      </c>
      <c r="D66" s="28">
        <f t="shared" si="1"/>
        <v>1.2050000000000001</v>
      </c>
    </row>
    <row r="67" spans="1:4" ht="15" customHeight="1" x14ac:dyDescent="0.25">
      <c r="A67" s="27">
        <v>2519</v>
      </c>
      <c r="B67" s="29" t="s">
        <v>36</v>
      </c>
      <c r="C67" s="28">
        <v>4.42</v>
      </c>
      <c r="D67" s="28">
        <f t="shared" si="1"/>
        <v>2.21</v>
      </c>
    </row>
    <row r="68" spans="1:4" hidden="1" x14ac:dyDescent="0.25">
      <c r="A68" s="27">
        <v>6240</v>
      </c>
      <c r="B68" s="29" t="s">
        <v>48</v>
      </c>
      <c r="C68" s="28">
        <v>0</v>
      </c>
      <c r="D68" s="28">
        <f t="shared" si="1"/>
        <v>0</v>
      </c>
    </row>
    <row r="69" spans="1:4" hidden="1" x14ac:dyDescent="0.25">
      <c r="A69" s="27">
        <v>6290</v>
      </c>
      <c r="B69" s="29" t="s">
        <v>49</v>
      </c>
      <c r="C69" s="28">
        <v>0</v>
      </c>
      <c r="D69" s="28">
        <f t="shared" si="1"/>
        <v>0</v>
      </c>
    </row>
    <row r="70" spans="1:4" ht="15" customHeight="1" x14ac:dyDescent="0.25">
      <c r="A70" s="27">
        <v>5121</v>
      </c>
      <c r="B70" s="29" t="s">
        <v>34</v>
      </c>
      <c r="C70" s="28">
        <v>3.16</v>
      </c>
      <c r="D70" s="28">
        <f t="shared" si="1"/>
        <v>1.58</v>
      </c>
    </row>
    <row r="71" spans="1:4" x14ac:dyDescent="0.25">
      <c r="A71" s="27">
        <v>5232</v>
      </c>
      <c r="B71" s="29" t="s">
        <v>35</v>
      </c>
      <c r="C71" s="28">
        <v>11.48</v>
      </c>
      <c r="D71" s="28">
        <f t="shared" si="1"/>
        <v>5.74</v>
      </c>
    </row>
    <row r="72" spans="1:4" hidden="1" x14ac:dyDescent="0.25">
      <c r="A72" s="27">
        <v>5238</v>
      </c>
      <c r="B72" s="29" t="s">
        <v>37</v>
      </c>
      <c r="C72" s="28">
        <v>0</v>
      </c>
      <c r="D72" s="28">
        <f t="shared" si="1"/>
        <v>0</v>
      </c>
    </row>
    <row r="73" spans="1:4" x14ac:dyDescent="0.25">
      <c r="A73" s="27">
        <v>5240</v>
      </c>
      <c r="B73" s="29" t="s">
        <v>38</v>
      </c>
      <c r="C73" s="28">
        <v>0.34</v>
      </c>
      <c r="D73" s="28">
        <f t="shared" si="1"/>
        <v>0.17</v>
      </c>
    </row>
    <row r="74" spans="1:4" x14ac:dyDescent="0.25">
      <c r="A74" s="27">
        <v>5250</v>
      </c>
      <c r="B74" s="29" t="s">
        <v>39</v>
      </c>
      <c r="C74" s="28">
        <v>2.13</v>
      </c>
      <c r="D74" s="28">
        <f t="shared" si="1"/>
        <v>1.0649999999999999</v>
      </c>
    </row>
    <row r="75" spans="1:4" ht="15" customHeight="1" x14ac:dyDescent="0.25">
      <c r="A75" s="32"/>
      <c r="B75" s="36" t="s">
        <v>9</v>
      </c>
      <c r="C75" s="31">
        <f>SUM(C32:C74)</f>
        <v>1809.4299999999998</v>
      </c>
      <c r="D75" s="31">
        <f>SUM(D32:D74)</f>
        <v>970.87499999999989</v>
      </c>
    </row>
    <row r="76" spans="1:4" ht="15" customHeight="1" x14ac:dyDescent="0.25">
      <c r="A76" s="32"/>
      <c r="B76" s="36" t="s">
        <v>46</v>
      </c>
      <c r="C76" s="31">
        <f>C75+C30</f>
        <v>3514</v>
      </c>
      <c r="D76" s="31">
        <f>D75+D30</f>
        <v>1960.4949999999999</v>
      </c>
    </row>
    <row r="77" spans="1:4" x14ac:dyDescent="0.35">
      <c r="A77" s="37"/>
      <c r="B77" s="20"/>
    </row>
    <row r="78" spans="1:4" x14ac:dyDescent="0.25">
      <c r="A78" s="210" t="s">
        <v>57</v>
      </c>
      <c r="B78" s="210"/>
      <c r="C78" s="21">
        <v>100</v>
      </c>
      <c r="D78" s="44">
        <v>50</v>
      </c>
    </row>
    <row r="79" spans="1:4" x14ac:dyDescent="0.3">
      <c r="A79" s="210" t="s">
        <v>58</v>
      </c>
      <c r="B79" s="210"/>
      <c r="C79" s="39">
        <f>C76/C78</f>
        <v>35.14</v>
      </c>
      <c r="D79" s="45">
        <f>D76/D78</f>
        <v>39.209899999999998</v>
      </c>
    </row>
    <row r="80" spans="1:4" x14ac:dyDescent="0.3">
      <c r="A80" s="9"/>
      <c r="B80" s="9"/>
      <c r="C80" s="38"/>
      <c r="D80" s="38"/>
    </row>
    <row r="81" spans="1:4" s="3" customFormat="1" x14ac:dyDescent="0.35">
      <c r="A81" s="216" t="s">
        <v>52</v>
      </c>
      <c r="B81" s="217"/>
      <c r="C81" s="40">
        <v>33.950000000000003</v>
      </c>
      <c r="D81" s="40"/>
    </row>
    <row r="82" spans="1:4" s="3" customFormat="1" x14ac:dyDescent="0.35">
      <c r="A82" s="216" t="s">
        <v>74</v>
      </c>
      <c r="B82" s="217"/>
      <c r="C82" s="40"/>
      <c r="D82" s="40"/>
    </row>
    <row r="83" spans="1:4" s="3" customFormat="1" x14ac:dyDescent="0.35">
      <c r="A83" s="17"/>
      <c r="B83" s="17"/>
      <c r="C83" s="17"/>
      <c r="D83" s="17"/>
    </row>
    <row r="84" spans="1:4" s="3" customFormat="1" x14ac:dyDescent="0.35">
      <c r="A84" s="17" t="s">
        <v>53</v>
      </c>
      <c r="B84" s="17"/>
      <c r="C84" s="17"/>
      <c r="D84" s="17"/>
    </row>
    <row r="85" spans="1:4" s="3" customFormat="1" x14ac:dyDescent="0.35">
      <c r="A85" s="17"/>
      <c r="B85" s="17"/>
      <c r="C85" s="17"/>
      <c r="D85" s="17"/>
    </row>
    <row r="86" spans="1:4" s="3" customFormat="1" x14ac:dyDescent="0.35">
      <c r="A86" s="17" t="s">
        <v>68</v>
      </c>
      <c r="B86" s="18"/>
      <c r="C86" s="18"/>
      <c r="D86" s="18"/>
    </row>
    <row r="87" spans="1:4" s="3" customFormat="1" ht="13.9" customHeight="1" x14ac:dyDescent="0.35">
      <c r="A87" s="17"/>
      <c r="B87" s="19"/>
      <c r="C87" s="19"/>
      <c r="D87" s="17"/>
    </row>
    <row r="88" spans="1:4" s="3" customFormat="1" ht="13.9" customHeight="1" x14ac:dyDescent="0.35">
      <c r="A88" s="17"/>
      <c r="B88" s="19"/>
      <c r="C88" s="19"/>
      <c r="D88" s="17"/>
    </row>
    <row r="89" spans="1:4" s="2" customFormat="1" x14ac:dyDescent="0.35">
      <c r="A89" s="8"/>
      <c r="B89" s="8"/>
      <c r="C89" s="8"/>
      <c r="D89" s="8"/>
    </row>
  </sheetData>
  <mergeCells count="11">
    <mergeCell ref="A81:B81"/>
    <mergeCell ref="B1:D1"/>
    <mergeCell ref="B2:D2"/>
    <mergeCell ref="A9:B9"/>
    <mergeCell ref="A10:B10"/>
    <mergeCell ref="A7:D7"/>
    <mergeCell ref="A82:B82"/>
    <mergeCell ref="B13:D13"/>
    <mergeCell ref="B14:D14"/>
    <mergeCell ref="A78:B78"/>
    <mergeCell ref="A79:B79"/>
  </mergeCells>
  <pageMargins left="0.94488188976377963" right="0.55118110236220474" top="0.62992125984251968" bottom="0.74803149606299213" header="0.31496062992125984" footer="0.31496062992125984"/>
  <pageSetup paperSize="9" scale="60" firstPageNumber="11" fitToHeight="0" orientation="portrait" useFirstPageNumber="1" r:id="rId1"/>
  <headerFooter>
    <oddFooter>&amp;C&amp;"Times New Roman,Regular"LManotp2_150319_MK1002; Grozījumi MK 24.09.2013. noteikumos Nr.1002 "Sociālās integrācijas valsts aģēntūras sniegto maksas pakalpojumu cenrādis"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8"/>
  <sheetViews>
    <sheetView view="pageLayout" zoomScale="90" zoomScaleNormal="90" zoomScalePageLayoutView="90" workbookViewId="0">
      <selection sqref="A1:IV65536"/>
    </sheetView>
  </sheetViews>
  <sheetFormatPr defaultColWidth="9.1796875" defaultRowHeight="15.5" x14ac:dyDescent="0.35"/>
  <cols>
    <col min="1" max="1" width="12.1796875" style="136" customWidth="1"/>
    <col min="2" max="2" width="97.26953125" style="136" customWidth="1"/>
    <col min="3" max="3" width="11.26953125" style="136" hidden="1" customWidth="1"/>
    <col min="4" max="4" width="26.1796875" style="136" customWidth="1"/>
    <col min="5" max="5" width="9.1796875" style="136"/>
    <col min="6" max="6" width="10.81640625" style="136" bestFit="1" customWidth="1"/>
    <col min="7" max="7" width="9.54296875" style="136" bestFit="1" customWidth="1"/>
    <col min="8" max="16384" width="9.1796875" style="136"/>
  </cols>
  <sheetData>
    <row r="1" spans="1:4" ht="15.75" customHeight="1" x14ac:dyDescent="0.35">
      <c r="A1" s="83"/>
      <c r="B1" s="85"/>
      <c r="C1" s="85"/>
      <c r="D1" s="82" t="s">
        <v>50</v>
      </c>
    </row>
    <row r="2" spans="1:4" ht="15.75" customHeight="1" x14ac:dyDescent="0.35">
      <c r="A2" s="83"/>
      <c r="B2" s="85"/>
      <c r="D2" s="81" t="s">
        <v>54</v>
      </c>
    </row>
    <row r="3" spans="1:4" x14ac:dyDescent="0.35">
      <c r="A3" s="83"/>
      <c r="B3" s="114"/>
      <c r="C3" s="114"/>
      <c r="D3" s="84" t="s">
        <v>76</v>
      </c>
    </row>
    <row r="4" spans="1:4" x14ac:dyDescent="0.35">
      <c r="A4" s="83"/>
      <c r="B4" s="85"/>
      <c r="C4" s="85"/>
    </row>
    <row r="5" spans="1:4" x14ac:dyDescent="0.35">
      <c r="A5" s="83"/>
      <c r="B5" s="85"/>
      <c r="C5" s="85"/>
      <c r="D5" s="85" t="s">
        <v>192</v>
      </c>
    </row>
    <row r="6" spans="1:4" x14ac:dyDescent="0.35">
      <c r="A6" s="83"/>
      <c r="B6" s="81"/>
      <c r="C6" s="81"/>
    </row>
    <row r="7" spans="1:4" ht="17.25" customHeight="1" x14ac:dyDescent="0.35">
      <c r="A7" s="223" t="s">
        <v>10</v>
      </c>
      <c r="B7" s="223"/>
      <c r="C7" s="223"/>
    </row>
    <row r="8" spans="1:4" x14ac:dyDescent="0.35">
      <c r="A8" s="137"/>
      <c r="B8" s="138"/>
      <c r="C8" s="138"/>
    </row>
    <row r="9" spans="1:4" ht="15" customHeight="1" x14ac:dyDescent="0.35">
      <c r="A9" s="218" t="s">
        <v>1</v>
      </c>
      <c r="B9" s="219"/>
      <c r="C9" s="118"/>
    </row>
    <row r="10" spans="1:4" ht="15" customHeight="1" x14ac:dyDescent="0.35">
      <c r="A10" s="218" t="s">
        <v>0</v>
      </c>
      <c r="B10" s="219"/>
      <c r="C10" s="118"/>
    </row>
    <row r="11" spans="1:4" ht="15" customHeight="1" x14ac:dyDescent="0.35">
      <c r="A11" s="87"/>
      <c r="B11" s="87" t="s">
        <v>47</v>
      </c>
      <c r="C11" s="87"/>
    </row>
    <row r="12" spans="1:4" ht="15" customHeight="1" x14ac:dyDescent="0.35">
      <c r="A12" s="87"/>
      <c r="B12" s="218" t="s">
        <v>65</v>
      </c>
      <c r="C12" s="218"/>
    </row>
    <row r="13" spans="1:4" ht="15.75" customHeight="1" x14ac:dyDescent="0.35">
      <c r="A13" s="87"/>
      <c r="B13" s="218" t="s">
        <v>176</v>
      </c>
      <c r="C13" s="218"/>
    </row>
    <row r="14" spans="1:4" ht="15.75" customHeight="1" x14ac:dyDescent="0.35">
      <c r="A14" s="87"/>
      <c r="B14" s="218" t="s">
        <v>180</v>
      </c>
      <c r="C14" s="218"/>
    </row>
    <row r="15" spans="1:4" ht="15" customHeight="1" x14ac:dyDescent="0.35">
      <c r="A15" s="87"/>
      <c r="B15" s="218"/>
      <c r="C15" s="218"/>
    </row>
    <row r="16" spans="1:4" ht="15.75" customHeight="1" x14ac:dyDescent="0.35">
      <c r="A16" s="87" t="s">
        <v>2</v>
      </c>
      <c r="B16" s="87" t="s">
        <v>191</v>
      </c>
      <c r="C16" s="87"/>
    </row>
    <row r="17" spans="1:8" ht="63" customHeight="1" x14ac:dyDescent="0.35">
      <c r="A17" s="88" t="s">
        <v>3</v>
      </c>
      <c r="B17" s="88" t="s">
        <v>4</v>
      </c>
      <c r="C17" s="88"/>
      <c r="D17" s="88" t="s">
        <v>72</v>
      </c>
    </row>
    <row r="18" spans="1:8" x14ac:dyDescent="0.35">
      <c r="A18" s="89">
        <v>1</v>
      </c>
      <c r="B18" s="90">
        <v>2</v>
      </c>
      <c r="C18" s="90"/>
      <c r="D18" s="90">
        <v>3</v>
      </c>
    </row>
    <row r="19" spans="1:8" x14ac:dyDescent="0.35">
      <c r="A19" s="119"/>
      <c r="B19" s="120" t="s">
        <v>6</v>
      </c>
      <c r="C19" s="120"/>
      <c r="D19" s="121"/>
    </row>
    <row r="20" spans="1:8" ht="15" customHeight="1" x14ac:dyDescent="0.35">
      <c r="A20" s="93">
        <v>1100</v>
      </c>
      <c r="B20" s="93" t="s">
        <v>134</v>
      </c>
      <c r="C20" s="93"/>
      <c r="D20" s="94">
        <f>15.23*395</f>
        <v>6015.85</v>
      </c>
      <c r="E20" s="139"/>
      <c r="F20" s="139"/>
      <c r="G20" s="139"/>
      <c r="H20" s="139"/>
    </row>
    <row r="21" spans="1:8" x14ac:dyDescent="0.35">
      <c r="A21" s="93">
        <v>1200</v>
      </c>
      <c r="B21" s="92" t="s">
        <v>135</v>
      </c>
      <c r="C21" s="92"/>
      <c r="D21" s="94">
        <v>1419.14</v>
      </c>
    </row>
    <row r="22" spans="1:8" x14ac:dyDescent="0.35">
      <c r="A22" s="93">
        <v>2222</v>
      </c>
      <c r="B22" s="95" t="s">
        <v>139</v>
      </c>
      <c r="C22" s="95"/>
      <c r="D22" s="94">
        <v>236.32</v>
      </c>
    </row>
    <row r="23" spans="1:8" x14ac:dyDescent="0.35">
      <c r="A23" s="93">
        <v>2223</v>
      </c>
      <c r="B23" s="95" t="s">
        <v>140</v>
      </c>
      <c r="C23" s="95"/>
      <c r="D23" s="94">
        <v>255.41</v>
      </c>
    </row>
    <row r="24" spans="1:8" x14ac:dyDescent="0.35">
      <c r="A24" s="93">
        <v>2243</v>
      </c>
      <c r="B24" s="91" t="s">
        <v>147</v>
      </c>
      <c r="C24" s="91"/>
      <c r="D24" s="94">
        <v>0</v>
      </c>
    </row>
    <row r="25" spans="1:8" x14ac:dyDescent="0.35">
      <c r="A25" s="93">
        <v>2244</v>
      </c>
      <c r="B25" s="91" t="s">
        <v>148</v>
      </c>
      <c r="C25" s="91"/>
      <c r="D25" s="94">
        <f>2.12*395/2</f>
        <v>418.70000000000005</v>
      </c>
    </row>
    <row r="26" spans="1:8" x14ac:dyDescent="0.35">
      <c r="A26" s="93">
        <v>2312</v>
      </c>
      <c r="B26" s="95" t="s">
        <v>156</v>
      </c>
      <c r="C26" s="91"/>
      <c r="D26" s="94">
        <f>0.28*395/2</f>
        <v>55.300000000000004</v>
      </c>
    </row>
    <row r="27" spans="1:8" x14ac:dyDescent="0.35">
      <c r="A27" s="93">
        <v>2321</v>
      </c>
      <c r="B27" s="95" t="s">
        <v>158</v>
      </c>
      <c r="C27" s="95"/>
      <c r="D27" s="94">
        <v>238.46</v>
      </c>
    </row>
    <row r="28" spans="1:8" x14ac:dyDescent="0.35">
      <c r="A28" s="93">
        <v>2341</v>
      </c>
      <c r="B28" s="95" t="s">
        <v>136</v>
      </c>
      <c r="C28" s="95"/>
      <c r="D28" s="94">
        <v>246.05</v>
      </c>
    </row>
    <row r="29" spans="1:8" x14ac:dyDescent="0.35">
      <c r="A29" s="93">
        <v>2361</v>
      </c>
      <c r="B29" s="95" t="s">
        <v>170</v>
      </c>
      <c r="C29" s="95"/>
      <c r="D29" s="94">
        <f>2.25*50</f>
        <v>112.5</v>
      </c>
    </row>
    <row r="30" spans="1:8" x14ac:dyDescent="0.35">
      <c r="A30" s="93">
        <v>2363</v>
      </c>
      <c r="B30" s="95" t="s">
        <v>172</v>
      </c>
      <c r="C30" s="95"/>
      <c r="D30" s="94">
        <f>8.12*395</f>
        <v>3207.3999999999996</v>
      </c>
    </row>
    <row r="31" spans="1:8" ht="15" customHeight="1" x14ac:dyDescent="0.35">
      <c r="A31" s="93">
        <v>5239</v>
      </c>
      <c r="B31" s="92" t="s">
        <v>165</v>
      </c>
      <c r="C31" s="92"/>
      <c r="D31" s="94">
        <v>62.74</v>
      </c>
    </row>
    <row r="32" spans="1:8" ht="15" customHeight="1" x14ac:dyDescent="0.35">
      <c r="A32" s="93"/>
      <c r="B32" s="123" t="s">
        <v>7</v>
      </c>
      <c r="C32" s="123"/>
      <c r="D32" s="96">
        <f>SUM(D20:D31)</f>
        <v>12267.869999999997</v>
      </c>
      <c r="F32" s="139"/>
      <c r="G32" s="139"/>
    </row>
    <row r="33" spans="1:6" ht="15" customHeight="1" x14ac:dyDescent="0.35">
      <c r="A33" s="97"/>
      <c r="B33" s="93" t="s">
        <v>8</v>
      </c>
      <c r="C33" s="93"/>
      <c r="D33" s="94"/>
    </row>
    <row r="34" spans="1:6" ht="15" customHeight="1" x14ac:dyDescent="0.35">
      <c r="A34" s="93">
        <v>1100</v>
      </c>
      <c r="B34" s="91" t="s">
        <v>134</v>
      </c>
      <c r="C34" s="92">
        <f>0.388+0.024</f>
        <v>0.41200000000000003</v>
      </c>
      <c r="D34" s="94">
        <v>3692.91</v>
      </c>
      <c r="F34" s="139"/>
    </row>
    <row r="35" spans="1:6" x14ac:dyDescent="0.35">
      <c r="A35" s="93">
        <v>1200</v>
      </c>
      <c r="B35" s="91" t="s">
        <v>135</v>
      </c>
      <c r="C35" s="92">
        <f>C34*0.2359</f>
        <v>9.7190800000000008E-2</v>
      </c>
      <c r="D35" s="94">
        <v>871.16</v>
      </c>
    </row>
    <row r="36" spans="1:6" x14ac:dyDescent="0.35">
      <c r="A36" s="93">
        <v>2100</v>
      </c>
      <c r="B36" s="98" t="s">
        <v>44</v>
      </c>
      <c r="C36" s="92">
        <v>1.1659999999999999E-3</v>
      </c>
      <c r="D36" s="94">
        <v>10.45</v>
      </c>
    </row>
    <row r="37" spans="1:6" x14ac:dyDescent="0.35">
      <c r="A37" s="99">
        <v>2210</v>
      </c>
      <c r="B37" s="95" t="s">
        <v>138</v>
      </c>
      <c r="C37" s="92">
        <v>7.6E-3</v>
      </c>
      <c r="D37" s="94">
        <v>68.12</v>
      </c>
    </row>
    <row r="38" spans="1:6" ht="15" customHeight="1" x14ac:dyDescent="0.35">
      <c r="A38" s="93">
        <v>2222</v>
      </c>
      <c r="B38" s="95" t="s">
        <v>139</v>
      </c>
      <c r="C38" s="92">
        <v>9.4999999999999998E-3</v>
      </c>
      <c r="D38" s="94">
        <v>85.15</v>
      </c>
    </row>
    <row r="39" spans="1:6" ht="15" customHeight="1" x14ac:dyDescent="0.35">
      <c r="A39" s="93">
        <v>2223</v>
      </c>
      <c r="B39" s="95" t="s">
        <v>140</v>
      </c>
      <c r="C39" s="92">
        <v>1.9019999999999999E-2</v>
      </c>
      <c r="D39" s="94">
        <v>170.48</v>
      </c>
    </row>
    <row r="40" spans="1:6" ht="31" x14ac:dyDescent="0.35">
      <c r="A40" s="93">
        <v>2224</v>
      </c>
      <c r="B40" s="95" t="s">
        <v>141</v>
      </c>
      <c r="C40" s="92">
        <v>4.9500000000000004E-3</v>
      </c>
      <c r="D40" s="94">
        <v>44.37</v>
      </c>
    </row>
    <row r="41" spans="1:6" x14ac:dyDescent="0.35">
      <c r="A41" s="93">
        <v>2231</v>
      </c>
      <c r="B41" s="91" t="s">
        <v>142</v>
      </c>
      <c r="C41" s="92">
        <v>1.5499999999999999E-3</v>
      </c>
      <c r="D41" s="94">
        <v>13.89</v>
      </c>
    </row>
    <row r="42" spans="1:6" x14ac:dyDescent="0.35">
      <c r="A42" s="93">
        <v>2235</v>
      </c>
      <c r="B42" s="100" t="s">
        <v>143</v>
      </c>
      <c r="C42" s="92">
        <v>1.65E-3</v>
      </c>
      <c r="D42" s="94">
        <v>14.79</v>
      </c>
    </row>
    <row r="43" spans="1:6" ht="15" customHeight="1" x14ac:dyDescent="0.35">
      <c r="A43" s="93">
        <v>2239</v>
      </c>
      <c r="B43" s="91" t="s">
        <v>144</v>
      </c>
      <c r="C43" s="92">
        <v>4.4099999999999999E-3</v>
      </c>
      <c r="D43" s="94">
        <v>39.53</v>
      </c>
    </row>
    <row r="44" spans="1:6" x14ac:dyDescent="0.35">
      <c r="A44" s="93">
        <v>2241</v>
      </c>
      <c r="B44" s="91" t="s">
        <v>145</v>
      </c>
      <c r="C44" s="92">
        <v>1.6500000000000001E-2</v>
      </c>
      <c r="D44" s="94">
        <v>147.9</v>
      </c>
    </row>
    <row r="45" spans="1:6" x14ac:dyDescent="0.35">
      <c r="A45" s="93">
        <v>2242</v>
      </c>
      <c r="B45" s="95" t="s">
        <v>146</v>
      </c>
      <c r="C45" s="92">
        <v>2.2599999999999999E-3</v>
      </c>
      <c r="D45" s="94">
        <v>20.260000000000002</v>
      </c>
    </row>
    <row r="46" spans="1:6" ht="14.25" customHeight="1" x14ac:dyDescent="0.35">
      <c r="A46" s="93">
        <v>2243</v>
      </c>
      <c r="B46" s="91" t="s">
        <v>147</v>
      </c>
      <c r="C46" s="92">
        <v>3.2599999999999997E-2</v>
      </c>
      <c r="D46" s="94">
        <v>292.20999999999998</v>
      </c>
    </row>
    <row r="47" spans="1:6" ht="15" customHeight="1" x14ac:dyDescent="0.35">
      <c r="A47" s="93">
        <v>2244</v>
      </c>
      <c r="B47" s="91" t="s">
        <v>148</v>
      </c>
      <c r="C47" s="92">
        <v>0.20397000000000001</v>
      </c>
      <c r="D47" s="94">
        <v>1828.26</v>
      </c>
    </row>
    <row r="48" spans="1:6" ht="15" customHeight="1" x14ac:dyDescent="0.35">
      <c r="A48" s="93">
        <v>2247</v>
      </c>
      <c r="B48" s="91" t="s">
        <v>149</v>
      </c>
      <c r="C48" s="92">
        <v>7.1900000000000002E-4</v>
      </c>
      <c r="D48" s="94">
        <v>6.44</v>
      </c>
    </row>
    <row r="49" spans="1:4" x14ac:dyDescent="0.35">
      <c r="A49" s="93">
        <v>2249</v>
      </c>
      <c r="B49" s="91" t="s">
        <v>150</v>
      </c>
      <c r="C49" s="92">
        <v>2.32E-4</v>
      </c>
      <c r="D49" s="94">
        <v>2.08</v>
      </c>
    </row>
    <row r="50" spans="1:4" x14ac:dyDescent="0.35">
      <c r="A50" s="93">
        <v>2250</v>
      </c>
      <c r="B50" s="91" t="s">
        <v>151</v>
      </c>
      <c r="C50" s="92">
        <v>2.4025999999999999E-2</v>
      </c>
      <c r="D50" s="94">
        <v>215.35</v>
      </c>
    </row>
    <row r="51" spans="1:4" hidden="1" x14ac:dyDescent="0.35">
      <c r="A51" s="93">
        <v>2261</v>
      </c>
      <c r="B51" s="95" t="s">
        <v>169</v>
      </c>
      <c r="C51" s="92">
        <v>0</v>
      </c>
      <c r="D51" s="94">
        <f t="shared" ref="D51:D67" si="0">C51*8963.38</f>
        <v>0</v>
      </c>
    </row>
    <row r="52" spans="1:4" x14ac:dyDescent="0.35">
      <c r="A52" s="93">
        <v>2262</v>
      </c>
      <c r="B52" s="95" t="s">
        <v>152</v>
      </c>
      <c r="C52" s="92">
        <v>6.2599999999999999E-3</v>
      </c>
      <c r="D52" s="94">
        <v>56.11</v>
      </c>
    </row>
    <row r="53" spans="1:4" x14ac:dyDescent="0.35">
      <c r="A53" s="93">
        <v>2263</v>
      </c>
      <c r="B53" s="95" t="s">
        <v>153</v>
      </c>
      <c r="C53" s="92">
        <v>4.58E-2</v>
      </c>
      <c r="D53" s="94">
        <v>410.52</v>
      </c>
    </row>
    <row r="54" spans="1:4" x14ac:dyDescent="0.35">
      <c r="A54" s="93">
        <v>2264</v>
      </c>
      <c r="B54" s="91" t="s">
        <v>154</v>
      </c>
      <c r="C54" s="92">
        <v>1.49E-3</v>
      </c>
      <c r="D54" s="94">
        <v>13.36</v>
      </c>
    </row>
    <row r="55" spans="1:4" ht="15" customHeight="1" x14ac:dyDescent="0.35">
      <c r="A55" s="93">
        <v>2311</v>
      </c>
      <c r="B55" s="95" t="s">
        <v>155</v>
      </c>
      <c r="C55" s="92">
        <v>4.7699999999999999E-3</v>
      </c>
      <c r="D55" s="94">
        <v>42.76</v>
      </c>
    </row>
    <row r="56" spans="1:4" ht="15" customHeight="1" x14ac:dyDescent="0.35">
      <c r="A56" s="93">
        <v>2312</v>
      </c>
      <c r="B56" s="95" t="s">
        <v>156</v>
      </c>
      <c r="C56" s="92">
        <v>5.79E-3</v>
      </c>
      <c r="D56" s="94">
        <v>51.9</v>
      </c>
    </row>
    <row r="57" spans="1:4" ht="15" customHeight="1" x14ac:dyDescent="0.35">
      <c r="A57" s="93">
        <v>2314</v>
      </c>
      <c r="B57" s="100" t="s">
        <v>157</v>
      </c>
      <c r="C57" s="92">
        <v>2.2200000000000002E-3</v>
      </c>
      <c r="D57" s="94">
        <v>19.899999999999999</v>
      </c>
    </row>
    <row r="58" spans="1:4" ht="15" customHeight="1" x14ac:dyDescent="0.35">
      <c r="A58" s="93">
        <v>2321</v>
      </c>
      <c r="B58" s="95" t="s">
        <v>158</v>
      </c>
      <c r="C58" s="92">
        <v>1.9800000000000002E-2</v>
      </c>
      <c r="D58" s="94">
        <v>178.52</v>
      </c>
    </row>
    <row r="59" spans="1:4" ht="15" customHeight="1" x14ac:dyDescent="0.35">
      <c r="A59" s="93">
        <v>2322</v>
      </c>
      <c r="B59" s="95" t="s">
        <v>159</v>
      </c>
      <c r="C59" s="92">
        <v>3.5000000000000001E-3</v>
      </c>
      <c r="D59" s="94">
        <v>31.37</v>
      </c>
    </row>
    <row r="60" spans="1:4" ht="15" hidden="1" customHeight="1" x14ac:dyDescent="0.35">
      <c r="A60" s="93">
        <v>2341</v>
      </c>
      <c r="B60" s="95" t="s">
        <v>136</v>
      </c>
      <c r="C60" s="92"/>
      <c r="D60" s="94">
        <f t="shared" si="0"/>
        <v>0</v>
      </c>
    </row>
    <row r="61" spans="1:4" ht="15.75" customHeight="1" x14ac:dyDescent="0.35">
      <c r="A61" s="93">
        <v>2350</v>
      </c>
      <c r="B61" s="92" t="s">
        <v>137</v>
      </c>
      <c r="C61" s="92">
        <v>8.5000000000000006E-3</v>
      </c>
      <c r="D61" s="94">
        <v>76.19</v>
      </c>
    </row>
    <row r="62" spans="1:4" hidden="1" x14ac:dyDescent="0.35">
      <c r="A62" s="93">
        <v>2361</v>
      </c>
      <c r="B62" s="95" t="s">
        <v>170</v>
      </c>
      <c r="C62" s="92">
        <v>0</v>
      </c>
      <c r="D62" s="94">
        <f t="shared" si="0"/>
        <v>0</v>
      </c>
    </row>
    <row r="63" spans="1:4" hidden="1" x14ac:dyDescent="0.35">
      <c r="A63" s="93">
        <v>2362</v>
      </c>
      <c r="B63" s="95" t="s">
        <v>171</v>
      </c>
      <c r="C63" s="92">
        <v>0</v>
      </c>
      <c r="D63" s="94">
        <f t="shared" si="0"/>
        <v>0</v>
      </c>
    </row>
    <row r="64" spans="1:4" hidden="1" x14ac:dyDescent="0.35">
      <c r="A64" s="93">
        <v>2363</v>
      </c>
      <c r="B64" s="95" t="s">
        <v>172</v>
      </c>
      <c r="C64" s="92">
        <v>0</v>
      </c>
      <c r="D64" s="94">
        <f t="shared" si="0"/>
        <v>0</v>
      </c>
    </row>
    <row r="65" spans="1:7" hidden="1" x14ac:dyDescent="0.35">
      <c r="A65" s="93">
        <v>2370</v>
      </c>
      <c r="B65" s="95" t="s">
        <v>173</v>
      </c>
      <c r="C65" s="92">
        <v>0</v>
      </c>
      <c r="D65" s="94">
        <f t="shared" si="0"/>
        <v>0</v>
      </c>
    </row>
    <row r="66" spans="1:7" hidden="1" x14ac:dyDescent="0.35">
      <c r="A66" s="93">
        <v>2400</v>
      </c>
      <c r="B66" s="95" t="s">
        <v>174</v>
      </c>
      <c r="C66" s="92">
        <v>0</v>
      </c>
      <c r="D66" s="94">
        <f t="shared" si="0"/>
        <v>0</v>
      </c>
    </row>
    <row r="67" spans="1:7" ht="15" hidden="1" customHeight="1" x14ac:dyDescent="0.35">
      <c r="A67" s="93">
        <v>2512</v>
      </c>
      <c r="B67" s="95" t="s">
        <v>175</v>
      </c>
      <c r="C67" s="92">
        <v>0</v>
      </c>
      <c r="D67" s="94">
        <f t="shared" si="0"/>
        <v>0</v>
      </c>
    </row>
    <row r="68" spans="1:7" x14ac:dyDescent="0.35">
      <c r="A68" s="93">
        <v>2513</v>
      </c>
      <c r="B68" s="92" t="s">
        <v>160</v>
      </c>
      <c r="C68" s="92">
        <v>1.4599999999999999E-3</v>
      </c>
      <c r="D68" s="94">
        <v>13.09</v>
      </c>
    </row>
    <row r="69" spans="1:7" x14ac:dyDescent="0.35">
      <c r="A69" s="93">
        <v>2515</v>
      </c>
      <c r="B69" s="95" t="s">
        <v>161</v>
      </c>
      <c r="C69" s="92">
        <v>1.9E-3</v>
      </c>
      <c r="D69" s="94">
        <v>17.03</v>
      </c>
    </row>
    <row r="70" spans="1:7" x14ac:dyDescent="0.35">
      <c r="A70" s="93">
        <v>2519</v>
      </c>
      <c r="B70" s="95" t="s">
        <v>162</v>
      </c>
      <c r="C70" s="92">
        <v>2E-3</v>
      </c>
      <c r="D70" s="94">
        <v>17.93</v>
      </c>
    </row>
    <row r="71" spans="1:7" x14ac:dyDescent="0.35">
      <c r="A71" s="93">
        <v>5220</v>
      </c>
      <c r="B71" s="95" t="s">
        <v>163</v>
      </c>
      <c r="C71" s="92">
        <v>1.06E-2</v>
      </c>
      <c r="D71" s="94">
        <v>95.01</v>
      </c>
    </row>
    <row r="72" spans="1:7" x14ac:dyDescent="0.35">
      <c r="A72" s="93">
        <v>5238</v>
      </c>
      <c r="B72" s="92" t="s">
        <v>164</v>
      </c>
      <c r="C72" s="92">
        <v>1.65E-3</v>
      </c>
      <c r="D72" s="94">
        <v>14.79</v>
      </c>
    </row>
    <row r="73" spans="1:7" x14ac:dyDescent="0.35">
      <c r="A73" s="93">
        <v>5239</v>
      </c>
      <c r="B73" s="92" t="s">
        <v>165</v>
      </c>
      <c r="C73" s="92">
        <v>1.9800000000000002E-2</v>
      </c>
      <c r="D73" s="94">
        <v>177.47</v>
      </c>
    </row>
    <row r="74" spans="1:7" x14ac:dyDescent="0.35">
      <c r="A74" s="93">
        <v>5250</v>
      </c>
      <c r="B74" s="95" t="s">
        <v>166</v>
      </c>
      <c r="C74" s="92">
        <v>2.5000000000000001E-2</v>
      </c>
      <c r="D74" s="94">
        <v>224.08</v>
      </c>
    </row>
    <row r="75" spans="1:7" x14ac:dyDescent="0.35">
      <c r="A75" s="97"/>
      <c r="B75" s="124" t="s">
        <v>9</v>
      </c>
      <c r="C75" s="124"/>
      <c r="D75" s="96">
        <f>SUM(D34:D74)</f>
        <v>8963.3799999999992</v>
      </c>
    </row>
    <row r="76" spans="1:7" x14ac:dyDescent="0.35">
      <c r="A76" s="97"/>
      <c r="B76" s="124" t="s">
        <v>46</v>
      </c>
      <c r="C76" s="124"/>
      <c r="D76" s="96">
        <f>D75+D32</f>
        <v>21231.249999999996</v>
      </c>
    </row>
    <row r="77" spans="1:7" x14ac:dyDescent="0.35">
      <c r="A77" s="125"/>
      <c r="B77" s="102"/>
      <c r="C77" s="102"/>
      <c r="D77" s="103"/>
    </row>
    <row r="78" spans="1:7" ht="15" customHeight="1" x14ac:dyDescent="0.35">
      <c r="A78" s="220" t="s">
        <v>51</v>
      </c>
      <c r="B78" s="221"/>
      <c r="C78" s="101"/>
      <c r="D78" s="126">
        <v>395</v>
      </c>
      <c r="F78" s="139"/>
      <c r="G78" s="139"/>
    </row>
    <row r="79" spans="1:7" ht="15.75" customHeight="1" x14ac:dyDescent="0.35">
      <c r="A79" s="220" t="s">
        <v>73</v>
      </c>
      <c r="B79" s="221"/>
      <c r="C79" s="101"/>
      <c r="D79" s="127">
        <f>D76/D78</f>
        <v>53.749999999999993</v>
      </c>
      <c r="F79" s="139"/>
      <c r="G79" s="139"/>
    </row>
    <row r="80" spans="1:7" ht="15.75" customHeight="1" x14ac:dyDescent="0.35">
      <c r="A80" s="86"/>
      <c r="B80" s="128"/>
      <c r="C80" s="128"/>
      <c r="D80" s="129"/>
    </row>
    <row r="81" spans="1:4" s="105" customFormat="1" ht="15.75" customHeight="1" x14ac:dyDescent="0.35">
      <c r="A81" s="220" t="s">
        <v>52</v>
      </c>
      <c r="B81" s="221"/>
      <c r="C81" s="130"/>
      <c r="D81" s="131"/>
    </row>
    <row r="82" spans="1:4" s="105" customFormat="1" ht="15.75" customHeight="1" x14ac:dyDescent="0.35">
      <c r="A82" s="220" t="s">
        <v>75</v>
      </c>
      <c r="B82" s="221"/>
      <c r="C82" s="130"/>
      <c r="D82" s="104"/>
    </row>
    <row r="83" spans="1:4" s="105" customFormat="1" x14ac:dyDescent="0.35">
      <c r="A83" s="114"/>
      <c r="B83" s="128"/>
      <c r="C83" s="128"/>
    </row>
    <row r="84" spans="1:4" s="105" customFormat="1" x14ac:dyDescent="0.35">
      <c r="A84" s="105" t="s">
        <v>53</v>
      </c>
    </row>
    <row r="85" spans="1:4" s="105" customFormat="1" x14ac:dyDescent="0.35"/>
    <row r="86" spans="1:4" s="105" customFormat="1" x14ac:dyDescent="0.35">
      <c r="A86" s="105" t="s">
        <v>68</v>
      </c>
      <c r="B86" s="107"/>
      <c r="C86" s="107"/>
    </row>
    <row r="87" spans="1:4" s="105" customFormat="1" ht="13.9" customHeight="1" x14ac:dyDescent="0.35">
      <c r="B87" s="133"/>
      <c r="C87" s="133"/>
    </row>
    <row r="88" spans="1:4" s="105" customFormat="1" ht="13.9" customHeight="1" x14ac:dyDescent="0.35">
      <c r="B88" s="133"/>
      <c r="C88" s="133"/>
    </row>
  </sheetData>
  <mergeCells count="11">
    <mergeCell ref="B13:C13"/>
    <mergeCell ref="B14:C14"/>
    <mergeCell ref="B15:C15"/>
    <mergeCell ref="A9:B9"/>
    <mergeCell ref="A81:B81"/>
    <mergeCell ref="A7:C7"/>
    <mergeCell ref="A82:B82"/>
    <mergeCell ref="A10:B10"/>
    <mergeCell ref="A78:B78"/>
    <mergeCell ref="A79:B79"/>
    <mergeCell ref="B12:C12"/>
  </mergeCells>
  <pageMargins left="0.94488188976377963" right="0.55118110236220474" top="0.59055118110236227" bottom="0.62992125984251968" header="0.31496062992125984" footer="0.31496062992125984"/>
  <pageSetup paperSize="9" scale="60" firstPageNumber="12" orientation="portrait" useFirstPageNumber="1" r:id="rId1"/>
  <headerFooter>
    <oddFooter>&amp;F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3"/>
  <sheetViews>
    <sheetView view="pageLayout" topLeftCell="A44" zoomScale="80" zoomScaleNormal="100" zoomScalePageLayoutView="80" workbookViewId="0">
      <selection activeCell="B21" sqref="B21"/>
    </sheetView>
  </sheetViews>
  <sheetFormatPr defaultColWidth="9.1796875" defaultRowHeight="15.5" x14ac:dyDescent="0.35"/>
  <cols>
    <col min="1" max="1" width="11.54296875" style="8" customWidth="1"/>
    <col min="2" max="2" width="86.7265625" style="8" customWidth="1"/>
    <col min="3" max="3" width="17.1796875" style="8" hidden="1" customWidth="1"/>
    <col min="4" max="6" width="25.26953125" style="8" hidden="1" customWidth="1"/>
    <col min="7" max="7" width="29.7265625" style="8" customWidth="1"/>
    <col min="8" max="16384" width="9.1796875" style="8"/>
  </cols>
  <sheetData>
    <row r="1" spans="1:7" x14ac:dyDescent="0.35">
      <c r="A1" s="12"/>
      <c r="B1" s="10"/>
      <c r="C1" s="10"/>
      <c r="D1" s="10" t="s">
        <v>50</v>
      </c>
      <c r="E1" s="10" t="s">
        <v>50</v>
      </c>
      <c r="F1" s="10" t="s">
        <v>50</v>
      </c>
      <c r="G1" s="10" t="s">
        <v>50</v>
      </c>
    </row>
    <row r="2" spans="1:7" x14ac:dyDescent="0.35">
      <c r="A2" s="12"/>
      <c r="B2" s="11"/>
      <c r="C2" s="11"/>
      <c r="D2" s="37" t="s">
        <v>54</v>
      </c>
      <c r="E2" s="37" t="s">
        <v>54</v>
      </c>
      <c r="F2" s="37" t="s">
        <v>54</v>
      </c>
      <c r="G2" s="37" t="s">
        <v>54</v>
      </c>
    </row>
    <row r="3" spans="1:7" x14ac:dyDescent="0.35">
      <c r="A3" s="12"/>
      <c r="B3" s="11"/>
      <c r="C3" s="11"/>
      <c r="D3" s="46" t="s">
        <v>132</v>
      </c>
      <c r="E3" s="46" t="s">
        <v>132</v>
      </c>
      <c r="F3" s="46" t="s">
        <v>132</v>
      </c>
      <c r="G3" s="46" t="s">
        <v>76</v>
      </c>
    </row>
    <row r="4" spans="1:7" x14ac:dyDescent="0.35">
      <c r="A4" s="12"/>
      <c r="B4" s="10"/>
      <c r="C4" s="10"/>
      <c r="D4" s="37"/>
      <c r="E4" s="37"/>
      <c r="F4" s="37"/>
      <c r="G4" s="37"/>
    </row>
    <row r="5" spans="1:7" x14ac:dyDescent="0.35">
      <c r="A5" s="12"/>
      <c r="B5" s="51"/>
      <c r="C5" s="51"/>
      <c r="D5" s="37" t="s">
        <v>196</v>
      </c>
      <c r="E5" s="37" t="s">
        <v>196</v>
      </c>
      <c r="F5" s="37" t="s">
        <v>196</v>
      </c>
      <c r="G5" s="37" t="s">
        <v>246</v>
      </c>
    </row>
    <row r="6" spans="1:7" x14ac:dyDescent="0.35">
      <c r="A6" s="12"/>
      <c r="B6" s="10"/>
      <c r="C6" s="10"/>
    </row>
    <row r="7" spans="1:7" x14ac:dyDescent="0.35">
      <c r="A7" s="209" t="s">
        <v>10</v>
      </c>
      <c r="B7" s="209"/>
      <c r="C7" s="209"/>
      <c r="D7" s="209"/>
      <c r="E7" s="50"/>
      <c r="F7" s="50"/>
      <c r="G7" s="50"/>
    </row>
    <row r="8" spans="1:7" x14ac:dyDescent="0.35">
      <c r="A8" s="50"/>
      <c r="B8" s="50"/>
      <c r="C8" s="50"/>
    </row>
    <row r="9" spans="1:7" x14ac:dyDescent="0.35">
      <c r="A9" s="210" t="s">
        <v>1</v>
      </c>
      <c r="B9" s="210"/>
      <c r="C9" s="9"/>
    </row>
    <row r="10" spans="1:7" x14ac:dyDescent="0.35">
      <c r="A10" s="210" t="s">
        <v>0</v>
      </c>
      <c r="B10" s="210"/>
      <c r="C10" s="9"/>
    </row>
    <row r="11" spans="1:7" x14ac:dyDescent="0.35">
      <c r="A11" s="9"/>
      <c r="B11" s="9" t="s">
        <v>213</v>
      </c>
      <c r="C11" s="9"/>
    </row>
    <row r="12" spans="1:7" x14ac:dyDescent="0.35">
      <c r="A12" s="9"/>
      <c r="B12" s="9" t="s">
        <v>215</v>
      </c>
      <c r="C12" s="9"/>
    </row>
    <row r="13" spans="1:7" ht="33" customHeight="1" x14ac:dyDescent="0.35">
      <c r="A13" s="9"/>
      <c r="B13" s="226" t="s">
        <v>216</v>
      </c>
      <c r="C13" s="226"/>
      <c r="D13" s="226"/>
      <c r="E13" s="189"/>
      <c r="F13" s="189"/>
      <c r="G13" s="189"/>
    </row>
    <row r="14" spans="1:7" ht="15.75" customHeight="1" x14ac:dyDescent="0.35">
      <c r="A14" s="9" t="s">
        <v>2</v>
      </c>
      <c r="B14" s="9" t="s">
        <v>197</v>
      </c>
      <c r="C14" s="9"/>
    </row>
    <row r="15" spans="1:7" hidden="1" x14ac:dyDescent="0.35">
      <c r="A15" s="9"/>
      <c r="B15" s="9"/>
      <c r="C15" s="9"/>
    </row>
    <row r="16" spans="1:7" ht="84.75" customHeight="1" x14ac:dyDescent="0.35">
      <c r="A16" s="43" t="s">
        <v>3</v>
      </c>
      <c r="B16" s="43" t="s">
        <v>4</v>
      </c>
      <c r="C16" s="43"/>
      <c r="D16" s="43" t="s">
        <v>72</v>
      </c>
      <c r="E16" s="43" t="s">
        <v>72</v>
      </c>
      <c r="F16" s="43" t="s">
        <v>72</v>
      </c>
      <c r="G16" s="43" t="s">
        <v>72</v>
      </c>
    </row>
    <row r="17" spans="1:7" x14ac:dyDescent="0.35">
      <c r="A17" s="22">
        <v>1</v>
      </c>
      <c r="B17" s="23">
        <v>2</v>
      </c>
      <c r="C17" s="23"/>
      <c r="D17" s="23">
        <v>3</v>
      </c>
      <c r="E17" s="23">
        <v>3</v>
      </c>
      <c r="F17" s="23"/>
      <c r="G17" s="23">
        <v>3</v>
      </c>
    </row>
    <row r="18" spans="1:7" ht="15.75" customHeight="1" x14ac:dyDescent="0.35">
      <c r="A18" s="22"/>
      <c r="B18" s="54" t="s">
        <v>6</v>
      </c>
      <c r="C18" s="54"/>
      <c r="D18" s="66"/>
      <c r="E18" s="66"/>
      <c r="F18" s="66"/>
      <c r="G18" s="66"/>
    </row>
    <row r="19" spans="1:7" ht="15.75" customHeight="1" x14ac:dyDescent="0.35">
      <c r="A19" s="27">
        <v>1100</v>
      </c>
      <c r="B19" s="27" t="s">
        <v>134</v>
      </c>
      <c r="C19" s="28">
        <v>576.62</v>
      </c>
      <c r="D19" s="28">
        <v>2312</v>
      </c>
      <c r="E19" s="28">
        <f t="shared" ref="E19:E24" si="0">D19/800*150</f>
        <v>433.5</v>
      </c>
      <c r="F19" s="28">
        <f t="shared" ref="F19:F24" si="1">E19/150*800</f>
        <v>2312</v>
      </c>
      <c r="G19" s="28">
        <v>1991.2</v>
      </c>
    </row>
    <row r="20" spans="1:7" ht="15.75" customHeight="1" x14ac:dyDescent="0.35">
      <c r="A20" s="27">
        <v>1200</v>
      </c>
      <c r="B20" s="55" t="s">
        <v>135</v>
      </c>
      <c r="C20" s="28">
        <v>138.91</v>
      </c>
      <c r="D20" s="28">
        <v>545.4</v>
      </c>
      <c r="E20" s="28">
        <f t="shared" si="0"/>
        <v>102.26249999999999</v>
      </c>
      <c r="F20" s="28">
        <f t="shared" si="1"/>
        <v>545.4</v>
      </c>
      <c r="G20" s="28">
        <v>469.72</v>
      </c>
    </row>
    <row r="21" spans="1:7" ht="15.75" customHeight="1" x14ac:dyDescent="0.35">
      <c r="A21" s="27">
        <v>2222</v>
      </c>
      <c r="B21" s="56" t="s">
        <v>139</v>
      </c>
      <c r="C21" s="28">
        <v>360.14</v>
      </c>
      <c r="D21" s="28">
        <v>220.89</v>
      </c>
      <c r="E21" s="28">
        <f t="shared" si="0"/>
        <v>41.416874999999997</v>
      </c>
      <c r="F21" s="28">
        <f t="shared" si="1"/>
        <v>220.89</v>
      </c>
      <c r="G21" s="28">
        <f t="shared" ref="G21:G29" si="2">F21/800*600</f>
        <v>165.66749999999999</v>
      </c>
    </row>
    <row r="22" spans="1:7" ht="15.75" customHeight="1" x14ac:dyDescent="0.35">
      <c r="A22" s="27">
        <v>2223</v>
      </c>
      <c r="B22" s="56" t="s">
        <v>140</v>
      </c>
      <c r="C22" s="28">
        <v>428.63</v>
      </c>
      <c r="D22" s="28">
        <v>486.92</v>
      </c>
      <c r="E22" s="28">
        <f t="shared" si="0"/>
        <v>91.297499999999999</v>
      </c>
      <c r="F22" s="28">
        <f t="shared" si="1"/>
        <v>486.92</v>
      </c>
      <c r="G22" s="28">
        <f>F22/800*600</f>
        <v>365.19</v>
      </c>
    </row>
    <row r="23" spans="1:7" ht="15.75" customHeight="1" x14ac:dyDescent="0.35">
      <c r="A23" s="27">
        <v>2243</v>
      </c>
      <c r="B23" s="56" t="s">
        <v>147</v>
      </c>
      <c r="C23" s="28">
        <v>0</v>
      </c>
      <c r="D23" s="28">
        <v>0</v>
      </c>
      <c r="E23" s="28">
        <f t="shared" si="0"/>
        <v>0</v>
      </c>
      <c r="F23" s="28">
        <f t="shared" si="1"/>
        <v>0</v>
      </c>
      <c r="G23" s="28">
        <f t="shared" si="2"/>
        <v>0</v>
      </c>
    </row>
    <row r="24" spans="1:7" ht="15.75" customHeight="1" x14ac:dyDescent="0.35">
      <c r="A24" s="27">
        <v>2321</v>
      </c>
      <c r="B24" s="56" t="s">
        <v>158</v>
      </c>
      <c r="C24" s="28">
        <v>737.48</v>
      </c>
      <c r="D24" s="28">
        <v>471.99</v>
      </c>
      <c r="E24" s="28">
        <f t="shared" si="0"/>
        <v>88.498125000000002</v>
      </c>
      <c r="F24" s="28">
        <f t="shared" si="1"/>
        <v>471.99</v>
      </c>
      <c r="G24" s="28">
        <f t="shared" si="2"/>
        <v>353.99250000000001</v>
      </c>
    </row>
    <row r="25" spans="1:7" ht="15.75" customHeight="1" x14ac:dyDescent="0.35">
      <c r="A25" s="27">
        <v>2341</v>
      </c>
      <c r="B25" s="56" t="s">
        <v>136</v>
      </c>
      <c r="C25" s="28">
        <v>0</v>
      </c>
      <c r="D25" s="28">
        <v>0</v>
      </c>
      <c r="E25" s="28">
        <v>0</v>
      </c>
      <c r="F25" s="28">
        <v>0</v>
      </c>
      <c r="G25" s="28">
        <f t="shared" si="2"/>
        <v>0</v>
      </c>
    </row>
    <row r="26" spans="1:7" ht="15.75" customHeight="1" x14ac:dyDescent="0.35">
      <c r="A26" s="27">
        <v>2350</v>
      </c>
      <c r="B26" s="55" t="s">
        <v>137</v>
      </c>
      <c r="C26" s="28">
        <v>0</v>
      </c>
      <c r="D26" s="28">
        <v>0</v>
      </c>
      <c r="E26" s="28">
        <v>0</v>
      </c>
      <c r="F26" s="28">
        <v>0</v>
      </c>
      <c r="G26" s="28">
        <v>60.64</v>
      </c>
    </row>
    <row r="27" spans="1:7" ht="15.75" customHeight="1" x14ac:dyDescent="0.35">
      <c r="A27" s="27">
        <v>2361</v>
      </c>
      <c r="B27" s="56" t="s">
        <v>170</v>
      </c>
      <c r="C27" s="28"/>
      <c r="D27" s="28"/>
      <c r="E27" s="28"/>
      <c r="F27" s="28"/>
      <c r="G27" s="28">
        <v>6.8</v>
      </c>
    </row>
    <row r="28" spans="1:7" ht="15.75" hidden="1" customHeight="1" x14ac:dyDescent="0.35">
      <c r="A28" s="27">
        <v>2363</v>
      </c>
      <c r="B28" s="56" t="s">
        <v>31</v>
      </c>
      <c r="C28" s="28">
        <v>0</v>
      </c>
      <c r="D28" s="28">
        <v>0</v>
      </c>
      <c r="E28" s="28">
        <v>0</v>
      </c>
      <c r="F28" s="28">
        <v>0</v>
      </c>
      <c r="G28" s="28">
        <f t="shared" si="2"/>
        <v>0</v>
      </c>
    </row>
    <row r="29" spans="1:7" ht="15.75" hidden="1" customHeight="1" x14ac:dyDescent="0.35">
      <c r="A29" s="27">
        <v>5239</v>
      </c>
      <c r="B29" s="55" t="s">
        <v>165</v>
      </c>
      <c r="C29" s="28">
        <v>0</v>
      </c>
      <c r="D29" s="28">
        <v>0</v>
      </c>
      <c r="E29" s="28">
        <v>0</v>
      </c>
      <c r="F29" s="28">
        <v>0</v>
      </c>
      <c r="G29" s="28">
        <f t="shared" si="2"/>
        <v>0</v>
      </c>
    </row>
    <row r="30" spans="1:7" ht="15.75" customHeight="1" x14ac:dyDescent="0.35">
      <c r="A30" s="27"/>
      <c r="B30" s="57" t="s">
        <v>7</v>
      </c>
      <c r="C30" s="31">
        <f>SUM(C19:C29)</f>
        <v>2241.7800000000002</v>
      </c>
      <c r="D30" s="31">
        <f>SUM(D19:D29)</f>
        <v>4037.2</v>
      </c>
      <c r="E30" s="31">
        <f>SUM(E19:E29)</f>
        <v>756.97500000000002</v>
      </c>
      <c r="F30" s="31">
        <f>SUM(F19:F29)</f>
        <v>4037.2</v>
      </c>
      <c r="G30" s="31">
        <f>SUM(G19:G29)</f>
        <v>3413.21</v>
      </c>
    </row>
    <row r="31" spans="1:7" ht="15.75" customHeight="1" x14ac:dyDescent="0.35">
      <c r="A31" s="32"/>
      <c r="B31" s="67" t="s">
        <v>8</v>
      </c>
      <c r="C31" s="26"/>
      <c r="D31" s="26"/>
      <c r="E31" s="26"/>
      <c r="F31" s="26"/>
      <c r="G31" s="26"/>
    </row>
    <row r="32" spans="1:7" ht="15.75" customHeight="1" x14ac:dyDescent="0.35">
      <c r="A32" s="27">
        <v>1100</v>
      </c>
      <c r="B32" s="67" t="s">
        <v>77</v>
      </c>
      <c r="C32" s="28">
        <v>5005.55</v>
      </c>
      <c r="D32" s="28">
        <v>2669.63</v>
      </c>
      <c r="E32" s="28">
        <f t="shared" ref="E32:E60" si="3">D32/800*150</f>
        <v>500.55562500000002</v>
      </c>
      <c r="F32" s="28">
        <f t="shared" ref="F32:F60" si="4">E32/150*800</f>
        <v>2669.63</v>
      </c>
      <c r="G32" s="28">
        <f>F32/800*600</f>
        <v>2002.2225000000001</v>
      </c>
    </row>
    <row r="33" spans="1:7" ht="15.75" customHeight="1" x14ac:dyDescent="0.35">
      <c r="A33" s="27">
        <v>1200</v>
      </c>
      <c r="B33" s="55" t="s">
        <v>135</v>
      </c>
      <c r="C33" s="28">
        <v>1205.8399999999999</v>
      </c>
      <c r="D33" s="28">
        <v>643.11</v>
      </c>
      <c r="E33" s="28">
        <f t="shared" si="3"/>
        <v>120.583125</v>
      </c>
      <c r="F33" s="28">
        <f t="shared" si="4"/>
        <v>643.11</v>
      </c>
      <c r="G33" s="28">
        <f t="shared" ref="G33:G56" si="5">F33/800*600</f>
        <v>482.33249999999998</v>
      </c>
    </row>
    <row r="34" spans="1:7" ht="15.75" hidden="1" customHeight="1" x14ac:dyDescent="0.35">
      <c r="A34" s="27">
        <v>2100</v>
      </c>
      <c r="B34" s="33" t="s">
        <v>44</v>
      </c>
      <c r="C34" s="28">
        <v>0</v>
      </c>
      <c r="D34" s="28">
        <v>0</v>
      </c>
      <c r="E34" s="28">
        <f t="shared" si="3"/>
        <v>0</v>
      </c>
      <c r="F34" s="28">
        <f t="shared" si="4"/>
        <v>0</v>
      </c>
      <c r="G34" s="28"/>
    </row>
    <row r="35" spans="1:7" ht="15.75" customHeight="1" x14ac:dyDescent="0.35">
      <c r="A35" s="34">
        <v>2210</v>
      </c>
      <c r="B35" s="56" t="s">
        <v>138</v>
      </c>
      <c r="C35" s="28">
        <v>71.680000000000007</v>
      </c>
      <c r="D35" s="28">
        <v>34.15</v>
      </c>
      <c r="E35" s="28">
        <f t="shared" si="3"/>
        <v>6.4031249999999993</v>
      </c>
      <c r="F35" s="28">
        <f t="shared" si="4"/>
        <v>34.15</v>
      </c>
      <c r="G35" s="28">
        <f t="shared" si="5"/>
        <v>25.612499999999997</v>
      </c>
    </row>
    <row r="36" spans="1:7" ht="15.75" customHeight="1" x14ac:dyDescent="0.35">
      <c r="A36" s="27">
        <v>2222</v>
      </c>
      <c r="B36" s="56" t="s">
        <v>139</v>
      </c>
      <c r="C36" s="28">
        <v>1200.2</v>
      </c>
      <c r="D36" s="28">
        <v>561.88</v>
      </c>
      <c r="E36" s="28">
        <f t="shared" si="3"/>
        <v>105.35250000000001</v>
      </c>
      <c r="F36" s="28">
        <f t="shared" si="4"/>
        <v>561.88</v>
      </c>
      <c r="G36" s="28">
        <f t="shared" si="5"/>
        <v>421.41</v>
      </c>
    </row>
    <row r="37" spans="1:7" ht="15.75" customHeight="1" x14ac:dyDescent="0.35">
      <c r="A37" s="27">
        <v>2223</v>
      </c>
      <c r="B37" s="56" t="s">
        <v>140</v>
      </c>
      <c r="C37" s="28">
        <v>2201.19</v>
      </c>
      <c r="D37" s="28">
        <v>1973.74</v>
      </c>
      <c r="E37" s="28">
        <f t="shared" si="3"/>
        <v>370.07625000000002</v>
      </c>
      <c r="F37" s="28">
        <f t="shared" si="4"/>
        <v>1973.74</v>
      </c>
      <c r="G37" s="28">
        <f t="shared" si="5"/>
        <v>1480.3050000000001</v>
      </c>
    </row>
    <row r="38" spans="1:7" ht="15.75" customHeight="1" x14ac:dyDescent="0.35">
      <c r="A38" s="27">
        <v>2231</v>
      </c>
      <c r="B38" s="54" t="s">
        <v>142</v>
      </c>
      <c r="C38" s="28">
        <v>44.97</v>
      </c>
      <c r="D38" s="28">
        <v>22.31</v>
      </c>
      <c r="E38" s="28">
        <f t="shared" si="3"/>
        <v>4.1831249999999995</v>
      </c>
      <c r="F38" s="28">
        <f t="shared" si="4"/>
        <v>22.309999999999995</v>
      </c>
      <c r="G38" s="28">
        <f t="shared" si="5"/>
        <v>16.732499999999998</v>
      </c>
    </row>
    <row r="39" spans="1:7" x14ac:dyDescent="0.35">
      <c r="A39" s="27">
        <v>2239</v>
      </c>
      <c r="B39" s="54" t="s">
        <v>144</v>
      </c>
      <c r="C39" s="28">
        <v>189.75</v>
      </c>
      <c r="D39" s="28">
        <v>94.17</v>
      </c>
      <c r="E39" s="28">
        <f t="shared" si="3"/>
        <v>17.656874999999999</v>
      </c>
      <c r="F39" s="28">
        <f t="shared" si="4"/>
        <v>94.17</v>
      </c>
      <c r="G39" s="28">
        <f t="shared" si="5"/>
        <v>70.627499999999998</v>
      </c>
    </row>
    <row r="40" spans="1:7" ht="15.75" hidden="1" customHeight="1" x14ac:dyDescent="0.35">
      <c r="A40" s="27">
        <v>2241</v>
      </c>
      <c r="B40" s="54" t="s">
        <v>145</v>
      </c>
      <c r="C40" s="28">
        <v>0</v>
      </c>
      <c r="D40" s="28">
        <f>C40/1500*800</f>
        <v>0</v>
      </c>
      <c r="E40" s="28">
        <f t="shared" si="3"/>
        <v>0</v>
      </c>
      <c r="F40" s="28">
        <f t="shared" si="4"/>
        <v>0</v>
      </c>
      <c r="G40" s="28">
        <f t="shared" si="5"/>
        <v>0</v>
      </c>
    </row>
    <row r="41" spans="1:7" ht="15.75" customHeight="1" x14ac:dyDescent="0.35">
      <c r="A41" s="27">
        <v>2242</v>
      </c>
      <c r="B41" s="56" t="s">
        <v>146</v>
      </c>
      <c r="C41" s="28">
        <v>16.37</v>
      </c>
      <c r="D41" s="28">
        <v>8.1300000000000008</v>
      </c>
      <c r="E41" s="28">
        <f t="shared" si="3"/>
        <v>1.5243750000000003</v>
      </c>
      <c r="F41" s="28">
        <f t="shared" si="4"/>
        <v>8.1300000000000008</v>
      </c>
      <c r="G41" s="28">
        <f t="shared" si="5"/>
        <v>6.097500000000001</v>
      </c>
    </row>
    <row r="42" spans="1:7" ht="15.75" customHeight="1" x14ac:dyDescent="0.35">
      <c r="A42" s="27">
        <v>2243</v>
      </c>
      <c r="B42" s="54" t="s">
        <v>147</v>
      </c>
      <c r="C42" s="28">
        <v>55.82</v>
      </c>
      <c r="D42" s="28">
        <v>27.72</v>
      </c>
      <c r="E42" s="28">
        <f t="shared" si="3"/>
        <v>5.1974999999999998</v>
      </c>
      <c r="F42" s="28">
        <f t="shared" si="4"/>
        <v>27.72</v>
      </c>
      <c r="G42" s="28">
        <f t="shared" si="5"/>
        <v>20.79</v>
      </c>
    </row>
    <row r="43" spans="1:7" ht="15.75" customHeight="1" x14ac:dyDescent="0.35">
      <c r="A43" s="27">
        <v>2244</v>
      </c>
      <c r="B43" s="54" t="s">
        <v>148</v>
      </c>
      <c r="C43" s="28">
        <v>1105.3599999999999</v>
      </c>
      <c r="D43" s="28">
        <v>549.14</v>
      </c>
      <c r="E43" s="28">
        <f t="shared" si="3"/>
        <v>102.96374999999999</v>
      </c>
      <c r="F43" s="28">
        <f t="shared" si="4"/>
        <v>549.14</v>
      </c>
      <c r="G43" s="28">
        <f t="shared" si="5"/>
        <v>411.85499999999996</v>
      </c>
    </row>
    <row r="44" spans="1:7" ht="15.75" customHeight="1" x14ac:dyDescent="0.35">
      <c r="A44" s="27">
        <v>2247</v>
      </c>
      <c r="B44" s="54" t="s">
        <v>149</v>
      </c>
      <c r="C44" s="28">
        <v>4.49</v>
      </c>
      <c r="D44" s="28">
        <v>2.2400000000000002</v>
      </c>
      <c r="E44" s="28">
        <f t="shared" si="3"/>
        <v>0.42000000000000004</v>
      </c>
      <c r="F44" s="28">
        <f t="shared" si="4"/>
        <v>2.2400000000000002</v>
      </c>
      <c r="G44" s="28">
        <f t="shared" si="5"/>
        <v>1.6800000000000002</v>
      </c>
    </row>
    <row r="45" spans="1:7" ht="15.75" customHeight="1" x14ac:dyDescent="0.35">
      <c r="A45" s="27">
        <v>2249</v>
      </c>
      <c r="B45" s="54" t="s">
        <v>150</v>
      </c>
      <c r="C45" s="28">
        <v>20.239999999999998</v>
      </c>
      <c r="D45" s="28">
        <v>10.09</v>
      </c>
      <c r="E45" s="28">
        <f t="shared" si="3"/>
        <v>1.891875</v>
      </c>
      <c r="F45" s="28">
        <f t="shared" si="4"/>
        <v>10.09</v>
      </c>
      <c r="G45" s="28">
        <f t="shared" si="5"/>
        <v>7.5674999999999999</v>
      </c>
    </row>
    <row r="46" spans="1:7" ht="15.75" customHeight="1" x14ac:dyDescent="0.35">
      <c r="A46" s="27">
        <v>2250</v>
      </c>
      <c r="B46" s="54" t="s">
        <v>151</v>
      </c>
      <c r="C46" s="28">
        <v>315.20999999999998</v>
      </c>
      <c r="D46" s="28">
        <v>157.26</v>
      </c>
      <c r="E46" s="28">
        <f t="shared" si="3"/>
        <v>29.486249999999998</v>
      </c>
      <c r="F46" s="28">
        <f t="shared" si="4"/>
        <v>157.26</v>
      </c>
      <c r="G46" s="28">
        <f t="shared" si="5"/>
        <v>117.94499999999999</v>
      </c>
    </row>
    <row r="47" spans="1:7" ht="15.75" customHeight="1" x14ac:dyDescent="0.35">
      <c r="A47" s="27">
        <v>2262</v>
      </c>
      <c r="B47" s="56" t="s">
        <v>152</v>
      </c>
      <c r="C47" s="28">
        <v>48.49</v>
      </c>
      <c r="D47" s="28">
        <v>24.22</v>
      </c>
      <c r="E47" s="28">
        <f t="shared" si="3"/>
        <v>4.5412499999999998</v>
      </c>
      <c r="F47" s="28">
        <f t="shared" si="4"/>
        <v>24.22</v>
      </c>
      <c r="G47" s="28">
        <f t="shared" si="5"/>
        <v>18.164999999999999</v>
      </c>
    </row>
    <row r="48" spans="1:7" ht="15.75" customHeight="1" x14ac:dyDescent="0.35">
      <c r="A48" s="27">
        <v>2263</v>
      </c>
      <c r="B48" s="56" t="s">
        <v>153</v>
      </c>
      <c r="C48" s="28">
        <v>179.01</v>
      </c>
      <c r="D48" s="28">
        <v>89.42</v>
      </c>
      <c r="E48" s="28">
        <f t="shared" si="3"/>
        <v>16.766249999999999</v>
      </c>
      <c r="F48" s="28">
        <f t="shared" si="4"/>
        <v>89.42</v>
      </c>
      <c r="G48" s="28">
        <f t="shared" si="5"/>
        <v>67.064999999999998</v>
      </c>
    </row>
    <row r="49" spans="1:7" ht="15.75" customHeight="1" x14ac:dyDescent="0.35">
      <c r="A49" s="27">
        <v>2264</v>
      </c>
      <c r="B49" s="54" t="s">
        <v>154</v>
      </c>
      <c r="C49" s="28">
        <v>0.85</v>
      </c>
      <c r="D49" s="28">
        <v>0.42</v>
      </c>
      <c r="E49" s="28">
        <f t="shared" si="3"/>
        <v>7.8750000000000001E-2</v>
      </c>
      <c r="F49" s="28">
        <f t="shared" si="4"/>
        <v>0.42</v>
      </c>
      <c r="G49" s="28">
        <f t="shared" si="5"/>
        <v>0.315</v>
      </c>
    </row>
    <row r="50" spans="1:7" ht="15.75" customHeight="1" x14ac:dyDescent="0.35">
      <c r="A50" s="27">
        <v>2311</v>
      </c>
      <c r="B50" s="56" t="s">
        <v>155</v>
      </c>
      <c r="C50" s="28">
        <v>18.36</v>
      </c>
      <c r="D50" s="28">
        <v>9.18</v>
      </c>
      <c r="E50" s="28">
        <f t="shared" si="3"/>
        <v>1.7212499999999999</v>
      </c>
      <c r="F50" s="28">
        <f t="shared" si="4"/>
        <v>9.18</v>
      </c>
      <c r="G50" s="28">
        <f t="shared" si="5"/>
        <v>6.8849999999999998</v>
      </c>
    </row>
    <row r="51" spans="1:7" ht="15.75" customHeight="1" x14ac:dyDescent="0.35">
      <c r="A51" s="27">
        <v>2312</v>
      </c>
      <c r="B51" s="56" t="s">
        <v>156</v>
      </c>
      <c r="C51" s="28">
        <v>134.9</v>
      </c>
      <c r="D51" s="28">
        <v>67.44</v>
      </c>
      <c r="E51" s="28">
        <f t="shared" si="3"/>
        <v>12.645</v>
      </c>
      <c r="F51" s="28">
        <f t="shared" si="4"/>
        <v>67.44</v>
      </c>
      <c r="G51" s="28">
        <f t="shared" si="5"/>
        <v>50.58</v>
      </c>
    </row>
    <row r="52" spans="1:7" ht="15.75" customHeight="1" x14ac:dyDescent="0.35">
      <c r="A52" s="27">
        <v>2321</v>
      </c>
      <c r="B52" s="56" t="s">
        <v>158</v>
      </c>
      <c r="C52" s="28">
        <v>3606.42</v>
      </c>
      <c r="D52" s="28">
        <v>1864.37</v>
      </c>
      <c r="E52" s="28">
        <f t="shared" si="3"/>
        <v>349.56937499999998</v>
      </c>
      <c r="F52" s="28">
        <f t="shared" si="4"/>
        <v>1864.37</v>
      </c>
      <c r="G52" s="28">
        <f t="shared" si="5"/>
        <v>1398.2774999999999</v>
      </c>
    </row>
    <row r="53" spans="1:7" ht="15.75" customHeight="1" x14ac:dyDescent="0.35">
      <c r="A53" s="27">
        <v>2322</v>
      </c>
      <c r="B53" s="56" t="s">
        <v>159</v>
      </c>
      <c r="C53" s="28">
        <v>130.01</v>
      </c>
      <c r="D53" s="28">
        <v>79.209999999999994</v>
      </c>
      <c r="E53" s="28">
        <f t="shared" si="3"/>
        <v>14.851874999999998</v>
      </c>
      <c r="F53" s="28">
        <f t="shared" si="4"/>
        <v>79.209999999999994</v>
      </c>
      <c r="G53" s="28">
        <f t="shared" si="5"/>
        <v>59.407499999999992</v>
      </c>
    </row>
    <row r="54" spans="1:7" ht="15.75" customHeight="1" x14ac:dyDescent="0.35">
      <c r="A54" s="27">
        <v>2513</v>
      </c>
      <c r="B54" s="56" t="s">
        <v>181</v>
      </c>
      <c r="C54" s="28">
        <v>129.55000000000001</v>
      </c>
      <c r="D54" s="28">
        <v>65.819999999999993</v>
      </c>
      <c r="E54" s="28">
        <f t="shared" si="3"/>
        <v>12.341249999999999</v>
      </c>
      <c r="F54" s="28">
        <f t="shared" si="4"/>
        <v>65.819999999999993</v>
      </c>
      <c r="G54" s="28">
        <f t="shared" si="5"/>
        <v>49.364999999999995</v>
      </c>
    </row>
    <row r="55" spans="1:7" ht="15.75" customHeight="1" x14ac:dyDescent="0.35">
      <c r="A55" s="27">
        <v>2515</v>
      </c>
      <c r="B55" s="56" t="s">
        <v>161</v>
      </c>
      <c r="C55" s="28">
        <v>5.17</v>
      </c>
      <c r="D55" s="28">
        <v>2.63</v>
      </c>
      <c r="E55" s="28">
        <f t="shared" si="3"/>
        <v>0.49312500000000004</v>
      </c>
      <c r="F55" s="28">
        <f t="shared" si="4"/>
        <v>2.63</v>
      </c>
      <c r="G55" s="28">
        <f t="shared" si="5"/>
        <v>1.9725000000000001</v>
      </c>
    </row>
    <row r="56" spans="1:7" ht="15.75" customHeight="1" x14ac:dyDescent="0.35">
      <c r="A56" s="27">
        <v>2519</v>
      </c>
      <c r="B56" s="56" t="s">
        <v>36</v>
      </c>
      <c r="C56" s="28">
        <v>31.78</v>
      </c>
      <c r="D56" s="28">
        <v>16.149999999999999</v>
      </c>
      <c r="E56" s="28">
        <f t="shared" si="3"/>
        <v>3.0281249999999997</v>
      </c>
      <c r="F56" s="28">
        <f t="shared" si="4"/>
        <v>16.149999999999999</v>
      </c>
      <c r="G56" s="28">
        <f t="shared" si="5"/>
        <v>12.112499999999999</v>
      </c>
    </row>
    <row r="57" spans="1:7" ht="15.75" customHeight="1" x14ac:dyDescent="0.35">
      <c r="A57" s="27">
        <v>5220</v>
      </c>
      <c r="B57" s="56" t="s">
        <v>163</v>
      </c>
      <c r="C57" s="28"/>
      <c r="D57" s="28"/>
      <c r="E57" s="28"/>
      <c r="F57" s="28"/>
      <c r="G57" s="28">
        <v>0</v>
      </c>
    </row>
    <row r="58" spans="1:7" ht="15.75" customHeight="1" x14ac:dyDescent="0.35">
      <c r="A58" s="27">
        <v>5238</v>
      </c>
      <c r="B58" s="56" t="s">
        <v>164</v>
      </c>
      <c r="C58" s="28">
        <v>0</v>
      </c>
      <c r="D58" s="28">
        <v>14.84</v>
      </c>
      <c r="E58" s="28">
        <f t="shared" si="3"/>
        <v>2.7825000000000002</v>
      </c>
      <c r="F58" s="28">
        <f t="shared" si="4"/>
        <v>14.84</v>
      </c>
      <c r="G58" s="28">
        <v>11.13</v>
      </c>
    </row>
    <row r="59" spans="1:7" ht="15.75" customHeight="1" x14ac:dyDescent="0.35">
      <c r="A59" s="27">
        <v>5239</v>
      </c>
      <c r="B59" s="55" t="s">
        <v>165</v>
      </c>
      <c r="C59" s="28">
        <v>3.13</v>
      </c>
      <c r="D59" s="28">
        <v>1.67</v>
      </c>
      <c r="E59" s="28">
        <f t="shared" si="3"/>
        <v>0.31312499999999999</v>
      </c>
      <c r="F59" s="28">
        <f t="shared" si="4"/>
        <v>1.67</v>
      </c>
      <c r="G59" s="28">
        <v>1.25</v>
      </c>
    </row>
    <row r="60" spans="1:7" ht="15.75" customHeight="1" x14ac:dyDescent="0.35">
      <c r="A60" s="27">
        <v>5250</v>
      </c>
      <c r="B60" s="56" t="s">
        <v>166</v>
      </c>
      <c r="C60" s="28">
        <v>453.6</v>
      </c>
      <c r="D60" s="28">
        <v>11.95</v>
      </c>
      <c r="E60" s="28">
        <f t="shared" si="3"/>
        <v>2.2406250000000001</v>
      </c>
      <c r="F60" s="28">
        <f t="shared" si="4"/>
        <v>11.950000000000001</v>
      </c>
      <c r="G60" s="28">
        <v>9.09</v>
      </c>
    </row>
    <row r="61" spans="1:7" x14ac:dyDescent="0.35">
      <c r="A61" s="32"/>
      <c r="B61" s="59" t="s">
        <v>9</v>
      </c>
      <c r="C61" s="31">
        <f>SUM(C32:C60)</f>
        <v>16177.94</v>
      </c>
      <c r="D61" s="31">
        <f>SUM(D32:D60)</f>
        <v>9000.8900000000012</v>
      </c>
      <c r="E61" s="31">
        <f>SUM(E32:E60)</f>
        <v>1687.6668749999997</v>
      </c>
      <c r="F61" s="31">
        <f>SUM(F32:F60)</f>
        <v>9000.8900000000012</v>
      </c>
      <c r="G61" s="31">
        <f>SUM(G32:G60)</f>
        <v>6750.7924999999996</v>
      </c>
    </row>
    <row r="62" spans="1:7" x14ac:dyDescent="0.35">
      <c r="A62" s="32"/>
      <c r="B62" s="59" t="s">
        <v>46</v>
      </c>
      <c r="C62" s="31">
        <f>C61+C30</f>
        <v>18419.72</v>
      </c>
      <c r="D62" s="31">
        <f>D61+D30</f>
        <v>13038.09</v>
      </c>
      <c r="E62" s="31">
        <f>E61+E30</f>
        <v>2444.6418749999998</v>
      </c>
      <c r="F62" s="31">
        <f>F61+F30</f>
        <v>13038.09</v>
      </c>
      <c r="G62" s="31">
        <f>G61+G30</f>
        <v>10164.002499999999</v>
      </c>
    </row>
    <row r="63" spans="1:7" x14ac:dyDescent="0.35">
      <c r="A63" s="37"/>
      <c r="B63" s="20"/>
      <c r="C63" s="68"/>
      <c r="D63" s="68"/>
      <c r="E63" s="68"/>
      <c r="F63" s="68"/>
      <c r="G63" s="68"/>
    </row>
    <row r="64" spans="1:7" ht="15" customHeight="1" x14ac:dyDescent="0.35">
      <c r="A64" s="216" t="s">
        <v>51</v>
      </c>
      <c r="B64" s="217"/>
      <c r="C64" s="21">
        <v>1500</v>
      </c>
      <c r="D64" s="44">
        <v>800</v>
      </c>
      <c r="E64" s="44">
        <v>150</v>
      </c>
      <c r="F64" s="44">
        <v>800</v>
      </c>
      <c r="G64" s="44">
        <v>600</v>
      </c>
    </row>
    <row r="65" spans="1:7" ht="15" customHeight="1" x14ac:dyDescent="0.35">
      <c r="A65" s="227" t="s">
        <v>73</v>
      </c>
      <c r="B65" s="228"/>
      <c r="C65" s="39">
        <f>C62/C64</f>
        <v>12.279813333333333</v>
      </c>
      <c r="D65" s="45">
        <f>D62/D64</f>
        <v>16.2976125</v>
      </c>
      <c r="E65" s="45">
        <f>E62/E64</f>
        <v>16.2976125</v>
      </c>
      <c r="F65" s="45">
        <f>F62/F64</f>
        <v>16.2976125</v>
      </c>
      <c r="G65" s="45">
        <f>G62/G64</f>
        <v>16.940004166666665</v>
      </c>
    </row>
    <row r="66" spans="1:7" x14ac:dyDescent="0.35">
      <c r="A66" s="20"/>
      <c r="B66" s="13"/>
      <c r="C66" s="13"/>
    </row>
    <row r="67" spans="1:7" ht="15" customHeight="1" x14ac:dyDescent="0.35">
      <c r="A67" s="216" t="s">
        <v>52</v>
      </c>
      <c r="B67" s="217"/>
      <c r="C67" s="16">
        <v>12.55</v>
      </c>
      <c r="D67" s="186"/>
      <c r="E67" s="186"/>
      <c r="F67" s="186"/>
      <c r="G67" s="186"/>
    </row>
    <row r="68" spans="1:7" ht="15" customHeight="1" x14ac:dyDescent="0.35">
      <c r="A68" s="216" t="s">
        <v>74</v>
      </c>
      <c r="B68" s="217"/>
      <c r="C68" s="16"/>
      <c r="D68" s="69"/>
      <c r="E68" s="69"/>
      <c r="F68" s="69"/>
      <c r="G68" s="69"/>
    </row>
    <row r="69" spans="1:7" x14ac:dyDescent="0.35">
      <c r="A69" s="17"/>
      <c r="B69" s="17"/>
      <c r="C69" s="17"/>
      <c r="D69" s="48"/>
      <c r="E69" s="48"/>
      <c r="F69" s="48"/>
      <c r="G69" s="48"/>
    </row>
    <row r="70" spans="1:7" x14ac:dyDescent="0.35">
      <c r="A70" s="17" t="s">
        <v>53</v>
      </c>
      <c r="B70" s="17"/>
      <c r="C70" s="17"/>
      <c r="D70" s="48"/>
      <c r="E70" s="48"/>
      <c r="F70" s="48"/>
      <c r="G70" s="48"/>
    </row>
    <row r="71" spans="1:7" x14ac:dyDescent="0.35">
      <c r="A71" s="17"/>
      <c r="B71" s="17"/>
      <c r="C71" s="17"/>
      <c r="D71" s="17"/>
      <c r="E71" s="17"/>
      <c r="F71" s="17"/>
      <c r="G71" s="17"/>
    </row>
    <row r="72" spans="1:7" x14ac:dyDescent="0.35">
      <c r="A72" s="17" t="s">
        <v>68</v>
      </c>
      <c r="B72" s="18"/>
      <c r="C72" s="18"/>
      <c r="D72" s="17"/>
      <c r="E72" s="17"/>
      <c r="F72" s="17"/>
      <c r="G72" s="17"/>
    </row>
    <row r="73" spans="1:7" x14ac:dyDescent="0.35">
      <c r="A73" s="17"/>
      <c r="B73" s="19"/>
      <c r="C73" s="19"/>
      <c r="D73" s="17"/>
      <c r="E73" s="17"/>
      <c r="F73" s="17"/>
      <c r="G73" s="17"/>
    </row>
  </sheetData>
  <mergeCells count="8">
    <mergeCell ref="A67:B67"/>
    <mergeCell ref="A68:B68"/>
    <mergeCell ref="A7:D7"/>
    <mergeCell ref="A9:B9"/>
    <mergeCell ref="A10:B10"/>
    <mergeCell ref="B13:D13"/>
    <mergeCell ref="A64:B64"/>
    <mergeCell ref="A65:B65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  <headerFooter>
    <oddFooter>&amp;F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7"/>
  <sheetViews>
    <sheetView view="pageLayout" topLeftCell="A64" zoomScale="80" zoomScaleNormal="90" zoomScalePageLayoutView="80" workbookViewId="0">
      <selection activeCell="A84" sqref="A84"/>
    </sheetView>
  </sheetViews>
  <sheetFormatPr defaultColWidth="9.1796875" defaultRowHeight="15.5" x14ac:dyDescent="0.35"/>
  <cols>
    <col min="1" max="1" width="19.26953125" style="12" customWidth="1"/>
    <col min="2" max="2" width="93" style="12" customWidth="1"/>
    <col min="3" max="3" width="8.7265625" style="78" hidden="1" customWidth="1"/>
    <col min="4" max="4" width="25.1796875" style="12" hidden="1" customWidth="1"/>
    <col min="5" max="5" width="35.26953125" style="12" customWidth="1"/>
    <col min="6" max="16384" width="9.1796875" style="12"/>
  </cols>
  <sheetData>
    <row r="1" spans="1:5" ht="15.75" customHeight="1" x14ac:dyDescent="0.35">
      <c r="B1" s="10"/>
      <c r="C1" s="73"/>
      <c r="D1" s="49" t="s">
        <v>50</v>
      </c>
      <c r="E1" s="49" t="s">
        <v>50</v>
      </c>
    </row>
    <row r="2" spans="1:5" x14ac:dyDescent="0.35">
      <c r="B2" s="11"/>
      <c r="C2" s="11"/>
      <c r="D2" s="11"/>
      <c r="E2" s="10" t="s">
        <v>54</v>
      </c>
    </row>
    <row r="3" spans="1:5" x14ac:dyDescent="0.35">
      <c r="B3" s="11"/>
      <c r="C3" s="141"/>
      <c r="D3" s="46" t="s">
        <v>76</v>
      </c>
      <c r="E3" s="46" t="s">
        <v>76</v>
      </c>
    </row>
    <row r="4" spans="1:5" x14ac:dyDescent="0.35">
      <c r="B4" s="10"/>
      <c r="C4" s="73"/>
      <c r="D4" s="37"/>
      <c r="E4" s="37"/>
    </row>
    <row r="5" spans="1:5" x14ac:dyDescent="0.35">
      <c r="B5" s="51"/>
      <c r="C5" s="80"/>
    </row>
    <row r="6" spans="1:5" x14ac:dyDescent="0.35">
      <c r="B6" s="51"/>
      <c r="C6" s="80"/>
      <c r="D6" s="37" t="s">
        <v>196</v>
      </c>
      <c r="E6" s="37" t="s">
        <v>246</v>
      </c>
    </row>
    <row r="7" spans="1:5" x14ac:dyDescent="0.35">
      <c r="D7" s="20"/>
      <c r="E7" s="20"/>
    </row>
    <row r="8" spans="1:5" x14ac:dyDescent="0.35">
      <c r="A8" s="209" t="s">
        <v>10</v>
      </c>
      <c r="B8" s="209"/>
      <c r="C8" s="209"/>
      <c r="D8" s="209"/>
      <c r="E8" s="50"/>
    </row>
    <row r="9" spans="1:5" x14ac:dyDescent="0.35">
      <c r="B9" s="53"/>
      <c r="C9" s="142"/>
      <c r="D9" s="20"/>
      <c r="E9" s="20"/>
    </row>
    <row r="10" spans="1:5" x14ac:dyDescent="0.35">
      <c r="A10" s="210" t="s">
        <v>1</v>
      </c>
      <c r="B10" s="210"/>
      <c r="C10" s="143"/>
      <c r="D10" s="20"/>
      <c r="E10" s="20"/>
    </row>
    <row r="11" spans="1:5" x14ac:dyDescent="0.35">
      <c r="A11" s="210" t="s">
        <v>0</v>
      </c>
      <c r="B11" s="210"/>
      <c r="C11" s="143"/>
      <c r="D11" s="20"/>
      <c r="E11" s="20"/>
    </row>
    <row r="12" spans="1:5" x14ac:dyDescent="0.35">
      <c r="A12" s="9"/>
      <c r="B12" s="9" t="s">
        <v>213</v>
      </c>
      <c r="C12" s="143"/>
      <c r="D12" s="20"/>
      <c r="E12" s="20"/>
    </row>
    <row r="13" spans="1:5" x14ac:dyDescent="0.35">
      <c r="A13" s="9"/>
      <c r="B13" s="9" t="s">
        <v>225</v>
      </c>
      <c r="C13" s="143"/>
      <c r="D13" s="20"/>
      <c r="E13" s="20"/>
    </row>
    <row r="14" spans="1:5" x14ac:dyDescent="0.35">
      <c r="A14" s="9"/>
      <c r="B14" s="9" t="s">
        <v>226</v>
      </c>
      <c r="C14" s="143"/>
      <c r="D14" s="20"/>
      <c r="E14" s="20"/>
    </row>
    <row r="15" spans="1:5" x14ac:dyDescent="0.35">
      <c r="A15" s="9"/>
      <c r="B15" s="9" t="s">
        <v>227</v>
      </c>
      <c r="C15" s="143"/>
      <c r="D15" s="20"/>
      <c r="E15" s="20"/>
    </row>
    <row r="16" spans="1:5" x14ac:dyDescent="0.35">
      <c r="A16" s="9" t="s">
        <v>2</v>
      </c>
      <c r="B16" s="9" t="s">
        <v>197</v>
      </c>
      <c r="C16" s="143"/>
      <c r="D16" s="20"/>
      <c r="E16" s="20"/>
    </row>
    <row r="17" spans="1:5" ht="69.75" customHeight="1" x14ac:dyDescent="0.35">
      <c r="A17" s="43" t="s">
        <v>3</v>
      </c>
      <c r="B17" s="43" t="s">
        <v>4</v>
      </c>
      <c r="C17" s="144"/>
      <c r="D17" s="43" t="s">
        <v>5</v>
      </c>
      <c r="E17" s="43" t="s">
        <v>5</v>
      </c>
    </row>
    <row r="18" spans="1:5" x14ac:dyDescent="0.35">
      <c r="A18" s="22">
        <v>1</v>
      </c>
      <c r="B18" s="23">
        <v>2</v>
      </c>
      <c r="C18" s="145"/>
      <c r="D18" s="23">
        <v>3</v>
      </c>
      <c r="E18" s="23">
        <v>3</v>
      </c>
    </row>
    <row r="19" spans="1:5" x14ac:dyDescent="0.35">
      <c r="A19" s="22"/>
      <c r="B19" s="54" t="s">
        <v>6</v>
      </c>
      <c r="C19" s="146"/>
      <c r="D19" s="55"/>
      <c r="E19" s="55"/>
    </row>
    <row r="20" spans="1:5" x14ac:dyDescent="0.35">
      <c r="A20" s="27">
        <v>1100</v>
      </c>
      <c r="B20" s="27" t="s">
        <v>134</v>
      </c>
      <c r="C20" s="147" t="e">
        <f>#REF!</f>
        <v>#REF!</v>
      </c>
      <c r="D20" s="28">
        <v>9034.68</v>
      </c>
      <c r="E20" s="28">
        <v>2212.56</v>
      </c>
    </row>
    <row r="21" spans="1:5" x14ac:dyDescent="0.35">
      <c r="A21" s="27">
        <v>1200</v>
      </c>
      <c r="B21" s="55" t="s">
        <v>135</v>
      </c>
      <c r="C21" s="148" t="e">
        <f>C20*0.2359</f>
        <v>#REF!</v>
      </c>
      <c r="D21" s="28">
        <v>2131.2800000000002</v>
      </c>
      <c r="E21" s="28">
        <v>521.94000000000005</v>
      </c>
    </row>
    <row r="22" spans="1:5" x14ac:dyDescent="0.35">
      <c r="A22" s="27">
        <v>2222</v>
      </c>
      <c r="B22" s="56" t="s">
        <v>139</v>
      </c>
      <c r="C22" s="149" t="e">
        <f>#REF!</f>
        <v>#REF!</v>
      </c>
      <c r="D22" s="28">
        <v>391.39</v>
      </c>
      <c r="E22" s="28">
        <v>93.93</v>
      </c>
    </row>
    <row r="23" spans="1:5" x14ac:dyDescent="0.35">
      <c r="A23" s="27">
        <v>2223</v>
      </c>
      <c r="B23" s="56" t="s">
        <v>140</v>
      </c>
      <c r="C23" s="149" t="e">
        <f>#REF!</f>
        <v>#REF!</v>
      </c>
      <c r="D23" s="28">
        <v>1118.82</v>
      </c>
      <c r="E23" s="28">
        <v>246.14</v>
      </c>
    </row>
    <row r="24" spans="1:5" ht="31" x14ac:dyDescent="0.35">
      <c r="A24" s="27">
        <v>2224</v>
      </c>
      <c r="B24" s="56" t="s">
        <v>141</v>
      </c>
      <c r="C24" s="149" t="e">
        <f>#REF!</f>
        <v>#REF!</v>
      </c>
      <c r="D24" s="28">
        <v>3.49</v>
      </c>
      <c r="E24" s="28">
        <v>0.84</v>
      </c>
    </row>
    <row r="25" spans="1:5" x14ac:dyDescent="0.35">
      <c r="A25" s="27">
        <v>2231</v>
      </c>
      <c r="B25" s="56" t="s">
        <v>142</v>
      </c>
      <c r="C25" s="149" t="e">
        <f>#REF!</f>
        <v>#REF!</v>
      </c>
      <c r="D25" s="28">
        <v>16.829999999999998</v>
      </c>
      <c r="E25" s="28">
        <v>3.37</v>
      </c>
    </row>
    <row r="26" spans="1:5" x14ac:dyDescent="0.35">
      <c r="A26" s="27">
        <v>2239</v>
      </c>
      <c r="B26" s="109" t="s">
        <v>195</v>
      </c>
      <c r="C26" s="149" t="e">
        <f>#REF!</f>
        <v>#REF!</v>
      </c>
      <c r="D26" s="28">
        <v>2.21</v>
      </c>
      <c r="E26" s="28">
        <v>0.44</v>
      </c>
    </row>
    <row r="27" spans="1:5" x14ac:dyDescent="0.35">
      <c r="A27" s="27">
        <v>2243</v>
      </c>
      <c r="B27" s="54" t="s">
        <v>147</v>
      </c>
      <c r="C27" s="146" t="e">
        <f>#REF!</f>
        <v>#REF!</v>
      </c>
      <c r="D27" s="28">
        <v>37.57</v>
      </c>
      <c r="E27" s="28">
        <v>7.51</v>
      </c>
    </row>
    <row r="28" spans="1:5" x14ac:dyDescent="0.35">
      <c r="A28" s="27">
        <v>2244</v>
      </c>
      <c r="B28" s="54" t="s">
        <v>148</v>
      </c>
      <c r="C28" s="146" t="e">
        <f>#REF!</f>
        <v>#REF!</v>
      </c>
      <c r="D28" s="28">
        <v>1495.1</v>
      </c>
      <c r="E28" s="28">
        <v>299.02</v>
      </c>
    </row>
    <row r="29" spans="1:5" x14ac:dyDescent="0.35">
      <c r="A29" s="27">
        <v>2250</v>
      </c>
      <c r="B29" s="54" t="s">
        <v>151</v>
      </c>
      <c r="C29" s="146" t="e">
        <f>#REF!</f>
        <v>#REF!</v>
      </c>
      <c r="D29" s="28">
        <v>79.27</v>
      </c>
      <c r="E29" s="28">
        <v>15.85</v>
      </c>
    </row>
    <row r="30" spans="1:5" x14ac:dyDescent="0.35">
      <c r="A30" s="27">
        <v>2311</v>
      </c>
      <c r="B30" s="56" t="s">
        <v>155</v>
      </c>
      <c r="C30" s="146" t="e">
        <f>#REF!</f>
        <v>#REF!</v>
      </c>
      <c r="D30" s="28">
        <v>1167.6600000000001</v>
      </c>
      <c r="E30" s="28">
        <v>233.53</v>
      </c>
    </row>
    <row r="31" spans="1:5" x14ac:dyDescent="0.35">
      <c r="A31" s="27">
        <v>2312</v>
      </c>
      <c r="B31" s="54" t="s">
        <v>156</v>
      </c>
      <c r="C31" s="146" t="e">
        <f>#REF!</f>
        <v>#REF!</v>
      </c>
      <c r="D31" s="28">
        <v>551.12</v>
      </c>
      <c r="E31" s="28">
        <v>110.22</v>
      </c>
    </row>
    <row r="32" spans="1:5" x14ac:dyDescent="0.35">
      <c r="A32" s="27">
        <v>2314</v>
      </c>
      <c r="B32" s="54" t="s">
        <v>157</v>
      </c>
      <c r="C32" s="146" t="e">
        <f>#REF!</f>
        <v>#REF!</v>
      </c>
      <c r="D32" s="28">
        <v>1.81</v>
      </c>
      <c r="E32" s="28">
        <v>0.36</v>
      </c>
    </row>
    <row r="33" spans="1:5" x14ac:dyDescent="0.35">
      <c r="A33" s="27">
        <v>2321</v>
      </c>
      <c r="B33" s="56" t="s">
        <v>158</v>
      </c>
      <c r="C33" s="149" t="e">
        <f>#REF!</f>
        <v>#REF!</v>
      </c>
      <c r="D33" s="28">
        <v>848.22</v>
      </c>
      <c r="E33" s="28">
        <v>203.57</v>
      </c>
    </row>
    <row r="34" spans="1:5" x14ac:dyDescent="0.35">
      <c r="A34" s="27">
        <v>2341</v>
      </c>
      <c r="B34" s="56" t="s">
        <v>136</v>
      </c>
      <c r="C34" s="149" t="e">
        <f>#REF!</f>
        <v>#REF!</v>
      </c>
      <c r="D34" s="28">
        <v>180.62</v>
      </c>
      <c r="E34" s="28">
        <v>36.119999999999997</v>
      </c>
    </row>
    <row r="35" spans="1:5" x14ac:dyDescent="0.35">
      <c r="A35" s="27">
        <v>2350</v>
      </c>
      <c r="B35" s="55" t="s">
        <v>137</v>
      </c>
      <c r="C35" s="149" t="e">
        <f>#REF!</f>
        <v>#REF!</v>
      </c>
      <c r="D35" s="28">
        <v>360.22</v>
      </c>
      <c r="E35" s="28">
        <v>72.040000000000006</v>
      </c>
    </row>
    <row r="36" spans="1:5" x14ac:dyDescent="0.35">
      <c r="A36" s="27">
        <v>2361</v>
      </c>
      <c r="B36" s="56" t="s">
        <v>170</v>
      </c>
      <c r="C36" s="149" t="e">
        <f>#REF!</f>
        <v>#REF!</v>
      </c>
      <c r="D36" s="28">
        <v>154.82</v>
      </c>
      <c r="E36" s="28">
        <v>30.96</v>
      </c>
    </row>
    <row r="37" spans="1:5" x14ac:dyDescent="0.35">
      <c r="A37" s="27">
        <v>2362</v>
      </c>
      <c r="B37" s="56" t="s">
        <v>171</v>
      </c>
      <c r="C37" s="149" t="e">
        <f>#REF!</f>
        <v>#REF!</v>
      </c>
      <c r="D37" s="28">
        <v>13.2</v>
      </c>
      <c r="E37" s="28">
        <v>2.64</v>
      </c>
    </row>
    <row r="38" spans="1:5" x14ac:dyDescent="0.35">
      <c r="A38" s="27">
        <v>2363</v>
      </c>
      <c r="B38" s="56" t="s">
        <v>172</v>
      </c>
      <c r="C38" s="191">
        <f>9.75*5</f>
        <v>48.75</v>
      </c>
      <c r="D38" s="28">
        <f>C38*50</f>
        <v>2437.5</v>
      </c>
      <c r="E38" s="28">
        <v>487.5</v>
      </c>
    </row>
    <row r="39" spans="1:5" x14ac:dyDescent="0.35">
      <c r="A39" s="27">
        <v>5239</v>
      </c>
      <c r="B39" s="55" t="s">
        <v>165</v>
      </c>
      <c r="C39" s="151" t="e">
        <f>#REF!</f>
        <v>#REF!</v>
      </c>
      <c r="D39" s="28">
        <v>721.32</v>
      </c>
      <c r="E39" s="28">
        <v>144.26</v>
      </c>
    </row>
    <row r="40" spans="1:5" x14ac:dyDescent="0.35">
      <c r="A40" s="27"/>
      <c r="B40" s="57" t="s">
        <v>7</v>
      </c>
      <c r="C40" s="152" t="e">
        <f>SUM(C20:C39)</f>
        <v>#REF!</v>
      </c>
      <c r="D40" s="31">
        <f>SUM(D20:D39)</f>
        <v>20747.13</v>
      </c>
      <c r="E40" s="31">
        <f>SUM(E20:E39)</f>
        <v>4722.8</v>
      </c>
    </row>
    <row r="41" spans="1:5" x14ac:dyDescent="0.35">
      <c r="A41" s="32"/>
      <c r="B41" s="57" t="s">
        <v>8</v>
      </c>
      <c r="C41" s="152"/>
      <c r="D41" s="28"/>
      <c r="E41" s="28"/>
    </row>
    <row r="42" spans="1:5" x14ac:dyDescent="0.35">
      <c r="A42" s="27">
        <v>1100</v>
      </c>
      <c r="B42" s="54" t="s">
        <v>134</v>
      </c>
      <c r="C42" s="151">
        <f>0.5144-0.00029</f>
        <v>0.51410999999999996</v>
      </c>
      <c r="D42" s="28">
        <v>4122.32</v>
      </c>
      <c r="E42" s="28">
        <v>997.34</v>
      </c>
    </row>
    <row r="43" spans="1:5" ht="16.5" customHeight="1" x14ac:dyDescent="0.35">
      <c r="A43" s="27">
        <v>1200</v>
      </c>
      <c r="B43" s="54" t="s">
        <v>135</v>
      </c>
      <c r="C43" s="151">
        <f>C42*0.2359</f>
        <v>0.12127854899999999</v>
      </c>
      <c r="D43" s="28">
        <v>972.46</v>
      </c>
      <c r="E43" s="28">
        <v>235.27</v>
      </c>
    </row>
    <row r="44" spans="1:5" ht="16.5" customHeight="1" x14ac:dyDescent="0.35">
      <c r="A44" s="27">
        <v>2100</v>
      </c>
      <c r="B44" s="33" t="s">
        <v>44</v>
      </c>
      <c r="C44" s="151">
        <v>8.0999999999999996E-4</v>
      </c>
      <c r="D44" s="28">
        <v>6.51</v>
      </c>
      <c r="E44" s="28">
        <v>1.3</v>
      </c>
    </row>
    <row r="45" spans="1:5" x14ac:dyDescent="0.35">
      <c r="A45" s="34">
        <v>2210</v>
      </c>
      <c r="B45" s="56" t="s">
        <v>138</v>
      </c>
      <c r="C45" s="151">
        <v>8.0000000000000002E-3</v>
      </c>
      <c r="D45" s="28">
        <v>64.150000000000006</v>
      </c>
      <c r="E45" s="28">
        <v>12.83</v>
      </c>
    </row>
    <row r="46" spans="1:5" x14ac:dyDescent="0.35">
      <c r="A46" s="27">
        <v>2222</v>
      </c>
      <c r="B46" s="56" t="s">
        <v>139</v>
      </c>
      <c r="C46" s="151">
        <v>4.4400000000000004E-3</v>
      </c>
      <c r="D46" s="28">
        <v>35.6</v>
      </c>
      <c r="E46" s="28">
        <v>14.2</v>
      </c>
    </row>
    <row r="47" spans="1:5" x14ac:dyDescent="0.35">
      <c r="A47" s="27">
        <v>2223</v>
      </c>
      <c r="B47" s="56" t="s">
        <v>140</v>
      </c>
      <c r="C47" s="151">
        <v>5.4940000000000003E-2</v>
      </c>
      <c r="D47" s="28">
        <v>440.53</v>
      </c>
      <c r="E47" s="28">
        <v>105.81</v>
      </c>
    </row>
    <row r="48" spans="1:5" ht="31" x14ac:dyDescent="0.35">
      <c r="A48" s="27">
        <v>2224</v>
      </c>
      <c r="B48" s="56" t="s">
        <v>141</v>
      </c>
      <c r="C48" s="151">
        <v>3.0899999999999999E-3</v>
      </c>
      <c r="D48" s="28">
        <v>24.78</v>
      </c>
      <c r="E48" s="28">
        <v>7.43</v>
      </c>
    </row>
    <row r="49" spans="1:5" ht="15.75" customHeight="1" x14ac:dyDescent="0.35">
      <c r="A49" s="27">
        <v>2231</v>
      </c>
      <c r="B49" s="54" t="s">
        <v>142</v>
      </c>
      <c r="C49" s="151">
        <v>1.5E-3</v>
      </c>
      <c r="D49" s="28">
        <v>12.03</v>
      </c>
      <c r="E49" s="28">
        <f t="shared" ref="E49:E72" si="0">D49/50*10</f>
        <v>2.4059999999999997</v>
      </c>
    </row>
    <row r="50" spans="1:5" ht="15.75" customHeight="1" x14ac:dyDescent="0.35">
      <c r="A50" s="27">
        <v>2235</v>
      </c>
      <c r="B50" s="58" t="s">
        <v>143</v>
      </c>
      <c r="C50" s="151">
        <v>2.5100000000000001E-3</v>
      </c>
      <c r="D50" s="28">
        <v>20.13</v>
      </c>
      <c r="E50" s="28">
        <f t="shared" si="0"/>
        <v>4.0259999999999998</v>
      </c>
    </row>
    <row r="51" spans="1:5" x14ac:dyDescent="0.35">
      <c r="A51" s="27">
        <v>2239</v>
      </c>
      <c r="B51" s="54" t="s">
        <v>144</v>
      </c>
      <c r="C51" s="151">
        <v>1.7899999999999999E-3</v>
      </c>
      <c r="D51" s="28">
        <v>14.35</v>
      </c>
      <c r="E51" s="28">
        <f t="shared" si="0"/>
        <v>2.8699999999999997</v>
      </c>
    </row>
    <row r="52" spans="1:5" x14ac:dyDescent="0.35">
      <c r="A52" s="27">
        <v>2241</v>
      </c>
      <c r="B52" s="54" t="s">
        <v>145</v>
      </c>
      <c r="C52" s="151">
        <v>1.6500000000000001E-2</v>
      </c>
      <c r="D52" s="28">
        <v>132.30000000000001</v>
      </c>
      <c r="E52" s="28">
        <v>31.75</v>
      </c>
    </row>
    <row r="53" spans="1:5" x14ac:dyDescent="0.35">
      <c r="A53" s="27">
        <v>2242</v>
      </c>
      <c r="B53" s="56" t="s">
        <v>146</v>
      </c>
      <c r="C53" s="151">
        <v>8.4999999999999995E-4</v>
      </c>
      <c r="D53" s="28">
        <v>6.82</v>
      </c>
      <c r="E53" s="28">
        <f t="shared" si="0"/>
        <v>1.3639999999999999</v>
      </c>
    </row>
    <row r="54" spans="1:5" ht="15.75" customHeight="1" x14ac:dyDescent="0.35">
      <c r="A54" s="27">
        <v>2243</v>
      </c>
      <c r="B54" s="54" t="s">
        <v>147</v>
      </c>
      <c r="C54" s="151">
        <v>4.0000000000000002E-4</v>
      </c>
      <c r="D54" s="28">
        <v>3.21</v>
      </c>
      <c r="E54" s="28">
        <v>0.65</v>
      </c>
    </row>
    <row r="55" spans="1:5" x14ac:dyDescent="0.35">
      <c r="A55" s="27">
        <v>2244</v>
      </c>
      <c r="B55" s="54" t="s">
        <v>148</v>
      </c>
      <c r="C55" s="151">
        <v>6.8070000000000006E-2</v>
      </c>
      <c r="D55" s="28">
        <v>545.80999999999995</v>
      </c>
      <c r="E55" s="28">
        <f t="shared" si="0"/>
        <v>109.16199999999998</v>
      </c>
    </row>
    <row r="56" spans="1:5" x14ac:dyDescent="0.35">
      <c r="A56" s="27">
        <v>2247</v>
      </c>
      <c r="B56" s="54" t="s">
        <v>149</v>
      </c>
      <c r="C56" s="151">
        <v>2.2000000000000001E-4</v>
      </c>
      <c r="D56" s="28">
        <v>1.76</v>
      </c>
      <c r="E56" s="28">
        <f t="shared" si="0"/>
        <v>0.35200000000000004</v>
      </c>
    </row>
    <row r="57" spans="1:5" x14ac:dyDescent="0.35">
      <c r="A57" s="27">
        <v>2249</v>
      </c>
      <c r="B57" s="54" t="s">
        <v>150</v>
      </c>
      <c r="C57" s="151">
        <v>2.5000000000000001E-4</v>
      </c>
      <c r="D57" s="28">
        <v>2</v>
      </c>
      <c r="E57" s="28">
        <f t="shared" si="0"/>
        <v>0.4</v>
      </c>
    </row>
    <row r="58" spans="1:5" x14ac:dyDescent="0.35">
      <c r="A58" s="27">
        <v>2250</v>
      </c>
      <c r="B58" s="54" t="s">
        <v>151</v>
      </c>
      <c r="C58" s="151">
        <v>2.8400000000000002E-2</v>
      </c>
      <c r="D58" s="28">
        <v>227.72</v>
      </c>
      <c r="E58" s="28">
        <f t="shared" si="0"/>
        <v>45.544000000000004</v>
      </c>
    </row>
    <row r="59" spans="1:5" x14ac:dyDescent="0.35">
      <c r="A59" s="27">
        <v>2262</v>
      </c>
      <c r="B59" s="56" t="s">
        <v>152</v>
      </c>
      <c r="C59" s="151">
        <v>1.137E-2</v>
      </c>
      <c r="D59" s="28">
        <v>91.17</v>
      </c>
      <c r="E59" s="28">
        <f t="shared" si="0"/>
        <v>18.234000000000002</v>
      </c>
    </row>
    <row r="60" spans="1:5" x14ac:dyDescent="0.35">
      <c r="A60" s="27">
        <v>2263</v>
      </c>
      <c r="B60" s="56" t="s">
        <v>153</v>
      </c>
      <c r="C60" s="151">
        <v>4.58E-2</v>
      </c>
      <c r="D60" s="28">
        <v>367.24</v>
      </c>
      <c r="E60" s="28">
        <f t="shared" si="0"/>
        <v>73.448000000000008</v>
      </c>
    </row>
    <row r="61" spans="1:5" x14ac:dyDescent="0.35">
      <c r="A61" s="27">
        <v>2264</v>
      </c>
      <c r="B61" s="54" t="s">
        <v>154</v>
      </c>
      <c r="C61" s="151">
        <v>2.4000000000000001E-4</v>
      </c>
      <c r="D61" s="28">
        <v>1.92</v>
      </c>
      <c r="E61" s="28">
        <f t="shared" si="0"/>
        <v>0.38399999999999995</v>
      </c>
    </row>
    <row r="62" spans="1:5" x14ac:dyDescent="0.35">
      <c r="A62" s="27">
        <v>2311</v>
      </c>
      <c r="B62" s="56" t="s">
        <v>155</v>
      </c>
      <c r="C62" s="153">
        <v>7.1000000000000002E-4</v>
      </c>
      <c r="D62" s="28">
        <v>5.69</v>
      </c>
      <c r="E62" s="28">
        <f t="shared" si="0"/>
        <v>1.1380000000000001</v>
      </c>
    </row>
    <row r="63" spans="1:5" x14ac:dyDescent="0.35">
      <c r="A63" s="27">
        <v>2314</v>
      </c>
      <c r="B63" s="58" t="s">
        <v>157</v>
      </c>
      <c r="C63" s="151">
        <v>4.6000000000000001E-4</v>
      </c>
      <c r="D63" s="28">
        <v>3.69</v>
      </c>
      <c r="E63" s="28">
        <f t="shared" si="0"/>
        <v>0.73799999999999999</v>
      </c>
    </row>
    <row r="64" spans="1:5" x14ac:dyDescent="0.35">
      <c r="A64" s="27">
        <v>2321</v>
      </c>
      <c r="B64" s="56" t="s">
        <v>158</v>
      </c>
      <c r="C64" s="151">
        <v>6.0220000000000003E-2</v>
      </c>
      <c r="D64" s="28">
        <v>482.87</v>
      </c>
      <c r="E64" s="28">
        <v>115.89</v>
      </c>
    </row>
    <row r="65" spans="1:5" x14ac:dyDescent="0.35">
      <c r="A65" s="27">
        <v>2322</v>
      </c>
      <c r="B65" s="56" t="s">
        <v>159</v>
      </c>
      <c r="C65" s="151">
        <v>2.0999999999999999E-3</v>
      </c>
      <c r="D65" s="28">
        <v>16.84</v>
      </c>
      <c r="E65" s="28">
        <f t="shared" si="0"/>
        <v>3.3679999999999999</v>
      </c>
    </row>
    <row r="66" spans="1:5" ht="15.75" customHeight="1" x14ac:dyDescent="0.35">
      <c r="A66" s="27">
        <v>2513</v>
      </c>
      <c r="B66" s="55" t="s">
        <v>160</v>
      </c>
      <c r="C66" s="151">
        <v>6.3000000000000003E-4</v>
      </c>
      <c r="D66" s="28">
        <v>5.05</v>
      </c>
      <c r="E66" s="28">
        <f t="shared" si="0"/>
        <v>1.01</v>
      </c>
    </row>
    <row r="67" spans="1:5" x14ac:dyDescent="0.35">
      <c r="A67" s="27">
        <v>2515</v>
      </c>
      <c r="B67" s="56" t="s">
        <v>161</v>
      </c>
      <c r="C67" s="151">
        <v>2.7499999999999998E-3</v>
      </c>
      <c r="D67" s="28">
        <v>22.05</v>
      </c>
      <c r="E67" s="28">
        <f t="shared" si="0"/>
        <v>4.41</v>
      </c>
    </row>
    <row r="68" spans="1:5" x14ac:dyDescent="0.35">
      <c r="A68" s="27">
        <v>2519</v>
      </c>
      <c r="B68" s="56" t="s">
        <v>162</v>
      </c>
      <c r="C68" s="151">
        <v>1.5100000000000001E-3</v>
      </c>
      <c r="D68" s="28">
        <v>12.11</v>
      </c>
      <c r="E68" s="28">
        <f t="shared" si="0"/>
        <v>2.4220000000000002</v>
      </c>
    </row>
    <row r="69" spans="1:5" x14ac:dyDescent="0.35">
      <c r="A69" s="27">
        <v>5220</v>
      </c>
      <c r="B69" s="56" t="s">
        <v>163</v>
      </c>
      <c r="C69" s="151">
        <v>1.06E-2</v>
      </c>
      <c r="D69" s="28">
        <v>84.99</v>
      </c>
      <c r="E69" s="28">
        <f t="shared" si="0"/>
        <v>16.998000000000001</v>
      </c>
    </row>
    <row r="70" spans="1:5" x14ac:dyDescent="0.35">
      <c r="A70" s="27">
        <v>5238</v>
      </c>
      <c r="B70" s="55" t="s">
        <v>164</v>
      </c>
      <c r="C70" s="151">
        <v>1.65E-3</v>
      </c>
      <c r="D70" s="28">
        <v>13.23</v>
      </c>
      <c r="E70" s="28">
        <f t="shared" si="0"/>
        <v>2.6459999999999999</v>
      </c>
    </row>
    <row r="71" spans="1:5" x14ac:dyDescent="0.35">
      <c r="A71" s="27">
        <v>5239</v>
      </c>
      <c r="B71" s="55" t="s">
        <v>165</v>
      </c>
      <c r="C71" s="151">
        <v>1.9800000000000002E-2</v>
      </c>
      <c r="D71" s="28">
        <v>158.76</v>
      </c>
      <c r="E71" s="28">
        <f t="shared" si="0"/>
        <v>31.751999999999999</v>
      </c>
    </row>
    <row r="72" spans="1:5" x14ac:dyDescent="0.35">
      <c r="A72" s="27">
        <v>5250</v>
      </c>
      <c r="B72" s="56" t="s">
        <v>166</v>
      </c>
      <c r="C72" s="151">
        <v>1.4999999999999999E-2</v>
      </c>
      <c r="D72" s="28">
        <v>120.28</v>
      </c>
      <c r="E72" s="28">
        <f t="shared" si="0"/>
        <v>24.056000000000001</v>
      </c>
    </row>
    <row r="73" spans="1:5" x14ac:dyDescent="0.35">
      <c r="A73" s="32"/>
      <c r="B73" s="59" t="s">
        <v>167</v>
      </c>
      <c r="C73" s="154"/>
      <c r="D73" s="31">
        <f>SUM(D42:D72)</f>
        <v>8018.369999999999</v>
      </c>
      <c r="E73" s="31">
        <f>SUM(E42:E72)</f>
        <v>1869.1980000000005</v>
      </c>
    </row>
    <row r="74" spans="1:5" x14ac:dyDescent="0.35">
      <c r="A74" s="32"/>
      <c r="B74" s="59" t="s">
        <v>168</v>
      </c>
      <c r="C74" s="154"/>
      <c r="D74" s="31">
        <f>D40+D73</f>
        <v>28765.5</v>
      </c>
      <c r="E74" s="31">
        <f>E40+E73</f>
        <v>6591.9980000000005</v>
      </c>
    </row>
    <row r="75" spans="1:5" ht="12.75" customHeight="1" x14ac:dyDescent="0.35">
      <c r="A75" s="37"/>
      <c r="B75" s="20"/>
      <c r="C75" s="155"/>
      <c r="D75" s="60"/>
      <c r="E75" s="60"/>
    </row>
    <row r="76" spans="1:5" ht="15.75" customHeight="1" x14ac:dyDescent="0.35">
      <c r="A76" s="211" t="s">
        <v>51</v>
      </c>
      <c r="B76" s="211"/>
      <c r="C76" s="156"/>
      <c r="D76" s="44">
        <v>50</v>
      </c>
      <c r="E76" s="44">
        <v>10</v>
      </c>
    </row>
    <row r="77" spans="1:5" ht="15.75" customHeight="1" x14ac:dyDescent="0.35">
      <c r="A77" s="211" t="s">
        <v>58</v>
      </c>
      <c r="B77" s="211"/>
      <c r="C77" s="156"/>
      <c r="D77" s="45">
        <f>D74/D76</f>
        <v>575.30999999999995</v>
      </c>
      <c r="E77" s="45">
        <f>E74/E76</f>
        <v>659.1998000000001</v>
      </c>
    </row>
    <row r="78" spans="1:5" ht="9.75" customHeight="1" x14ac:dyDescent="0.35">
      <c r="A78" s="41"/>
      <c r="B78" s="42"/>
      <c r="C78" s="157"/>
    </row>
    <row r="79" spans="1:5" ht="15.75" customHeight="1" x14ac:dyDescent="0.35">
      <c r="A79" s="208" t="s">
        <v>52</v>
      </c>
      <c r="B79" s="208"/>
      <c r="C79" s="158"/>
      <c r="D79" s="140"/>
      <c r="E79" s="140"/>
    </row>
    <row r="80" spans="1:5" ht="15.75" customHeight="1" x14ac:dyDescent="0.35">
      <c r="A80" s="208" t="s">
        <v>74</v>
      </c>
      <c r="B80" s="208"/>
      <c r="C80" s="158"/>
      <c r="D80" s="40"/>
      <c r="E80" s="40"/>
    </row>
    <row r="81" spans="1:7" ht="8.25" customHeight="1" x14ac:dyDescent="0.35">
      <c r="A81" s="17"/>
      <c r="B81" s="17"/>
      <c r="C81" s="159"/>
      <c r="D81" s="17"/>
      <c r="E81" s="17"/>
    </row>
    <row r="82" spans="1:7" x14ac:dyDescent="0.35">
      <c r="A82" s="17" t="s">
        <v>53</v>
      </c>
      <c r="B82" s="17"/>
      <c r="C82" s="159"/>
      <c r="D82" s="48"/>
      <c r="E82" s="48"/>
    </row>
    <row r="83" spans="1:7" x14ac:dyDescent="0.35">
      <c r="A83" s="17"/>
      <c r="B83" s="17"/>
      <c r="C83" s="160"/>
      <c r="D83" s="48"/>
      <c r="E83" s="48"/>
    </row>
    <row r="84" spans="1:7" x14ac:dyDescent="0.35">
      <c r="A84" s="17" t="s">
        <v>248</v>
      </c>
      <c r="B84" s="18"/>
      <c r="C84" s="161"/>
      <c r="D84" s="48"/>
      <c r="E84" s="48"/>
    </row>
    <row r="85" spans="1:7" x14ac:dyDescent="0.35">
      <c r="B85" s="63"/>
      <c r="C85" s="162"/>
      <c r="D85" s="64"/>
      <c r="E85" s="64"/>
    </row>
    <row r="86" spans="1:7" x14ac:dyDescent="0.35">
      <c r="E86" s="64"/>
      <c r="G86" s="64"/>
    </row>
    <row r="87" spans="1:7" x14ac:dyDescent="0.35">
      <c r="D87" s="52"/>
      <c r="E87" s="52"/>
    </row>
  </sheetData>
  <mergeCells count="7">
    <mergeCell ref="A79:B79"/>
    <mergeCell ref="A80:B80"/>
    <mergeCell ref="A10:B10"/>
    <mergeCell ref="A8:D8"/>
    <mergeCell ref="A11:B11"/>
    <mergeCell ref="A76:B76"/>
    <mergeCell ref="A77:B77"/>
  </mergeCells>
  <pageMargins left="0.70866141732283472" right="0.92276785714285714" top="0.74803149606299213" bottom="0.55118110236220474" header="0.31496062992125984" footer="0.31496062992125984"/>
  <pageSetup paperSize="9" scale="55" orientation="portrait" r:id="rId1"/>
  <headerFooter>
    <oddFooter>&amp;F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7"/>
  <sheetViews>
    <sheetView view="pageLayout" topLeftCell="A52" zoomScale="80" zoomScaleNormal="100" zoomScalePageLayoutView="80" workbookViewId="0">
      <selection activeCell="A84" sqref="A84"/>
    </sheetView>
  </sheetViews>
  <sheetFormatPr defaultColWidth="9.1796875" defaultRowHeight="15.5" x14ac:dyDescent="0.35"/>
  <cols>
    <col min="1" max="1" width="19.26953125" style="12" customWidth="1"/>
    <col min="2" max="2" width="90.54296875" style="12" customWidth="1"/>
    <col min="3" max="3" width="5.81640625" style="78" hidden="1" customWidth="1"/>
    <col min="4" max="4" width="25.1796875" style="12" hidden="1" customWidth="1"/>
    <col min="5" max="5" width="31" style="12" customWidth="1"/>
    <col min="6" max="16384" width="9.1796875" style="12"/>
  </cols>
  <sheetData>
    <row r="1" spans="1:5" ht="15.75" customHeight="1" x14ac:dyDescent="0.35">
      <c r="B1" s="10"/>
      <c r="C1" s="73"/>
      <c r="D1" s="49" t="s">
        <v>50</v>
      </c>
      <c r="E1" s="49" t="s">
        <v>50</v>
      </c>
    </row>
    <row r="2" spans="1:5" x14ac:dyDescent="0.35">
      <c r="B2" s="212" t="s">
        <v>54</v>
      </c>
      <c r="C2" s="212"/>
      <c r="D2" s="212"/>
      <c r="E2" s="212"/>
    </row>
    <row r="3" spans="1:5" x14ac:dyDescent="0.35">
      <c r="B3" s="11"/>
      <c r="C3" s="141"/>
      <c r="D3" s="46" t="s">
        <v>76</v>
      </c>
      <c r="E3" s="46" t="s">
        <v>76</v>
      </c>
    </row>
    <row r="4" spans="1:5" x14ac:dyDescent="0.35">
      <c r="B4" s="10"/>
      <c r="C4" s="73"/>
      <c r="D4" s="37"/>
      <c r="E4" s="37"/>
    </row>
    <row r="5" spans="1:5" x14ac:dyDescent="0.35">
      <c r="B5" s="51"/>
      <c r="C5" s="80"/>
    </row>
    <row r="6" spans="1:5" x14ac:dyDescent="0.35">
      <c r="B6" s="51"/>
      <c r="C6" s="80"/>
      <c r="D6" s="37" t="s">
        <v>196</v>
      </c>
      <c r="E6" s="37" t="s">
        <v>246</v>
      </c>
    </row>
    <row r="7" spans="1:5" x14ac:dyDescent="0.35">
      <c r="D7" s="20"/>
      <c r="E7" s="20"/>
    </row>
    <row r="8" spans="1:5" x14ac:dyDescent="0.35">
      <c r="A8" s="209" t="s">
        <v>10</v>
      </c>
      <c r="B8" s="209"/>
      <c r="C8" s="209"/>
      <c r="D8" s="209"/>
      <c r="E8" s="50"/>
    </row>
    <row r="9" spans="1:5" x14ac:dyDescent="0.35">
      <c r="B9" s="53"/>
      <c r="C9" s="142"/>
      <c r="D9" s="20"/>
      <c r="E9" s="20"/>
    </row>
    <row r="10" spans="1:5" x14ac:dyDescent="0.35">
      <c r="A10" s="210" t="s">
        <v>1</v>
      </c>
      <c r="B10" s="210"/>
      <c r="C10" s="143"/>
      <c r="D10" s="20"/>
      <c r="E10" s="20"/>
    </row>
    <row r="11" spans="1:5" x14ac:dyDescent="0.35">
      <c r="A11" s="210" t="s">
        <v>0</v>
      </c>
      <c r="B11" s="210"/>
      <c r="C11" s="143"/>
      <c r="D11" s="20"/>
      <c r="E11" s="20"/>
    </row>
    <row r="12" spans="1:5" x14ac:dyDescent="0.35">
      <c r="A12" s="9"/>
      <c r="B12" s="9" t="s">
        <v>213</v>
      </c>
      <c r="C12" s="143"/>
      <c r="D12" s="20"/>
      <c r="E12" s="20"/>
    </row>
    <row r="13" spans="1:5" x14ac:dyDescent="0.35">
      <c r="A13" s="9"/>
      <c r="B13" s="9" t="s">
        <v>225</v>
      </c>
      <c r="C13" s="143"/>
      <c r="D13" s="20"/>
      <c r="E13" s="20"/>
    </row>
    <row r="14" spans="1:5" x14ac:dyDescent="0.35">
      <c r="A14" s="9"/>
      <c r="B14" s="9" t="s">
        <v>226</v>
      </c>
      <c r="C14" s="143"/>
      <c r="D14" s="20"/>
      <c r="E14" s="20"/>
    </row>
    <row r="15" spans="1:5" x14ac:dyDescent="0.35">
      <c r="A15" s="9"/>
      <c r="B15" s="9" t="s">
        <v>228</v>
      </c>
      <c r="C15" s="143"/>
      <c r="D15" s="20"/>
      <c r="E15" s="20"/>
    </row>
    <row r="16" spans="1:5" x14ac:dyDescent="0.35">
      <c r="A16" s="9" t="s">
        <v>2</v>
      </c>
      <c r="B16" s="9" t="s">
        <v>197</v>
      </c>
      <c r="C16" s="143"/>
      <c r="D16" s="20"/>
      <c r="E16" s="20"/>
    </row>
    <row r="17" spans="1:6" ht="69.75" customHeight="1" x14ac:dyDescent="0.35">
      <c r="A17" s="43" t="s">
        <v>3</v>
      </c>
      <c r="B17" s="43" t="s">
        <v>4</v>
      </c>
      <c r="C17" s="144"/>
      <c r="D17" s="43" t="s">
        <v>5</v>
      </c>
      <c r="E17" s="43" t="s">
        <v>5</v>
      </c>
    </row>
    <row r="18" spans="1:6" x14ac:dyDescent="0.35">
      <c r="A18" s="22">
        <v>1</v>
      </c>
      <c r="B18" s="23">
        <v>2</v>
      </c>
      <c r="C18" s="145"/>
      <c r="D18" s="23">
        <v>3</v>
      </c>
      <c r="E18" s="23">
        <v>3</v>
      </c>
    </row>
    <row r="19" spans="1:6" x14ac:dyDescent="0.35">
      <c r="A19" s="22"/>
      <c r="B19" s="54" t="s">
        <v>6</v>
      </c>
      <c r="C19" s="146"/>
      <c r="D19" s="55"/>
      <c r="E19" s="55"/>
    </row>
    <row r="20" spans="1:6" x14ac:dyDescent="0.35">
      <c r="A20" s="27">
        <v>1100</v>
      </c>
      <c r="B20" s="27" t="s">
        <v>134</v>
      </c>
      <c r="C20" s="147" t="e">
        <f>#REF!</f>
        <v>#REF!</v>
      </c>
      <c r="D20" s="28">
        <v>7578.14</v>
      </c>
      <c r="E20" s="28">
        <v>1867.19</v>
      </c>
    </row>
    <row r="21" spans="1:6" x14ac:dyDescent="0.35">
      <c r="A21" s="27">
        <v>1200</v>
      </c>
      <c r="B21" s="55" t="s">
        <v>135</v>
      </c>
      <c r="C21" s="148" t="e">
        <f>C20*0.2359</f>
        <v>#REF!</v>
      </c>
      <c r="D21" s="28">
        <v>1787.68</v>
      </c>
      <c r="E21" s="28">
        <v>440.47</v>
      </c>
    </row>
    <row r="22" spans="1:6" x14ac:dyDescent="0.35">
      <c r="A22" s="27">
        <v>2222</v>
      </c>
      <c r="B22" s="56" t="s">
        <v>139</v>
      </c>
      <c r="C22" s="149" t="e">
        <f>#REF!</f>
        <v>#REF!</v>
      </c>
      <c r="D22" s="28">
        <v>328.29</v>
      </c>
      <c r="E22" s="28">
        <v>93.93</v>
      </c>
      <c r="F22" s="52"/>
    </row>
    <row r="23" spans="1:6" x14ac:dyDescent="0.35">
      <c r="A23" s="27">
        <v>2223</v>
      </c>
      <c r="B23" s="56" t="s">
        <v>140</v>
      </c>
      <c r="C23" s="149" t="e">
        <f>#REF!</f>
        <v>#REF!</v>
      </c>
      <c r="D23" s="28">
        <v>938.45</v>
      </c>
      <c r="E23" s="28">
        <v>187.69</v>
      </c>
    </row>
    <row r="24" spans="1:6" ht="31" x14ac:dyDescent="0.35">
      <c r="A24" s="27">
        <v>2224</v>
      </c>
      <c r="B24" s="56" t="s">
        <v>141</v>
      </c>
      <c r="C24" s="149" t="e">
        <f>#REF!</f>
        <v>#REF!</v>
      </c>
      <c r="D24" s="28">
        <v>2.93</v>
      </c>
      <c r="E24" s="28">
        <v>0.59</v>
      </c>
    </row>
    <row r="25" spans="1:6" x14ac:dyDescent="0.35">
      <c r="A25" s="27">
        <v>2231</v>
      </c>
      <c r="B25" s="56" t="s">
        <v>142</v>
      </c>
      <c r="C25" s="149" t="e">
        <f>#REF!</f>
        <v>#REF!</v>
      </c>
      <c r="D25" s="28">
        <v>14.12</v>
      </c>
      <c r="E25" s="28">
        <v>2.82</v>
      </c>
    </row>
    <row r="26" spans="1:6" x14ac:dyDescent="0.35">
      <c r="A26" s="27">
        <v>2239</v>
      </c>
      <c r="B26" s="109" t="s">
        <v>195</v>
      </c>
      <c r="C26" s="149" t="e">
        <f>#REF!</f>
        <v>#REF!</v>
      </c>
      <c r="D26" s="28">
        <v>1.85</v>
      </c>
      <c r="E26" s="28">
        <v>0.37</v>
      </c>
    </row>
    <row r="27" spans="1:6" x14ac:dyDescent="0.35">
      <c r="A27" s="27">
        <v>2243</v>
      </c>
      <c r="B27" s="54" t="s">
        <v>147</v>
      </c>
      <c r="C27" s="146" t="e">
        <f>#REF!</f>
        <v>#REF!</v>
      </c>
      <c r="D27" s="28">
        <v>31.51</v>
      </c>
      <c r="E27" s="28">
        <v>6.3</v>
      </c>
    </row>
    <row r="28" spans="1:6" x14ac:dyDescent="0.35">
      <c r="A28" s="27">
        <v>2244</v>
      </c>
      <c r="B28" s="54" t="s">
        <v>148</v>
      </c>
      <c r="C28" s="146" t="e">
        <f>#REF!</f>
        <v>#REF!</v>
      </c>
      <c r="D28" s="28">
        <v>1254.07</v>
      </c>
      <c r="E28" s="28">
        <v>250.81</v>
      </c>
    </row>
    <row r="29" spans="1:6" x14ac:dyDescent="0.35">
      <c r="A29" s="27">
        <v>2250</v>
      </c>
      <c r="B29" s="54" t="s">
        <v>151</v>
      </c>
      <c r="C29" s="146" t="e">
        <f>#REF!</f>
        <v>#REF!</v>
      </c>
      <c r="D29" s="28">
        <v>66.489999999999995</v>
      </c>
      <c r="E29" s="28">
        <v>13.3</v>
      </c>
    </row>
    <row r="30" spans="1:6" x14ac:dyDescent="0.35">
      <c r="A30" s="27">
        <v>2311</v>
      </c>
      <c r="B30" s="56" t="s">
        <v>155</v>
      </c>
      <c r="C30" s="146" t="e">
        <f>#REF!</f>
        <v>#REF!</v>
      </c>
      <c r="D30" s="28">
        <v>979.41</v>
      </c>
      <c r="E30" s="28">
        <v>195.88</v>
      </c>
    </row>
    <row r="31" spans="1:6" x14ac:dyDescent="0.35">
      <c r="A31" s="27">
        <v>2312</v>
      </c>
      <c r="B31" s="54" t="s">
        <v>156</v>
      </c>
      <c r="C31" s="146" t="e">
        <f>#REF!</f>
        <v>#REF!</v>
      </c>
      <c r="D31" s="28">
        <v>462.27</v>
      </c>
      <c r="E31" s="28">
        <v>92.45</v>
      </c>
    </row>
    <row r="32" spans="1:6" x14ac:dyDescent="0.35">
      <c r="A32" s="27">
        <v>2314</v>
      </c>
      <c r="B32" s="54" t="s">
        <v>157</v>
      </c>
      <c r="C32" s="146" t="e">
        <f>#REF!</f>
        <v>#REF!</v>
      </c>
      <c r="D32" s="28">
        <v>1.51</v>
      </c>
      <c r="E32" s="28">
        <v>0.3</v>
      </c>
    </row>
    <row r="33" spans="1:5" x14ac:dyDescent="0.35">
      <c r="A33" s="27">
        <v>2321</v>
      </c>
      <c r="B33" s="56" t="s">
        <v>158</v>
      </c>
      <c r="C33" s="149" t="e">
        <f>#REF!</f>
        <v>#REF!</v>
      </c>
      <c r="D33" s="28">
        <v>711.47</v>
      </c>
      <c r="E33" s="28">
        <v>142.29</v>
      </c>
    </row>
    <row r="34" spans="1:5" x14ac:dyDescent="0.35">
      <c r="A34" s="27">
        <v>2341</v>
      </c>
      <c r="B34" s="56" t="s">
        <v>136</v>
      </c>
      <c r="C34" s="149" t="e">
        <f>#REF!</f>
        <v>#REF!</v>
      </c>
      <c r="D34" s="28">
        <v>151.5</v>
      </c>
      <c r="E34" s="28">
        <v>30.3</v>
      </c>
    </row>
    <row r="35" spans="1:5" x14ac:dyDescent="0.35">
      <c r="A35" s="27">
        <v>2350</v>
      </c>
      <c r="B35" s="55" t="s">
        <v>137</v>
      </c>
      <c r="C35" s="149" t="e">
        <f>#REF!</f>
        <v>#REF!</v>
      </c>
      <c r="D35" s="28">
        <v>302.14999999999998</v>
      </c>
      <c r="E35" s="28">
        <v>60.43</v>
      </c>
    </row>
    <row r="36" spans="1:5" x14ac:dyDescent="0.35">
      <c r="A36" s="27">
        <v>2361</v>
      </c>
      <c r="B36" s="56" t="s">
        <v>170</v>
      </c>
      <c r="C36" s="149" t="e">
        <f>#REF!</f>
        <v>#REF!</v>
      </c>
      <c r="D36" s="28">
        <v>129.86000000000001</v>
      </c>
      <c r="E36" s="28">
        <v>25.97</v>
      </c>
    </row>
    <row r="37" spans="1:5" x14ac:dyDescent="0.35">
      <c r="A37" s="27">
        <v>2362</v>
      </c>
      <c r="B37" s="56" t="s">
        <v>171</v>
      </c>
      <c r="C37" s="149" t="e">
        <f>#REF!</f>
        <v>#REF!</v>
      </c>
      <c r="D37" s="28">
        <v>11.07</v>
      </c>
      <c r="E37" s="28">
        <v>2.21</v>
      </c>
    </row>
    <row r="38" spans="1:5" x14ac:dyDescent="0.35">
      <c r="A38" s="27">
        <v>2363</v>
      </c>
      <c r="B38" s="56" t="s">
        <v>172</v>
      </c>
      <c r="C38" s="150">
        <f>9.75*5</f>
        <v>48.75</v>
      </c>
      <c r="D38" s="28">
        <f>C38*50</f>
        <v>2437.5</v>
      </c>
      <c r="E38" s="28">
        <v>487.5</v>
      </c>
    </row>
    <row r="39" spans="1:5" x14ac:dyDescent="0.35">
      <c r="A39" s="27">
        <v>5239</v>
      </c>
      <c r="B39" s="55" t="s">
        <v>165</v>
      </c>
      <c r="C39" s="151" t="e">
        <f>#REF!</f>
        <v>#REF!</v>
      </c>
      <c r="D39" s="28">
        <v>605.03</v>
      </c>
      <c r="E39" s="28">
        <v>121.01</v>
      </c>
    </row>
    <row r="40" spans="1:5" x14ac:dyDescent="0.35">
      <c r="A40" s="27"/>
      <c r="B40" s="57" t="s">
        <v>7</v>
      </c>
      <c r="C40" s="152" t="e">
        <f>SUM(C20:C39)</f>
        <v>#REF!</v>
      </c>
      <c r="D40" s="31">
        <f>SUM(D20:D39)</f>
        <v>17795.300000000003</v>
      </c>
      <c r="E40" s="31">
        <f>SUM(E20:E39)</f>
        <v>4021.8100000000004</v>
      </c>
    </row>
    <row r="41" spans="1:5" x14ac:dyDescent="0.35">
      <c r="A41" s="32"/>
      <c r="B41" s="57" t="s">
        <v>8</v>
      </c>
      <c r="C41" s="152"/>
      <c r="D41" s="28"/>
      <c r="E41" s="28"/>
    </row>
    <row r="42" spans="1:5" x14ac:dyDescent="0.35">
      <c r="A42" s="27">
        <v>1100</v>
      </c>
      <c r="B42" s="54" t="s">
        <v>134</v>
      </c>
      <c r="C42" s="151">
        <f>0.5144-0.00029</f>
        <v>0.51410999999999996</v>
      </c>
      <c r="D42" s="28">
        <v>3255.7</v>
      </c>
      <c r="E42" s="28">
        <v>932.14</v>
      </c>
    </row>
    <row r="43" spans="1:5" ht="16.5" customHeight="1" x14ac:dyDescent="0.35">
      <c r="A43" s="27">
        <v>1200</v>
      </c>
      <c r="B43" s="54" t="s">
        <v>135</v>
      </c>
      <c r="C43" s="151">
        <f>C42*0.2359</f>
        <v>0.12127854899999999</v>
      </c>
      <c r="D43" s="28">
        <v>768.02</v>
      </c>
      <c r="E43" s="28">
        <v>219.89</v>
      </c>
    </row>
    <row r="44" spans="1:5" ht="16.5" customHeight="1" x14ac:dyDescent="0.35">
      <c r="A44" s="27">
        <v>2100</v>
      </c>
      <c r="B44" s="33" t="s">
        <v>44</v>
      </c>
      <c r="C44" s="151">
        <v>8.0999999999999996E-4</v>
      </c>
      <c r="D44" s="28">
        <v>5.13</v>
      </c>
      <c r="E44" s="28">
        <v>1.03</v>
      </c>
    </row>
    <row r="45" spans="1:5" x14ac:dyDescent="0.35">
      <c r="A45" s="34">
        <v>2210</v>
      </c>
      <c r="B45" s="56" t="s">
        <v>138</v>
      </c>
      <c r="C45" s="151">
        <v>8.0000000000000002E-3</v>
      </c>
      <c r="D45" s="28">
        <v>50.66</v>
      </c>
      <c r="E45" s="28">
        <v>10.130000000000001</v>
      </c>
    </row>
    <row r="46" spans="1:5" x14ac:dyDescent="0.35">
      <c r="A46" s="27">
        <v>2222</v>
      </c>
      <c r="B46" s="56" t="s">
        <v>139</v>
      </c>
      <c r="C46" s="151">
        <v>4.4400000000000004E-3</v>
      </c>
      <c r="D46" s="28">
        <v>28.12</v>
      </c>
      <c r="E46" s="28">
        <v>5.62</v>
      </c>
    </row>
    <row r="47" spans="1:5" x14ac:dyDescent="0.35">
      <c r="A47" s="27">
        <v>2223</v>
      </c>
      <c r="B47" s="56" t="s">
        <v>140</v>
      </c>
      <c r="C47" s="151">
        <v>5.4940000000000003E-2</v>
      </c>
      <c r="D47" s="28">
        <v>347.92</v>
      </c>
      <c r="E47" s="28">
        <v>69.58</v>
      </c>
    </row>
    <row r="48" spans="1:5" ht="31" x14ac:dyDescent="0.35">
      <c r="A48" s="27">
        <v>2224</v>
      </c>
      <c r="B48" s="56" t="s">
        <v>141</v>
      </c>
      <c r="C48" s="151">
        <v>3.0899999999999999E-3</v>
      </c>
      <c r="D48" s="28">
        <v>19.57</v>
      </c>
      <c r="E48" s="28">
        <v>3.91</v>
      </c>
    </row>
    <row r="49" spans="1:5" ht="15.75" customHeight="1" x14ac:dyDescent="0.35">
      <c r="A49" s="27">
        <v>2231</v>
      </c>
      <c r="B49" s="54" t="s">
        <v>142</v>
      </c>
      <c r="C49" s="151">
        <v>1.5E-3</v>
      </c>
      <c r="D49" s="28">
        <v>9.5</v>
      </c>
      <c r="E49" s="28">
        <v>1.9</v>
      </c>
    </row>
    <row r="50" spans="1:5" ht="15.75" customHeight="1" x14ac:dyDescent="0.35">
      <c r="A50" s="27">
        <v>2235</v>
      </c>
      <c r="B50" s="58" t="s">
        <v>143</v>
      </c>
      <c r="C50" s="151">
        <v>2.5100000000000001E-3</v>
      </c>
      <c r="D50" s="28">
        <v>15.9</v>
      </c>
      <c r="E50" s="28">
        <v>3.18</v>
      </c>
    </row>
    <row r="51" spans="1:5" x14ac:dyDescent="0.35">
      <c r="A51" s="27">
        <v>2239</v>
      </c>
      <c r="B51" s="54" t="s">
        <v>144</v>
      </c>
      <c r="C51" s="151">
        <v>1.7899999999999999E-3</v>
      </c>
      <c r="D51" s="28">
        <v>11.34</v>
      </c>
      <c r="E51" s="28">
        <v>2.27</v>
      </c>
    </row>
    <row r="52" spans="1:5" x14ac:dyDescent="0.35">
      <c r="A52" s="27">
        <v>2241</v>
      </c>
      <c r="B52" s="54" t="s">
        <v>145</v>
      </c>
      <c r="C52" s="151">
        <v>1.6500000000000001E-2</v>
      </c>
      <c r="D52" s="28">
        <v>104.49</v>
      </c>
      <c r="E52" s="28">
        <v>20.9</v>
      </c>
    </row>
    <row r="53" spans="1:5" x14ac:dyDescent="0.35">
      <c r="A53" s="27">
        <v>2242</v>
      </c>
      <c r="B53" s="56" t="s">
        <v>146</v>
      </c>
      <c r="C53" s="151">
        <v>8.4999999999999995E-4</v>
      </c>
      <c r="D53" s="28">
        <v>5.38</v>
      </c>
      <c r="E53" s="28">
        <v>1.08</v>
      </c>
    </row>
    <row r="54" spans="1:5" ht="15.75" customHeight="1" x14ac:dyDescent="0.35">
      <c r="A54" s="27">
        <v>2243</v>
      </c>
      <c r="B54" s="54" t="s">
        <v>147</v>
      </c>
      <c r="C54" s="151">
        <v>4.0000000000000002E-4</v>
      </c>
      <c r="D54" s="28">
        <v>2.5299999999999998</v>
      </c>
      <c r="E54" s="28">
        <v>0.51</v>
      </c>
    </row>
    <row r="55" spans="1:5" x14ac:dyDescent="0.35">
      <c r="A55" s="27">
        <v>2244</v>
      </c>
      <c r="B55" s="54" t="s">
        <v>148</v>
      </c>
      <c r="C55" s="151">
        <v>6.8070000000000006E-2</v>
      </c>
      <c r="D55" s="28">
        <v>431.07</v>
      </c>
      <c r="E55" s="28">
        <v>86.21</v>
      </c>
    </row>
    <row r="56" spans="1:5" x14ac:dyDescent="0.35">
      <c r="A56" s="27">
        <v>2247</v>
      </c>
      <c r="B56" s="54" t="s">
        <v>149</v>
      </c>
      <c r="C56" s="151">
        <v>2.2000000000000001E-4</v>
      </c>
      <c r="D56" s="28">
        <v>1.39</v>
      </c>
      <c r="E56" s="28">
        <v>0.28000000000000003</v>
      </c>
    </row>
    <row r="57" spans="1:5" x14ac:dyDescent="0.35">
      <c r="A57" s="27">
        <v>2249</v>
      </c>
      <c r="B57" s="54" t="s">
        <v>150</v>
      </c>
      <c r="C57" s="151">
        <v>2.5000000000000001E-4</v>
      </c>
      <c r="D57" s="28">
        <v>1.58</v>
      </c>
      <c r="E57" s="28">
        <v>0.32</v>
      </c>
    </row>
    <row r="58" spans="1:5" x14ac:dyDescent="0.35">
      <c r="A58" s="27">
        <v>2250</v>
      </c>
      <c r="B58" s="54" t="s">
        <v>151</v>
      </c>
      <c r="C58" s="151">
        <v>2.8400000000000002E-2</v>
      </c>
      <c r="D58" s="28">
        <v>179.85</v>
      </c>
      <c r="E58" s="28">
        <v>35.97</v>
      </c>
    </row>
    <row r="59" spans="1:5" x14ac:dyDescent="0.35">
      <c r="A59" s="27">
        <v>2262</v>
      </c>
      <c r="B59" s="56" t="s">
        <v>152</v>
      </c>
      <c r="C59" s="151">
        <v>1.137E-2</v>
      </c>
      <c r="D59" s="28">
        <v>72</v>
      </c>
      <c r="E59" s="28">
        <v>14.4</v>
      </c>
    </row>
    <row r="60" spans="1:5" x14ac:dyDescent="0.35">
      <c r="A60" s="27">
        <v>2263</v>
      </c>
      <c r="B60" s="56" t="s">
        <v>153</v>
      </c>
      <c r="C60" s="151">
        <v>4.58E-2</v>
      </c>
      <c r="D60" s="28">
        <v>290.04000000000002</v>
      </c>
      <c r="E60" s="28">
        <v>58.01</v>
      </c>
    </row>
    <row r="61" spans="1:5" x14ac:dyDescent="0.35">
      <c r="A61" s="27">
        <v>2264</v>
      </c>
      <c r="B61" s="54" t="s">
        <v>154</v>
      </c>
      <c r="C61" s="151">
        <v>2.4000000000000001E-4</v>
      </c>
      <c r="D61" s="28">
        <v>1.52</v>
      </c>
      <c r="E61" s="28">
        <v>0.3</v>
      </c>
    </row>
    <row r="62" spans="1:5" x14ac:dyDescent="0.35">
      <c r="A62" s="27">
        <v>2311</v>
      </c>
      <c r="B62" s="56" t="s">
        <v>155</v>
      </c>
      <c r="C62" s="153">
        <v>7.1000000000000002E-4</v>
      </c>
      <c r="D62" s="28">
        <v>4.5</v>
      </c>
      <c r="E62" s="28">
        <v>0.9</v>
      </c>
    </row>
    <row r="63" spans="1:5" x14ac:dyDescent="0.35">
      <c r="A63" s="27">
        <v>2314</v>
      </c>
      <c r="B63" s="58" t="s">
        <v>157</v>
      </c>
      <c r="C63" s="151">
        <v>4.6000000000000001E-4</v>
      </c>
      <c r="D63" s="28">
        <v>2.91</v>
      </c>
      <c r="E63" s="28">
        <v>0.57999999999999996</v>
      </c>
    </row>
    <row r="64" spans="1:5" x14ac:dyDescent="0.35">
      <c r="A64" s="27">
        <v>2321</v>
      </c>
      <c r="B64" s="56" t="s">
        <v>158</v>
      </c>
      <c r="C64" s="151">
        <v>6.0220000000000003E-2</v>
      </c>
      <c r="D64" s="28">
        <v>381.36</v>
      </c>
      <c r="E64" s="28">
        <v>76.27</v>
      </c>
    </row>
    <row r="65" spans="1:5" x14ac:dyDescent="0.35">
      <c r="A65" s="27">
        <v>2322</v>
      </c>
      <c r="B65" s="56" t="s">
        <v>159</v>
      </c>
      <c r="C65" s="151">
        <v>2.0999999999999999E-3</v>
      </c>
      <c r="D65" s="28">
        <v>13.3</v>
      </c>
      <c r="E65" s="28">
        <v>2.66</v>
      </c>
    </row>
    <row r="66" spans="1:5" ht="15.75" customHeight="1" x14ac:dyDescent="0.35">
      <c r="A66" s="27">
        <v>2513</v>
      </c>
      <c r="B66" s="55" t="s">
        <v>160</v>
      </c>
      <c r="C66" s="151">
        <v>6.3000000000000003E-4</v>
      </c>
      <c r="D66" s="28">
        <v>3.99</v>
      </c>
      <c r="E66" s="28">
        <v>0.8</v>
      </c>
    </row>
    <row r="67" spans="1:5" x14ac:dyDescent="0.35">
      <c r="A67" s="27">
        <v>2515</v>
      </c>
      <c r="B67" s="56" t="s">
        <v>161</v>
      </c>
      <c r="C67" s="151">
        <v>2.7499999999999998E-3</v>
      </c>
      <c r="D67" s="28">
        <v>17.41</v>
      </c>
      <c r="E67" s="28">
        <v>3.48</v>
      </c>
    </row>
    <row r="68" spans="1:5" x14ac:dyDescent="0.35">
      <c r="A68" s="27">
        <v>2519</v>
      </c>
      <c r="B68" s="56" t="s">
        <v>162</v>
      </c>
      <c r="C68" s="151">
        <v>1.5100000000000001E-3</v>
      </c>
      <c r="D68" s="28">
        <v>9.56</v>
      </c>
      <c r="E68" s="28">
        <v>1.91</v>
      </c>
    </row>
    <row r="69" spans="1:5" x14ac:dyDescent="0.35">
      <c r="A69" s="27">
        <v>5220</v>
      </c>
      <c r="B69" s="56" t="s">
        <v>163</v>
      </c>
      <c r="C69" s="151">
        <v>1.06E-2</v>
      </c>
      <c r="D69" s="28">
        <v>67.13</v>
      </c>
      <c r="E69" s="28">
        <v>13.43</v>
      </c>
    </row>
    <row r="70" spans="1:5" x14ac:dyDescent="0.35">
      <c r="A70" s="27">
        <v>5238</v>
      </c>
      <c r="B70" s="55" t="s">
        <v>164</v>
      </c>
      <c r="C70" s="151">
        <v>1.65E-3</v>
      </c>
      <c r="D70" s="28">
        <v>10.45</v>
      </c>
      <c r="E70" s="28">
        <v>2.09</v>
      </c>
    </row>
    <row r="71" spans="1:5" x14ac:dyDescent="0.35">
      <c r="A71" s="27">
        <v>5239</v>
      </c>
      <c r="B71" s="55" t="s">
        <v>165</v>
      </c>
      <c r="C71" s="151">
        <v>1.9800000000000002E-2</v>
      </c>
      <c r="D71" s="28">
        <v>125.39</v>
      </c>
      <c r="E71" s="28">
        <v>25.18</v>
      </c>
    </row>
    <row r="72" spans="1:5" x14ac:dyDescent="0.35">
      <c r="A72" s="27">
        <v>5250</v>
      </c>
      <c r="B72" s="56" t="s">
        <v>166</v>
      </c>
      <c r="C72" s="151">
        <v>1.4999999999999999E-2</v>
      </c>
      <c r="D72" s="28">
        <v>94.99</v>
      </c>
      <c r="E72" s="28">
        <v>19.260000000000002</v>
      </c>
    </row>
    <row r="73" spans="1:5" x14ac:dyDescent="0.35">
      <c r="A73" s="32"/>
      <c r="B73" s="59" t="s">
        <v>167</v>
      </c>
      <c r="C73" s="154"/>
      <c r="D73" s="31">
        <f>SUM(D42:D72)</f>
        <v>6332.7</v>
      </c>
      <c r="E73" s="31">
        <f>SUM(E42:E72)</f>
        <v>1614.1900000000003</v>
      </c>
    </row>
    <row r="74" spans="1:5" x14ac:dyDescent="0.35">
      <c r="A74" s="32"/>
      <c r="B74" s="59" t="s">
        <v>168</v>
      </c>
      <c r="C74" s="154"/>
      <c r="D74" s="31">
        <f>D40+D73</f>
        <v>24128.000000000004</v>
      </c>
      <c r="E74" s="31">
        <f>E40+E73</f>
        <v>5636.0000000000009</v>
      </c>
    </row>
    <row r="75" spans="1:5" ht="12.75" customHeight="1" x14ac:dyDescent="0.35">
      <c r="A75" s="37"/>
      <c r="B75" s="20"/>
      <c r="C75" s="155"/>
      <c r="D75" s="60"/>
      <c r="E75" s="60"/>
    </row>
    <row r="76" spans="1:5" ht="15.75" customHeight="1" x14ac:dyDescent="0.35">
      <c r="A76" s="211" t="s">
        <v>51</v>
      </c>
      <c r="B76" s="211"/>
      <c r="C76" s="156"/>
      <c r="D76" s="44">
        <v>50</v>
      </c>
      <c r="E76" s="44">
        <v>10</v>
      </c>
    </row>
    <row r="77" spans="1:5" ht="15.75" customHeight="1" x14ac:dyDescent="0.35">
      <c r="A77" s="211" t="s">
        <v>58</v>
      </c>
      <c r="B77" s="211"/>
      <c r="C77" s="156"/>
      <c r="D77" s="45">
        <f>D74/D76</f>
        <v>482.56000000000006</v>
      </c>
      <c r="E77" s="45">
        <f>E74/E76</f>
        <v>563.60000000000014</v>
      </c>
    </row>
    <row r="78" spans="1:5" ht="9.75" customHeight="1" x14ac:dyDescent="0.35">
      <c r="A78" s="41"/>
      <c r="B78" s="42"/>
      <c r="C78" s="157"/>
    </row>
    <row r="79" spans="1:5" ht="15.75" customHeight="1" x14ac:dyDescent="0.35">
      <c r="A79" s="208" t="s">
        <v>52</v>
      </c>
      <c r="B79" s="208"/>
      <c r="C79" s="158"/>
      <c r="D79" s="140"/>
      <c r="E79" s="140"/>
    </row>
    <row r="80" spans="1:5" ht="15.75" customHeight="1" x14ac:dyDescent="0.35">
      <c r="A80" s="208" t="s">
        <v>74</v>
      </c>
      <c r="B80" s="208"/>
      <c r="C80" s="158"/>
      <c r="D80" s="40"/>
      <c r="E80" s="40"/>
    </row>
    <row r="81" spans="1:5" ht="8.25" customHeight="1" x14ac:dyDescent="0.35">
      <c r="A81" s="17"/>
      <c r="B81" s="17"/>
      <c r="C81" s="159"/>
      <c r="D81" s="17"/>
      <c r="E81" s="17"/>
    </row>
    <row r="82" spans="1:5" x14ac:dyDescent="0.35">
      <c r="A82" s="17" t="s">
        <v>53</v>
      </c>
      <c r="B82" s="17"/>
      <c r="C82" s="159"/>
      <c r="D82" s="48"/>
      <c r="E82" s="48"/>
    </row>
    <row r="83" spans="1:5" x14ac:dyDescent="0.35">
      <c r="A83" s="17"/>
      <c r="B83" s="17"/>
      <c r="C83" s="160"/>
      <c r="D83" s="48"/>
      <c r="E83" s="48"/>
    </row>
    <row r="84" spans="1:5" x14ac:dyDescent="0.35">
      <c r="A84" s="17" t="s">
        <v>248</v>
      </c>
      <c r="B84" s="18"/>
      <c r="C84" s="161"/>
      <c r="D84" s="48"/>
      <c r="E84" s="48"/>
    </row>
    <row r="85" spans="1:5" x14ac:dyDescent="0.35">
      <c r="B85" s="63"/>
      <c r="C85" s="162"/>
      <c r="D85" s="64"/>
      <c r="E85" s="64"/>
    </row>
    <row r="87" spans="1:5" x14ac:dyDescent="0.35">
      <c r="D87" s="52"/>
      <c r="E87" s="52"/>
    </row>
  </sheetData>
  <mergeCells count="8">
    <mergeCell ref="B2:E2"/>
    <mergeCell ref="A79:B79"/>
    <mergeCell ref="A80:B80"/>
    <mergeCell ref="A10:B10"/>
    <mergeCell ref="A8:D8"/>
    <mergeCell ref="A11:B11"/>
    <mergeCell ref="A76:B76"/>
    <mergeCell ref="A77:B77"/>
  </mergeCells>
  <pageMargins left="0.76388888888888884" right="0.70866141732283472" top="0.74803149606299213" bottom="0.74803149606299213" header="0.31496062992125984" footer="0.31496062992125984"/>
  <pageSetup paperSize="9" scale="53" orientation="portrait" r:id="rId1"/>
  <headerFooter>
    <oddFooter>&amp;F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8"/>
  <sheetViews>
    <sheetView view="pageLayout" topLeftCell="A58" zoomScale="80" zoomScaleNormal="100" zoomScalePageLayoutView="80" workbookViewId="0">
      <selection activeCell="A85" sqref="A85"/>
    </sheetView>
  </sheetViews>
  <sheetFormatPr defaultColWidth="9.1796875" defaultRowHeight="15.5" x14ac:dyDescent="0.35"/>
  <cols>
    <col min="1" max="1" width="19.26953125" style="12" customWidth="1"/>
    <col min="2" max="2" width="90.54296875" style="12" customWidth="1"/>
    <col min="3" max="3" width="8.26953125" style="78" hidden="1" customWidth="1"/>
    <col min="4" max="4" width="25.1796875" style="12" hidden="1" customWidth="1"/>
    <col min="5" max="5" width="32.7265625" style="12" customWidth="1"/>
    <col min="6" max="16384" width="9.1796875" style="12"/>
  </cols>
  <sheetData>
    <row r="1" spans="1:5" ht="15.75" customHeight="1" x14ac:dyDescent="0.35">
      <c r="B1" s="10"/>
      <c r="C1" s="73"/>
      <c r="D1" s="49" t="s">
        <v>50</v>
      </c>
      <c r="E1" s="49" t="s">
        <v>50</v>
      </c>
    </row>
    <row r="2" spans="1:5" x14ac:dyDescent="0.35">
      <c r="B2" s="11"/>
      <c r="C2" s="11"/>
      <c r="D2" s="11"/>
      <c r="E2" s="10" t="s">
        <v>54</v>
      </c>
    </row>
    <row r="3" spans="1:5" x14ac:dyDescent="0.35">
      <c r="B3" s="11"/>
      <c r="C3" s="141"/>
      <c r="D3" s="46" t="s">
        <v>76</v>
      </c>
      <c r="E3" s="46" t="s">
        <v>76</v>
      </c>
    </row>
    <row r="4" spans="1:5" x14ac:dyDescent="0.35">
      <c r="B4" s="10"/>
      <c r="C4" s="73"/>
      <c r="D4" s="37"/>
      <c r="E4" s="37"/>
    </row>
    <row r="5" spans="1:5" x14ac:dyDescent="0.35">
      <c r="B5" s="51"/>
      <c r="C5" s="80"/>
    </row>
    <row r="6" spans="1:5" x14ac:dyDescent="0.35">
      <c r="B6" s="51"/>
      <c r="C6" s="80"/>
      <c r="D6" s="37" t="s">
        <v>196</v>
      </c>
      <c r="E6" s="37" t="s">
        <v>246</v>
      </c>
    </row>
    <row r="7" spans="1:5" x14ac:dyDescent="0.35">
      <c r="D7" s="20"/>
      <c r="E7" s="20"/>
    </row>
    <row r="8" spans="1:5" x14ac:dyDescent="0.35">
      <c r="A8" s="209" t="s">
        <v>10</v>
      </c>
      <c r="B8" s="209"/>
      <c r="C8" s="209"/>
      <c r="D8" s="209"/>
      <c r="E8" s="50"/>
    </row>
    <row r="9" spans="1:5" x14ac:dyDescent="0.35">
      <c r="B9" s="53"/>
      <c r="C9" s="142"/>
      <c r="D9" s="20"/>
      <c r="E9" s="20"/>
    </row>
    <row r="10" spans="1:5" x14ac:dyDescent="0.35">
      <c r="A10" s="210" t="s">
        <v>1</v>
      </c>
      <c r="B10" s="210"/>
      <c r="C10" s="143"/>
      <c r="D10" s="20"/>
      <c r="E10" s="20"/>
    </row>
    <row r="11" spans="1:5" x14ac:dyDescent="0.35">
      <c r="A11" s="210" t="s">
        <v>0</v>
      </c>
      <c r="B11" s="210"/>
      <c r="C11" s="143"/>
      <c r="D11" s="20"/>
      <c r="E11" s="20"/>
    </row>
    <row r="12" spans="1:5" x14ac:dyDescent="0.35">
      <c r="A12" s="9"/>
      <c r="B12" s="9" t="s">
        <v>213</v>
      </c>
      <c r="C12" s="143"/>
      <c r="D12" s="20"/>
      <c r="E12" s="20"/>
    </row>
    <row r="13" spans="1:5" x14ac:dyDescent="0.35">
      <c r="A13" s="9"/>
      <c r="B13" s="9" t="s">
        <v>225</v>
      </c>
      <c r="C13" s="143"/>
      <c r="D13" s="20"/>
      <c r="E13" s="20"/>
    </row>
    <row r="14" spans="1:5" x14ac:dyDescent="0.35">
      <c r="A14" s="9"/>
      <c r="B14" s="9" t="s">
        <v>226</v>
      </c>
      <c r="C14" s="143"/>
      <c r="D14" s="20"/>
      <c r="E14" s="20"/>
    </row>
    <row r="15" spans="1:5" x14ac:dyDescent="0.35">
      <c r="A15" s="9"/>
      <c r="B15" s="9" t="s">
        <v>229</v>
      </c>
      <c r="C15" s="143"/>
      <c r="D15" s="20"/>
      <c r="E15" s="20"/>
    </row>
    <row r="16" spans="1:5" x14ac:dyDescent="0.35">
      <c r="A16" s="9" t="s">
        <v>2</v>
      </c>
      <c r="B16" s="9" t="s">
        <v>197</v>
      </c>
      <c r="C16" s="143"/>
      <c r="D16" s="20"/>
      <c r="E16" s="20"/>
    </row>
    <row r="17" spans="1:5" ht="69.75" customHeight="1" x14ac:dyDescent="0.35">
      <c r="A17" s="43" t="s">
        <v>3</v>
      </c>
      <c r="B17" s="43" t="s">
        <v>4</v>
      </c>
      <c r="C17" s="144"/>
      <c r="D17" s="43" t="s">
        <v>5</v>
      </c>
      <c r="E17" s="43" t="s">
        <v>5</v>
      </c>
    </row>
    <row r="18" spans="1:5" x14ac:dyDescent="0.35">
      <c r="A18" s="22">
        <v>1</v>
      </c>
      <c r="B18" s="23">
        <v>2</v>
      </c>
      <c r="C18" s="145"/>
      <c r="D18" s="23">
        <v>3</v>
      </c>
      <c r="E18" s="23">
        <v>3</v>
      </c>
    </row>
    <row r="19" spans="1:5" x14ac:dyDescent="0.35">
      <c r="A19" s="22"/>
      <c r="B19" s="54" t="s">
        <v>6</v>
      </c>
      <c r="C19" s="146"/>
      <c r="D19" s="55"/>
      <c r="E19" s="55"/>
    </row>
    <row r="20" spans="1:5" x14ac:dyDescent="0.35">
      <c r="A20" s="27">
        <v>1100</v>
      </c>
      <c r="B20" s="27" t="s">
        <v>134</v>
      </c>
      <c r="C20" s="147" t="e">
        <f>#REF!</f>
        <v>#REF!</v>
      </c>
      <c r="D20" s="28">
        <v>7925.98</v>
      </c>
      <c r="E20" s="28">
        <v>871.86</v>
      </c>
    </row>
    <row r="21" spans="1:5" x14ac:dyDescent="0.35">
      <c r="A21" s="27">
        <v>1200</v>
      </c>
      <c r="B21" s="55" t="s">
        <v>135</v>
      </c>
      <c r="C21" s="148" t="e">
        <f>C20*0.2359</f>
        <v>#REF!</v>
      </c>
      <c r="D21" s="28">
        <v>1869.74</v>
      </c>
      <c r="E21" s="28">
        <v>205.67</v>
      </c>
    </row>
    <row r="22" spans="1:5" x14ac:dyDescent="0.35">
      <c r="A22" s="27">
        <v>2222</v>
      </c>
      <c r="B22" s="56" t="s">
        <v>139</v>
      </c>
      <c r="C22" s="149" t="e">
        <f>#REF!</f>
        <v>#REF!</v>
      </c>
      <c r="D22" s="28">
        <v>343.36</v>
      </c>
      <c r="E22" s="28">
        <v>34.340000000000003</v>
      </c>
    </row>
    <row r="23" spans="1:5" x14ac:dyDescent="0.35">
      <c r="A23" s="27">
        <v>2223</v>
      </c>
      <c r="B23" s="56" t="s">
        <v>140</v>
      </c>
      <c r="C23" s="149" t="e">
        <f>#REF!</f>
        <v>#REF!</v>
      </c>
      <c r="D23" s="28">
        <v>981.53</v>
      </c>
      <c r="E23" s="28">
        <v>98.15</v>
      </c>
    </row>
    <row r="24" spans="1:5" ht="31" x14ac:dyDescent="0.35">
      <c r="A24" s="27">
        <v>2224</v>
      </c>
      <c r="B24" s="56" t="s">
        <v>141</v>
      </c>
      <c r="C24" s="149" t="e">
        <f>#REF!</f>
        <v>#REF!</v>
      </c>
      <c r="D24" s="28">
        <v>3.06</v>
      </c>
      <c r="E24" s="28">
        <v>0.31</v>
      </c>
    </row>
    <row r="25" spans="1:5" x14ac:dyDescent="0.35">
      <c r="A25" s="27">
        <v>2231</v>
      </c>
      <c r="B25" s="56" t="s">
        <v>142</v>
      </c>
      <c r="C25" s="149" t="e">
        <f>#REF!</f>
        <v>#REF!</v>
      </c>
      <c r="D25" s="28">
        <v>14.77</v>
      </c>
      <c r="E25" s="28">
        <v>1.48</v>
      </c>
    </row>
    <row r="26" spans="1:5" x14ac:dyDescent="0.35">
      <c r="A26" s="27">
        <v>2239</v>
      </c>
      <c r="B26" s="109" t="s">
        <v>195</v>
      </c>
      <c r="C26" s="149" t="e">
        <f>#REF!</f>
        <v>#REF!</v>
      </c>
      <c r="D26" s="28">
        <v>1.94</v>
      </c>
      <c r="E26" s="28">
        <v>0.19</v>
      </c>
    </row>
    <row r="27" spans="1:5" x14ac:dyDescent="0.35">
      <c r="A27" s="27">
        <v>2243</v>
      </c>
      <c r="B27" s="54" t="s">
        <v>147</v>
      </c>
      <c r="C27" s="146" t="e">
        <f>#REF!</f>
        <v>#REF!</v>
      </c>
      <c r="D27" s="28">
        <v>32.96</v>
      </c>
      <c r="E27" s="28">
        <v>3.3</v>
      </c>
    </row>
    <row r="28" spans="1:5" x14ac:dyDescent="0.35">
      <c r="A28" s="27">
        <v>2244</v>
      </c>
      <c r="B28" s="54" t="s">
        <v>148</v>
      </c>
      <c r="C28" s="146" t="e">
        <f>#REF!</f>
        <v>#REF!</v>
      </c>
      <c r="D28" s="28">
        <v>1311.63</v>
      </c>
      <c r="E28" s="28">
        <v>131.16</v>
      </c>
    </row>
    <row r="29" spans="1:5" x14ac:dyDescent="0.35">
      <c r="A29" s="27">
        <v>2250</v>
      </c>
      <c r="B29" s="54" t="s">
        <v>151</v>
      </c>
      <c r="C29" s="146" t="e">
        <f>#REF!</f>
        <v>#REF!</v>
      </c>
      <c r="D29" s="28">
        <v>69.540000000000006</v>
      </c>
      <c r="E29" s="28">
        <v>6.95</v>
      </c>
    </row>
    <row r="30" spans="1:5" x14ac:dyDescent="0.35">
      <c r="A30" s="27">
        <v>2311</v>
      </c>
      <c r="B30" s="56" t="s">
        <v>155</v>
      </c>
      <c r="C30" s="146" t="e">
        <f>#REF!</f>
        <v>#REF!</v>
      </c>
      <c r="D30" s="28">
        <v>1024.3699999999999</v>
      </c>
      <c r="E30" s="28">
        <v>102.44</v>
      </c>
    </row>
    <row r="31" spans="1:5" x14ac:dyDescent="0.35">
      <c r="A31" s="27">
        <v>2312</v>
      </c>
      <c r="B31" s="54" t="s">
        <v>156</v>
      </c>
      <c r="C31" s="146" t="e">
        <f>#REF!</f>
        <v>#REF!</v>
      </c>
      <c r="D31" s="28">
        <v>483.49</v>
      </c>
      <c r="E31" s="28">
        <v>48.35</v>
      </c>
    </row>
    <row r="32" spans="1:5" x14ac:dyDescent="0.35">
      <c r="A32" s="27">
        <v>2314</v>
      </c>
      <c r="B32" s="54" t="s">
        <v>157</v>
      </c>
      <c r="C32" s="146" t="e">
        <f>#REF!</f>
        <v>#REF!</v>
      </c>
      <c r="D32" s="28">
        <v>1.58</v>
      </c>
      <c r="E32" s="28">
        <v>0.16</v>
      </c>
    </row>
    <row r="33" spans="1:5" x14ac:dyDescent="0.35">
      <c r="A33" s="27">
        <v>2321</v>
      </c>
      <c r="B33" s="56" t="s">
        <v>158</v>
      </c>
      <c r="C33" s="149" t="e">
        <f>#REF!</f>
        <v>#REF!</v>
      </c>
      <c r="D33" s="28">
        <v>744.13</v>
      </c>
      <c r="E33" s="28">
        <v>74.41</v>
      </c>
    </row>
    <row r="34" spans="1:5" x14ac:dyDescent="0.35">
      <c r="A34" s="27">
        <v>2341</v>
      </c>
      <c r="B34" s="56" t="s">
        <v>136</v>
      </c>
      <c r="C34" s="149" t="e">
        <f>#REF!</f>
        <v>#REF!</v>
      </c>
      <c r="D34" s="28">
        <v>158.46</v>
      </c>
      <c r="E34" s="28">
        <v>15.85</v>
      </c>
    </row>
    <row r="35" spans="1:5" x14ac:dyDescent="0.35">
      <c r="A35" s="27">
        <v>2350</v>
      </c>
      <c r="B35" s="55" t="s">
        <v>137</v>
      </c>
      <c r="C35" s="149" t="e">
        <f>#REF!</f>
        <v>#REF!</v>
      </c>
      <c r="D35" s="28">
        <v>316.02</v>
      </c>
      <c r="E35" s="28">
        <v>31.6</v>
      </c>
    </row>
    <row r="36" spans="1:5" x14ac:dyDescent="0.35">
      <c r="A36" s="27">
        <v>2361</v>
      </c>
      <c r="B36" s="56" t="s">
        <v>170</v>
      </c>
      <c r="C36" s="149" t="e">
        <f>#REF!</f>
        <v>#REF!</v>
      </c>
      <c r="D36" s="28">
        <v>135.82</v>
      </c>
      <c r="E36" s="28">
        <v>13.58</v>
      </c>
    </row>
    <row r="37" spans="1:5" x14ac:dyDescent="0.35">
      <c r="A37" s="27">
        <v>2362</v>
      </c>
      <c r="B37" s="56" t="s">
        <v>171</v>
      </c>
      <c r="C37" s="149" t="e">
        <f>#REF!</f>
        <v>#REF!</v>
      </c>
      <c r="D37" s="28">
        <v>11.58</v>
      </c>
      <c r="E37" s="28">
        <v>1.1599999999999999</v>
      </c>
    </row>
    <row r="38" spans="1:5" x14ac:dyDescent="0.35">
      <c r="A38" s="27">
        <v>2363</v>
      </c>
      <c r="B38" s="56" t="s">
        <v>172</v>
      </c>
      <c r="C38" s="150">
        <f>9.75*5</f>
        <v>48.75</v>
      </c>
      <c r="D38" s="28">
        <f>C38*50</f>
        <v>2437.5</v>
      </c>
      <c r="E38" s="28">
        <v>243.75</v>
      </c>
    </row>
    <row r="39" spans="1:5" x14ac:dyDescent="0.35">
      <c r="A39" s="27">
        <v>5239</v>
      </c>
      <c r="B39" s="55" t="s">
        <v>165</v>
      </c>
      <c r="C39" s="151" t="e">
        <f>#REF!</f>
        <v>#REF!</v>
      </c>
      <c r="D39" s="28">
        <v>632.79999999999995</v>
      </c>
      <c r="E39" s="28">
        <v>63.28</v>
      </c>
    </row>
    <row r="40" spans="1:5" x14ac:dyDescent="0.35">
      <c r="A40" s="27"/>
      <c r="B40" s="57" t="s">
        <v>7</v>
      </c>
      <c r="C40" s="152" t="e">
        <f>SUM(C20:C39)</f>
        <v>#REF!</v>
      </c>
      <c r="D40" s="31">
        <f>SUM(D20:D39)</f>
        <v>18500.259999999998</v>
      </c>
      <c r="E40" s="31">
        <f>SUM(E20:E39)</f>
        <v>1947.99</v>
      </c>
    </row>
    <row r="41" spans="1:5" x14ac:dyDescent="0.35">
      <c r="A41" s="32"/>
      <c r="B41" s="57" t="s">
        <v>8</v>
      </c>
      <c r="C41" s="152"/>
      <c r="D41" s="28"/>
      <c r="E41" s="28"/>
    </row>
    <row r="42" spans="1:5" x14ac:dyDescent="0.35">
      <c r="A42" s="27">
        <v>1100</v>
      </c>
      <c r="B42" s="54" t="s">
        <v>134</v>
      </c>
      <c r="C42" s="151">
        <f>0.5144-0.00029</f>
        <v>0.51410999999999996</v>
      </c>
      <c r="D42" s="28">
        <v>3462.65</v>
      </c>
      <c r="E42" s="28">
        <v>436.27</v>
      </c>
    </row>
    <row r="43" spans="1:5" ht="16.5" customHeight="1" x14ac:dyDescent="0.35">
      <c r="A43" s="27">
        <v>1200</v>
      </c>
      <c r="B43" s="54" t="s">
        <v>135</v>
      </c>
      <c r="C43" s="151">
        <f>C42*0.2359</f>
        <v>0.12127854899999999</v>
      </c>
      <c r="D43" s="28">
        <v>816.84</v>
      </c>
      <c r="E43" s="28">
        <v>102.92</v>
      </c>
    </row>
    <row r="44" spans="1:5" ht="16.5" customHeight="1" x14ac:dyDescent="0.35">
      <c r="A44" s="27">
        <v>2100</v>
      </c>
      <c r="B44" s="33" t="s">
        <v>44</v>
      </c>
      <c r="C44" s="151">
        <v>8.0999999999999996E-4</v>
      </c>
      <c r="D44" s="28">
        <v>5.5</v>
      </c>
      <c r="E44" s="28">
        <v>0.55000000000000004</v>
      </c>
    </row>
    <row r="45" spans="1:5" x14ac:dyDescent="0.35">
      <c r="A45" s="34">
        <v>2210</v>
      </c>
      <c r="B45" s="56" t="s">
        <v>138</v>
      </c>
      <c r="C45" s="151">
        <v>8.0000000000000002E-3</v>
      </c>
      <c r="D45" s="28">
        <v>53.88</v>
      </c>
      <c r="E45" s="28">
        <v>5.39</v>
      </c>
    </row>
    <row r="46" spans="1:5" x14ac:dyDescent="0.35">
      <c r="A46" s="27">
        <v>2222</v>
      </c>
      <c r="B46" s="56" t="s">
        <v>139</v>
      </c>
      <c r="C46" s="151">
        <v>4.4400000000000004E-3</v>
      </c>
      <c r="D46" s="28">
        <v>29.9</v>
      </c>
      <c r="E46" s="28">
        <v>2.99</v>
      </c>
    </row>
    <row r="47" spans="1:5" x14ac:dyDescent="0.35">
      <c r="A47" s="27">
        <v>2223</v>
      </c>
      <c r="B47" s="56" t="s">
        <v>140</v>
      </c>
      <c r="C47" s="151">
        <v>5.4940000000000003E-2</v>
      </c>
      <c r="D47" s="28">
        <v>370.03</v>
      </c>
      <c r="E47" s="28">
        <v>39.270000000000003</v>
      </c>
    </row>
    <row r="48" spans="1:5" ht="31" x14ac:dyDescent="0.35">
      <c r="A48" s="27">
        <v>2224</v>
      </c>
      <c r="B48" s="56" t="s">
        <v>141</v>
      </c>
      <c r="C48" s="151">
        <v>3.0899999999999999E-3</v>
      </c>
      <c r="D48" s="28">
        <v>20.81</v>
      </c>
      <c r="E48" s="28">
        <v>2.08</v>
      </c>
    </row>
    <row r="49" spans="1:5" ht="15.75" customHeight="1" x14ac:dyDescent="0.35">
      <c r="A49" s="27">
        <v>2231</v>
      </c>
      <c r="B49" s="54" t="s">
        <v>142</v>
      </c>
      <c r="C49" s="151">
        <v>1.5E-3</v>
      </c>
      <c r="D49" s="28">
        <v>10.1</v>
      </c>
      <c r="E49" s="28">
        <v>1.01</v>
      </c>
    </row>
    <row r="50" spans="1:5" ht="15.75" customHeight="1" x14ac:dyDescent="0.35">
      <c r="A50" s="27">
        <v>2235</v>
      </c>
      <c r="B50" s="58" t="s">
        <v>143</v>
      </c>
      <c r="C50" s="151">
        <v>2.5100000000000001E-3</v>
      </c>
      <c r="D50" s="28">
        <v>16.91</v>
      </c>
      <c r="E50" s="28">
        <v>1.69</v>
      </c>
    </row>
    <row r="51" spans="1:5" x14ac:dyDescent="0.35">
      <c r="A51" s="27">
        <v>2239</v>
      </c>
      <c r="B51" s="54" t="s">
        <v>144</v>
      </c>
      <c r="C51" s="151">
        <v>1.7899999999999999E-3</v>
      </c>
      <c r="D51" s="28">
        <v>12.06</v>
      </c>
      <c r="E51" s="28">
        <v>1.21</v>
      </c>
    </row>
    <row r="52" spans="1:5" x14ac:dyDescent="0.35">
      <c r="A52" s="27">
        <v>2241</v>
      </c>
      <c r="B52" s="54" t="s">
        <v>145</v>
      </c>
      <c r="C52" s="151">
        <v>1.6500000000000001E-2</v>
      </c>
      <c r="D52" s="28">
        <v>111.13</v>
      </c>
      <c r="E52" s="28">
        <v>11.11</v>
      </c>
    </row>
    <row r="53" spans="1:5" x14ac:dyDescent="0.35">
      <c r="A53" s="27">
        <v>2242</v>
      </c>
      <c r="B53" s="56" t="s">
        <v>146</v>
      </c>
      <c r="C53" s="151">
        <v>8.4999999999999995E-4</v>
      </c>
      <c r="D53" s="28">
        <v>5.72</v>
      </c>
      <c r="E53" s="28">
        <v>0.56999999999999995</v>
      </c>
    </row>
    <row r="54" spans="1:5" ht="15.75" customHeight="1" x14ac:dyDescent="0.35">
      <c r="A54" s="27">
        <v>2243</v>
      </c>
      <c r="B54" s="54" t="s">
        <v>147</v>
      </c>
      <c r="C54" s="151">
        <v>4.0000000000000002E-4</v>
      </c>
      <c r="D54" s="28">
        <v>2.69</v>
      </c>
      <c r="E54" s="28">
        <v>0.27</v>
      </c>
    </row>
    <row r="55" spans="1:5" x14ac:dyDescent="0.35">
      <c r="A55" s="27">
        <v>2244</v>
      </c>
      <c r="B55" s="54" t="s">
        <v>148</v>
      </c>
      <c r="C55" s="151">
        <v>6.8070000000000006E-2</v>
      </c>
      <c r="D55" s="28">
        <v>458.47</v>
      </c>
      <c r="E55" s="28">
        <v>45.85</v>
      </c>
    </row>
    <row r="56" spans="1:5" x14ac:dyDescent="0.35">
      <c r="A56" s="27">
        <v>2247</v>
      </c>
      <c r="B56" s="54" t="s">
        <v>149</v>
      </c>
      <c r="C56" s="151">
        <v>2.2000000000000001E-4</v>
      </c>
      <c r="D56" s="28">
        <v>1.48</v>
      </c>
      <c r="E56" s="28">
        <v>0.15</v>
      </c>
    </row>
    <row r="57" spans="1:5" x14ac:dyDescent="0.35">
      <c r="A57" s="27">
        <v>2249</v>
      </c>
      <c r="B57" s="54" t="s">
        <v>150</v>
      </c>
      <c r="C57" s="151">
        <v>2.5000000000000001E-4</v>
      </c>
      <c r="D57" s="28">
        <v>1.68</v>
      </c>
      <c r="E57" s="28">
        <v>0.17</v>
      </c>
    </row>
    <row r="58" spans="1:5" x14ac:dyDescent="0.35">
      <c r="A58" s="27">
        <v>2250</v>
      </c>
      <c r="B58" s="54" t="s">
        <v>151</v>
      </c>
      <c r="C58" s="151">
        <v>2.8400000000000002E-2</v>
      </c>
      <c r="D58" s="28">
        <v>191.28</v>
      </c>
      <c r="E58" s="28">
        <v>19.13</v>
      </c>
    </row>
    <row r="59" spans="1:5" x14ac:dyDescent="0.35">
      <c r="A59" s="27">
        <v>2262</v>
      </c>
      <c r="B59" s="56" t="s">
        <v>152</v>
      </c>
      <c r="C59" s="151">
        <v>1.137E-2</v>
      </c>
      <c r="D59" s="28">
        <v>76.58</v>
      </c>
      <c r="E59" s="28">
        <v>7.66</v>
      </c>
    </row>
    <row r="60" spans="1:5" x14ac:dyDescent="0.35">
      <c r="A60" s="27">
        <v>2263</v>
      </c>
      <c r="B60" s="56" t="s">
        <v>153</v>
      </c>
      <c r="C60" s="151">
        <v>4.58E-2</v>
      </c>
      <c r="D60" s="28">
        <v>308.47000000000003</v>
      </c>
      <c r="E60" s="28">
        <v>30.85</v>
      </c>
    </row>
    <row r="61" spans="1:5" x14ac:dyDescent="0.35">
      <c r="A61" s="27">
        <v>2264</v>
      </c>
      <c r="B61" s="54" t="s">
        <v>154</v>
      </c>
      <c r="C61" s="151">
        <v>2.4000000000000001E-4</v>
      </c>
      <c r="D61" s="28">
        <v>1.62</v>
      </c>
      <c r="E61" s="28">
        <v>0.16</v>
      </c>
    </row>
    <row r="62" spans="1:5" x14ac:dyDescent="0.35">
      <c r="A62" s="27">
        <v>2311</v>
      </c>
      <c r="B62" s="56" t="s">
        <v>155</v>
      </c>
      <c r="C62" s="153">
        <v>7.1000000000000002E-4</v>
      </c>
      <c r="D62" s="28">
        <v>4.78</v>
      </c>
      <c r="E62" s="28">
        <v>0.48</v>
      </c>
    </row>
    <row r="63" spans="1:5" x14ac:dyDescent="0.35">
      <c r="A63" s="27">
        <v>2312</v>
      </c>
      <c r="B63" s="56" t="s">
        <v>156</v>
      </c>
      <c r="C63" s="151">
        <v>0</v>
      </c>
      <c r="D63" s="28">
        <v>0</v>
      </c>
      <c r="E63" s="28">
        <f>D63/50*5</f>
        <v>0</v>
      </c>
    </row>
    <row r="64" spans="1:5" x14ac:dyDescent="0.35">
      <c r="A64" s="27">
        <v>2314</v>
      </c>
      <c r="B64" s="58" t="s">
        <v>157</v>
      </c>
      <c r="C64" s="151">
        <v>4.6000000000000001E-4</v>
      </c>
      <c r="D64" s="28">
        <v>3.1</v>
      </c>
      <c r="E64" s="28">
        <v>0.31</v>
      </c>
    </row>
    <row r="65" spans="1:5" x14ac:dyDescent="0.35">
      <c r="A65" s="27">
        <v>2321</v>
      </c>
      <c r="B65" s="56" t="s">
        <v>158</v>
      </c>
      <c r="C65" s="151">
        <v>6.0220000000000003E-2</v>
      </c>
      <c r="D65" s="28">
        <v>405.6</v>
      </c>
      <c r="E65" s="28">
        <v>40.56</v>
      </c>
    </row>
    <row r="66" spans="1:5" x14ac:dyDescent="0.35">
      <c r="A66" s="27">
        <v>2322</v>
      </c>
      <c r="B66" s="56" t="s">
        <v>159</v>
      </c>
      <c r="C66" s="151">
        <v>2.0999999999999999E-3</v>
      </c>
      <c r="D66" s="28">
        <v>14.14</v>
      </c>
      <c r="E66" s="28">
        <v>1.41</v>
      </c>
    </row>
    <row r="67" spans="1:5" ht="15.75" customHeight="1" x14ac:dyDescent="0.35">
      <c r="A67" s="27">
        <v>2513</v>
      </c>
      <c r="B67" s="55" t="s">
        <v>160</v>
      </c>
      <c r="C67" s="151">
        <v>6.3000000000000003E-4</v>
      </c>
      <c r="D67" s="28">
        <v>4.24</v>
      </c>
      <c r="E67" s="28">
        <v>0.42</v>
      </c>
    </row>
    <row r="68" spans="1:5" x14ac:dyDescent="0.35">
      <c r="A68" s="27">
        <v>2515</v>
      </c>
      <c r="B68" s="56" t="s">
        <v>161</v>
      </c>
      <c r="C68" s="151">
        <v>2.7499999999999998E-3</v>
      </c>
      <c r="D68" s="28">
        <v>18.52</v>
      </c>
      <c r="E68" s="28">
        <v>1.85</v>
      </c>
    </row>
    <row r="69" spans="1:5" x14ac:dyDescent="0.35">
      <c r="A69" s="27">
        <v>2519</v>
      </c>
      <c r="B69" s="56" t="s">
        <v>162</v>
      </c>
      <c r="C69" s="151">
        <v>1.5100000000000001E-3</v>
      </c>
      <c r="D69" s="28">
        <v>10.17</v>
      </c>
      <c r="E69" s="28">
        <v>1.02</v>
      </c>
    </row>
    <row r="70" spans="1:5" x14ac:dyDescent="0.35">
      <c r="A70" s="27">
        <v>5220</v>
      </c>
      <c r="B70" s="56" t="s">
        <v>163</v>
      </c>
      <c r="C70" s="151">
        <v>1.06E-2</v>
      </c>
      <c r="D70" s="28">
        <v>71.39</v>
      </c>
      <c r="E70" s="28">
        <v>7.14</v>
      </c>
    </row>
    <row r="71" spans="1:5" x14ac:dyDescent="0.35">
      <c r="A71" s="27">
        <v>5238</v>
      </c>
      <c r="B71" s="55" t="s">
        <v>164</v>
      </c>
      <c r="C71" s="151">
        <v>1.65E-3</v>
      </c>
      <c r="D71" s="28">
        <v>11.11</v>
      </c>
      <c r="E71" s="28">
        <v>1.1100000000000001</v>
      </c>
    </row>
    <row r="72" spans="1:5" x14ac:dyDescent="0.35">
      <c r="A72" s="27">
        <v>5239</v>
      </c>
      <c r="B72" s="55" t="s">
        <v>165</v>
      </c>
      <c r="C72" s="151">
        <v>1.9800000000000002E-2</v>
      </c>
      <c r="D72" s="28">
        <v>133.36000000000001</v>
      </c>
      <c r="E72" s="28">
        <f>13.31-3.5</f>
        <v>9.81</v>
      </c>
    </row>
    <row r="73" spans="1:5" x14ac:dyDescent="0.35">
      <c r="A73" s="27">
        <v>5250</v>
      </c>
      <c r="B73" s="56" t="s">
        <v>166</v>
      </c>
      <c r="C73" s="151">
        <v>1.4999999999999999E-2</v>
      </c>
      <c r="D73" s="28">
        <v>101.03</v>
      </c>
      <c r="E73" s="28">
        <f>10.1-2</f>
        <v>8.1</v>
      </c>
    </row>
    <row r="74" spans="1:5" x14ac:dyDescent="0.35">
      <c r="A74" s="32"/>
      <c r="B74" s="59" t="s">
        <v>167</v>
      </c>
      <c r="C74" s="154"/>
      <c r="D74" s="31">
        <f>SUM(D42:D73)</f>
        <v>6735.2400000000007</v>
      </c>
      <c r="E74" s="31">
        <f>SUM(E42:E73)</f>
        <v>781.50999999999976</v>
      </c>
    </row>
    <row r="75" spans="1:5" x14ac:dyDescent="0.35">
      <c r="A75" s="32"/>
      <c r="B75" s="59" t="s">
        <v>168</v>
      </c>
      <c r="C75" s="154"/>
      <c r="D75" s="31">
        <f>D40+D74</f>
        <v>25235.5</v>
      </c>
      <c r="E75" s="31">
        <f>E40+E74</f>
        <v>2729.5</v>
      </c>
    </row>
    <row r="76" spans="1:5" ht="12.75" customHeight="1" x14ac:dyDescent="0.35">
      <c r="A76" s="37"/>
      <c r="B76" s="20"/>
      <c r="C76" s="155"/>
      <c r="D76" s="60"/>
      <c r="E76" s="60"/>
    </row>
    <row r="77" spans="1:5" ht="15.75" customHeight="1" x14ac:dyDescent="0.35">
      <c r="A77" s="211" t="s">
        <v>51</v>
      </c>
      <c r="B77" s="211"/>
      <c r="C77" s="156"/>
      <c r="D77" s="44">
        <v>50</v>
      </c>
      <c r="E77" s="44">
        <v>5</v>
      </c>
    </row>
    <row r="78" spans="1:5" ht="15.75" customHeight="1" x14ac:dyDescent="0.35">
      <c r="A78" s="211" t="s">
        <v>58</v>
      </c>
      <c r="B78" s="211"/>
      <c r="C78" s="156"/>
      <c r="D78" s="45">
        <f>D75/D77</f>
        <v>504.71</v>
      </c>
      <c r="E78" s="45">
        <f>E75/E77</f>
        <v>545.9</v>
      </c>
    </row>
    <row r="79" spans="1:5" ht="9.75" customHeight="1" x14ac:dyDescent="0.35">
      <c r="A79" s="41"/>
      <c r="B79" s="42"/>
      <c r="C79" s="157"/>
    </row>
    <row r="80" spans="1:5" ht="15.75" customHeight="1" x14ac:dyDescent="0.35">
      <c r="A80" s="208" t="s">
        <v>52</v>
      </c>
      <c r="B80" s="208"/>
      <c r="C80" s="158"/>
      <c r="D80" s="140"/>
      <c r="E80" s="140"/>
    </row>
    <row r="81" spans="1:5" ht="15.75" customHeight="1" x14ac:dyDescent="0.35">
      <c r="A81" s="208" t="s">
        <v>74</v>
      </c>
      <c r="B81" s="208"/>
      <c r="C81" s="158"/>
      <c r="D81" s="140"/>
      <c r="E81" s="140"/>
    </row>
    <row r="82" spans="1:5" ht="8.25" customHeight="1" x14ac:dyDescent="0.35">
      <c r="A82" s="17"/>
      <c r="B82" s="17"/>
      <c r="C82" s="159"/>
      <c r="D82" s="17"/>
      <c r="E82" s="17"/>
    </row>
    <row r="83" spans="1:5" x14ac:dyDescent="0.35">
      <c r="A83" s="17" t="s">
        <v>53</v>
      </c>
      <c r="B83" s="17"/>
      <c r="C83" s="159"/>
      <c r="D83" s="48"/>
      <c r="E83" s="48"/>
    </row>
    <row r="84" spans="1:5" x14ac:dyDescent="0.35">
      <c r="A84" s="17"/>
      <c r="B84" s="17"/>
      <c r="C84" s="160"/>
      <c r="D84" s="48"/>
      <c r="E84" s="48"/>
    </row>
    <row r="85" spans="1:5" x14ac:dyDescent="0.35">
      <c r="A85" s="17" t="s">
        <v>248</v>
      </c>
      <c r="B85" s="18"/>
      <c r="C85" s="161"/>
      <c r="D85" s="48"/>
      <c r="E85" s="48"/>
    </row>
    <row r="86" spans="1:5" x14ac:dyDescent="0.35">
      <c r="B86" s="63"/>
      <c r="C86" s="162"/>
      <c r="D86" s="64"/>
      <c r="E86" s="64"/>
    </row>
    <row r="88" spans="1:5" x14ac:dyDescent="0.35">
      <c r="D88" s="52"/>
      <c r="E88" s="52"/>
    </row>
  </sheetData>
  <mergeCells count="7">
    <mergeCell ref="A80:B80"/>
    <mergeCell ref="A81:B81"/>
    <mergeCell ref="A10:B10"/>
    <mergeCell ref="A8:D8"/>
    <mergeCell ref="A11:B11"/>
    <mergeCell ref="A77:B77"/>
    <mergeCell ref="A78:B78"/>
  </mergeCells>
  <pageMargins left="0.85416666666666663" right="1.0060185185185184" top="0.74803149606299213" bottom="0.74803149606299213" header="0.31496062992125984" footer="0.31496062992125984"/>
  <pageSetup paperSize="9" scale="53" orientation="portrait" r:id="rId1"/>
  <headerFooter>
    <oddFooter>&amp;F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7"/>
  <sheetViews>
    <sheetView view="pageLayout" topLeftCell="A52" zoomScale="80" zoomScaleNormal="100" zoomScalePageLayoutView="80" workbookViewId="0">
      <selection activeCell="A84" sqref="A84"/>
    </sheetView>
  </sheetViews>
  <sheetFormatPr defaultColWidth="9.1796875" defaultRowHeight="15.5" x14ac:dyDescent="0.35"/>
  <cols>
    <col min="1" max="1" width="19.26953125" style="12" customWidth="1"/>
    <col min="2" max="2" width="90.54296875" style="12" customWidth="1"/>
    <col min="3" max="3" width="10" style="78" hidden="1" customWidth="1"/>
    <col min="4" max="4" width="25.1796875" style="12" hidden="1" customWidth="1"/>
    <col min="5" max="5" width="30.54296875" style="12" customWidth="1"/>
    <col min="6" max="16384" width="9.1796875" style="12"/>
  </cols>
  <sheetData>
    <row r="1" spans="1:5" ht="15.75" customHeight="1" x14ac:dyDescent="0.35">
      <c r="B1" s="10"/>
      <c r="C1" s="73"/>
      <c r="D1" s="49" t="s">
        <v>50</v>
      </c>
      <c r="E1" s="49" t="s">
        <v>50</v>
      </c>
    </row>
    <row r="2" spans="1:5" x14ac:dyDescent="0.35">
      <c r="B2" s="11"/>
      <c r="C2" s="11"/>
      <c r="D2" s="11"/>
      <c r="E2" s="10" t="s">
        <v>54</v>
      </c>
    </row>
    <row r="3" spans="1:5" x14ac:dyDescent="0.35">
      <c r="B3" s="11"/>
      <c r="C3" s="141"/>
      <c r="D3" s="46" t="s">
        <v>76</v>
      </c>
      <c r="E3" s="46" t="s">
        <v>76</v>
      </c>
    </row>
    <row r="4" spans="1:5" x14ac:dyDescent="0.35">
      <c r="B4" s="10"/>
      <c r="C4" s="73"/>
      <c r="D4" s="37"/>
      <c r="E4" s="37"/>
    </row>
    <row r="5" spans="1:5" x14ac:dyDescent="0.35">
      <c r="B5" s="51"/>
      <c r="C5" s="80"/>
    </row>
    <row r="6" spans="1:5" x14ac:dyDescent="0.35">
      <c r="B6" s="51"/>
      <c r="C6" s="80"/>
      <c r="D6" s="37" t="s">
        <v>196</v>
      </c>
      <c r="E6" s="37" t="s">
        <v>246</v>
      </c>
    </row>
    <row r="7" spans="1:5" x14ac:dyDescent="0.35">
      <c r="D7" s="20"/>
      <c r="E7" s="20"/>
    </row>
    <row r="8" spans="1:5" x14ac:dyDescent="0.35">
      <c r="A8" s="209" t="s">
        <v>10</v>
      </c>
      <c r="B8" s="209"/>
      <c r="C8" s="209"/>
      <c r="D8" s="209"/>
      <c r="E8" s="50"/>
    </row>
    <row r="9" spans="1:5" x14ac:dyDescent="0.35">
      <c r="B9" s="53"/>
      <c r="C9" s="142"/>
      <c r="D9" s="20"/>
      <c r="E9" s="20"/>
    </row>
    <row r="10" spans="1:5" x14ac:dyDescent="0.35">
      <c r="A10" s="210" t="s">
        <v>1</v>
      </c>
      <c r="B10" s="210"/>
      <c r="C10" s="143"/>
      <c r="D10" s="20"/>
      <c r="E10" s="20"/>
    </row>
    <row r="11" spans="1:5" x14ac:dyDescent="0.35">
      <c r="A11" s="210" t="s">
        <v>0</v>
      </c>
      <c r="B11" s="210"/>
      <c r="C11" s="143"/>
      <c r="D11" s="20"/>
      <c r="E11" s="20"/>
    </row>
    <row r="12" spans="1:5" x14ac:dyDescent="0.35">
      <c r="A12" s="9"/>
      <c r="B12" s="9" t="s">
        <v>213</v>
      </c>
      <c r="C12" s="143"/>
      <c r="D12" s="20"/>
      <c r="E12" s="20"/>
    </row>
    <row r="13" spans="1:5" x14ac:dyDescent="0.35">
      <c r="A13" s="9"/>
      <c r="B13" s="9" t="s">
        <v>225</v>
      </c>
      <c r="C13" s="143"/>
      <c r="D13" s="20"/>
      <c r="E13" s="20"/>
    </row>
    <row r="14" spans="1:5" x14ac:dyDescent="0.35">
      <c r="A14" s="9"/>
      <c r="B14" s="9" t="s">
        <v>226</v>
      </c>
      <c r="C14" s="143"/>
      <c r="D14" s="20"/>
      <c r="E14" s="20"/>
    </row>
    <row r="15" spans="1:5" x14ac:dyDescent="0.35">
      <c r="A15" s="9"/>
      <c r="B15" s="9" t="s">
        <v>230</v>
      </c>
      <c r="C15" s="143"/>
      <c r="D15" s="20"/>
      <c r="E15" s="20"/>
    </row>
    <row r="16" spans="1:5" x14ac:dyDescent="0.35">
      <c r="A16" s="9" t="s">
        <v>2</v>
      </c>
      <c r="B16" s="9" t="s">
        <v>197</v>
      </c>
      <c r="C16" s="143"/>
      <c r="D16" s="20"/>
      <c r="E16" s="20"/>
    </row>
    <row r="17" spans="1:5" ht="69.75" customHeight="1" x14ac:dyDescent="0.35">
      <c r="A17" s="43" t="s">
        <v>3</v>
      </c>
      <c r="B17" s="43" t="s">
        <v>4</v>
      </c>
      <c r="C17" s="144"/>
      <c r="D17" s="43" t="s">
        <v>5</v>
      </c>
      <c r="E17" s="43" t="s">
        <v>5</v>
      </c>
    </row>
    <row r="18" spans="1:5" x14ac:dyDescent="0.35">
      <c r="A18" s="22">
        <v>1</v>
      </c>
      <c r="B18" s="23">
        <v>2</v>
      </c>
      <c r="C18" s="145"/>
      <c r="D18" s="23">
        <v>3</v>
      </c>
      <c r="E18" s="23">
        <v>3</v>
      </c>
    </row>
    <row r="19" spans="1:5" x14ac:dyDescent="0.35">
      <c r="A19" s="22"/>
      <c r="B19" s="54" t="s">
        <v>6</v>
      </c>
      <c r="C19" s="146"/>
      <c r="D19" s="55"/>
      <c r="E19" s="55"/>
    </row>
    <row r="20" spans="1:5" x14ac:dyDescent="0.35">
      <c r="A20" s="27">
        <v>1100</v>
      </c>
      <c r="B20" s="27" t="s">
        <v>134</v>
      </c>
      <c r="C20" s="147" t="e">
        <f>#REF!</f>
        <v>#REF!</v>
      </c>
      <c r="D20" s="28">
        <v>6469.43</v>
      </c>
      <c r="E20" s="28">
        <v>743.98</v>
      </c>
    </row>
    <row r="21" spans="1:5" x14ac:dyDescent="0.35">
      <c r="A21" s="27">
        <v>1200</v>
      </c>
      <c r="B21" s="55" t="s">
        <v>135</v>
      </c>
      <c r="C21" s="148" t="e">
        <f>C20*0.2359</f>
        <v>#REF!</v>
      </c>
      <c r="D21" s="28">
        <v>1526.14</v>
      </c>
      <c r="E21" s="28">
        <v>175.5</v>
      </c>
    </row>
    <row r="22" spans="1:5" x14ac:dyDescent="0.35">
      <c r="A22" s="27">
        <v>2222</v>
      </c>
      <c r="B22" s="56" t="s">
        <v>139</v>
      </c>
      <c r="C22" s="149" t="e">
        <f>#REF!</f>
        <v>#REF!</v>
      </c>
      <c r="D22" s="28">
        <v>280.26</v>
      </c>
      <c r="E22" s="28">
        <v>28.03</v>
      </c>
    </row>
    <row r="23" spans="1:5" x14ac:dyDescent="0.35">
      <c r="A23" s="27">
        <v>2223</v>
      </c>
      <c r="B23" s="56" t="s">
        <v>140</v>
      </c>
      <c r="C23" s="149" t="e">
        <f>#REF!</f>
        <v>#REF!</v>
      </c>
      <c r="D23" s="28">
        <v>801.15</v>
      </c>
      <c r="E23" s="28">
        <v>80.12</v>
      </c>
    </row>
    <row r="24" spans="1:5" ht="31" x14ac:dyDescent="0.35">
      <c r="A24" s="27">
        <v>2224</v>
      </c>
      <c r="B24" s="56" t="s">
        <v>141</v>
      </c>
      <c r="C24" s="149" t="e">
        <f>#REF!</f>
        <v>#REF!</v>
      </c>
      <c r="D24" s="28">
        <v>2.5</v>
      </c>
      <c r="E24" s="28">
        <v>0.25</v>
      </c>
    </row>
    <row r="25" spans="1:5" x14ac:dyDescent="0.35">
      <c r="A25" s="27">
        <v>2231</v>
      </c>
      <c r="B25" s="56" t="s">
        <v>142</v>
      </c>
      <c r="C25" s="149" t="e">
        <f>#REF!</f>
        <v>#REF!</v>
      </c>
      <c r="D25" s="28">
        <v>12.05</v>
      </c>
      <c r="E25" s="28">
        <v>1.21</v>
      </c>
    </row>
    <row r="26" spans="1:5" x14ac:dyDescent="0.35">
      <c r="A26" s="27">
        <v>2239</v>
      </c>
      <c r="B26" s="109" t="s">
        <v>195</v>
      </c>
      <c r="C26" s="149" t="e">
        <f>#REF!</f>
        <v>#REF!</v>
      </c>
      <c r="D26" s="28">
        <v>1.58</v>
      </c>
      <c r="E26" s="28">
        <v>0.16</v>
      </c>
    </row>
    <row r="27" spans="1:5" x14ac:dyDescent="0.35">
      <c r="A27" s="27">
        <v>2243</v>
      </c>
      <c r="B27" s="54" t="s">
        <v>147</v>
      </c>
      <c r="C27" s="146" t="e">
        <f>#REF!</f>
        <v>#REF!</v>
      </c>
      <c r="D27" s="28">
        <v>26.9</v>
      </c>
      <c r="E27" s="28">
        <v>2.69</v>
      </c>
    </row>
    <row r="28" spans="1:5" x14ac:dyDescent="0.35">
      <c r="A28" s="27">
        <v>2244</v>
      </c>
      <c r="B28" s="54" t="s">
        <v>148</v>
      </c>
      <c r="C28" s="146" t="e">
        <f>#REF!</f>
        <v>#REF!</v>
      </c>
      <c r="D28" s="28">
        <v>1070.5899999999999</v>
      </c>
      <c r="E28" s="28">
        <v>107.06</v>
      </c>
    </row>
    <row r="29" spans="1:5" x14ac:dyDescent="0.35">
      <c r="A29" s="27">
        <v>2250</v>
      </c>
      <c r="B29" s="54" t="s">
        <v>151</v>
      </c>
      <c r="C29" s="146" t="e">
        <f>#REF!</f>
        <v>#REF!</v>
      </c>
      <c r="D29" s="28">
        <v>56.76</v>
      </c>
      <c r="E29" s="28">
        <v>5.68</v>
      </c>
    </row>
    <row r="30" spans="1:5" x14ac:dyDescent="0.35">
      <c r="A30" s="27">
        <v>2311</v>
      </c>
      <c r="B30" s="56" t="s">
        <v>155</v>
      </c>
      <c r="C30" s="146" t="e">
        <f>#REF!</f>
        <v>#REF!</v>
      </c>
      <c r="D30" s="28">
        <v>836.12</v>
      </c>
      <c r="E30" s="28">
        <v>83.61</v>
      </c>
    </row>
    <row r="31" spans="1:5" x14ac:dyDescent="0.35">
      <c r="A31" s="27">
        <v>2312</v>
      </c>
      <c r="B31" s="54" t="s">
        <v>156</v>
      </c>
      <c r="C31" s="146" t="e">
        <f>#REF!</f>
        <v>#REF!</v>
      </c>
      <c r="D31" s="28">
        <v>394.64</v>
      </c>
      <c r="E31" s="28">
        <v>39.46</v>
      </c>
    </row>
    <row r="32" spans="1:5" x14ac:dyDescent="0.35">
      <c r="A32" s="27">
        <v>2314</v>
      </c>
      <c r="B32" s="54" t="s">
        <v>157</v>
      </c>
      <c r="C32" s="146" t="e">
        <f>#REF!</f>
        <v>#REF!</v>
      </c>
      <c r="D32" s="28">
        <v>1.29</v>
      </c>
      <c r="E32" s="28">
        <v>0.13</v>
      </c>
    </row>
    <row r="33" spans="1:5" x14ac:dyDescent="0.35">
      <c r="A33" s="27">
        <v>2321</v>
      </c>
      <c r="B33" s="56" t="s">
        <v>158</v>
      </c>
      <c r="C33" s="149" t="e">
        <f>#REF!</f>
        <v>#REF!</v>
      </c>
      <c r="D33" s="28">
        <v>607.38</v>
      </c>
      <c r="E33" s="28">
        <v>60.74</v>
      </c>
    </row>
    <row r="34" spans="1:5" x14ac:dyDescent="0.35">
      <c r="A34" s="27">
        <v>2341</v>
      </c>
      <c r="B34" s="56" t="s">
        <v>136</v>
      </c>
      <c r="C34" s="149" t="e">
        <f>#REF!</f>
        <v>#REF!</v>
      </c>
      <c r="D34" s="28">
        <v>129.34</v>
      </c>
      <c r="E34" s="28">
        <v>12.93</v>
      </c>
    </row>
    <row r="35" spans="1:5" x14ac:dyDescent="0.35">
      <c r="A35" s="27">
        <v>2350</v>
      </c>
      <c r="B35" s="55" t="s">
        <v>137</v>
      </c>
      <c r="C35" s="149" t="e">
        <f>#REF!</f>
        <v>#REF!</v>
      </c>
      <c r="D35" s="28">
        <v>257.94</v>
      </c>
      <c r="E35" s="28">
        <v>25.79</v>
      </c>
    </row>
    <row r="36" spans="1:5" x14ac:dyDescent="0.35">
      <c r="A36" s="27">
        <v>2361</v>
      </c>
      <c r="B36" s="56" t="s">
        <v>170</v>
      </c>
      <c r="C36" s="149" t="e">
        <f>#REF!</f>
        <v>#REF!</v>
      </c>
      <c r="D36" s="28">
        <v>110.86</v>
      </c>
      <c r="E36" s="28">
        <v>11.09</v>
      </c>
    </row>
    <row r="37" spans="1:5" x14ac:dyDescent="0.35">
      <c r="A37" s="27">
        <v>2362</v>
      </c>
      <c r="B37" s="56" t="s">
        <v>171</v>
      </c>
      <c r="C37" s="149" t="e">
        <f>#REF!</f>
        <v>#REF!</v>
      </c>
      <c r="D37" s="28">
        <v>9.4499999999999993</v>
      </c>
      <c r="E37" s="28">
        <v>0.95</v>
      </c>
    </row>
    <row r="38" spans="1:5" x14ac:dyDescent="0.35">
      <c r="A38" s="27">
        <v>2363</v>
      </c>
      <c r="B38" s="56" t="s">
        <v>172</v>
      </c>
      <c r="C38" s="150">
        <f>9.75*5</f>
        <v>48.75</v>
      </c>
      <c r="D38" s="28">
        <f>9.75*5*50</f>
        <v>2437.5</v>
      </c>
      <c r="E38" s="28">
        <v>243.75</v>
      </c>
    </row>
    <row r="39" spans="1:5" x14ac:dyDescent="0.35">
      <c r="A39" s="27">
        <v>5239</v>
      </c>
      <c r="B39" s="55" t="s">
        <v>165</v>
      </c>
      <c r="C39" s="151" t="e">
        <f>#REF!</f>
        <v>#REF!</v>
      </c>
      <c r="D39" s="28">
        <v>516.51</v>
      </c>
      <c r="E39" s="28">
        <f>51.65-5.5</f>
        <v>46.15</v>
      </c>
    </row>
    <row r="40" spans="1:5" x14ac:dyDescent="0.35">
      <c r="A40" s="27"/>
      <c r="B40" s="57" t="s">
        <v>7</v>
      </c>
      <c r="C40" s="152" t="e">
        <f>SUM(C20:C39)</f>
        <v>#REF!</v>
      </c>
      <c r="D40" s="31">
        <f>SUM(D20:D39)</f>
        <v>15548.390000000001</v>
      </c>
      <c r="E40" s="31">
        <f>SUM(E20:E39)</f>
        <v>1669.2800000000004</v>
      </c>
    </row>
    <row r="41" spans="1:5" x14ac:dyDescent="0.35">
      <c r="A41" s="32"/>
      <c r="B41" s="57" t="s">
        <v>8</v>
      </c>
      <c r="C41" s="152"/>
      <c r="D41" s="28"/>
      <c r="E41" s="28"/>
    </row>
    <row r="42" spans="1:5" x14ac:dyDescent="0.35">
      <c r="A42" s="27">
        <v>1100</v>
      </c>
      <c r="B42" s="54" t="s">
        <v>134</v>
      </c>
      <c r="C42" s="151">
        <f>0.5144-0.00029</f>
        <v>0.51410999999999996</v>
      </c>
      <c r="D42" s="28">
        <v>2596.0500000000002</v>
      </c>
      <c r="E42" s="28">
        <v>322.11</v>
      </c>
    </row>
    <row r="43" spans="1:5" ht="16.5" customHeight="1" x14ac:dyDescent="0.35">
      <c r="A43" s="27">
        <v>1200</v>
      </c>
      <c r="B43" s="54" t="s">
        <v>135</v>
      </c>
      <c r="C43" s="151">
        <f>C42*0.2359</f>
        <v>0.12127854899999999</v>
      </c>
      <c r="D43" s="28">
        <v>612.41</v>
      </c>
      <c r="E43" s="28">
        <v>75.989999999999995</v>
      </c>
    </row>
    <row r="44" spans="1:5" ht="16.5" customHeight="1" x14ac:dyDescent="0.35">
      <c r="A44" s="27">
        <v>2100</v>
      </c>
      <c r="B44" s="33" t="s">
        <v>44</v>
      </c>
      <c r="C44" s="151">
        <v>8.0999999999999996E-4</v>
      </c>
      <c r="D44" s="28">
        <v>4.0999999999999996</v>
      </c>
      <c r="E44" s="28">
        <v>0.49</v>
      </c>
    </row>
    <row r="45" spans="1:5" x14ac:dyDescent="0.35">
      <c r="A45" s="34">
        <v>2210</v>
      </c>
      <c r="B45" s="56" t="s">
        <v>138</v>
      </c>
      <c r="C45" s="151">
        <v>8.0000000000000002E-3</v>
      </c>
      <c r="D45" s="28">
        <v>40.4</v>
      </c>
      <c r="E45" s="28">
        <v>4.04</v>
      </c>
    </row>
    <row r="46" spans="1:5" x14ac:dyDescent="0.35">
      <c r="A46" s="27">
        <v>2222</v>
      </c>
      <c r="B46" s="56" t="s">
        <v>139</v>
      </c>
      <c r="C46" s="151">
        <v>4.4400000000000004E-3</v>
      </c>
      <c r="D46" s="28">
        <v>22.42</v>
      </c>
      <c r="E46" s="28">
        <v>2.2400000000000002</v>
      </c>
    </row>
    <row r="47" spans="1:5" x14ac:dyDescent="0.35">
      <c r="A47" s="27">
        <v>2223</v>
      </c>
      <c r="B47" s="56" t="s">
        <v>140</v>
      </c>
      <c r="C47" s="151">
        <v>5.4940000000000003E-2</v>
      </c>
      <c r="D47" s="28">
        <v>277.43</v>
      </c>
      <c r="E47" s="28">
        <v>27.74</v>
      </c>
    </row>
    <row r="48" spans="1:5" ht="31" x14ac:dyDescent="0.35">
      <c r="A48" s="27">
        <v>2224</v>
      </c>
      <c r="B48" s="56" t="s">
        <v>141</v>
      </c>
      <c r="C48" s="151">
        <v>3.0899999999999999E-3</v>
      </c>
      <c r="D48" s="28">
        <v>15.6</v>
      </c>
      <c r="E48" s="28">
        <v>1.56</v>
      </c>
    </row>
    <row r="49" spans="1:5" ht="15.75" customHeight="1" x14ac:dyDescent="0.35">
      <c r="A49" s="27">
        <v>2231</v>
      </c>
      <c r="B49" s="54" t="s">
        <v>142</v>
      </c>
      <c r="C49" s="151">
        <v>1.5E-3</v>
      </c>
      <c r="D49" s="28">
        <v>7.57</v>
      </c>
      <c r="E49" s="28">
        <v>0.76</v>
      </c>
    </row>
    <row r="50" spans="1:5" ht="15.75" customHeight="1" x14ac:dyDescent="0.35">
      <c r="A50" s="27">
        <v>2235</v>
      </c>
      <c r="B50" s="58" t="s">
        <v>143</v>
      </c>
      <c r="C50" s="151">
        <v>2.5100000000000001E-3</v>
      </c>
      <c r="D50" s="28">
        <v>12.67</v>
      </c>
      <c r="E50" s="28">
        <v>1.27</v>
      </c>
    </row>
    <row r="51" spans="1:5" x14ac:dyDescent="0.35">
      <c r="A51" s="27">
        <v>2239</v>
      </c>
      <c r="B51" s="54" t="s">
        <v>144</v>
      </c>
      <c r="C51" s="151">
        <v>1.7899999999999999E-3</v>
      </c>
      <c r="D51" s="28">
        <v>9.0399999999999991</v>
      </c>
      <c r="E51" s="28">
        <v>0.9</v>
      </c>
    </row>
    <row r="52" spans="1:5" x14ac:dyDescent="0.35">
      <c r="A52" s="27">
        <v>2241</v>
      </c>
      <c r="B52" s="54" t="s">
        <v>145</v>
      </c>
      <c r="C52" s="151">
        <v>1.6500000000000001E-2</v>
      </c>
      <c r="D52" s="28">
        <v>83.32</v>
      </c>
      <c r="E52" s="28">
        <v>8.33</v>
      </c>
    </row>
    <row r="53" spans="1:5" x14ac:dyDescent="0.35">
      <c r="A53" s="27">
        <v>2242</v>
      </c>
      <c r="B53" s="56" t="s">
        <v>146</v>
      </c>
      <c r="C53" s="151">
        <v>8.4999999999999995E-4</v>
      </c>
      <c r="D53" s="28">
        <v>4.29</v>
      </c>
      <c r="E53" s="28">
        <v>0.43</v>
      </c>
    </row>
    <row r="54" spans="1:5" ht="15.75" customHeight="1" x14ac:dyDescent="0.35">
      <c r="A54" s="27">
        <v>2243</v>
      </c>
      <c r="B54" s="54" t="s">
        <v>147</v>
      </c>
      <c r="C54" s="151">
        <v>4.0000000000000002E-4</v>
      </c>
      <c r="D54" s="28">
        <v>2.04</v>
      </c>
      <c r="E54" s="28">
        <v>0.2</v>
      </c>
    </row>
    <row r="55" spans="1:5" x14ac:dyDescent="0.35">
      <c r="A55" s="27">
        <v>2244</v>
      </c>
      <c r="B55" s="54" t="s">
        <v>148</v>
      </c>
      <c r="C55" s="151">
        <v>6.8070000000000006E-2</v>
      </c>
      <c r="D55" s="28">
        <v>343.73</v>
      </c>
      <c r="E55" s="28">
        <v>34.369999999999997</v>
      </c>
    </row>
    <row r="56" spans="1:5" x14ac:dyDescent="0.35">
      <c r="A56" s="27">
        <v>2247</v>
      </c>
      <c r="B56" s="54" t="s">
        <v>149</v>
      </c>
      <c r="C56" s="151">
        <v>2.2000000000000001E-4</v>
      </c>
      <c r="D56" s="28">
        <v>1.1100000000000001</v>
      </c>
      <c r="E56" s="28">
        <v>0.11</v>
      </c>
    </row>
    <row r="57" spans="1:5" x14ac:dyDescent="0.35">
      <c r="A57" s="27">
        <v>2249</v>
      </c>
      <c r="B57" s="54" t="s">
        <v>150</v>
      </c>
      <c r="C57" s="151">
        <v>2.5000000000000001E-4</v>
      </c>
      <c r="D57" s="28">
        <v>1.26</v>
      </c>
      <c r="E57" s="28">
        <v>0.13</v>
      </c>
    </row>
    <row r="58" spans="1:5" x14ac:dyDescent="0.35">
      <c r="A58" s="27">
        <v>2250</v>
      </c>
      <c r="B58" s="54" t="s">
        <v>151</v>
      </c>
      <c r="C58" s="151">
        <v>2.8400000000000002E-2</v>
      </c>
      <c r="D58" s="28">
        <v>143.41</v>
      </c>
      <c r="E58" s="28">
        <v>14.34</v>
      </c>
    </row>
    <row r="59" spans="1:5" x14ac:dyDescent="0.35">
      <c r="A59" s="27">
        <v>2262</v>
      </c>
      <c r="B59" s="56" t="s">
        <v>152</v>
      </c>
      <c r="C59" s="151">
        <v>1.137E-2</v>
      </c>
      <c r="D59" s="28">
        <v>57.41</v>
      </c>
      <c r="E59" s="28">
        <v>5.74</v>
      </c>
    </row>
    <row r="60" spans="1:5" x14ac:dyDescent="0.35">
      <c r="A60" s="27">
        <v>2263</v>
      </c>
      <c r="B60" s="56" t="s">
        <v>153</v>
      </c>
      <c r="C60" s="151">
        <v>4.58E-2</v>
      </c>
      <c r="D60" s="28">
        <v>231.27</v>
      </c>
      <c r="E60" s="28">
        <v>23.13</v>
      </c>
    </row>
    <row r="61" spans="1:5" x14ac:dyDescent="0.35">
      <c r="A61" s="27">
        <v>2264</v>
      </c>
      <c r="B61" s="54" t="s">
        <v>154</v>
      </c>
      <c r="C61" s="151">
        <v>2.4000000000000001E-4</v>
      </c>
      <c r="D61" s="28">
        <v>1.21</v>
      </c>
      <c r="E61" s="28">
        <v>0.12</v>
      </c>
    </row>
    <row r="62" spans="1:5" x14ac:dyDescent="0.35">
      <c r="A62" s="27">
        <v>2311</v>
      </c>
      <c r="B62" s="56" t="s">
        <v>155</v>
      </c>
      <c r="C62" s="153">
        <v>7.1000000000000002E-4</v>
      </c>
      <c r="D62" s="28">
        <v>3.59</v>
      </c>
      <c r="E62" s="28">
        <v>0.36</v>
      </c>
    </row>
    <row r="63" spans="1:5" x14ac:dyDescent="0.35">
      <c r="A63" s="27">
        <v>2314</v>
      </c>
      <c r="B63" s="58" t="s">
        <v>157</v>
      </c>
      <c r="C63" s="151">
        <v>4.6000000000000001E-4</v>
      </c>
      <c r="D63" s="28">
        <v>2.3199999999999998</v>
      </c>
      <c r="E63" s="28">
        <v>0.23</v>
      </c>
    </row>
    <row r="64" spans="1:5" x14ac:dyDescent="0.35">
      <c r="A64" s="27">
        <v>2321</v>
      </c>
      <c r="B64" s="56" t="s">
        <v>158</v>
      </c>
      <c r="C64" s="151">
        <v>6.0220000000000003E-2</v>
      </c>
      <c r="D64" s="28">
        <v>304.08999999999997</v>
      </c>
      <c r="E64" s="28">
        <v>30.41</v>
      </c>
    </row>
    <row r="65" spans="1:5" x14ac:dyDescent="0.35">
      <c r="A65" s="27">
        <v>2322</v>
      </c>
      <c r="B65" s="56" t="s">
        <v>159</v>
      </c>
      <c r="C65" s="151">
        <v>2.0999999999999999E-3</v>
      </c>
      <c r="D65" s="28">
        <v>10.6</v>
      </c>
      <c r="E65" s="28">
        <v>1.06</v>
      </c>
    </row>
    <row r="66" spans="1:5" ht="15.75" customHeight="1" x14ac:dyDescent="0.35">
      <c r="A66" s="27">
        <v>2513</v>
      </c>
      <c r="B66" s="55" t="s">
        <v>160</v>
      </c>
      <c r="C66" s="151">
        <v>6.3000000000000003E-4</v>
      </c>
      <c r="D66" s="28">
        <v>3.18</v>
      </c>
      <c r="E66" s="28">
        <v>0.32</v>
      </c>
    </row>
    <row r="67" spans="1:5" x14ac:dyDescent="0.35">
      <c r="A67" s="27">
        <v>2515</v>
      </c>
      <c r="B67" s="56" t="s">
        <v>161</v>
      </c>
      <c r="C67" s="151">
        <v>2.7499999999999998E-3</v>
      </c>
      <c r="D67" s="28">
        <v>13.89</v>
      </c>
      <c r="E67" s="28">
        <v>1.39</v>
      </c>
    </row>
    <row r="68" spans="1:5" x14ac:dyDescent="0.35">
      <c r="A68" s="27">
        <v>2519</v>
      </c>
      <c r="B68" s="56" t="s">
        <v>162</v>
      </c>
      <c r="C68" s="151">
        <v>1.5100000000000001E-3</v>
      </c>
      <c r="D68" s="28">
        <v>7.62</v>
      </c>
      <c r="E68" s="28">
        <v>0.76</v>
      </c>
    </row>
    <row r="69" spans="1:5" x14ac:dyDescent="0.35">
      <c r="A69" s="27">
        <v>5220</v>
      </c>
      <c r="B69" s="56" t="s">
        <v>163</v>
      </c>
      <c r="C69" s="151">
        <v>1.06E-2</v>
      </c>
      <c r="D69" s="28">
        <v>53.53</v>
      </c>
      <c r="E69" s="28">
        <v>5.35</v>
      </c>
    </row>
    <row r="70" spans="1:5" x14ac:dyDescent="0.35">
      <c r="A70" s="27">
        <v>5238</v>
      </c>
      <c r="B70" s="55" t="s">
        <v>164</v>
      </c>
      <c r="C70" s="151">
        <v>1.65E-3</v>
      </c>
      <c r="D70" s="28">
        <v>8.33</v>
      </c>
      <c r="E70" s="28">
        <v>0.83</v>
      </c>
    </row>
    <row r="71" spans="1:5" x14ac:dyDescent="0.35">
      <c r="A71" s="27">
        <v>5239</v>
      </c>
      <c r="B71" s="55" t="s">
        <v>165</v>
      </c>
      <c r="C71" s="151">
        <v>1.9800000000000002E-2</v>
      </c>
      <c r="D71" s="28">
        <v>99.98</v>
      </c>
      <c r="E71" s="28">
        <v>9.89</v>
      </c>
    </row>
    <row r="72" spans="1:5" x14ac:dyDescent="0.35">
      <c r="A72" s="27">
        <v>5250</v>
      </c>
      <c r="B72" s="56" t="s">
        <v>166</v>
      </c>
      <c r="C72" s="151">
        <v>1.4999999999999999E-2</v>
      </c>
      <c r="D72" s="28">
        <v>75.739999999999995</v>
      </c>
      <c r="E72" s="28">
        <v>7.62</v>
      </c>
    </row>
    <row r="73" spans="1:5" x14ac:dyDescent="0.35">
      <c r="A73" s="32"/>
      <c r="B73" s="59" t="s">
        <v>167</v>
      </c>
      <c r="C73" s="154"/>
      <c r="D73" s="31">
        <f>SUM(D42:D72)</f>
        <v>5049.6100000000006</v>
      </c>
      <c r="E73" s="31">
        <f>SUM(E42:E72)</f>
        <v>582.22</v>
      </c>
    </row>
    <row r="74" spans="1:5" x14ac:dyDescent="0.35">
      <c r="A74" s="32"/>
      <c r="B74" s="59" t="s">
        <v>168</v>
      </c>
      <c r="C74" s="154"/>
      <c r="D74" s="31">
        <f>D40+D73</f>
        <v>20598</v>
      </c>
      <c r="E74" s="31">
        <f>E40+E73</f>
        <v>2251.5000000000005</v>
      </c>
    </row>
    <row r="75" spans="1:5" ht="12.75" customHeight="1" x14ac:dyDescent="0.35">
      <c r="A75" s="37"/>
      <c r="B75" s="20"/>
      <c r="C75" s="155"/>
      <c r="D75" s="60"/>
      <c r="E75" s="60"/>
    </row>
    <row r="76" spans="1:5" ht="15.75" customHeight="1" x14ac:dyDescent="0.35">
      <c r="A76" s="211" t="s">
        <v>51</v>
      </c>
      <c r="B76" s="211"/>
      <c r="C76" s="156"/>
      <c r="D76" s="44">
        <v>50</v>
      </c>
      <c r="E76" s="44">
        <v>5</v>
      </c>
    </row>
    <row r="77" spans="1:5" ht="15.75" customHeight="1" x14ac:dyDescent="0.35">
      <c r="A77" s="211" t="s">
        <v>58</v>
      </c>
      <c r="B77" s="211"/>
      <c r="C77" s="156"/>
      <c r="D77" s="45">
        <f>D74/D76</f>
        <v>411.96</v>
      </c>
      <c r="E77" s="45">
        <f>E74/E76</f>
        <v>450.30000000000007</v>
      </c>
    </row>
    <row r="78" spans="1:5" ht="9.75" customHeight="1" x14ac:dyDescent="0.35">
      <c r="A78" s="41"/>
      <c r="B78" s="42"/>
      <c r="C78" s="157"/>
    </row>
    <row r="79" spans="1:5" ht="15.75" customHeight="1" x14ac:dyDescent="0.35">
      <c r="A79" s="208" t="s">
        <v>52</v>
      </c>
      <c r="B79" s="208"/>
      <c r="C79" s="158"/>
      <c r="D79" s="140"/>
      <c r="E79" s="140"/>
    </row>
    <row r="80" spans="1:5" ht="15.75" customHeight="1" x14ac:dyDescent="0.35">
      <c r="A80" s="208" t="s">
        <v>74</v>
      </c>
      <c r="B80" s="208"/>
      <c r="C80" s="158"/>
      <c r="D80" s="40"/>
      <c r="E80" s="40"/>
    </row>
    <row r="81" spans="1:5" ht="8.25" customHeight="1" x14ac:dyDescent="0.35">
      <c r="A81" s="17"/>
      <c r="B81" s="17"/>
      <c r="C81" s="159"/>
      <c r="D81" s="17"/>
      <c r="E81" s="17"/>
    </row>
    <row r="82" spans="1:5" x14ac:dyDescent="0.35">
      <c r="A82" s="17" t="s">
        <v>53</v>
      </c>
      <c r="B82" s="17"/>
      <c r="C82" s="159"/>
      <c r="D82" s="48"/>
      <c r="E82" s="48"/>
    </row>
    <row r="83" spans="1:5" x14ac:dyDescent="0.35">
      <c r="A83" s="17"/>
      <c r="B83" s="17"/>
      <c r="C83" s="160"/>
      <c r="D83" s="48"/>
      <c r="E83" s="48"/>
    </row>
    <row r="84" spans="1:5" x14ac:dyDescent="0.35">
      <c r="A84" s="17" t="s">
        <v>248</v>
      </c>
      <c r="B84" s="18"/>
      <c r="C84" s="161"/>
      <c r="D84" s="48"/>
      <c r="E84" s="48"/>
    </row>
    <row r="85" spans="1:5" x14ac:dyDescent="0.35">
      <c r="B85" s="63"/>
      <c r="C85" s="162"/>
      <c r="D85" s="64"/>
      <c r="E85" s="64"/>
    </row>
    <row r="87" spans="1:5" x14ac:dyDescent="0.35">
      <c r="D87" s="52"/>
      <c r="E87" s="52"/>
    </row>
  </sheetData>
  <mergeCells count="7">
    <mergeCell ref="A80:B80"/>
    <mergeCell ref="A10:B10"/>
    <mergeCell ref="A8:D8"/>
    <mergeCell ref="A11:B11"/>
    <mergeCell ref="A76:B76"/>
    <mergeCell ref="A77:B77"/>
    <mergeCell ref="A79:B79"/>
  </mergeCells>
  <pageMargins left="0.85393518518518519" right="0.70866141732283472" top="0.55118110236220474" bottom="0.55118110236220474" header="0.31496062992125984" footer="0.31496062992125984"/>
  <pageSetup paperSize="9" scale="56" orientation="portrait" r:id="rId1"/>
  <headerFooter>
    <oddFooter>&amp;F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7"/>
  <sheetViews>
    <sheetView view="pageLayout" topLeftCell="A65" zoomScale="80" zoomScaleNormal="100" zoomScalePageLayoutView="80" workbookViewId="0">
      <selection activeCell="A84" sqref="A84"/>
    </sheetView>
  </sheetViews>
  <sheetFormatPr defaultColWidth="9.1796875" defaultRowHeight="15.5" x14ac:dyDescent="0.35"/>
  <cols>
    <col min="1" max="1" width="19.26953125" style="12" customWidth="1"/>
    <col min="2" max="2" width="90.54296875" style="12" customWidth="1"/>
    <col min="3" max="3" width="10" style="78" hidden="1" customWidth="1"/>
    <col min="4" max="4" width="25.1796875" style="12" hidden="1" customWidth="1"/>
    <col min="5" max="5" width="32" style="12" customWidth="1"/>
    <col min="6" max="6" width="11.453125" style="12" customWidth="1"/>
    <col min="7" max="7" width="11.81640625" style="12" customWidth="1"/>
    <col min="8" max="8" width="12" style="12" customWidth="1"/>
    <col min="9" max="16384" width="9.1796875" style="12"/>
  </cols>
  <sheetData>
    <row r="1" spans="1:5" ht="15.75" customHeight="1" x14ac:dyDescent="0.35">
      <c r="B1" s="10"/>
      <c r="C1" s="73"/>
      <c r="D1" s="49" t="s">
        <v>50</v>
      </c>
      <c r="E1" s="49" t="s">
        <v>50</v>
      </c>
    </row>
    <row r="2" spans="1:5" x14ac:dyDescent="0.35">
      <c r="B2" s="11"/>
      <c r="C2" s="11"/>
      <c r="D2" s="11"/>
      <c r="E2" s="10" t="s">
        <v>54</v>
      </c>
    </row>
    <row r="3" spans="1:5" x14ac:dyDescent="0.35">
      <c r="B3" s="11"/>
      <c r="C3" s="141"/>
      <c r="D3" s="46" t="s">
        <v>76</v>
      </c>
      <c r="E3" s="46" t="s">
        <v>76</v>
      </c>
    </row>
    <row r="4" spans="1:5" x14ac:dyDescent="0.35">
      <c r="B4" s="10"/>
      <c r="C4" s="73"/>
      <c r="D4" s="37"/>
      <c r="E4" s="37"/>
    </row>
    <row r="5" spans="1:5" x14ac:dyDescent="0.35">
      <c r="B5" s="51"/>
      <c r="C5" s="80"/>
    </row>
    <row r="6" spans="1:5" x14ac:dyDescent="0.35">
      <c r="B6" s="51"/>
      <c r="C6" s="80"/>
      <c r="D6" s="37" t="s">
        <v>196</v>
      </c>
      <c r="E6" s="37" t="s">
        <v>246</v>
      </c>
    </row>
    <row r="7" spans="1:5" x14ac:dyDescent="0.35">
      <c r="D7" s="20"/>
      <c r="E7" s="20"/>
    </row>
    <row r="8" spans="1:5" x14ac:dyDescent="0.35">
      <c r="A8" s="209" t="s">
        <v>10</v>
      </c>
      <c r="B8" s="209"/>
      <c r="C8" s="209"/>
      <c r="D8" s="209"/>
      <c r="E8" s="50"/>
    </row>
    <row r="9" spans="1:5" x14ac:dyDescent="0.35">
      <c r="B9" s="53"/>
      <c r="C9" s="142"/>
      <c r="D9" s="20"/>
      <c r="E9" s="20"/>
    </row>
    <row r="10" spans="1:5" x14ac:dyDescent="0.35">
      <c r="A10" s="210" t="s">
        <v>1</v>
      </c>
      <c r="B10" s="210"/>
      <c r="C10" s="143"/>
      <c r="D10" s="20"/>
      <c r="E10" s="20"/>
    </row>
    <row r="11" spans="1:5" x14ac:dyDescent="0.35">
      <c r="A11" s="210" t="s">
        <v>0</v>
      </c>
      <c r="B11" s="210"/>
      <c r="C11" s="143"/>
      <c r="D11" s="20"/>
      <c r="E11" s="20"/>
    </row>
    <row r="12" spans="1:5" x14ac:dyDescent="0.35">
      <c r="A12" s="9"/>
      <c r="B12" s="9" t="s">
        <v>213</v>
      </c>
      <c r="C12" s="143"/>
      <c r="D12" s="20"/>
      <c r="E12" s="20"/>
    </row>
    <row r="13" spans="1:5" x14ac:dyDescent="0.35">
      <c r="A13" s="9"/>
      <c r="B13" s="9" t="s">
        <v>225</v>
      </c>
      <c r="C13" s="143"/>
      <c r="D13" s="20"/>
      <c r="E13" s="20"/>
    </row>
    <row r="14" spans="1:5" x14ac:dyDescent="0.35">
      <c r="A14" s="9"/>
      <c r="B14" s="9" t="s">
        <v>226</v>
      </c>
      <c r="C14" s="143"/>
      <c r="D14" s="20"/>
      <c r="E14" s="20"/>
    </row>
    <row r="15" spans="1:5" x14ac:dyDescent="0.35">
      <c r="A15" s="9"/>
      <c r="B15" s="9" t="s">
        <v>231</v>
      </c>
      <c r="C15" s="143"/>
      <c r="D15" s="20"/>
      <c r="E15" s="20"/>
    </row>
    <row r="16" spans="1:5" x14ac:dyDescent="0.35">
      <c r="A16" s="9" t="s">
        <v>2</v>
      </c>
      <c r="B16" s="9" t="s">
        <v>197</v>
      </c>
      <c r="C16" s="143"/>
      <c r="D16" s="20"/>
      <c r="E16" s="20"/>
    </row>
    <row r="17" spans="1:7" ht="69.75" customHeight="1" x14ac:dyDescent="0.35">
      <c r="A17" s="43" t="s">
        <v>3</v>
      </c>
      <c r="B17" s="43" t="s">
        <v>4</v>
      </c>
      <c r="C17" s="144"/>
      <c r="D17" s="43" t="s">
        <v>5</v>
      </c>
      <c r="E17" s="43" t="s">
        <v>5</v>
      </c>
    </row>
    <row r="18" spans="1:7" x14ac:dyDescent="0.35">
      <c r="A18" s="22">
        <v>1</v>
      </c>
      <c r="B18" s="23">
        <v>2</v>
      </c>
      <c r="C18" s="145"/>
      <c r="D18" s="23">
        <v>3</v>
      </c>
      <c r="E18" s="23">
        <v>3</v>
      </c>
    </row>
    <row r="19" spans="1:7" x14ac:dyDescent="0.35">
      <c r="A19" s="22"/>
      <c r="B19" s="54" t="s">
        <v>6</v>
      </c>
      <c r="C19" s="146"/>
      <c r="D19" s="55"/>
      <c r="E19" s="55"/>
    </row>
    <row r="20" spans="1:7" x14ac:dyDescent="0.35">
      <c r="A20" s="27">
        <v>1100</v>
      </c>
      <c r="B20" s="27" t="s">
        <v>134</v>
      </c>
      <c r="C20" s="163" t="e">
        <f>#REF!</f>
        <v>#REF!</v>
      </c>
      <c r="D20" s="28">
        <v>14106.3</v>
      </c>
      <c r="E20" s="28">
        <v>1444.52</v>
      </c>
    </row>
    <row r="21" spans="1:7" x14ac:dyDescent="0.35">
      <c r="A21" s="27">
        <v>1200</v>
      </c>
      <c r="B21" s="55" t="s">
        <v>135</v>
      </c>
      <c r="C21" s="148" t="e">
        <f>C20*0.2359</f>
        <v>#REF!</v>
      </c>
      <c r="D21" s="28">
        <v>3327.68</v>
      </c>
      <c r="E21" s="28">
        <v>317.23</v>
      </c>
      <c r="G21" s="52"/>
    </row>
    <row r="22" spans="1:7" x14ac:dyDescent="0.35">
      <c r="A22" s="27">
        <v>2222</v>
      </c>
      <c r="B22" s="56" t="s">
        <v>139</v>
      </c>
      <c r="C22" s="150" t="e">
        <f>#REF!</f>
        <v>#REF!</v>
      </c>
      <c r="D22" s="28">
        <v>661.09</v>
      </c>
      <c r="E22" s="28">
        <v>58.61</v>
      </c>
    </row>
    <row r="23" spans="1:7" x14ac:dyDescent="0.35">
      <c r="A23" s="27">
        <v>2223</v>
      </c>
      <c r="B23" s="56" t="s">
        <v>140</v>
      </c>
      <c r="C23" s="150" t="e">
        <f>#REF!</f>
        <v>#REF!</v>
      </c>
      <c r="D23" s="28">
        <v>1996.87</v>
      </c>
      <c r="E23" s="28">
        <v>157.05000000000001</v>
      </c>
    </row>
    <row r="24" spans="1:7" ht="31" x14ac:dyDescent="0.35">
      <c r="A24" s="27">
        <v>2224</v>
      </c>
      <c r="B24" s="56" t="s">
        <v>141</v>
      </c>
      <c r="C24" s="150" t="e">
        <f>#REF!</f>
        <v>#REF!</v>
      </c>
      <c r="D24" s="28">
        <v>7.95</v>
      </c>
      <c r="E24" s="28">
        <v>0.71</v>
      </c>
    </row>
    <row r="25" spans="1:7" x14ac:dyDescent="0.35">
      <c r="A25" s="27">
        <v>2231</v>
      </c>
      <c r="B25" s="56" t="s">
        <v>142</v>
      </c>
      <c r="C25" s="150" t="e">
        <f>#REF!</f>
        <v>#REF!</v>
      </c>
      <c r="D25" s="28">
        <v>26.28</v>
      </c>
      <c r="E25" s="28">
        <v>2.33</v>
      </c>
    </row>
    <row r="26" spans="1:7" x14ac:dyDescent="0.35">
      <c r="A26" s="27">
        <v>2239</v>
      </c>
      <c r="B26" s="109" t="s">
        <v>195</v>
      </c>
      <c r="C26" s="150" t="e">
        <f>#REF!</f>
        <v>#REF!</v>
      </c>
      <c r="D26" s="28">
        <v>4.4400000000000004</v>
      </c>
      <c r="E26" s="28">
        <v>0.39</v>
      </c>
    </row>
    <row r="27" spans="1:7" x14ac:dyDescent="0.35">
      <c r="A27" s="27">
        <v>2243</v>
      </c>
      <c r="B27" s="54" t="s">
        <v>147</v>
      </c>
      <c r="C27" s="164" t="e">
        <f>#REF!</f>
        <v>#REF!</v>
      </c>
      <c r="D27" s="28">
        <v>61.16</v>
      </c>
      <c r="E27" s="28">
        <v>5.43</v>
      </c>
    </row>
    <row r="28" spans="1:7" x14ac:dyDescent="0.35">
      <c r="A28" s="27">
        <v>2244</v>
      </c>
      <c r="B28" s="54" t="s">
        <v>148</v>
      </c>
      <c r="C28" s="164" t="e">
        <f>#REF!</f>
        <v>#REF!</v>
      </c>
      <c r="D28" s="28">
        <v>2334.38</v>
      </c>
      <c r="E28" s="28">
        <v>206.97</v>
      </c>
    </row>
    <row r="29" spans="1:7" x14ac:dyDescent="0.35">
      <c r="A29" s="27">
        <v>2250</v>
      </c>
      <c r="B29" s="54" t="s">
        <v>151</v>
      </c>
      <c r="C29" s="164" t="e">
        <f>#REF!</f>
        <v>#REF!</v>
      </c>
      <c r="D29" s="28">
        <v>128.77000000000001</v>
      </c>
      <c r="E29" s="28">
        <v>11.42</v>
      </c>
    </row>
    <row r="30" spans="1:7" x14ac:dyDescent="0.35">
      <c r="A30" s="27">
        <v>2311</v>
      </c>
      <c r="B30" s="56" t="s">
        <v>155</v>
      </c>
      <c r="C30" s="164" t="e">
        <f>#REF!</f>
        <v>#REF!</v>
      </c>
      <c r="D30" s="28">
        <v>1823.13</v>
      </c>
      <c r="E30" s="28">
        <v>60.94</v>
      </c>
    </row>
    <row r="31" spans="1:7" x14ac:dyDescent="0.35">
      <c r="A31" s="27">
        <v>2312</v>
      </c>
      <c r="B31" s="54" t="s">
        <v>156</v>
      </c>
      <c r="C31" s="164" t="e">
        <f>#REF!</f>
        <v>#REF!</v>
      </c>
      <c r="D31" s="28">
        <v>860.49</v>
      </c>
      <c r="E31" s="28">
        <v>76.290000000000006</v>
      </c>
    </row>
    <row r="32" spans="1:7" x14ac:dyDescent="0.35">
      <c r="A32" s="27">
        <v>2314</v>
      </c>
      <c r="B32" s="54" t="s">
        <v>157</v>
      </c>
      <c r="C32" s="164" t="e">
        <f>#REF!</f>
        <v>#REF!</v>
      </c>
      <c r="D32" s="28">
        <v>2.82</v>
      </c>
      <c r="E32" s="28">
        <v>0.24</v>
      </c>
    </row>
    <row r="33" spans="1:7" x14ac:dyDescent="0.35">
      <c r="A33" s="27">
        <v>2321</v>
      </c>
      <c r="B33" s="56" t="s">
        <v>158</v>
      </c>
      <c r="C33" s="150" t="e">
        <f>#REF!</f>
        <v>#REF!</v>
      </c>
      <c r="D33" s="28">
        <v>1524.37</v>
      </c>
      <c r="E33" s="28">
        <v>142.15</v>
      </c>
    </row>
    <row r="34" spans="1:7" x14ac:dyDescent="0.35">
      <c r="A34" s="27">
        <v>2341</v>
      </c>
      <c r="B34" s="56" t="s">
        <v>136</v>
      </c>
      <c r="C34" s="150" t="e">
        <f>#REF!</f>
        <v>#REF!</v>
      </c>
      <c r="D34" s="28">
        <v>782.01</v>
      </c>
      <c r="E34" s="28">
        <v>69.33</v>
      </c>
    </row>
    <row r="35" spans="1:7" x14ac:dyDescent="0.35">
      <c r="A35" s="27">
        <v>2350</v>
      </c>
      <c r="B35" s="55" t="s">
        <v>137</v>
      </c>
      <c r="C35" s="150" t="e">
        <f>#REF!</f>
        <v>#REF!</v>
      </c>
      <c r="D35" s="28">
        <v>562.42999999999995</v>
      </c>
      <c r="E35" s="28">
        <v>49.86</v>
      </c>
    </row>
    <row r="36" spans="1:7" x14ac:dyDescent="0.35">
      <c r="A36" s="27">
        <v>2361</v>
      </c>
      <c r="B36" s="56" t="s">
        <v>170</v>
      </c>
      <c r="C36" s="150" t="e">
        <f>#REF!</f>
        <v>#REF!</v>
      </c>
      <c r="D36" s="28">
        <v>241.73</v>
      </c>
      <c r="E36" s="28">
        <v>21.43</v>
      </c>
    </row>
    <row r="37" spans="1:7" x14ac:dyDescent="0.35">
      <c r="A37" s="27">
        <v>2362</v>
      </c>
      <c r="B37" s="56" t="s">
        <v>171</v>
      </c>
      <c r="C37" s="150" t="e">
        <f>#REF!</f>
        <v>#REF!</v>
      </c>
      <c r="D37" s="28">
        <v>25.62</v>
      </c>
      <c r="E37" s="28">
        <v>2.27</v>
      </c>
    </row>
    <row r="38" spans="1:7" x14ac:dyDescent="0.35">
      <c r="A38" s="27">
        <v>2363</v>
      </c>
      <c r="B38" s="56" t="s">
        <v>172</v>
      </c>
      <c r="C38" s="190">
        <f>9.75*7</f>
        <v>68.25</v>
      </c>
      <c r="D38" s="28">
        <f>C38*50</f>
        <v>3412.5</v>
      </c>
      <c r="E38" s="28">
        <v>341.25</v>
      </c>
      <c r="G38" s="52"/>
    </row>
    <row r="39" spans="1:7" x14ac:dyDescent="0.35">
      <c r="A39" s="27">
        <v>5239</v>
      </c>
      <c r="B39" s="55" t="s">
        <v>165</v>
      </c>
      <c r="C39" s="148" t="e">
        <f>#REF!</f>
        <v>#REF!</v>
      </c>
      <c r="D39" s="28">
        <v>1133.73</v>
      </c>
      <c r="E39" s="28">
        <v>113.37</v>
      </c>
    </row>
    <row r="40" spans="1:7" x14ac:dyDescent="0.35">
      <c r="A40" s="36"/>
      <c r="B40" s="57" t="s">
        <v>7</v>
      </c>
      <c r="C40" s="152" t="e">
        <f>SUM(C20:C39)</f>
        <v>#REF!</v>
      </c>
      <c r="D40" s="31">
        <f>SUM(D20:D39)</f>
        <v>33023.75</v>
      </c>
      <c r="E40" s="31">
        <f>SUM(E20:E39)</f>
        <v>3081.7899999999995</v>
      </c>
    </row>
    <row r="41" spans="1:7" x14ac:dyDescent="0.35">
      <c r="A41" s="32"/>
      <c r="B41" s="57" t="s">
        <v>8</v>
      </c>
      <c r="C41" s="152"/>
      <c r="D41" s="28"/>
      <c r="E41" s="28"/>
    </row>
    <row r="42" spans="1:7" x14ac:dyDescent="0.35">
      <c r="A42" s="27">
        <v>1100</v>
      </c>
      <c r="B42" s="54" t="s">
        <v>134</v>
      </c>
      <c r="C42" s="151">
        <f>0.5144-0.00029</f>
        <v>0.51410999999999996</v>
      </c>
      <c r="D42" s="28">
        <v>6112.37</v>
      </c>
      <c r="E42" s="28">
        <v>650.23</v>
      </c>
    </row>
    <row r="43" spans="1:7" ht="16.5" customHeight="1" x14ac:dyDescent="0.35">
      <c r="A43" s="27">
        <v>1200</v>
      </c>
      <c r="B43" s="54" t="s">
        <v>135</v>
      </c>
      <c r="C43" s="151">
        <f>C42*0.2359</f>
        <v>0.12127854899999999</v>
      </c>
      <c r="D43" s="28">
        <v>1441.91</v>
      </c>
      <c r="E43" s="28">
        <v>153.38999999999999</v>
      </c>
    </row>
    <row r="44" spans="1:7" ht="16.5" customHeight="1" x14ac:dyDescent="0.35">
      <c r="A44" s="27">
        <v>2100</v>
      </c>
      <c r="B44" s="33" t="s">
        <v>44</v>
      </c>
      <c r="C44" s="151">
        <v>8.0999999999999996E-4</v>
      </c>
      <c r="D44" s="28">
        <v>9.6300000000000008</v>
      </c>
      <c r="E44" s="28">
        <v>0.85</v>
      </c>
    </row>
    <row r="45" spans="1:7" x14ac:dyDescent="0.35">
      <c r="A45" s="34">
        <v>2210</v>
      </c>
      <c r="B45" s="56" t="s">
        <v>138</v>
      </c>
      <c r="C45" s="151">
        <v>8.0000000000000002E-3</v>
      </c>
      <c r="D45" s="28">
        <v>95.11</v>
      </c>
      <c r="E45" s="28">
        <v>8.43</v>
      </c>
    </row>
    <row r="46" spans="1:7" x14ac:dyDescent="0.35">
      <c r="A46" s="27">
        <v>2222</v>
      </c>
      <c r="B46" s="56" t="s">
        <v>139</v>
      </c>
      <c r="C46" s="151">
        <v>4.4400000000000004E-3</v>
      </c>
      <c r="D46" s="28">
        <v>52.79</v>
      </c>
      <c r="E46" s="28">
        <v>7.02</v>
      </c>
    </row>
    <row r="47" spans="1:7" x14ac:dyDescent="0.35">
      <c r="A47" s="27">
        <v>2223</v>
      </c>
      <c r="B47" s="56" t="s">
        <v>140</v>
      </c>
      <c r="C47" s="151">
        <v>5.4940000000000003E-2</v>
      </c>
      <c r="D47" s="28">
        <v>653.19000000000005</v>
      </c>
      <c r="E47" s="28">
        <v>69.489999999999995</v>
      </c>
    </row>
    <row r="48" spans="1:7" ht="31" x14ac:dyDescent="0.35">
      <c r="A48" s="27">
        <v>2224</v>
      </c>
      <c r="B48" s="56" t="s">
        <v>141</v>
      </c>
      <c r="C48" s="151">
        <v>3.0899999999999999E-3</v>
      </c>
      <c r="D48" s="28">
        <v>36.74</v>
      </c>
      <c r="E48" s="28">
        <v>4.8899999999999997</v>
      </c>
    </row>
    <row r="49" spans="1:5" ht="15.75" customHeight="1" x14ac:dyDescent="0.35">
      <c r="A49" s="27">
        <v>2231</v>
      </c>
      <c r="B49" s="54" t="s">
        <v>142</v>
      </c>
      <c r="C49" s="151">
        <v>1.5E-3</v>
      </c>
      <c r="D49" s="28">
        <v>17.829999999999998</v>
      </c>
      <c r="E49" s="28">
        <v>1.58</v>
      </c>
    </row>
    <row r="50" spans="1:5" ht="15.75" customHeight="1" x14ac:dyDescent="0.35">
      <c r="A50" s="27">
        <v>2235</v>
      </c>
      <c r="B50" s="58" t="s">
        <v>143</v>
      </c>
      <c r="C50" s="151">
        <v>2.5100000000000001E-3</v>
      </c>
      <c r="D50" s="28">
        <v>29.84</v>
      </c>
      <c r="E50" s="28">
        <v>2.64</v>
      </c>
    </row>
    <row r="51" spans="1:5" x14ac:dyDescent="0.35">
      <c r="A51" s="27">
        <v>2239</v>
      </c>
      <c r="B51" s="54" t="s">
        <v>144</v>
      </c>
      <c r="C51" s="151">
        <v>1.7899999999999999E-3</v>
      </c>
      <c r="D51" s="28">
        <v>21.28</v>
      </c>
      <c r="E51" s="28">
        <v>1.89</v>
      </c>
    </row>
    <row r="52" spans="1:5" x14ac:dyDescent="0.35">
      <c r="A52" s="27">
        <v>2241</v>
      </c>
      <c r="B52" s="54" t="s">
        <v>145</v>
      </c>
      <c r="C52" s="151">
        <v>1.6500000000000001E-2</v>
      </c>
      <c r="D52" s="28">
        <v>196.17</v>
      </c>
      <c r="E52" s="28">
        <v>24.55</v>
      </c>
    </row>
    <row r="53" spans="1:5" x14ac:dyDescent="0.35">
      <c r="A53" s="27">
        <v>2242</v>
      </c>
      <c r="B53" s="56" t="s">
        <v>146</v>
      </c>
      <c r="C53" s="151">
        <v>8.4999999999999995E-4</v>
      </c>
      <c r="D53" s="28">
        <v>10.11</v>
      </c>
      <c r="E53" s="28">
        <v>0.9</v>
      </c>
    </row>
    <row r="54" spans="1:5" ht="15.75" customHeight="1" x14ac:dyDescent="0.35">
      <c r="A54" s="27">
        <v>2243</v>
      </c>
      <c r="B54" s="54" t="s">
        <v>147</v>
      </c>
      <c r="C54" s="151">
        <v>4.0000000000000002E-4</v>
      </c>
      <c r="D54" s="28">
        <v>4.79</v>
      </c>
      <c r="E54" s="28">
        <v>0.43</v>
      </c>
    </row>
    <row r="55" spans="1:5" x14ac:dyDescent="0.35">
      <c r="A55" s="27">
        <v>2244</v>
      </c>
      <c r="B55" s="54" t="s">
        <v>148</v>
      </c>
      <c r="C55" s="151">
        <v>6.8070000000000006E-2</v>
      </c>
      <c r="D55" s="28">
        <v>809.3</v>
      </c>
      <c r="E55" s="28">
        <v>71.75</v>
      </c>
    </row>
    <row r="56" spans="1:5" x14ac:dyDescent="0.35">
      <c r="A56" s="27">
        <v>2247</v>
      </c>
      <c r="B56" s="54" t="s">
        <v>149</v>
      </c>
      <c r="C56" s="151">
        <v>2.2000000000000001E-4</v>
      </c>
      <c r="D56" s="28">
        <v>2.62</v>
      </c>
      <c r="E56" s="28">
        <v>0.23</v>
      </c>
    </row>
    <row r="57" spans="1:5" x14ac:dyDescent="0.35">
      <c r="A57" s="27">
        <v>2249</v>
      </c>
      <c r="B57" s="54" t="s">
        <v>150</v>
      </c>
      <c r="C57" s="151">
        <v>2.5000000000000001E-4</v>
      </c>
      <c r="D57" s="28">
        <v>2.97</v>
      </c>
      <c r="E57" s="28">
        <v>0.27</v>
      </c>
    </row>
    <row r="58" spans="1:5" x14ac:dyDescent="0.35">
      <c r="A58" s="27">
        <v>2250</v>
      </c>
      <c r="B58" s="54" t="s">
        <v>151</v>
      </c>
      <c r="C58" s="151">
        <v>2.8400000000000002E-2</v>
      </c>
      <c r="D58" s="28">
        <v>337.65</v>
      </c>
      <c r="E58" s="28">
        <v>29.94</v>
      </c>
    </row>
    <row r="59" spans="1:5" x14ac:dyDescent="0.35">
      <c r="A59" s="27">
        <v>2262</v>
      </c>
      <c r="B59" s="56" t="s">
        <v>152</v>
      </c>
      <c r="C59" s="151">
        <v>1.137E-2</v>
      </c>
      <c r="D59" s="28">
        <v>135.18</v>
      </c>
      <c r="E59" s="28">
        <v>11.99</v>
      </c>
    </row>
    <row r="60" spans="1:5" x14ac:dyDescent="0.35">
      <c r="A60" s="27">
        <v>2263</v>
      </c>
      <c r="B60" s="56" t="s">
        <v>153</v>
      </c>
      <c r="C60" s="151">
        <v>4.58E-2</v>
      </c>
      <c r="D60" s="28">
        <v>544.53</v>
      </c>
      <c r="E60" s="28">
        <v>48.28</v>
      </c>
    </row>
    <row r="61" spans="1:5" x14ac:dyDescent="0.35">
      <c r="A61" s="27">
        <v>2264</v>
      </c>
      <c r="B61" s="54" t="s">
        <v>154</v>
      </c>
      <c r="C61" s="151">
        <v>2.4000000000000001E-4</v>
      </c>
      <c r="D61" s="28">
        <v>2.85</v>
      </c>
      <c r="E61" s="28">
        <v>0.26</v>
      </c>
    </row>
    <row r="62" spans="1:5" x14ac:dyDescent="0.35">
      <c r="A62" s="27">
        <v>2311</v>
      </c>
      <c r="B62" s="56" t="s">
        <v>155</v>
      </c>
      <c r="C62" s="153">
        <v>7.1000000000000002E-4</v>
      </c>
      <c r="D62" s="28">
        <v>8.44</v>
      </c>
      <c r="E62" s="28">
        <v>0.74</v>
      </c>
    </row>
    <row r="63" spans="1:5" x14ac:dyDescent="0.35">
      <c r="A63" s="27">
        <v>2314</v>
      </c>
      <c r="B63" s="58" t="s">
        <v>157</v>
      </c>
      <c r="C63" s="151">
        <v>4.6000000000000001E-4</v>
      </c>
      <c r="D63" s="28">
        <v>5.47</v>
      </c>
      <c r="E63" s="28">
        <v>0.49</v>
      </c>
    </row>
    <row r="64" spans="1:5" x14ac:dyDescent="0.35">
      <c r="A64" s="27">
        <v>2321</v>
      </c>
      <c r="B64" s="56" t="s">
        <v>158</v>
      </c>
      <c r="C64" s="151">
        <v>6.0220000000000003E-2</v>
      </c>
      <c r="D64" s="28">
        <v>715.97</v>
      </c>
      <c r="E64" s="28">
        <v>76.180000000000007</v>
      </c>
    </row>
    <row r="65" spans="1:5" x14ac:dyDescent="0.35">
      <c r="A65" s="27">
        <v>2322</v>
      </c>
      <c r="B65" s="56" t="s">
        <v>159</v>
      </c>
      <c r="C65" s="151">
        <v>2.0999999999999999E-3</v>
      </c>
      <c r="D65" s="28">
        <v>24.97</v>
      </c>
      <c r="E65" s="28">
        <v>2.23</v>
      </c>
    </row>
    <row r="66" spans="1:5" ht="15.75" customHeight="1" x14ac:dyDescent="0.35">
      <c r="A66" s="27">
        <v>2513</v>
      </c>
      <c r="B66" s="55" t="s">
        <v>160</v>
      </c>
      <c r="C66" s="151">
        <v>6.3000000000000003E-4</v>
      </c>
      <c r="D66" s="28">
        <v>7.49</v>
      </c>
      <c r="E66" s="28">
        <v>0.66</v>
      </c>
    </row>
    <row r="67" spans="1:5" x14ac:dyDescent="0.35">
      <c r="A67" s="27">
        <v>2515</v>
      </c>
      <c r="B67" s="56" t="s">
        <v>161</v>
      </c>
      <c r="C67" s="151">
        <v>2.7499999999999998E-3</v>
      </c>
      <c r="D67" s="28">
        <v>32.700000000000003</v>
      </c>
      <c r="E67" s="28">
        <v>2.9</v>
      </c>
    </row>
    <row r="68" spans="1:5" x14ac:dyDescent="0.35">
      <c r="A68" s="27">
        <v>2519</v>
      </c>
      <c r="B68" s="56" t="s">
        <v>162</v>
      </c>
      <c r="C68" s="151">
        <v>1.5100000000000001E-3</v>
      </c>
      <c r="D68" s="28">
        <v>17.95</v>
      </c>
      <c r="E68" s="28">
        <v>1.6</v>
      </c>
    </row>
    <row r="69" spans="1:5" x14ac:dyDescent="0.35">
      <c r="A69" s="27">
        <v>5220</v>
      </c>
      <c r="B69" s="56" t="s">
        <v>163</v>
      </c>
      <c r="C69" s="151">
        <v>1.06E-2</v>
      </c>
      <c r="D69" s="28">
        <v>126.03</v>
      </c>
      <c r="E69" s="28">
        <v>11.17</v>
      </c>
    </row>
    <row r="70" spans="1:5" x14ac:dyDescent="0.35">
      <c r="A70" s="27">
        <v>5238</v>
      </c>
      <c r="B70" s="55" t="s">
        <v>164</v>
      </c>
      <c r="C70" s="151">
        <v>1.65E-3</v>
      </c>
      <c r="D70" s="28">
        <v>19.62</v>
      </c>
      <c r="E70" s="28">
        <v>2.44</v>
      </c>
    </row>
    <row r="71" spans="1:5" x14ac:dyDescent="0.35">
      <c r="A71" s="27">
        <v>5239</v>
      </c>
      <c r="B71" s="55" t="s">
        <v>165</v>
      </c>
      <c r="C71" s="151">
        <v>1.9800000000000002E-2</v>
      </c>
      <c r="D71" s="28">
        <v>235.41</v>
      </c>
      <c r="E71" s="28">
        <v>20.78</v>
      </c>
    </row>
    <row r="72" spans="1:5" x14ac:dyDescent="0.35">
      <c r="A72" s="27">
        <v>5250</v>
      </c>
      <c r="B72" s="56" t="s">
        <v>166</v>
      </c>
      <c r="C72" s="151">
        <v>1.4999999999999999E-2</v>
      </c>
      <c r="D72" s="28">
        <v>178.34</v>
      </c>
      <c r="E72" s="28">
        <v>15.81</v>
      </c>
    </row>
    <row r="73" spans="1:5" x14ac:dyDescent="0.35">
      <c r="A73" s="32"/>
      <c r="B73" s="59" t="s">
        <v>167</v>
      </c>
      <c r="C73" s="154"/>
      <c r="D73" s="31">
        <f>SUM(D42:D72)</f>
        <v>11889.250000000004</v>
      </c>
      <c r="E73" s="31">
        <f>SUM(E42:E72)</f>
        <v>1224.01</v>
      </c>
    </row>
    <row r="74" spans="1:5" x14ac:dyDescent="0.35">
      <c r="A74" s="32"/>
      <c r="B74" s="59" t="s">
        <v>168</v>
      </c>
      <c r="C74" s="154"/>
      <c r="D74" s="31">
        <f>D40+D73</f>
        <v>44913</v>
      </c>
      <c r="E74" s="31">
        <f>E40+E73</f>
        <v>4305.7999999999993</v>
      </c>
    </row>
    <row r="75" spans="1:5" ht="12.75" customHeight="1" x14ac:dyDescent="0.35">
      <c r="A75" s="37"/>
      <c r="B75" s="20"/>
      <c r="C75" s="155"/>
      <c r="D75" s="60"/>
      <c r="E75" s="60"/>
    </row>
    <row r="76" spans="1:5" ht="15.75" customHeight="1" x14ac:dyDescent="0.35">
      <c r="A76" s="211" t="s">
        <v>51</v>
      </c>
      <c r="B76" s="211"/>
      <c r="C76" s="156"/>
      <c r="D76" s="44">
        <v>50</v>
      </c>
      <c r="E76" s="44">
        <v>5</v>
      </c>
    </row>
    <row r="77" spans="1:5" ht="15.75" customHeight="1" x14ac:dyDescent="0.35">
      <c r="A77" s="211" t="s">
        <v>58</v>
      </c>
      <c r="B77" s="211"/>
      <c r="C77" s="156"/>
      <c r="D77" s="45">
        <f>D74/D76</f>
        <v>898.26</v>
      </c>
      <c r="E77" s="45">
        <f>E74/E76</f>
        <v>861.15999999999985</v>
      </c>
    </row>
    <row r="78" spans="1:5" x14ac:dyDescent="0.35">
      <c r="A78" s="41"/>
      <c r="B78" s="42"/>
      <c r="C78" s="157"/>
    </row>
    <row r="79" spans="1:5" ht="15.75" customHeight="1" x14ac:dyDescent="0.35">
      <c r="A79" s="208" t="s">
        <v>52</v>
      </c>
      <c r="B79" s="208"/>
      <c r="C79" s="158"/>
      <c r="D79" s="140"/>
      <c r="E79" s="140"/>
    </row>
    <row r="80" spans="1:5" ht="15.75" customHeight="1" x14ac:dyDescent="0.35">
      <c r="A80" s="208" t="s">
        <v>74</v>
      </c>
      <c r="B80" s="208"/>
      <c r="C80" s="158"/>
      <c r="D80" s="40"/>
      <c r="E80" s="40"/>
    </row>
    <row r="81" spans="1:5" x14ac:dyDescent="0.35">
      <c r="A81" s="17"/>
      <c r="B81" s="17"/>
      <c r="C81" s="159"/>
      <c r="D81" s="17"/>
      <c r="E81" s="17"/>
    </row>
    <row r="82" spans="1:5" x14ac:dyDescent="0.35">
      <c r="A82" s="17" t="s">
        <v>53</v>
      </c>
      <c r="B82" s="17"/>
      <c r="C82" s="159"/>
      <c r="D82" s="48"/>
      <c r="E82" s="48"/>
    </row>
    <row r="83" spans="1:5" x14ac:dyDescent="0.35">
      <c r="A83" s="17"/>
      <c r="B83" s="17"/>
      <c r="C83" s="160"/>
      <c r="D83" s="48"/>
      <c r="E83" s="48"/>
    </row>
    <row r="84" spans="1:5" x14ac:dyDescent="0.35">
      <c r="A84" s="17" t="s">
        <v>248</v>
      </c>
      <c r="B84" s="18"/>
      <c r="C84" s="161"/>
      <c r="D84" s="48"/>
      <c r="E84" s="48"/>
    </row>
    <row r="85" spans="1:5" x14ac:dyDescent="0.35">
      <c r="B85" s="63"/>
      <c r="C85" s="162"/>
      <c r="D85" s="64"/>
      <c r="E85" s="64"/>
    </row>
    <row r="87" spans="1:5" x14ac:dyDescent="0.35">
      <c r="D87" s="52"/>
      <c r="E87" s="52"/>
    </row>
  </sheetData>
  <mergeCells count="7">
    <mergeCell ref="A79:B79"/>
    <mergeCell ref="A80:B80"/>
    <mergeCell ref="A10:B10"/>
    <mergeCell ref="A8:D8"/>
    <mergeCell ref="A11:B11"/>
    <mergeCell ref="A76:B76"/>
    <mergeCell ref="A77:B77"/>
  </mergeCells>
  <pageMargins left="0.85393518518518519" right="0.70866141732283472" top="0.55118110236220474" bottom="0.55118110236220474" header="0.31496062992125984" footer="0.31496062992125984"/>
  <pageSetup paperSize="9" scale="55" orientation="portrait" r:id="rId1"/>
  <headerFooter>
    <oddFooter>&amp;F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7"/>
  <sheetViews>
    <sheetView view="pageLayout" zoomScale="80" zoomScaleNormal="100" zoomScalePageLayoutView="80" workbookViewId="0">
      <selection activeCell="A84" sqref="A84"/>
    </sheetView>
  </sheetViews>
  <sheetFormatPr defaultColWidth="9.1796875" defaultRowHeight="15.5" x14ac:dyDescent="0.35"/>
  <cols>
    <col min="1" max="1" width="19.26953125" style="12" customWidth="1"/>
    <col min="2" max="2" width="90.54296875" style="12" customWidth="1"/>
    <col min="3" max="3" width="6.81640625" style="78" hidden="1" customWidth="1"/>
    <col min="4" max="4" width="25.1796875" style="12" hidden="1" customWidth="1"/>
    <col min="5" max="5" width="32.7265625" style="12" customWidth="1"/>
    <col min="6" max="16384" width="9.1796875" style="12"/>
  </cols>
  <sheetData>
    <row r="1" spans="1:5" ht="15.75" customHeight="1" x14ac:dyDescent="0.35">
      <c r="B1" s="10"/>
      <c r="C1" s="73"/>
      <c r="D1" s="49" t="s">
        <v>50</v>
      </c>
      <c r="E1" s="49" t="s">
        <v>50</v>
      </c>
    </row>
    <row r="2" spans="1:5" x14ac:dyDescent="0.35">
      <c r="B2" s="63"/>
      <c r="C2" s="63"/>
      <c r="D2" s="63"/>
      <c r="E2" s="10" t="s">
        <v>54</v>
      </c>
    </row>
    <row r="3" spans="1:5" x14ac:dyDescent="0.35">
      <c r="B3" s="11"/>
      <c r="C3" s="141"/>
      <c r="D3" s="46" t="s">
        <v>76</v>
      </c>
      <c r="E3" s="46" t="s">
        <v>76</v>
      </c>
    </row>
    <row r="4" spans="1:5" x14ac:dyDescent="0.35">
      <c r="B4" s="10"/>
      <c r="C4" s="73"/>
      <c r="D4" s="37"/>
      <c r="E4" s="37"/>
    </row>
    <row r="5" spans="1:5" x14ac:dyDescent="0.35">
      <c r="B5" s="51"/>
      <c r="C5" s="80"/>
    </row>
    <row r="6" spans="1:5" x14ac:dyDescent="0.35">
      <c r="B6" s="51"/>
      <c r="C6" s="80"/>
      <c r="D6" s="37" t="s">
        <v>196</v>
      </c>
      <c r="E6" s="37" t="s">
        <v>246</v>
      </c>
    </row>
    <row r="7" spans="1:5" x14ac:dyDescent="0.35">
      <c r="D7" s="20"/>
      <c r="E7" s="20"/>
    </row>
    <row r="8" spans="1:5" x14ac:dyDescent="0.35">
      <c r="A8" s="209" t="s">
        <v>10</v>
      </c>
      <c r="B8" s="209"/>
      <c r="C8" s="209"/>
      <c r="D8" s="209"/>
      <c r="E8" s="50"/>
    </row>
    <row r="9" spans="1:5" x14ac:dyDescent="0.35">
      <c r="B9" s="53"/>
      <c r="C9" s="142"/>
      <c r="D9" s="20"/>
      <c r="E9" s="20"/>
    </row>
    <row r="10" spans="1:5" x14ac:dyDescent="0.35">
      <c r="A10" s="210" t="s">
        <v>1</v>
      </c>
      <c r="B10" s="210"/>
      <c r="C10" s="143"/>
      <c r="D10" s="20"/>
      <c r="E10" s="20"/>
    </row>
    <row r="11" spans="1:5" x14ac:dyDescent="0.35">
      <c r="A11" s="210" t="s">
        <v>0</v>
      </c>
      <c r="B11" s="210"/>
      <c r="C11" s="143"/>
      <c r="D11" s="20"/>
      <c r="E11" s="20"/>
    </row>
    <row r="12" spans="1:5" x14ac:dyDescent="0.35">
      <c r="A12" s="9"/>
      <c r="B12" s="9" t="s">
        <v>213</v>
      </c>
      <c r="C12" s="143"/>
      <c r="D12" s="20"/>
      <c r="E12" s="20"/>
    </row>
    <row r="13" spans="1:5" x14ac:dyDescent="0.35">
      <c r="A13" s="9"/>
      <c r="B13" s="9" t="s">
        <v>225</v>
      </c>
      <c r="C13" s="143"/>
      <c r="D13" s="20"/>
      <c r="E13" s="20"/>
    </row>
    <row r="14" spans="1:5" x14ac:dyDescent="0.35">
      <c r="A14" s="9"/>
      <c r="B14" s="9" t="s">
        <v>226</v>
      </c>
      <c r="C14" s="143"/>
      <c r="D14" s="20"/>
      <c r="E14" s="20"/>
    </row>
    <row r="15" spans="1:5" x14ac:dyDescent="0.35">
      <c r="A15" s="9"/>
      <c r="B15" s="9" t="s">
        <v>232</v>
      </c>
      <c r="C15" s="143"/>
      <c r="D15" s="20"/>
      <c r="E15" s="20"/>
    </row>
    <row r="16" spans="1:5" x14ac:dyDescent="0.35">
      <c r="A16" s="9" t="s">
        <v>2</v>
      </c>
      <c r="B16" s="9" t="s">
        <v>197</v>
      </c>
      <c r="C16" s="143"/>
      <c r="D16" s="20"/>
      <c r="E16" s="20"/>
    </row>
    <row r="17" spans="1:5" ht="69.75" customHeight="1" x14ac:dyDescent="0.35">
      <c r="A17" s="43" t="s">
        <v>3</v>
      </c>
      <c r="B17" s="43" t="s">
        <v>4</v>
      </c>
      <c r="C17" s="144"/>
      <c r="D17" s="43" t="s">
        <v>5</v>
      </c>
      <c r="E17" s="43" t="s">
        <v>5</v>
      </c>
    </row>
    <row r="18" spans="1:5" x14ac:dyDescent="0.35">
      <c r="A18" s="22">
        <v>1</v>
      </c>
      <c r="B18" s="23">
        <v>2</v>
      </c>
      <c r="C18" s="145"/>
      <c r="D18" s="23">
        <v>3</v>
      </c>
      <c r="E18" s="23">
        <v>3</v>
      </c>
    </row>
    <row r="19" spans="1:5" x14ac:dyDescent="0.35">
      <c r="A19" s="22"/>
      <c r="B19" s="54" t="s">
        <v>6</v>
      </c>
      <c r="C19" s="146"/>
      <c r="D19" s="55"/>
      <c r="E19" s="55"/>
    </row>
    <row r="20" spans="1:5" x14ac:dyDescent="0.35">
      <c r="A20" s="27">
        <v>1100</v>
      </c>
      <c r="B20" s="27" t="s">
        <v>134</v>
      </c>
      <c r="C20" s="163" t="e">
        <f>#REF!</f>
        <v>#REF!</v>
      </c>
      <c r="D20" s="28">
        <v>12067.17</v>
      </c>
      <c r="E20" s="28">
        <v>1210.44</v>
      </c>
    </row>
    <row r="21" spans="1:5" x14ac:dyDescent="0.35">
      <c r="A21" s="27">
        <v>1200</v>
      </c>
      <c r="B21" s="55" t="s">
        <v>135</v>
      </c>
      <c r="C21" s="148" t="e">
        <f>C20*0.2359</f>
        <v>#REF!</v>
      </c>
      <c r="D21" s="28">
        <v>2846.65</v>
      </c>
      <c r="E21" s="28">
        <v>260.39</v>
      </c>
    </row>
    <row r="22" spans="1:5" x14ac:dyDescent="0.35">
      <c r="A22" s="27">
        <v>2222</v>
      </c>
      <c r="B22" s="56" t="s">
        <v>139</v>
      </c>
      <c r="C22" s="150" t="e">
        <f>#REF!</f>
        <v>#REF!</v>
      </c>
      <c r="D22" s="28">
        <v>522.75</v>
      </c>
      <c r="E22" s="28">
        <v>49.94</v>
      </c>
    </row>
    <row r="23" spans="1:5" x14ac:dyDescent="0.35">
      <c r="A23" s="27">
        <v>2223</v>
      </c>
      <c r="B23" s="56" t="s">
        <v>140</v>
      </c>
      <c r="C23" s="150" t="e">
        <f>#REF!</f>
        <v>#REF!</v>
      </c>
      <c r="D23" s="28">
        <v>1494.34</v>
      </c>
      <c r="E23" s="28">
        <v>129.78</v>
      </c>
    </row>
    <row r="24" spans="1:5" ht="31" x14ac:dyDescent="0.35">
      <c r="A24" s="27">
        <v>2224</v>
      </c>
      <c r="B24" s="56" t="s">
        <v>141</v>
      </c>
      <c r="C24" s="150" t="e">
        <f>#REF!</f>
        <v>#REF!</v>
      </c>
      <c r="D24" s="28">
        <v>4.66</v>
      </c>
      <c r="E24" s="28">
        <v>0.41</v>
      </c>
    </row>
    <row r="25" spans="1:5" x14ac:dyDescent="0.35">
      <c r="A25" s="27">
        <v>2231</v>
      </c>
      <c r="B25" s="56" t="s">
        <v>142</v>
      </c>
      <c r="C25" s="150" t="e">
        <f>#REF!</f>
        <v>#REF!</v>
      </c>
      <c r="D25" s="28">
        <v>22.48</v>
      </c>
      <c r="E25" s="28">
        <v>1.95</v>
      </c>
    </row>
    <row r="26" spans="1:5" x14ac:dyDescent="0.35">
      <c r="A26" s="27">
        <v>2239</v>
      </c>
      <c r="B26" s="109" t="s">
        <v>195</v>
      </c>
      <c r="C26" s="150" t="e">
        <f>#REF!</f>
        <v>#REF!</v>
      </c>
      <c r="D26" s="28">
        <v>2.95</v>
      </c>
      <c r="E26" s="28">
        <v>0.26</v>
      </c>
    </row>
    <row r="27" spans="1:5" x14ac:dyDescent="0.35">
      <c r="A27" s="27">
        <v>2243</v>
      </c>
      <c r="B27" s="54" t="s">
        <v>147</v>
      </c>
      <c r="C27" s="164" t="e">
        <f>#REF!</f>
        <v>#REF!</v>
      </c>
      <c r="D27" s="28">
        <v>50.18</v>
      </c>
      <c r="E27" s="28">
        <v>4.3600000000000003</v>
      </c>
    </row>
    <row r="28" spans="1:5" x14ac:dyDescent="0.35">
      <c r="A28" s="27">
        <v>2244</v>
      </c>
      <c r="B28" s="54" t="s">
        <v>148</v>
      </c>
      <c r="C28" s="164" t="e">
        <f>#REF!</f>
        <v>#REF!</v>
      </c>
      <c r="D28" s="28">
        <v>1996.92</v>
      </c>
      <c r="E28" s="28">
        <v>173.43</v>
      </c>
    </row>
    <row r="29" spans="1:5" x14ac:dyDescent="0.35">
      <c r="A29" s="27">
        <v>2250</v>
      </c>
      <c r="B29" s="54" t="s">
        <v>151</v>
      </c>
      <c r="C29" s="164" t="e">
        <f>#REF!</f>
        <v>#REF!</v>
      </c>
      <c r="D29" s="28">
        <v>105.89</v>
      </c>
      <c r="E29" s="28">
        <v>9.1999999999999993</v>
      </c>
    </row>
    <row r="30" spans="1:5" x14ac:dyDescent="0.35">
      <c r="A30" s="27">
        <v>2311</v>
      </c>
      <c r="B30" s="56" t="s">
        <v>155</v>
      </c>
      <c r="C30" s="164" t="e">
        <f>#REF!</f>
        <v>#REF!</v>
      </c>
      <c r="D30" s="28">
        <v>1559.58</v>
      </c>
      <c r="E30" s="28">
        <v>60.94</v>
      </c>
    </row>
    <row r="31" spans="1:5" x14ac:dyDescent="0.35">
      <c r="A31" s="27">
        <v>2312</v>
      </c>
      <c r="B31" s="54" t="s">
        <v>156</v>
      </c>
      <c r="C31" s="164" t="e">
        <f>#REF!</f>
        <v>#REF!</v>
      </c>
      <c r="D31" s="28">
        <v>736.1</v>
      </c>
      <c r="E31" s="28">
        <v>63.93</v>
      </c>
    </row>
    <row r="32" spans="1:5" x14ac:dyDescent="0.35">
      <c r="A32" s="27">
        <v>2314</v>
      </c>
      <c r="B32" s="54" t="s">
        <v>157</v>
      </c>
      <c r="C32" s="164" t="e">
        <f>#REF!</f>
        <v>#REF!</v>
      </c>
      <c r="D32" s="28">
        <v>2.41</v>
      </c>
      <c r="E32" s="28">
        <v>0.21</v>
      </c>
    </row>
    <row r="33" spans="1:5" x14ac:dyDescent="0.35">
      <c r="A33" s="27">
        <v>2321</v>
      </c>
      <c r="B33" s="56" t="s">
        <v>158</v>
      </c>
      <c r="C33" s="150" t="e">
        <f>#REF!</f>
        <v>#REF!</v>
      </c>
      <c r="D33" s="28">
        <v>1132.92</v>
      </c>
      <c r="E33" s="28">
        <v>98.39</v>
      </c>
    </row>
    <row r="34" spans="1:5" x14ac:dyDescent="0.35">
      <c r="A34" s="27">
        <v>2341</v>
      </c>
      <c r="B34" s="56" t="s">
        <v>136</v>
      </c>
      <c r="C34" s="150" t="e">
        <f>#REF!</f>
        <v>#REF!</v>
      </c>
      <c r="D34" s="28">
        <v>241.25</v>
      </c>
      <c r="E34" s="28">
        <v>20.96</v>
      </c>
    </row>
    <row r="35" spans="1:5" x14ac:dyDescent="0.35">
      <c r="A35" s="27">
        <v>2350</v>
      </c>
      <c r="B35" s="55" t="s">
        <v>137</v>
      </c>
      <c r="C35" s="150" t="e">
        <f>#REF!</f>
        <v>#REF!</v>
      </c>
      <c r="D35" s="28">
        <v>481.13</v>
      </c>
      <c r="E35" s="28">
        <v>41.78</v>
      </c>
    </row>
    <row r="36" spans="1:5" x14ac:dyDescent="0.35">
      <c r="A36" s="27">
        <v>2361</v>
      </c>
      <c r="B36" s="56" t="s">
        <v>170</v>
      </c>
      <c r="C36" s="150" t="e">
        <f>#REF!</f>
        <v>#REF!</v>
      </c>
      <c r="D36" s="28">
        <v>206.78</v>
      </c>
      <c r="E36" s="28">
        <v>17.96</v>
      </c>
    </row>
    <row r="37" spans="1:5" x14ac:dyDescent="0.35">
      <c r="A37" s="27">
        <v>2362</v>
      </c>
      <c r="B37" s="56" t="s">
        <v>171</v>
      </c>
      <c r="C37" s="150" t="e">
        <f>#REF!</f>
        <v>#REF!</v>
      </c>
      <c r="D37" s="28">
        <v>17.63</v>
      </c>
      <c r="E37" s="28">
        <v>1.53</v>
      </c>
    </row>
    <row r="38" spans="1:5" x14ac:dyDescent="0.35">
      <c r="A38" s="27">
        <v>2363</v>
      </c>
      <c r="B38" s="56" t="s">
        <v>172</v>
      </c>
      <c r="C38" s="150">
        <f>9.75*7</f>
        <v>68.25</v>
      </c>
      <c r="D38" s="28">
        <f>C38*50</f>
        <v>3412.5</v>
      </c>
      <c r="E38" s="28">
        <v>341.25</v>
      </c>
    </row>
    <row r="39" spans="1:5" x14ac:dyDescent="0.35">
      <c r="A39" s="27">
        <v>5239</v>
      </c>
      <c r="B39" s="55" t="s">
        <v>165</v>
      </c>
      <c r="C39" s="148" t="e">
        <f>#REF!</f>
        <v>#REF!</v>
      </c>
      <c r="D39" s="28">
        <v>963.43</v>
      </c>
      <c r="E39" s="28">
        <v>83.68</v>
      </c>
    </row>
    <row r="40" spans="1:5" x14ac:dyDescent="0.35">
      <c r="A40" s="27"/>
      <c r="B40" s="57" t="s">
        <v>7</v>
      </c>
      <c r="C40" s="152" t="e">
        <f>SUM(C20:C39)</f>
        <v>#REF!</v>
      </c>
      <c r="D40" s="31">
        <f>SUM(D20:D39)</f>
        <v>27867.72</v>
      </c>
      <c r="E40" s="31">
        <f>SUM(E20:E39)</f>
        <v>2570.7900000000004</v>
      </c>
    </row>
    <row r="41" spans="1:5" x14ac:dyDescent="0.35">
      <c r="A41" s="32"/>
      <c r="B41" s="57" t="s">
        <v>8</v>
      </c>
      <c r="C41" s="152"/>
      <c r="D41" s="28"/>
      <c r="E41" s="28"/>
    </row>
    <row r="42" spans="1:5" x14ac:dyDescent="0.35">
      <c r="A42" s="27">
        <v>1100</v>
      </c>
      <c r="B42" s="54" t="s">
        <v>134</v>
      </c>
      <c r="C42" s="151">
        <f>0.5144-0.00029</f>
        <v>0.51410999999999996</v>
      </c>
      <c r="D42" s="28">
        <v>5425.28</v>
      </c>
      <c r="E42" s="28">
        <v>598.37</v>
      </c>
    </row>
    <row r="43" spans="1:5" ht="16.5" customHeight="1" x14ac:dyDescent="0.35">
      <c r="A43" s="27">
        <v>1200</v>
      </c>
      <c r="B43" s="54" t="s">
        <v>135</v>
      </c>
      <c r="C43" s="151">
        <f>C42*0.2359</f>
        <v>0.12127854899999999</v>
      </c>
      <c r="D43" s="28">
        <v>1279.82</v>
      </c>
      <c r="E43" s="28">
        <v>141.16</v>
      </c>
    </row>
    <row r="44" spans="1:5" ht="16.5" customHeight="1" x14ac:dyDescent="0.35">
      <c r="A44" s="27">
        <v>2100</v>
      </c>
      <c r="B44" s="33" t="s">
        <v>44</v>
      </c>
      <c r="C44" s="151">
        <v>8.0999999999999996E-4</v>
      </c>
      <c r="D44" s="28">
        <v>8.5500000000000007</v>
      </c>
      <c r="E44" s="28">
        <v>0.75</v>
      </c>
    </row>
    <row r="45" spans="1:5" x14ac:dyDescent="0.35">
      <c r="A45" s="34">
        <v>2210</v>
      </c>
      <c r="B45" s="56" t="s">
        <v>138</v>
      </c>
      <c r="C45" s="151">
        <v>8.0000000000000002E-3</v>
      </c>
      <c r="D45" s="28">
        <v>84.42</v>
      </c>
      <c r="E45" s="28">
        <v>7.33</v>
      </c>
    </row>
    <row r="46" spans="1:5" x14ac:dyDescent="0.35">
      <c r="A46" s="27">
        <v>2222</v>
      </c>
      <c r="B46" s="56" t="s">
        <v>139</v>
      </c>
      <c r="C46" s="151">
        <v>4.4400000000000004E-3</v>
      </c>
      <c r="D46" s="28">
        <v>46.85</v>
      </c>
      <c r="E46" s="28">
        <v>6.11</v>
      </c>
    </row>
    <row r="47" spans="1:5" x14ac:dyDescent="0.35">
      <c r="A47" s="27">
        <v>2223</v>
      </c>
      <c r="B47" s="56" t="s">
        <v>140</v>
      </c>
      <c r="C47" s="151">
        <v>5.4940000000000003E-2</v>
      </c>
      <c r="D47" s="28">
        <v>579.77</v>
      </c>
      <c r="E47" s="28">
        <v>55.38</v>
      </c>
    </row>
    <row r="48" spans="1:5" ht="31" x14ac:dyDescent="0.35">
      <c r="A48" s="27">
        <v>2224</v>
      </c>
      <c r="B48" s="56" t="s">
        <v>141</v>
      </c>
      <c r="C48" s="151">
        <v>3.0899999999999999E-3</v>
      </c>
      <c r="D48" s="28">
        <v>32.61</v>
      </c>
      <c r="E48" s="28">
        <v>4.25</v>
      </c>
    </row>
    <row r="49" spans="1:5" ht="15.75" customHeight="1" x14ac:dyDescent="0.35">
      <c r="A49" s="27">
        <v>2231</v>
      </c>
      <c r="B49" s="54" t="s">
        <v>142</v>
      </c>
      <c r="C49" s="151">
        <v>1.5E-3</v>
      </c>
      <c r="D49" s="28">
        <v>15.83</v>
      </c>
      <c r="E49" s="28">
        <v>1.37</v>
      </c>
    </row>
    <row r="50" spans="1:5" ht="15.75" customHeight="1" x14ac:dyDescent="0.35">
      <c r="A50" s="27">
        <v>2235</v>
      </c>
      <c r="B50" s="58" t="s">
        <v>143</v>
      </c>
      <c r="C50" s="151">
        <v>2.5100000000000001E-3</v>
      </c>
      <c r="D50" s="28">
        <v>26.49</v>
      </c>
      <c r="E50" s="28">
        <v>2.2999999999999998</v>
      </c>
    </row>
    <row r="51" spans="1:5" x14ac:dyDescent="0.35">
      <c r="A51" s="27">
        <v>2239</v>
      </c>
      <c r="B51" s="54" t="s">
        <v>144</v>
      </c>
      <c r="C51" s="151">
        <v>1.7899999999999999E-3</v>
      </c>
      <c r="D51" s="28">
        <v>18.89</v>
      </c>
      <c r="E51" s="28">
        <v>1.64</v>
      </c>
    </row>
    <row r="52" spans="1:5" x14ac:dyDescent="0.35">
      <c r="A52" s="27">
        <v>2241</v>
      </c>
      <c r="B52" s="54" t="s">
        <v>145</v>
      </c>
      <c r="C52" s="151">
        <v>1.6500000000000001E-2</v>
      </c>
      <c r="D52" s="28">
        <v>174.12</v>
      </c>
      <c r="E52" s="28">
        <v>15.12</v>
      </c>
    </row>
    <row r="53" spans="1:5" x14ac:dyDescent="0.35">
      <c r="A53" s="27">
        <v>2242</v>
      </c>
      <c r="B53" s="56" t="s">
        <v>146</v>
      </c>
      <c r="C53" s="151">
        <v>8.4999999999999995E-4</v>
      </c>
      <c r="D53" s="28">
        <v>8.9700000000000006</v>
      </c>
      <c r="E53" s="28">
        <v>0.78</v>
      </c>
    </row>
    <row r="54" spans="1:5" ht="15.75" customHeight="1" x14ac:dyDescent="0.35">
      <c r="A54" s="27">
        <v>2243</v>
      </c>
      <c r="B54" s="54" t="s">
        <v>147</v>
      </c>
      <c r="C54" s="151">
        <v>4.0000000000000002E-4</v>
      </c>
      <c r="D54" s="28">
        <v>4.2699999999999996</v>
      </c>
      <c r="E54" s="28">
        <v>0.37</v>
      </c>
    </row>
    <row r="55" spans="1:5" x14ac:dyDescent="0.35">
      <c r="A55" s="27">
        <v>2244</v>
      </c>
      <c r="B55" s="54" t="s">
        <v>148</v>
      </c>
      <c r="C55" s="151">
        <v>6.8070000000000006E-2</v>
      </c>
      <c r="D55" s="28">
        <v>718.33</v>
      </c>
      <c r="E55" s="28">
        <v>62.38</v>
      </c>
    </row>
    <row r="56" spans="1:5" x14ac:dyDescent="0.35">
      <c r="A56" s="27">
        <v>2247</v>
      </c>
      <c r="B56" s="54" t="s">
        <v>149</v>
      </c>
      <c r="C56" s="151">
        <v>2.2000000000000001E-4</v>
      </c>
      <c r="D56" s="28">
        <v>2.3199999999999998</v>
      </c>
      <c r="E56" s="28">
        <v>0.2</v>
      </c>
    </row>
    <row r="57" spans="1:5" x14ac:dyDescent="0.35">
      <c r="A57" s="27">
        <v>2249</v>
      </c>
      <c r="B57" s="54" t="s">
        <v>150</v>
      </c>
      <c r="C57" s="151">
        <v>2.5000000000000001E-4</v>
      </c>
      <c r="D57" s="28">
        <v>2.64</v>
      </c>
      <c r="E57" s="28">
        <v>0.23</v>
      </c>
    </row>
    <row r="58" spans="1:5" x14ac:dyDescent="0.35">
      <c r="A58" s="27">
        <v>2250</v>
      </c>
      <c r="B58" s="54" t="s">
        <v>151</v>
      </c>
      <c r="C58" s="151">
        <v>2.8400000000000002E-2</v>
      </c>
      <c r="D58" s="28">
        <v>299.7</v>
      </c>
      <c r="E58" s="28">
        <v>26.03</v>
      </c>
    </row>
    <row r="59" spans="1:5" x14ac:dyDescent="0.35">
      <c r="A59" s="27">
        <v>2262</v>
      </c>
      <c r="B59" s="56" t="s">
        <v>152</v>
      </c>
      <c r="C59" s="151">
        <v>1.137E-2</v>
      </c>
      <c r="D59" s="28">
        <v>119.98</v>
      </c>
      <c r="E59" s="28">
        <v>10.42</v>
      </c>
    </row>
    <row r="60" spans="1:5" x14ac:dyDescent="0.35">
      <c r="A60" s="27">
        <v>2263</v>
      </c>
      <c r="B60" s="56" t="s">
        <v>153</v>
      </c>
      <c r="C60" s="151">
        <v>4.58E-2</v>
      </c>
      <c r="D60" s="28">
        <v>483.32</v>
      </c>
      <c r="E60" s="28">
        <v>41.97</v>
      </c>
    </row>
    <row r="61" spans="1:5" x14ac:dyDescent="0.35">
      <c r="A61" s="27">
        <v>2264</v>
      </c>
      <c r="B61" s="54" t="s">
        <v>154</v>
      </c>
      <c r="C61" s="151">
        <v>2.4000000000000001E-4</v>
      </c>
      <c r="D61" s="28">
        <v>2.5299999999999998</v>
      </c>
      <c r="E61" s="28">
        <v>0.22</v>
      </c>
    </row>
    <row r="62" spans="1:5" x14ac:dyDescent="0.35">
      <c r="A62" s="27">
        <v>2311</v>
      </c>
      <c r="B62" s="56" t="s">
        <v>155</v>
      </c>
      <c r="C62" s="153">
        <v>7.1000000000000002E-4</v>
      </c>
      <c r="D62" s="28">
        <v>7.49</v>
      </c>
      <c r="E62" s="28">
        <v>0.65</v>
      </c>
    </row>
    <row r="63" spans="1:5" x14ac:dyDescent="0.35">
      <c r="A63" s="27">
        <v>2314</v>
      </c>
      <c r="B63" s="58" t="s">
        <v>157</v>
      </c>
      <c r="C63" s="151">
        <v>4.6000000000000001E-4</v>
      </c>
      <c r="D63" s="28">
        <v>4.8499999999999996</v>
      </c>
      <c r="E63" s="28">
        <v>0.43</v>
      </c>
    </row>
    <row r="64" spans="1:5" x14ac:dyDescent="0.35">
      <c r="A64" s="27">
        <v>2321</v>
      </c>
      <c r="B64" s="56" t="s">
        <v>158</v>
      </c>
      <c r="C64" s="151">
        <v>6.0220000000000003E-2</v>
      </c>
      <c r="D64" s="28">
        <v>635.49</v>
      </c>
      <c r="E64" s="28">
        <v>55.19</v>
      </c>
    </row>
    <row r="65" spans="1:5" x14ac:dyDescent="0.35">
      <c r="A65" s="27">
        <v>2322</v>
      </c>
      <c r="B65" s="56" t="s">
        <v>159</v>
      </c>
      <c r="C65" s="151">
        <v>2.0999999999999999E-3</v>
      </c>
      <c r="D65" s="28">
        <v>22.16</v>
      </c>
      <c r="E65" s="28">
        <v>1.93</v>
      </c>
    </row>
    <row r="66" spans="1:5" ht="15.75" customHeight="1" x14ac:dyDescent="0.35">
      <c r="A66" s="27">
        <v>2513</v>
      </c>
      <c r="B66" s="55" t="s">
        <v>160</v>
      </c>
      <c r="C66" s="151">
        <v>6.3000000000000003E-4</v>
      </c>
      <c r="D66" s="28">
        <v>6.65</v>
      </c>
      <c r="E66" s="28">
        <v>0.57999999999999996</v>
      </c>
    </row>
    <row r="67" spans="1:5" x14ac:dyDescent="0.35">
      <c r="A67" s="27">
        <v>2515</v>
      </c>
      <c r="B67" s="56" t="s">
        <v>161</v>
      </c>
      <c r="C67" s="151">
        <v>2.7499999999999998E-3</v>
      </c>
      <c r="D67" s="28">
        <v>29.02</v>
      </c>
      <c r="E67" s="28">
        <v>2.52</v>
      </c>
    </row>
    <row r="68" spans="1:5" x14ac:dyDescent="0.35">
      <c r="A68" s="27">
        <v>2519</v>
      </c>
      <c r="B68" s="56" t="s">
        <v>162</v>
      </c>
      <c r="C68" s="151">
        <v>1.5100000000000001E-3</v>
      </c>
      <c r="D68" s="28">
        <v>15.93</v>
      </c>
      <c r="E68" s="28">
        <v>1.38</v>
      </c>
    </row>
    <row r="69" spans="1:5" x14ac:dyDescent="0.35">
      <c r="A69" s="27">
        <v>5220</v>
      </c>
      <c r="B69" s="56" t="s">
        <v>163</v>
      </c>
      <c r="C69" s="151">
        <v>1.06E-2</v>
      </c>
      <c r="D69" s="28">
        <v>111.86</v>
      </c>
      <c r="E69" s="28">
        <v>7.23</v>
      </c>
    </row>
    <row r="70" spans="1:5" x14ac:dyDescent="0.35">
      <c r="A70" s="27">
        <v>5238</v>
      </c>
      <c r="B70" s="55" t="s">
        <v>164</v>
      </c>
      <c r="C70" s="151">
        <v>1.65E-3</v>
      </c>
      <c r="D70" s="28">
        <v>17.41</v>
      </c>
      <c r="E70" s="28">
        <v>1.52</v>
      </c>
    </row>
    <row r="71" spans="1:5" x14ac:dyDescent="0.35">
      <c r="A71" s="27">
        <v>5239</v>
      </c>
      <c r="B71" s="55" t="s">
        <v>165</v>
      </c>
      <c r="C71" s="151">
        <v>1.9800000000000002E-2</v>
      </c>
      <c r="D71" s="28">
        <v>208.94</v>
      </c>
      <c r="E71" s="28">
        <v>10.14</v>
      </c>
    </row>
    <row r="72" spans="1:5" x14ac:dyDescent="0.35">
      <c r="A72" s="27">
        <v>5250</v>
      </c>
      <c r="B72" s="56" t="s">
        <v>166</v>
      </c>
      <c r="C72" s="151">
        <v>1.4999999999999999E-2</v>
      </c>
      <c r="D72" s="28">
        <v>158.29</v>
      </c>
      <c r="E72" s="28">
        <v>7.86</v>
      </c>
    </row>
    <row r="73" spans="1:5" x14ac:dyDescent="0.35">
      <c r="A73" s="32"/>
      <c r="B73" s="59" t="s">
        <v>167</v>
      </c>
      <c r="C73" s="154"/>
      <c r="D73" s="31">
        <f>SUM(D42:D72)</f>
        <v>10552.780000000002</v>
      </c>
      <c r="E73" s="31">
        <f>SUM(E42:E72)</f>
        <v>1065.81</v>
      </c>
    </row>
    <row r="74" spans="1:5" x14ac:dyDescent="0.35">
      <c r="A74" s="32"/>
      <c r="B74" s="59" t="s">
        <v>168</v>
      </c>
      <c r="C74" s="154"/>
      <c r="D74" s="31">
        <f>D40+D73</f>
        <v>38420.5</v>
      </c>
      <c r="E74" s="31">
        <f>E40+E73</f>
        <v>3636.6000000000004</v>
      </c>
    </row>
    <row r="75" spans="1:5" ht="12.75" customHeight="1" x14ac:dyDescent="0.35">
      <c r="A75" s="37"/>
      <c r="B75" s="20"/>
      <c r="C75" s="155"/>
      <c r="D75" s="60"/>
      <c r="E75" s="60"/>
    </row>
    <row r="76" spans="1:5" ht="15.75" customHeight="1" x14ac:dyDescent="0.35">
      <c r="A76" s="211" t="s">
        <v>51</v>
      </c>
      <c r="B76" s="211"/>
      <c r="C76" s="156"/>
      <c r="D76" s="44">
        <v>50</v>
      </c>
      <c r="E76" s="44">
        <v>5</v>
      </c>
    </row>
    <row r="77" spans="1:5" ht="15.75" customHeight="1" x14ac:dyDescent="0.35">
      <c r="A77" s="211" t="s">
        <v>58</v>
      </c>
      <c r="B77" s="211"/>
      <c r="C77" s="156"/>
      <c r="D77" s="45">
        <f>D74/D76</f>
        <v>768.41</v>
      </c>
      <c r="E77" s="45">
        <f>E74/E76</f>
        <v>727.32</v>
      </c>
    </row>
    <row r="78" spans="1:5" ht="9.75" customHeight="1" x14ac:dyDescent="0.35">
      <c r="A78" s="41"/>
      <c r="B78" s="42"/>
      <c r="C78" s="157"/>
    </row>
    <row r="79" spans="1:5" ht="15.75" customHeight="1" x14ac:dyDescent="0.35">
      <c r="A79" s="208" t="s">
        <v>52</v>
      </c>
      <c r="B79" s="208"/>
      <c r="C79" s="158"/>
      <c r="D79" s="140"/>
      <c r="E79" s="140"/>
    </row>
    <row r="80" spans="1:5" ht="15.75" customHeight="1" x14ac:dyDescent="0.35">
      <c r="A80" s="208" t="s">
        <v>74</v>
      </c>
      <c r="B80" s="208"/>
      <c r="C80" s="158"/>
      <c r="D80" s="140"/>
      <c r="E80" s="140"/>
    </row>
    <row r="81" spans="1:5" ht="8.25" customHeight="1" x14ac:dyDescent="0.35">
      <c r="A81" s="17"/>
      <c r="B81" s="17"/>
      <c r="C81" s="159"/>
      <c r="D81" s="17"/>
      <c r="E81" s="17"/>
    </row>
    <row r="82" spans="1:5" x14ac:dyDescent="0.35">
      <c r="A82" s="17" t="s">
        <v>53</v>
      </c>
      <c r="B82" s="17"/>
      <c r="C82" s="159"/>
      <c r="D82" s="48"/>
      <c r="E82" s="48"/>
    </row>
    <row r="83" spans="1:5" x14ac:dyDescent="0.35">
      <c r="A83" s="17"/>
      <c r="B83" s="17"/>
      <c r="C83" s="160"/>
      <c r="D83" s="48"/>
      <c r="E83" s="48"/>
    </row>
    <row r="84" spans="1:5" x14ac:dyDescent="0.35">
      <c r="A84" s="17" t="s">
        <v>248</v>
      </c>
      <c r="B84" s="18"/>
      <c r="C84" s="161"/>
      <c r="D84" s="48"/>
      <c r="E84" s="48"/>
    </row>
    <row r="85" spans="1:5" x14ac:dyDescent="0.35">
      <c r="B85" s="63"/>
      <c r="C85" s="162"/>
      <c r="D85" s="64"/>
      <c r="E85" s="64"/>
    </row>
    <row r="87" spans="1:5" x14ac:dyDescent="0.35">
      <c r="D87" s="52"/>
      <c r="E87" s="52"/>
    </row>
  </sheetData>
  <mergeCells count="7">
    <mergeCell ref="A79:B79"/>
    <mergeCell ref="A80:B80"/>
    <mergeCell ref="A10:B10"/>
    <mergeCell ref="A8:D8"/>
    <mergeCell ref="A11:B11"/>
    <mergeCell ref="A76:B76"/>
    <mergeCell ref="A77:B77"/>
  </mergeCells>
  <pageMargins left="0.80833333333333335" right="1.0166666666666666" top="0.55118110236220474" bottom="0.55118110236220474" header="0.31496062992125984" footer="0.31496062992125984"/>
  <pageSetup paperSize="9" scale="56" orientation="portrait" r:id="rId1"/>
  <headerFooter>
    <oddFooter>&amp;F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6"/>
  <sheetViews>
    <sheetView view="pageLayout" zoomScale="80" zoomScaleNormal="100" zoomScalePageLayoutView="80" workbookViewId="0">
      <selection activeCell="A83" sqref="A83"/>
    </sheetView>
  </sheetViews>
  <sheetFormatPr defaultColWidth="9.1796875" defaultRowHeight="15.5" x14ac:dyDescent="0.35"/>
  <cols>
    <col min="1" max="1" width="20" style="12" customWidth="1"/>
    <col min="2" max="2" width="87.1796875" style="12" customWidth="1"/>
    <col min="3" max="3" width="10" style="75" hidden="1" customWidth="1"/>
    <col min="4" max="4" width="32.81640625" style="12" customWidth="1"/>
    <col min="5" max="16384" width="9.1796875" style="12"/>
  </cols>
  <sheetData>
    <row r="1" spans="1:4" ht="15.75" customHeight="1" x14ac:dyDescent="0.35">
      <c r="B1" s="10"/>
      <c r="C1" s="71"/>
      <c r="D1" s="49" t="s">
        <v>50</v>
      </c>
    </row>
    <row r="2" spans="1:4" x14ac:dyDescent="0.35">
      <c r="B2" s="212" t="s">
        <v>54</v>
      </c>
      <c r="C2" s="212"/>
      <c r="D2" s="229"/>
    </row>
    <row r="3" spans="1:4" x14ac:dyDescent="0.35">
      <c r="B3" s="11"/>
      <c r="C3" s="165"/>
      <c r="D3" s="46" t="s">
        <v>76</v>
      </c>
    </row>
    <row r="4" spans="1:4" x14ac:dyDescent="0.35">
      <c r="B4" s="10"/>
      <c r="C4" s="71"/>
      <c r="D4" s="37"/>
    </row>
    <row r="5" spans="1:4" x14ac:dyDescent="0.35">
      <c r="B5" s="51"/>
      <c r="C5" s="166"/>
      <c r="D5" s="37" t="s">
        <v>246</v>
      </c>
    </row>
    <row r="6" spans="1:4" x14ac:dyDescent="0.35">
      <c r="D6" s="20"/>
    </row>
    <row r="7" spans="1:4" x14ac:dyDescent="0.35">
      <c r="A7" s="209" t="s">
        <v>10</v>
      </c>
      <c r="B7" s="209"/>
      <c r="C7" s="209"/>
      <c r="D7" s="209"/>
    </row>
    <row r="8" spans="1:4" x14ac:dyDescent="0.35">
      <c r="B8" s="53"/>
      <c r="C8" s="167"/>
      <c r="D8" s="20"/>
    </row>
    <row r="9" spans="1:4" x14ac:dyDescent="0.35">
      <c r="A9" s="210" t="s">
        <v>1</v>
      </c>
      <c r="B9" s="210"/>
      <c r="C9" s="168"/>
      <c r="D9" s="20"/>
    </row>
    <row r="10" spans="1:4" x14ac:dyDescent="0.35">
      <c r="A10" s="210" t="s">
        <v>0</v>
      </c>
      <c r="B10" s="210"/>
      <c r="C10" s="168"/>
      <c r="D10" s="20"/>
    </row>
    <row r="11" spans="1:4" x14ac:dyDescent="0.35">
      <c r="A11" s="9"/>
      <c r="B11" s="9" t="s">
        <v>213</v>
      </c>
      <c r="C11" s="168"/>
      <c r="D11" s="20"/>
    </row>
    <row r="12" spans="1:4" x14ac:dyDescent="0.35">
      <c r="A12" s="9"/>
      <c r="B12" s="9" t="s">
        <v>233</v>
      </c>
      <c r="C12" s="168"/>
      <c r="D12" s="20"/>
    </row>
    <row r="13" spans="1:4" x14ac:dyDescent="0.35">
      <c r="A13" s="9"/>
      <c r="B13" s="210" t="s">
        <v>234</v>
      </c>
      <c r="C13" s="210"/>
      <c r="D13" s="20"/>
    </row>
    <row r="14" spans="1:4" x14ac:dyDescent="0.35">
      <c r="A14" s="9"/>
      <c r="B14" s="210" t="s">
        <v>235</v>
      </c>
      <c r="C14" s="210"/>
      <c r="D14" s="210"/>
    </row>
    <row r="15" spans="1:4" x14ac:dyDescent="0.35">
      <c r="A15" s="9" t="s">
        <v>2</v>
      </c>
      <c r="B15" s="9" t="s">
        <v>197</v>
      </c>
      <c r="C15" s="168"/>
      <c r="D15" s="20"/>
    </row>
    <row r="16" spans="1:4" ht="69.75" customHeight="1" x14ac:dyDescent="0.35">
      <c r="A16" s="43" t="s">
        <v>3</v>
      </c>
      <c r="B16" s="43" t="s">
        <v>4</v>
      </c>
      <c r="C16" s="169"/>
      <c r="D16" s="43" t="s">
        <v>5</v>
      </c>
    </row>
    <row r="17" spans="1:6" x14ac:dyDescent="0.35">
      <c r="A17" s="22">
        <v>1</v>
      </c>
      <c r="B17" s="23">
        <v>2</v>
      </c>
      <c r="C17" s="170"/>
      <c r="D17" s="23">
        <v>3</v>
      </c>
    </row>
    <row r="18" spans="1:6" x14ac:dyDescent="0.35">
      <c r="A18" s="22"/>
      <c r="B18" s="54" t="s">
        <v>6</v>
      </c>
      <c r="C18" s="171"/>
      <c r="D18" s="55"/>
    </row>
    <row r="19" spans="1:6" x14ac:dyDescent="0.35">
      <c r="A19" s="27">
        <v>1100</v>
      </c>
      <c r="B19" s="27" t="s">
        <v>134</v>
      </c>
      <c r="C19" s="172" t="e">
        <f>#REF!</f>
        <v>#REF!</v>
      </c>
      <c r="D19" s="28">
        <v>1436.24</v>
      </c>
      <c r="E19" s="52"/>
      <c r="F19" s="52"/>
    </row>
    <row r="20" spans="1:6" x14ac:dyDescent="0.35">
      <c r="A20" s="27">
        <v>1200</v>
      </c>
      <c r="B20" s="55" t="s">
        <v>135</v>
      </c>
      <c r="C20" s="173" t="e">
        <f>C19*0.2359</f>
        <v>#REF!</v>
      </c>
      <c r="D20" s="28">
        <v>338.81</v>
      </c>
    </row>
    <row r="21" spans="1:6" x14ac:dyDescent="0.35">
      <c r="A21" s="27">
        <v>2222</v>
      </c>
      <c r="B21" s="56" t="s">
        <v>139</v>
      </c>
      <c r="C21" s="173" t="e">
        <f>#REF!</f>
        <v>#REF!</v>
      </c>
      <c r="D21" s="28">
        <v>59.25</v>
      </c>
    </row>
    <row r="22" spans="1:6" x14ac:dyDescent="0.35">
      <c r="A22" s="27">
        <v>2223</v>
      </c>
      <c r="B22" s="56" t="s">
        <v>140</v>
      </c>
      <c r="C22" s="173" t="e">
        <f>#REF!</f>
        <v>#REF!</v>
      </c>
      <c r="D22" s="28">
        <v>169.38</v>
      </c>
    </row>
    <row r="23" spans="1:6" ht="31" x14ac:dyDescent="0.35">
      <c r="A23" s="27">
        <v>2224</v>
      </c>
      <c r="B23" s="56" t="s">
        <v>141</v>
      </c>
      <c r="C23" s="173" t="e">
        <f>#REF!</f>
        <v>#REF!</v>
      </c>
      <c r="D23" s="28">
        <v>0.53</v>
      </c>
    </row>
    <row r="24" spans="1:6" x14ac:dyDescent="0.35">
      <c r="A24" s="27">
        <v>2231</v>
      </c>
      <c r="B24" s="56" t="s">
        <v>142</v>
      </c>
      <c r="C24" s="173" t="e">
        <f>#REF!</f>
        <v>#REF!</v>
      </c>
      <c r="D24" s="28">
        <v>2.5499999999999998</v>
      </c>
    </row>
    <row r="25" spans="1:6" x14ac:dyDescent="0.35">
      <c r="A25" s="27">
        <v>2239</v>
      </c>
      <c r="B25" s="109" t="s">
        <v>195</v>
      </c>
      <c r="C25" s="173" t="e">
        <f>#REF!</f>
        <v>#REF!</v>
      </c>
      <c r="D25" s="28">
        <v>0.33</v>
      </c>
    </row>
    <row r="26" spans="1:6" x14ac:dyDescent="0.35">
      <c r="A26" s="27">
        <v>2243</v>
      </c>
      <c r="B26" s="54" t="s">
        <v>147</v>
      </c>
      <c r="C26" s="173" t="e">
        <f>#REF!</f>
        <v>#REF!</v>
      </c>
      <c r="D26" s="28">
        <v>5.69</v>
      </c>
    </row>
    <row r="27" spans="1:6" x14ac:dyDescent="0.35">
      <c r="A27" s="27">
        <v>2244</v>
      </c>
      <c r="B27" s="54" t="s">
        <v>148</v>
      </c>
      <c r="C27" s="173" t="e">
        <f>#REF!</f>
        <v>#REF!</v>
      </c>
      <c r="D27" s="28">
        <v>198.4</v>
      </c>
    </row>
    <row r="28" spans="1:6" x14ac:dyDescent="0.35">
      <c r="A28" s="27">
        <v>2250</v>
      </c>
      <c r="B28" s="54" t="s">
        <v>151</v>
      </c>
      <c r="C28" s="173" t="e">
        <f>#REF!</f>
        <v>#REF!</v>
      </c>
      <c r="D28" s="28">
        <v>12.01</v>
      </c>
    </row>
    <row r="29" spans="1:6" x14ac:dyDescent="0.35">
      <c r="A29" s="27">
        <v>2311</v>
      </c>
      <c r="B29" s="56" t="s">
        <v>155</v>
      </c>
      <c r="C29" s="173" t="e">
        <f>#REF!</f>
        <v>#REF!</v>
      </c>
      <c r="D29" s="28">
        <v>69.650000000000006</v>
      </c>
    </row>
    <row r="30" spans="1:6" x14ac:dyDescent="0.35">
      <c r="A30" s="27">
        <v>2312</v>
      </c>
      <c r="B30" s="54" t="s">
        <v>156</v>
      </c>
      <c r="C30" s="173" t="e">
        <f>#REF!</f>
        <v>#REF!</v>
      </c>
      <c r="D30" s="28">
        <v>83.44</v>
      </c>
    </row>
    <row r="31" spans="1:6" x14ac:dyDescent="0.35">
      <c r="A31" s="27">
        <v>2314</v>
      </c>
      <c r="B31" s="54" t="s">
        <v>157</v>
      </c>
      <c r="C31" s="173" t="e">
        <f>#REF!</f>
        <v>#REF!</v>
      </c>
      <c r="D31" s="28">
        <v>0.25</v>
      </c>
    </row>
    <row r="32" spans="1:6" x14ac:dyDescent="0.35">
      <c r="A32" s="27">
        <v>2321</v>
      </c>
      <c r="B32" s="56" t="s">
        <v>158</v>
      </c>
      <c r="C32" s="173" t="e">
        <f>#REF!</f>
        <v>#REF!</v>
      </c>
      <c r="D32" s="28">
        <v>118.69</v>
      </c>
    </row>
    <row r="33" spans="1:4" x14ac:dyDescent="0.35">
      <c r="A33" s="27">
        <v>2341</v>
      </c>
      <c r="B33" s="56" t="s">
        <v>136</v>
      </c>
      <c r="C33" s="173" t="e">
        <f>#REF!</f>
        <v>#REF!</v>
      </c>
      <c r="D33" s="28">
        <v>25.28</v>
      </c>
    </row>
    <row r="34" spans="1:4" x14ac:dyDescent="0.35">
      <c r="A34" s="27">
        <v>2350</v>
      </c>
      <c r="B34" s="55" t="s">
        <v>137</v>
      </c>
      <c r="C34" s="173" t="e">
        <f>#REF!</f>
        <v>#REF!</v>
      </c>
      <c r="D34" s="28">
        <v>50.4</v>
      </c>
    </row>
    <row r="35" spans="1:4" x14ac:dyDescent="0.35">
      <c r="A35" s="27">
        <v>2361</v>
      </c>
      <c r="B35" s="56" t="s">
        <v>170</v>
      </c>
      <c r="C35" s="173" t="e">
        <f>#REF!</f>
        <v>#REF!</v>
      </c>
      <c r="D35" s="28">
        <v>21.67</v>
      </c>
    </row>
    <row r="36" spans="1:4" x14ac:dyDescent="0.35">
      <c r="A36" s="27">
        <v>2362</v>
      </c>
      <c r="B36" s="56" t="s">
        <v>171</v>
      </c>
      <c r="C36" s="173" t="e">
        <f>#REF!</f>
        <v>#REF!</v>
      </c>
      <c r="D36" s="28">
        <v>1.84</v>
      </c>
    </row>
    <row r="37" spans="1:4" x14ac:dyDescent="0.35">
      <c r="A37" s="27">
        <v>2363</v>
      </c>
      <c r="B37" s="56" t="s">
        <v>172</v>
      </c>
      <c r="C37" s="174">
        <f>9.75*10</f>
        <v>97.5</v>
      </c>
      <c r="D37" s="28">
        <v>390</v>
      </c>
    </row>
    <row r="38" spans="1:4" x14ac:dyDescent="0.35">
      <c r="A38" s="27">
        <v>5239</v>
      </c>
      <c r="B38" s="55" t="s">
        <v>165</v>
      </c>
      <c r="C38" s="173" t="e">
        <f>#REF!</f>
        <v>#REF!</v>
      </c>
      <c r="D38" s="28">
        <v>101</v>
      </c>
    </row>
    <row r="39" spans="1:4" x14ac:dyDescent="0.35">
      <c r="A39" s="27"/>
      <c r="B39" s="57" t="s">
        <v>7</v>
      </c>
      <c r="C39" s="175" t="e">
        <f>SUM(C19:C38)</f>
        <v>#REF!</v>
      </c>
      <c r="D39" s="31">
        <f>SUM(D19:D38)</f>
        <v>3085.4100000000008</v>
      </c>
    </row>
    <row r="40" spans="1:4" x14ac:dyDescent="0.35">
      <c r="A40" s="32"/>
      <c r="B40" s="57" t="s">
        <v>8</v>
      </c>
      <c r="C40" s="175"/>
      <c r="D40" s="28"/>
    </row>
    <row r="41" spans="1:4" x14ac:dyDescent="0.35">
      <c r="A41" s="27">
        <v>1100</v>
      </c>
      <c r="B41" s="54" t="s">
        <v>134</v>
      </c>
      <c r="C41" s="173">
        <f>0.5144-0.00029</f>
        <v>0.51410999999999996</v>
      </c>
      <c r="D41" s="28">
        <v>697.87</v>
      </c>
    </row>
    <row r="42" spans="1:4" ht="16.5" customHeight="1" x14ac:dyDescent="0.35">
      <c r="A42" s="27">
        <v>1200</v>
      </c>
      <c r="B42" s="54" t="s">
        <v>135</v>
      </c>
      <c r="C42" s="173">
        <f>C41*0.2359</f>
        <v>0.12127854899999999</v>
      </c>
      <c r="D42" s="28">
        <v>164.63</v>
      </c>
    </row>
    <row r="43" spans="1:4" ht="16.5" customHeight="1" x14ac:dyDescent="0.35">
      <c r="A43" s="27">
        <v>2100</v>
      </c>
      <c r="B43" s="33" t="s">
        <v>44</v>
      </c>
      <c r="C43" s="173">
        <v>8.0999999999999996E-4</v>
      </c>
      <c r="D43" s="28">
        <v>0.91</v>
      </c>
    </row>
    <row r="44" spans="1:4" x14ac:dyDescent="0.35">
      <c r="A44" s="34">
        <v>2210</v>
      </c>
      <c r="B44" s="56" t="s">
        <v>138</v>
      </c>
      <c r="C44" s="173">
        <v>8.0000000000000002E-3</v>
      </c>
      <c r="D44" s="28">
        <v>8.99</v>
      </c>
    </row>
    <row r="45" spans="1:4" x14ac:dyDescent="0.35">
      <c r="A45" s="27">
        <v>2222</v>
      </c>
      <c r="B45" s="56" t="s">
        <v>139</v>
      </c>
      <c r="C45" s="173">
        <v>4.4400000000000004E-3</v>
      </c>
      <c r="D45" s="28">
        <v>6.73</v>
      </c>
    </row>
    <row r="46" spans="1:4" x14ac:dyDescent="0.35">
      <c r="A46" s="27">
        <v>2223</v>
      </c>
      <c r="B46" s="56" t="s">
        <v>140</v>
      </c>
      <c r="C46" s="173">
        <v>5.4940000000000003E-2</v>
      </c>
      <c r="D46" s="28">
        <v>70.430000000000007</v>
      </c>
    </row>
    <row r="47" spans="1:4" ht="31" x14ac:dyDescent="0.35">
      <c r="A47" s="27">
        <v>2224</v>
      </c>
      <c r="B47" s="56" t="s">
        <v>141</v>
      </c>
      <c r="C47" s="173">
        <v>3.0899999999999999E-3</v>
      </c>
      <c r="D47" s="28">
        <v>3.47</v>
      </c>
    </row>
    <row r="48" spans="1:4" ht="15.75" customHeight="1" x14ac:dyDescent="0.35">
      <c r="A48" s="27">
        <v>2231</v>
      </c>
      <c r="B48" s="54" t="s">
        <v>142</v>
      </c>
      <c r="C48" s="173">
        <v>1.5E-3</v>
      </c>
      <c r="D48" s="28">
        <v>1.69</v>
      </c>
    </row>
    <row r="49" spans="1:4" ht="15.75" customHeight="1" x14ac:dyDescent="0.35">
      <c r="A49" s="27">
        <v>2235</v>
      </c>
      <c r="B49" s="58" t="s">
        <v>143</v>
      </c>
      <c r="C49" s="173">
        <v>2.5100000000000001E-3</v>
      </c>
      <c r="D49" s="28">
        <v>2.82</v>
      </c>
    </row>
    <row r="50" spans="1:4" x14ac:dyDescent="0.35">
      <c r="A50" s="27">
        <v>2239</v>
      </c>
      <c r="B50" s="54" t="s">
        <v>144</v>
      </c>
      <c r="C50" s="173">
        <v>1.7899999999999999E-3</v>
      </c>
      <c r="D50" s="28">
        <v>2.0099999999999998</v>
      </c>
    </row>
    <row r="51" spans="1:4" x14ac:dyDescent="0.35">
      <c r="A51" s="27">
        <v>2241</v>
      </c>
      <c r="B51" s="54" t="s">
        <v>145</v>
      </c>
      <c r="C51" s="173">
        <v>1.6500000000000001E-2</v>
      </c>
      <c r="D51" s="28">
        <v>18.54</v>
      </c>
    </row>
    <row r="52" spans="1:4" x14ac:dyDescent="0.35">
      <c r="A52" s="27">
        <v>2242</v>
      </c>
      <c r="B52" s="56" t="s">
        <v>146</v>
      </c>
      <c r="C52" s="173">
        <v>8.4999999999999995E-4</v>
      </c>
      <c r="D52" s="28">
        <v>0.96</v>
      </c>
    </row>
    <row r="53" spans="1:4" ht="15.75" customHeight="1" x14ac:dyDescent="0.35">
      <c r="A53" s="27">
        <v>2243</v>
      </c>
      <c r="B53" s="54" t="s">
        <v>147</v>
      </c>
      <c r="C53" s="173">
        <v>4.0000000000000002E-4</v>
      </c>
      <c r="D53" s="28">
        <v>0.46</v>
      </c>
    </row>
    <row r="54" spans="1:4" x14ac:dyDescent="0.35">
      <c r="A54" s="27">
        <v>2244</v>
      </c>
      <c r="B54" s="54" t="s">
        <v>148</v>
      </c>
      <c r="C54" s="173">
        <v>6.8070000000000006E-2</v>
      </c>
      <c r="D54" s="28">
        <v>76.489999999999995</v>
      </c>
    </row>
    <row r="55" spans="1:4" x14ac:dyDescent="0.35">
      <c r="A55" s="27">
        <v>2247</v>
      </c>
      <c r="B55" s="54" t="s">
        <v>149</v>
      </c>
      <c r="C55" s="173">
        <v>2.2000000000000001E-4</v>
      </c>
      <c r="D55" s="28">
        <v>0.24</v>
      </c>
    </row>
    <row r="56" spans="1:4" x14ac:dyDescent="0.35">
      <c r="A56" s="27">
        <v>2249</v>
      </c>
      <c r="B56" s="54" t="s">
        <v>150</v>
      </c>
      <c r="C56" s="173">
        <v>2.5000000000000001E-4</v>
      </c>
      <c r="D56" s="28">
        <v>0.28000000000000003</v>
      </c>
    </row>
    <row r="57" spans="1:4" x14ac:dyDescent="0.35">
      <c r="A57" s="27">
        <v>2250</v>
      </c>
      <c r="B57" s="54" t="s">
        <v>151</v>
      </c>
      <c r="C57" s="173">
        <v>2.8400000000000002E-2</v>
      </c>
      <c r="D57" s="28">
        <v>31.92</v>
      </c>
    </row>
    <row r="58" spans="1:4" x14ac:dyDescent="0.35">
      <c r="A58" s="27">
        <v>2262</v>
      </c>
      <c r="B58" s="56" t="s">
        <v>152</v>
      </c>
      <c r="C58" s="173">
        <v>1.137E-2</v>
      </c>
      <c r="D58" s="28">
        <v>12.77</v>
      </c>
    </row>
    <row r="59" spans="1:4" x14ac:dyDescent="0.35">
      <c r="A59" s="27">
        <v>2263</v>
      </c>
      <c r="B59" s="56" t="s">
        <v>153</v>
      </c>
      <c r="C59" s="173">
        <v>4.58E-2</v>
      </c>
      <c r="D59" s="28">
        <v>51.47</v>
      </c>
    </row>
    <row r="60" spans="1:4" x14ac:dyDescent="0.35">
      <c r="A60" s="27">
        <v>2264</v>
      </c>
      <c r="B60" s="54" t="s">
        <v>154</v>
      </c>
      <c r="C60" s="173">
        <v>2.4000000000000001E-4</v>
      </c>
      <c r="D60" s="28">
        <v>0.27</v>
      </c>
    </row>
    <row r="61" spans="1:4" x14ac:dyDescent="0.35">
      <c r="A61" s="27">
        <v>2311</v>
      </c>
      <c r="B61" s="56" t="s">
        <v>155</v>
      </c>
      <c r="C61" s="176">
        <v>7.1000000000000002E-4</v>
      </c>
      <c r="D61" s="28">
        <v>0.8</v>
      </c>
    </row>
    <row r="62" spans="1:4" x14ac:dyDescent="0.35">
      <c r="A62" s="27">
        <v>2314</v>
      </c>
      <c r="B62" s="58" t="s">
        <v>157</v>
      </c>
      <c r="C62" s="173">
        <v>4.6000000000000001E-4</v>
      </c>
      <c r="D62" s="28">
        <v>0.51</v>
      </c>
    </row>
    <row r="63" spans="1:4" x14ac:dyDescent="0.35">
      <c r="A63" s="27">
        <v>2321</v>
      </c>
      <c r="B63" s="56" t="s">
        <v>158</v>
      </c>
      <c r="C63" s="173">
        <v>6.0220000000000003E-2</v>
      </c>
      <c r="D63" s="28">
        <v>70.56</v>
      </c>
    </row>
    <row r="64" spans="1:4" x14ac:dyDescent="0.35">
      <c r="A64" s="27">
        <v>2322</v>
      </c>
      <c r="B64" s="56" t="s">
        <v>159</v>
      </c>
      <c r="C64" s="173">
        <v>2.0999999999999999E-3</v>
      </c>
      <c r="D64" s="28">
        <v>2.36</v>
      </c>
    </row>
    <row r="65" spans="1:5" ht="15.75" customHeight="1" x14ac:dyDescent="0.35">
      <c r="A65" s="27">
        <v>2513</v>
      </c>
      <c r="B65" s="55" t="s">
        <v>160</v>
      </c>
      <c r="C65" s="173">
        <v>6.3000000000000003E-4</v>
      </c>
      <c r="D65" s="28">
        <v>0.7</v>
      </c>
    </row>
    <row r="66" spans="1:5" x14ac:dyDescent="0.35">
      <c r="A66" s="27">
        <v>2515</v>
      </c>
      <c r="B66" s="56" t="s">
        <v>161</v>
      </c>
      <c r="C66" s="173">
        <v>2.7499999999999998E-3</v>
      </c>
      <c r="D66" s="28">
        <v>3.09</v>
      </c>
    </row>
    <row r="67" spans="1:5" x14ac:dyDescent="0.35">
      <c r="A67" s="27">
        <v>2519</v>
      </c>
      <c r="B67" s="56" t="s">
        <v>162</v>
      </c>
      <c r="C67" s="173">
        <v>1.5100000000000001E-3</v>
      </c>
      <c r="D67" s="28">
        <v>1.7</v>
      </c>
    </row>
    <row r="68" spans="1:5" x14ac:dyDescent="0.35">
      <c r="A68" s="27">
        <v>5220</v>
      </c>
      <c r="B68" s="56" t="s">
        <v>163</v>
      </c>
      <c r="C68" s="173">
        <v>1.06E-2</v>
      </c>
      <c r="D68" s="28">
        <v>11.91</v>
      </c>
    </row>
    <row r="69" spans="1:5" x14ac:dyDescent="0.35">
      <c r="A69" s="27">
        <v>5238</v>
      </c>
      <c r="B69" s="55" t="s">
        <v>164</v>
      </c>
      <c r="C69" s="173">
        <v>1.65E-3</v>
      </c>
      <c r="D69" s="28">
        <v>1.89</v>
      </c>
    </row>
    <row r="70" spans="1:5" x14ac:dyDescent="0.35">
      <c r="A70" s="27">
        <v>5239</v>
      </c>
      <c r="B70" s="55" t="s">
        <v>165</v>
      </c>
      <c r="C70" s="173">
        <v>1.9800000000000002E-2</v>
      </c>
      <c r="D70" s="28">
        <v>22.15</v>
      </c>
    </row>
    <row r="71" spans="1:5" x14ac:dyDescent="0.35">
      <c r="A71" s="27">
        <v>5250</v>
      </c>
      <c r="B71" s="56" t="s">
        <v>166</v>
      </c>
      <c r="C71" s="173">
        <v>1.4999999999999999E-2</v>
      </c>
      <c r="D71" s="28">
        <v>16.77</v>
      </c>
    </row>
    <row r="72" spans="1:5" x14ac:dyDescent="0.35">
      <c r="A72" s="32"/>
      <c r="B72" s="59" t="s">
        <v>167</v>
      </c>
      <c r="C72" s="177">
        <f>SUM(C41:C71)</f>
        <v>0.99999854899999996</v>
      </c>
      <c r="D72" s="31">
        <f>SUM(D41:D71)</f>
        <v>1285.3900000000001</v>
      </c>
    </row>
    <row r="73" spans="1:5" x14ac:dyDescent="0.35">
      <c r="A73" s="32"/>
      <c r="B73" s="59" t="s">
        <v>168</v>
      </c>
      <c r="C73" s="178"/>
      <c r="D73" s="31">
        <f>D39+D72</f>
        <v>4370.8000000000011</v>
      </c>
    </row>
    <row r="74" spans="1:5" ht="12.75" customHeight="1" x14ac:dyDescent="0.35">
      <c r="A74" s="37"/>
      <c r="B74" s="20"/>
      <c r="C74" s="179"/>
      <c r="D74" s="60"/>
    </row>
    <row r="75" spans="1:5" ht="15.75" customHeight="1" x14ac:dyDescent="0.35">
      <c r="A75" s="211" t="s">
        <v>51</v>
      </c>
      <c r="B75" s="211"/>
      <c r="C75" s="180"/>
      <c r="D75" s="44">
        <v>4</v>
      </c>
    </row>
    <row r="76" spans="1:5" ht="15.75" customHeight="1" x14ac:dyDescent="0.35">
      <c r="A76" s="211" t="s">
        <v>58</v>
      </c>
      <c r="B76" s="211"/>
      <c r="C76" s="180"/>
      <c r="D76" s="45">
        <f>D73/D75</f>
        <v>1092.7000000000003</v>
      </c>
      <c r="E76" s="52"/>
    </row>
    <row r="77" spans="1:5" x14ac:dyDescent="0.35">
      <c r="A77" s="41"/>
      <c r="B77" s="42"/>
      <c r="C77" s="181"/>
    </row>
    <row r="78" spans="1:5" ht="15.75" customHeight="1" x14ac:dyDescent="0.35">
      <c r="A78" s="208" t="s">
        <v>52</v>
      </c>
      <c r="B78" s="208"/>
      <c r="C78" s="182"/>
      <c r="D78" s="69"/>
    </row>
    <row r="79" spans="1:5" ht="15.75" customHeight="1" x14ac:dyDescent="0.35">
      <c r="A79" s="208" t="s">
        <v>74</v>
      </c>
      <c r="B79" s="208"/>
      <c r="C79" s="182"/>
      <c r="D79" s="198"/>
    </row>
    <row r="80" spans="1:5" x14ac:dyDescent="0.35">
      <c r="A80" s="17"/>
      <c r="B80" s="17"/>
      <c r="C80" s="183"/>
      <c r="D80" s="17"/>
    </row>
    <row r="81" spans="1:4" x14ac:dyDescent="0.35">
      <c r="A81" s="17" t="s">
        <v>53</v>
      </c>
      <c r="B81" s="17"/>
      <c r="C81" s="183"/>
      <c r="D81" s="48"/>
    </row>
    <row r="82" spans="1:4" x14ac:dyDescent="0.35">
      <c r="A82" s="17"/>
      <c r="B82" s="17"/>
      <c r="C82" s="183"/>
      <c r="D82" s="48"/>
    </row>
    <row r="83" spans="1:4" x14ac:dyDescent="0.35">
      <c r="A83" s="17" t="s">
        <v>248</v>
      </c>
      <c r="B83" s="18"/>
      <c r="C83" s="184"/>
      <c r="D83" s="48"/>
    </row>
    <row r="84" spans="1:4" x14ac:dyDescent="0.35">
      <c r="B84" s="63"/>
      <c r="C84" s="185"/>
      <c r="D84" s="64"/>
    </row>
    <row r="86" spans="1:4" x14ac:dyDescent="0.35">
      <c r="D86" s="52"/>
    </row>
  </sheetData>
  <mergeCells count="10">
    <mergeCell ref="A79:B79"/>
    <mergeCell ref="B2:D2"/>
    <mergeCell ref="A7:D7"/>
    <mergeCell ref="A9:B9"/>
    <mergeCell ref="A10:B10"/>
    <mergeCell ref="B13:C13"/>
    <mergeCell ref="B14:D14"/>
    <mergeCell ref="A75:B75"/>
    <mergeCell ref="A78:B78"/>
    <mergeCell ref="A76:B76"/>
  </mergeCells>
  <pageMargins left="0.85416666666666663" right="1.190922619047619" top="0.74803149606299213" bottom="0.74803149606299213" header="0.31496062992125984" footer="0.31496062992125984"/>
  <pageSetup paperSize="9" scale="53" orientation="portrait" r:id="rId1"/>
  <headerFooter>
    <oddFooter>&amp;F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6"/>
  <sheetViews>
    <sheetView view="pageLayout" zoomScale="80" zoomScaleNormal="100" zoomScalePageLayoutView="80" workbookViewId="0">
      <selection activeCell="A83" sqref="A83"/>
    </sheetView>
  </sheetViews>
  <sheetFormatPr defaultColWidth="9.1796875" defaultRowHeight="15.5" x14ac:dyDescent="0.35"/>
  <cols>
    <col min="1" max="1" width="20" style="12" customWidth="1"/>
    <col min="2" max="2" width="87.1796875" style="12" customWidth="1"/>
    <col min="3" max="3" width="6.7265625" style="75" hidden="1" customWidth="1"/>
    <col min="4" max="4" width="33.453125" style="12" customWidth="1"/>
    <col min="5" max="5" width="12.453125" style="12" customWidth="1"/>
    <col min="6" max="16384" width="9.1796875" style="12"/>
  </cols>
  <sheetData>
    <row r="1" spans="1:4" ht="15.75" customHeight="1" x14ac:dyDescent="0.35">
      <c r="B1" s="10"/>
      <c r="C1" s="71"/>
      <c r="D1" s="49" t="s">
        <v>50</v>
      </c>
    </row>
    <row r="2" spans="1:4" x14ac:dyDescent="0.35">
      <c r="B2" s="212" t="s">
        <v>54</v>
      </c>
      <c r="C2" s="212"/>
      <c r="D2" s="229"/>
    </row>
    <row r="3" spans="1:4" x14ac:dyDescent="0.35">
      <c r="B3" s="11"/>
      <c r="C3" s="165"/>
      <c r="D3" s="46" t="s">
        <v>76</v>
      </c>
    </row>
    <row r="4" spans="1:4" x14ac:dyDescent="0.35">
      <c r="B4" s="10"/>
      <c r="C4" s="71"/>
      <c r="D4" s="37"/>
    </row>
    <row r="5" spans="1:4" x14ac:dyDescent="0.35">
      <c r="B5" s="51"/>
      <c r="C5" s="166"/>
      <c r="D5" s="37" t="s">
        <v>246</v>
      </c>
    </row>
    <row r="6" spans="1:4" x14ac:dyDescent="0.35">
      <c r="D6" s="20"/>
    </row>
    <row r="7" spans="1:4" x14ac:dyDescent="0.35">
      <c r="A7" s="209" t="s">
        <v>10</v>
      </c>
      <c r="B7" s="209"/>
      <c r="C7" s="209"/>
      <c r="D7" s="209"/>
    </row>
    <row r="8" spans="1:4" x14ac:dyDescent="0.35">
      <c r="B8" s="53"/>
      <c r="C8" s="167"/>
      <c r="D8" s="20"/>
    </row>
    <row r="9" spans="1:4" x14ac:dyDescent="0.35">
      <c r="A9" s="210" t="s">
        <v>1</v>
      </c>
      <c r="B9" s="210"/>
      <c r="C9" s="168"/>
      <c r="D9" s="20"/>
    </row>
    <row r="10" spans="1:4" x14ac:dyDescent="0.35">
      <c r="A10" s="210" t="s">
        <v>0</v>
      </c>
      <c r="B10" s="210"/>
      <c r="C10" s="168"/>
      <c r="D10" s="20"/>
    </row>
    <row r="11" spans="1:4" x14ac:dyDescent="0.35">
      <c r="A11" s="9"/>
      <c r="B11" s="9" t="s">
        <v>213</v>
      </c>
      <c r="C11" s="168"/>
      <c r="D11" s="20"/>
    </row>
    <row r="12" spans="1:4" x14ac:dyDescent="0.35">
      <c r="A12" s="9"/>
      <c r="B12" s="9" t="s">
        <v>233</v>
      </c>
      <c r="C12" s="168"/>
      <c r="D12" s="20"/>
    </row>
    <row r="13" spans="1:4" x14ac:dyDescent="0.35">
      <c r="A13" s="9"/>
      <c r="B13" s="210" t="s">
        <v>234</v>
      </c>
      <c r="C13" s="210"/>
      <c r="D13" s="20"/>
    </row>
    <row r="14" spans="1:4" x14ac:dyDescent="0.35">
      <c r="A14" s="9"/>
      <c r="B14" s="210" t="s">
        <v>236</v>
      </c>
      <c r="C14" s="210"/>
      <c r="D14" s="210"/>
    </row>
    <row r="15" spans="1:4" x14ac:dyDescent="0.35">
      <c r="A15" s="9" t="s">
        <v>2</v>
      </c>
      <c r="B15" s="9" t="s">
        <v>197</v>
      </c>
      <c r="C15" s="168"/>
      <c r="D15" s="20"/>
    </row>
    <row r="16" spans="1:4" ht="69.75" customHeight="1" x14ac:dyDescent="0.35">
      <c r="A16" s="43" t="s">
        <v>3</v>
      </c>
      <c r="B16" s="43" t="s">
        <v>4</v>
      </c>
      <c r="C16" s="169"/>
      <c r="D16" s="43" t="s">
        <v>5</v>
      </c>
    </row>
    <row r="17" spans="1:4" x14ac:dyDescent="0.35">
      <c r="A17" s="22">
        <v>1</v>
      </c>
      <c r="B17" s="23">
        <v>2</v>
      </c>
      <c r="C17" s="170"/>
      <c r="D17" s="23">
        <v>3</v>
      </c>
    </row>
    <row r="18" spans="1:4" x14ac:dyDescent="0.35">
      <c r="A18" s="22"/>
      <c r="B18" s="54" t="s">
        <v>6</v>
      </c>
      <c r="C18" s="171"/>
      <c r="D18" s="55"/>
    </row>
    <row r="19" spans="1:4" x14ac:dyDescent="0.35">
      <c r="A19" s="27">
        <v>1100</v>
      </c>
      <c r="B19" s="27" t="s">
        <v>134</v>
      </c>
      <c r="C19" s="172" t="e">
        <f>#REF!</f>
        <v>#REF!</v>
      </c>
      <c r="D19" s="194">
        <v>1181.83</v>
      </c>
    </row>
    <row r="20" spans="1:4" x14ac:dyDescent="0.35">
      <c r="A20" s="27">
        <v>1200</v>
      </c>
      <c r="B20" s="55" t="s">
        <v>135</v>
      </c>
      <c r="C20" s="173" t="e">
        <f>C19*0.2359</f>
        <v>#REF!</v>
      </c>
      <c r="D20" s="194">
        <v>278.79000000000002</v>
      </c>
    </row>
    <row r="21" spans="1:4" x14ac:dyDescent="0.35">
      <c r="A21" s="27">
        <v>2222</v>
      </c>
      <c r="B21" s="56" t="s">
        <v>139</v>
      </c>
      <c r="C21" s="173" t="e">
        <f>#REF!</f>
        <v>#REF!</v>
      </c>
      <c r="D21" s="194">
        <v>48.76</v>
      </c>
    </row>
    <row r="22" spans="1:4" x14ac:dyDescent="0.35">
      <c r="A22" s="27">
        <v>2223</v>
      </c>
      <c r="B22" s="56" t="s">
        <v>140</v>
      </c>
      <c r="C22" s="173" t="e">
        <f>#REF!</f>
        <v>#REF!</v>
      </c>
      <c r="D22" s="194">
        <v>139.38999999999999</v>
      </c>
    </row>
    <row r="23" spans="1:4" ht="31" x14ac:dyDescent="0.35">
      <c r="A23" s="27">
        <v>2224</v>
      </c>
      <c r="B23" s="56" t="s">
        <v>141</v>
      </c>
      <c r="C23" s="173" t="e">
        <f>#REF!</f>
        <v>#REF!</v>
      </c>
      <c r="D23" s="194">
        <v>0.43</v>
      </c>
    </row>
    <row r="24" spans="1:4" x14ac:dyDescent="0.35">
      <c r="A24" s="27">
        <v>2231</v>
      </c>
      <c r="B24" s="56" t="s">
        <v>142</v>
      </c>
      <c r="C24" s="173" t="e">
        <f>#REF!</f>
        <v>#REF!</v>
      </c>
      <c r="D24" s="194">
        <v>2.09</v>
      </c>
    </row>
    <row r="25" spans="1:4" x14ac:dyDescent="0.35">
      <c r="A25" s="27">
        <v>2239</v>
      </c>
      <c r="B25" s="109" t="s">
        <v>195</v>
      </c>
      <c r="C25" s="173" t="e">
        <f>#REF!</f>
        <v>#REF!</v>
      </c>
      <c r="D25" s="194">
        <v>0.28000000000000003</v>
      </c>
    </row>
    <row r="26" spans="1:4" x14ac:dyDescent="0.35">
      <c r="A26" s="27">
        <v>2243</v>
      </c>
      <c r="B26" s="54" t="s">
        <v>147</v>
      </c>
      <c r="C26" s="173" t="e">
        <f>#REF!</f>
        <v>#REF!</v>
      </c>
      <c r="D26" s="194">
        <v>4.67</v>
      </c>
    </row>
    <row r="27" spans="1:4" x14ac:dyDescent="0.35">
      <c r="A27" s="27">
        <v>2244</v>
      </c>
      <c r="B27" s="54" t="s">
        <v>148</v>
      </c>
      <c r="C27" s="173" t="e">
        <f>#REF!</f>
        <v>#REF!</v>
      </c>
      <c r="D27" s="194">
        <v>186.26</v>
      </c>
    </row>
    <row r="28" spans="1:4" x14ac:dyDescent="0.35">
      <c r="A28" s="27">
        <v>2250</v>
      </c>
      <c r="B28" s="54" t="s">
        <v>151</v>
      </c>
      <c r="C28" s="173" t="e">
        <f>#REF!</f>
        <v>#REF!</v>
      </c>
      <c r="D28" s="194">
        <v>9.8800000000000008</v>
      </c>
    </row>
    <row r="29" spans="1:4" x14ac:dyDescent="0.35">
      <c r="A29" s="27">
        <v>2311</v>
      </c>
      <c r="B29" s="56" t="s">
        <v>155</v>
      </c>
      <c r="C29" s="173" t="e">
        <f>#REF!</f>
        <v>#REF!</v>
      </c>
      <c r="D29" s="194">
        <f>'1.3.1.7.'!D29</f>
        <v>69.650000000000006</v>
      </c>
    </row>
    <row r="30" spans="1:4" x14ac:dyDescent="0.35">
      <c r="A30" s="27">
        <v>2312</v>
      </c>
      <c r="B30" s="54" t="s">
        <v>156</v>
      </c>
      <c r="C30" s="173" t="e">
        <f>#REF!</f>
        <v>#REF!</v>
      </c>
      <c r="D30" s="194">
        <v>68.66</v>
      </c>
    </row>
    <row r="31" spans="1:4" x14ac:dyDescent="0.35">
      <c r="A31" s="27">
        <v>2314</v>
      </c>
      <c r="B31" s="54" t="s">
        <v>157</v>
      </c>
      <c r="C31" s="173" t="e">
        <f>#REF!</f>
        <v>#REF!</v>
      </c>
      <c r="D31" s="194">
        <v>0.22</v>
      </c>
    </row>
    <row r="32" spans="1:4" x14ac:dyDescent="0.35">
      <c r="A32" s="27">
        <v>2321</v>
      </c>
      <c r="B32" s="56" t="s">
        <v>158</v>
      </c>
      <c r="C32" s="173" t="e">
        <f>#REF!</f>
        <v>#REF!</v>
      </c>
      <c r="D32" s="194">
        <v>105.68</v>
      </c>
    </row>
    <row r="33" spans="1:4" x14ac:dyDescent="0.35">
      <c r="A33" s="27">
        <v>2341</v>
      </c>
      <c r="B33" s="56" t="s">
        <v>136</v>
      </c>
      <c r="C33" s="173" t="e">
        <f>#REF!</f>
        <v>#REF!</v>
      </c>
      <c r="D33" s="194">
        <v>22.5</v>
      </c>
    </row>
    <row r="34" spans="1:4" x14ac:dyDescent="0.35">
      <c r="A34" s="27">
        <v>2350</v>
      </c>
      <c r="B34" s="55" t="s">
        <v>137</v>
      </c>
      <c r="C34" s="173" t="e">
        <f>#REF!</f>
        <v>#REF!</v>
      </c>
      <c r="D34" s="194">
        <v>44.88</v>
      </c>
    </row>
    <row r="35" spans="1:4" x14ac:dyDescent="0.35">
      <c r="A35" s="27">
        <v>2361</v>
      </c>
      <c r="B35" s="56" t="s">
        <v>170</v>
      </c>
      <c r="C35" s="173" t="e">
        <f>#REF!</f>
        <v>#REF!</v>
      </c>
      <c r="D35" s="194">
        <v>19.29</v>
      </c>
    </row>
    <row r="36" spans="1:4" x14ac:dyDescent="0.35">
      <c r="A36" s="27">
        <v>2362</v>
      </c>
      <c r="B36" s="56" t="s">
        <v>171</v>
      </c>
      <c r="C36" s="173" t="e">
        <f>#REF!</f>
        <v>#REF!</v>
      </c>
      <c r="D36" s="194">
        <v>1.64</v>
      </c>
    </row>
    <row r="37" spans="1:4" x14ac:dyDescent="0.35">
      <c r="A37" s="27">
        <v>2363</v>
      </c>
      <c r="B37" s="56" t="s">
        <v>172</v>
      </c>
      <c r="C37" s="174">
        <f>9.75*10</f>
        <v>97.5</v>
      </c>
      <c r="D37" s="194">
        <v>390</v>
      </c>
    </row>
    <row r="38" spans="1:4" x14ac:dyDescent="0.35">
      <c r="A38" s="27">
        <v>5239</v>
      </c>
      <c r="B38" s="55" t="s">
        <v>165</v>
      </c>
      <c r="C38" s="173" t="e">
        <f>#REF!</f>
        <v>#REF!</v>
      </c>
      <c r="D38" s="194">
        <v>89.87</v>
      </c>
    </row>
    <row r="39" spans="1:4" x14ac:dyDescent="0.35">
      <c r="A39" s="27"/>
      <c r="B39" s="57" t="s">
        <v>7</v>
      </c>
      <c r="C39" s="175" t="e">
        <f>SUM(C19:C38)</f>
        <v>#REF!</v>
      </c>
      <c r="D39" s="31">
        <f>SUM(D19:D38)</f>
        <v>2664.77</v>
      </c>
    </row>
    <row r="40" spans="1:4" x14ac:dyDescent="0.35">
      <c r="A40" s="32"/>
      <c r="B40" s="57" t="s">
        <v>8</v>
      </c>
      <c r="C40" s="175"/>
      <c r="D40" s="28"/>
    </row>
    <row r="41" spans="1:4" x14ac:dyDescent="0.35">
      <c r="A41" s="27">
        <v>1100</v>
      </c>
      <c r="B41" s="54" t="s">
        <v>134</v>
      </c>
      <c r="C41" s="173">
        <f>0.5144-0.00029</f>
        <v>0.51410999999999996</v>
      </c>
      <c r="D41" s="195">
        <v>472.23</v>
      </c>
    </row>
    <row r="42" spans="1:4" ht="16.5" customHeight="1" x14ac:dyDescent="0.35">
      <c r="A42" s="27">
        <v>1200</v>
      </c>
      <c r="B42" s="54" t="s">
        <v>135</v>
      </c>
      <c r="C42" s="173">
        <f>C41*0.2359</f>
        <v>0.12127854899999999</v>
      </c>
      <c r="D42" s="196">
        <v>111.4</v>
      </c>
    </row>
    <row r="43" spans="1:4" ht="16.5" customHeight="1" x14ac:dyDescent="0.35">
      <c r="A43" s="27">
        <v>2100</v>
      </c>
      <c r="B43" s="33" t="s">
        <v>44</v>
      </c>
      <c r="C43" s="173">
        <v>8.0999999999999996E-4</v>
      </c>
      <c r="D43" s="195">
        <v>0.71</v>
      </c>
    </row>
    <row r="44" spans="1:4" x14ac:dyDescent="0.35">
      <c r="A44" s="34">
        <v>2210</v>
      </c>
      <c r="B44" s="56" t="s">
        <v>138</v>
      </c>
      <c r="C44" s="173">
        <v>8.0000000000000002E-3</v>
      </c>
      <c r="D44" s="195">
        <v>6.97</v>
      </c>
    </row>
    <row r="45" spans="1:4" x14ac:dyDescent="0.35">
      <c r="A45" s="27">
        <v>2222</v>
      </c>
      <c r="B45" s="56" t="s">
        <v>139</v>
      </c>
      <c r="C45" s="173">
        <v>4.4400000000000004E-3</v>
      </c>
      <c r="D45" s="195">
        <v>3.87</v>
      </c>
    </row>
    <row r="46" spans="1:4" x14ac:dyDescent="0.35">
      <c r="A46" s="27">
        <v>2223</v>
      </c>
      <c r="B46" s="56" t="s">
        <v>140</v>
      </c>
      <c r="C46" s="173">
        <v>5.4940000000000003E-2</v>
      </c>
      <c r="D46" s="195">
        <v>56.47</v>
      </c>
    </row>
    <row r="47" spans="1:4" ht="31" x14ac:dyDescent="0.35">
      <c r="A47" s="27">
        <v>2224</v>
      </c>
      <c r="B47" s="56" t="s">
        <v>141</v>
      </c>
      <c r="C47" s="173">
        <v>3.0899999999999999E-3</v>
      </c>
      <c r="D47" s="195">
        <v>3.52</v>
      </c>
    </row>
    <row r="48" spans="1:4" ht="15.75" customHeight="1" x14ac:dyDescent="0.35">
      <c r="A48" s="27">
        <v>2231</v>
      </c>
      <c r="B48" s="54" t="s">
        <v>142</v>
      </c>
      <c r="C48" s="173">
        <v>1.5E-3</v>
      </c>
      <c r="D48" s="195">
        <v>1.31</v>
      </c>
    </row>
    <row r="49" spans="1:4" ht="15.75" customHeight="1" x14ac:dyDescent="0.35">
      <c r="A49" s="27">
        <v>2235</v>
      </c>
      <c r="B49" s="58" t="s">
        <v>143</v>
      </c>
      <c r="C49" s="173">
        <v>2.5100000000000001E-3</v>
      </c>
      <c r="D49" s="195">
        <v>2.19</v>
      </c>
    </row>
    <row r="50" spans="1:4" x14ac:dyDescent="0.35">
      <c r="A50" s="27">
        <v>2239</v>
      </c>
      <c r="B50" s="54" t="s">
        <v>144</v>
      </c>
      <c r="C50" s="173">
        <v>1.7899999999999999E-3</v>
      </c>
      <c r="D50" s="195">
        <v>1.56</v>
      </c>
    </row>
    <row r="51" spans="1:4" x14ac:dyDescent="0.35">
      <c r="A51" s="27">
        <v>2241</v>
      </c>
      <c r="B51" s="54" t="s">
        <v>145</v>
      </c>
      <c r="C51" s="173">
        <v>1.6500000000000001E-2</v>
      </c>
      <c r="D51" s="195">
        <v>25.07</v>
      </c>
    </row>
    <row r="52" spans="1:4" x14ac:dyDescent="0.35">
      <c r="A52" s="27">
        <v>2242</v>
      </c>
      <c r="B52" s="56" t="s">
        <v>146</v>
      </c>
      <c r="C52" s="173">
        <v>8.4999999999999995E-4</v>
      </c>
      <c r="D52" s="195">
        <v>0.74</v>
      </c>
    </row>
    <row r="53" spans="1:4" ht="15.75" customHeight="1" x14ac:dyDescent="0.35">
      <c r="A53" s="27">
        <v>2243</v>
      </c>
      <c r="B53" s="54" t="s">
        <v>147</v>
      </c>
      <c r="C53" s="173">
        <v>4.0000000000000002E-4</v>
      </c>
      <c r="D53" s="195">
        <v>0.35</v>
      </c>
    </row>
    <row r="54" spans="1:4" x14ac:dyDescent="0.35">
      <c r="A54" s="27">
        <v>2244</v>
      </c>
      <c r="B54" s="54" t="s">
        <v>148</v>
      </c>
      <c r="C54" s="173">
        <v>6.8070000000000006E-2</v>
      </c>
      <c r="D54" s="195">
        <v>59.33</v>
      </c>
    </row>
    <row r="55" spans="1:4" x14ac:dyDescent="0.35">
      <c r="A55" s="27">
        <v>2247</v>
      </c>
      <c r="B55" s="54" t="s">
        <v>149</v>
      </c>
      <c r="C55" s="173">
        <v>2.2000000000000001E-4</v>
      </c>
      <c r="D55" s="195">
        <v>0.18</v>
      </c>
    </row>
    <row r="56" spans="1:4" x14ac:dyDescent="0.35">
      <c r="A56" s="27">
        <v>2249</v>
      </c>
      <c r="B56" s="54" t="s">
        <v>150</v>
      </c>
      <c r="C56" s="173">
        <v>2.5000000000000001E-4</v>
      </c>
      <c r="D56" s="195">
        <v>0.22</v>
      </c>
    </row>
    <row r="57" spans="1:4" x14ac:dyDescent="0.35">
      <c r="A57" s="27">
        <v>2250</v>
      </c>
      <c r="B57" s="54" t="s">
        <v>151</v>
      </c>
      <c r="C57" s="173">
        <v>2.8400000000000002E-2</v>
      </c>
      <c r="D57" s="195">
        <v>25.58</v>
      </c>
    </row>
    <row r="58" spans="1:4" x14ac:dyDescent="0.35">
      <c r="A58" s="27">
        <v>2262</v>
      </c>
      <c r="B58" s="56" t="s">
        <v>152</v>
      </c>
      <c r="C58" s="173">
        <v>1.137E-2</v>
      </c>
      <c r="D58" s="195">
        <v>9.91</v>
      </c>
    </row>
    <row r="59" spans="1:4" x14ac:dyDescent="0.35">
      <c r="A59" s="27">
        <v>2263</v>
      </c>
      <c r="B59" s="56" t="s">
        <v>153</v>
      </c>
      <c r="C59" s="173">
        <v>4.58E-2</v>
      </c>
      <c r="D59" s="195">
        <v>39.92</v>
      </c>
    </row>
    <row r="60" spans="1:4" x14ac:dyDescent="0.35">
      <c r="A60" s="27">
        <v>2264</v>
      </c>
      <c r="B60" s="54" t="s">
        <v>154</v>
      </c>
      <c r="C60" s="173">
        <v>2.4000000000000001E-4</v>
      </c>
      <c r="D60" s="195">
        <v>0.22</v>
      </c>
    </row>
    <row r="61" spans="1:4" x14ac:dyDescent="0.35">
      <c r="A61" s="27">
        <v>2311</v>
      </c>
      <c r="B61" s="56" t="s">
        <v>155</v>
      </c>
      <c r="C61" s="176">
        <v>7.1000000000000002E-4</v>
      </c>
      <c r="D61" s="195">
        <v>0.62</v>
      </c>
    </row>
    <row r="62" spans="1:4" x14ac:dyDescent="0.35">
      <c r="A62" s="27">
        <v>2314</v>
      </c>
      <c r="B62" s="58" t="s">
        <v>157</v>
      </c>
      <c r="C62" s="173">
        <v>4.6000000000000001E-4</v>
      </c>
      <c r="D62" s="195">
        <v>0.4</v>
      </c>
    </row>
    <row r="63" spans="1:4" x14ac:dyDescent="0.35">
      <c r="A63" s="27">
        <v>2321</v>
      </c>
      <c r="B63" s="56" t="s">
        <v>158</v>
      </c>
      <c r="C63" s="173">
        <v>6.0220000000000003E-2</v>
      </c>
      <c r="D63" s="195">
        <v>65.790000000000006</v>
      </c>
    </row>
    <row r="64" spans="1:4" x14ac:dyDescent="0.35">
      <c r="A64" s="27">
        <v>2322</v>
      </c>
      <c r="B64" s="56" t="s">
        <v>159</v>
      </c>
      <c r="C64" s="173">
        <v>2.0999999999999999E-3</v>
      </c>
      <c r="D64" s="195">
        <v>1.84</v>
      </c>
    </row>
    <row r="65" spans="1:4" ht="15.75" customHeight="1" x14ac:dyDescent="0.35">
      <c r="A65" s="27">
        <v>2513</v>
      </c>
      <c r="B65" s="55" t="s">
        <v>160</v>
      </c>
      <c r="C65" s="173">
        <v>6.3000000000000003E-4</v>
      </c>
      <c r="D65" s="195">
        <v>0.54</v>
      </c>
    </row>
    <row r="66" spans="1:4" x14ac:dyDescent="0.35">
      <c r="A66" s="27">
        <v>2515</v>
      </c>
      <c r="B66" s="56" t="s">
        <v>161</v>
      </c>
      <c r="C66" s="173">
        <v>2.7499999999999998E-3</v>
      </c>
      <c r="D66" s="195">
        <v>2.39</v>
      </c>
    </row>
    <row r="67" spans="1:4" x14ac:dyDescent="0.35">
      <c r="A67" s="27">
        <v>2519</v>
      </c>
      <c r="B67" s="56" t="s">
        <v>162</v>
      </c>
      <c r="C67" s="173">
        <v>1.5100000000000001E-3</v>
      </c>
      <c r="D67" s="195">
        <v>1.31</v>
      </c>
    </row>
    <row r="68" spans="1:4" x14ac:dyDescent="0.35">
      <c r="A68" s="27">
        <v>5220</v>
      </c>
      <c r="B68" s="56" t="s">
        <v>163</v>
      </c>
      <c r="C68" s="173">
        <v>1.06E-2</v>
      </c>
      <c r="D68" s="195">
        <v>9.24</v>
      </c>
    </row>
    <row r="69" spans="1:4" x14ac:dyDescent="0.35">
      <c r="A69" s="27">
        <v>5238</v>
      </c>
      <c r="B69" s="55" t="s">
        <v>164</v>
      </c>
      <c r="C69" s="173">
        <v>1.65E-3</v>
      </c>
      <c r="D69" s="195">
        <v>2.4500000000000002</v>
      </c>
    </row>
    <row r="70" spans="1:4" x14ac:dyDescent="0.35">
      <c r="A70" s="27">
        <v>5239</v>
      </c>
      <c r="B70" s="55" t="s">
        <v>165</v>
      </c>
      <c r="C70" s="173">
        <v>1.9800000000000002E-2</v>
      </c>
      <c r="D70" s="195">
        <v>17.670000000000002</v>
      </c>
    </row>
    <row r="71" spans="1:4" x14ac:dyDescent="0.35">
      <c r="A71" s="27">
        <v>5250</v>
      </c>
      <c r="B71" s="56" t="s">
        <v>166</v>
      </c>
      <c r="C71" s="173">
        <v>1.4999999999999999E-2</v>
      </c>
      <c r="D71" s="195">
        <v>17.23</v>
      </c>
    </row>
    <row r="72" spans="1:4" x14ac:dyDescent="0.35">
      <c r="A72" s="32"/>
      <c r="B72" s="59" t="s">
        <v>167</v>
      </c>
      <c r="C72" s="177">
        <f>SUM(C41:C71)</f>
        <v>0.99999854899999996</v>
      </c>
      <c r="D72" s="31">
        <f>SUM(D41:D71)</f>
        <v>941.23</v>
      </c>
    </row>
    <row r="73" spans="1:4" x14ac:dyDescent="0.35">
      <c r="A73" s="32"/>
      <c r="B73" s="59" t="s">
        <v>168</v>
      </c>
      <c r="C73" s="178"/>
      <c r="D73" s="31">
        <f>D39+D72</f>
        <v>3606</v>
      </c>
    </row>
    <row r="74" spans="1:4" ht="12.75" customHeight="1" x14ac:dyDescent="0.35">
      <c r="A74" s="37"/>
      <c r="B74" s="20"/>
      <c r="C74" s="179"/>
      <c r="D74" s="60"/>
    </row>
    <row r="75" spans="1:4" ht="15.75" customHeight="1" x14ac:dyDescent="0.35">
      <c r="A75" s="211" t="s">
        <v>51</v>
      </c>
      <c r="B75" s="211"/>
      <c r="C75" s="180"/>
      <c r="D75" s="44">
        <v>4</v>
      </c>
    </row>
    <row r="76" spans="1:4" x14ac:dyDescent="0.35">
      <c r="A76" s="211" t="s">
        <v>58</v>
      </c>
      <c r="B76" s="211"/>
      <c r="C76" s="180"/>
      <c r="D76" s="45">
        <f>D73/D75</f>
        <v>901.5</v>
      </c>
    </row>
    <row r="77" spans="1:4" x14ac:dyDescent="0.35">
      <c r="A77" s="41"/>
      <c r="B77" s="42"/>
      <c r="C77" s="181"/>
    </row>
    <row r="78" spans="1:4" ht="15.75" customHeight="1" x14ac:dyDescent="0.35">
      <c r="A78" s="208" t="s">
        <v>52</v>
      </c>
      <c r="B78" s="208"/>
      <c r="C78" s="182"/>
      <c r="D78" s="69"/>
    </row>
    <row r="79" spans="1:4" ht="15.75" customHeight="1" x14ac:dyDescent="0.35">
      <c r="A79" s="208" t="s">
        <v>74</v>
      </c>
      <c r="B79" s="208"/>
      <c r="C79" s="182"/>
      <c r="D79" s="69"/>
    </row>
    <row r="80" spans="1:4" x14ac:dyDescent="0.35">
      <c r="A80" s="17"/>
      <c r="B80" s="17"/>
      <c r="C80" s="183"/>
      <c r="D80" s="48"/>
    </row>
    <row r="81" spans="1:4" x14ac:dyDescent="0.35">
      <c r="A81" s="17" t="s">
        <v>53</v>
      </c>
      <c r="B81" s="17"/>
      <c r="C81" s="183"/>
      <c r="D81" s="48"/>
    </row>
    <row r="82" spans="1:4" x14ac:dyDescent="0.35">
      <c r="A82" s="17"/>
      <c r="B82" s="17"/>
      <c r="C82" s="183"/>
      <c r="D82" s="48"/>
    </row>
    <row r="83" spans="1:4" x14ac:dyDescent="0.35">
      <c r="A83" s="17" t="s">
        <v>248</v>
      </c>
      <c r="B83" s="18"/>
      <c r="C83" s="184"/>
      <c r="D83" s="17"/>
    </row>
    <row r="84" spans="1:4" x14ac:dyDescent="0.35">
      <c r="B84" s="63"/>
      <c r="C84" s="185"/>
      <c r="D84" s="64"/>
    </row>
    <row r="86" spans="1:4" x14ac:dyDescent="0.35">
      <c r="D86" s="52"/>
    </row>
  </sheetData>
  <mergeCells count="10">
    <mergeCell ref="A75:B75"/>
    <mergeCell ref="A76:B76"/>
    <mergeCell ref="A78:B78"/>
    <mergeCell ref="A79:B79"/>
    <mergeCell ref="B14:D14"/>
    <mergeCell ref="B2:D2"/>
    <mergeCell ref="A7:D7"/>
    <mergeCell ref="A9:B9"/>
    <mergeCell ref="A10:B10"/>
    <mergeCell ref="B13:C13"/>
  </mergeCells>
  <pageMargins left="0.88981481481481484" right="0.85" top="0.55118110236220474" bottom="0.55118110236220474" header="0.31496062992125984" footer="0.31496062992125984"/>
  <pageSetup paperSize="9" scale="56" orientation="portrait" r:id="rId1"/>
  <headerFooter>
    <oddFooter>&amp;F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6"/>
  <sheetViews>
    <sheetView view="pageLayout" zoomScale="80" zoomScaleNormal="100" zoomScalePageLayoutView="80" workbookViewId="0">
      <selection activeCell="A83" sqref="A83"/>
    </sheetView>
  </sheetViews>
  <sheetFormatPr defaultColWidth="9.1796875" defaultRowHeight="15.5" x14ac:dyDescent="0.35"/>
  <cols>
    <col min="1" max="1" width="20" style="12" customWidth="1"/>
    <col min="2" max="2" width="87.1796875" style="12" customWidth="1"/>
    <col min="3" max="3" width="6.7265625" style="75" hidden="1" customWidth="1"/>
    <col min="4" max="4" width="31.81640625" style="12" customWidth="1"/>
    <col min="5" max="5" width="12.26953125" style="12" customWidth="1"/>
    <col min="6" max="16384" width="9.1796875" style="12"/>
  </cols>
  <sheetData>
    <row r="1" spans="1:4" ht="15.75" customHeight="1" x14ac:dyDescent="0.35">
      <c r="B1" s="10"/>
      <c r="C1" s="71"/>
      <c r="D1" s="49" t="s">
        <v>50</v>
      </c>
    </row>
    <row r="2" spans="1:4" x14ac:dyDescent="0.35">
      <c r="B2" s="212" t="s">
        <v>54</v>
      </c>
      <c r="C2" s="212"/>
      <c r="D2" s="229"/>
    </row>
    <row r="3" spans="1:4" x14ac:dyDescent="0.35">
      <c r="B3" s="11"/>
      <c r="C3" s="165"/>
      <c r="D3" s="46" t="s">
        <v>76</v>
      </c>
    </row>
    <row r="4" spans="1:4" x14ac:dyDescent="0.35">
      <c r="B4" s="10"/>
      <c r="C4" s="71"/>
      <c r="D4" s="37"/>
    </row>
    <row r="5" spans="1:4" x14ac:dyDescent="0.35">
      <c r="B5" s="51"/>
      <c r="C5" s="166"/>
      <c r="D5" s="37" t="s">
        <v>246</v>
      </c>
    </row>
    <row r="6" spans="1:4" x14ac:dyDescent="0.35">
      <c r="D6" s="20"/>
    </row>
    <row r="7" spans="1:4" x14ac:dyDescent="0.35">
      <c r="A7" s="209" t="s">
        <v>10</v>
      </c>
      <c r="B7" s="209"/>
      <c r="C7" s="209"/>
      <c r="D7" s="209"/>
    </row>
    <row r="8" spans="1:4" x14ac:dyDescent="0.35">
      <c r="B8" s="53"/>
      <c r="C8" s="167"/>
      <c r="D8" s="20"/>
    </row>
    <row r="9" spans="1:4" x14ac:dyDescent="0.35">
      <c r="A9" s="210" t="s">
        <v>1</v>
      </c>
      <c r="B9" s="210"/>
      <c r="C9" s="168"/>
      <c r="D9" s="20"/>
    </row>
    <row r="10" spans="1:4" x14ac:dyDescent="0.35">
      <c r="A10" s="210" t="s">
        <v>0</v>
      </c>
      <c r="B10" s="210"/>
      <c r="C10" s="168"/>
      <c r="D10" s="20"/>
    </row>
    <row r="11" spans="1:4" x14ac:dyDescent="0.35">
      <c r="A11" s="9"/>
      <c r="B11" s="9" t="s">
        <v>213</v>
      </c>
      <c r="C11" s="168"/>
      <c r="D11" s="20"/>
    </row>
    <row r="12" spans="1:4" x14ac:dyDescent="0.35">
      <c r="A12" s="9"/>
      <c r="B12" s="9" t="s">
        <v>233</v>
      </c>
      <c r="C12" s="168"/>
      <c r="D12" s="20"/>
    </row>
    <row r="13" spans="1:4" x14ac:dyDescent="0.35">
      <c r="A13" s="9"/>
      <c r="B13" s="210" t="s">
        <v>234</v>
      </c>
      <c r="C13" s="210"/>
      <c r="D13" s="20"/>
    </row>
    <row r="14" spans="1:4" x14ac:dyDescent="0.35">
      <c r="A14" s="9"/>
      <c r="B14" s="210" t="s">
        <v>237</v>
      </c>
      <c r="C14" s="210"/>
      <c r="D14" s="210"/>
    </row>
    <row r="15" spans="1:4" x14ac:dyDescent="0.35">
      <c r="A15" s="9" t="s">
        <v>2</v>
      </c>
      <c r="B15" s="9" t="s">
        <v>197</v>
      </c>
      <c r="C15" s="168"/>
      <c r="D15" s="20"/>
    </row>
    <row r="16" spans="1:4" ht="69.75" customHeight="1" x14ac:dyDescent="0.35">
      <c r="A16" s="43" t="s">
        <v>3</v>
      </c>
      <c r="B16" s="43" t="s">
        <v>4</v>
      </c>
      <c r="C16" s="169"/>
      <c r="D16" s="43" t="s">
        <v>5</v>
      </c>
    </row>
    <row r="17" spans="1:8" x14ac:dyDescent="0.35">
      <c r="A17" s="22">
        <v>1</v>
      </c>
      <c r="B17" s="23">
        <v>2</v>
      </c>
      <c r="C17" s="170"/>
      <c r="D17" s="23">
        <v>3</v>
      </c>
    </row>
    <row r="18" spans="1:8" x14ac:dyDescent="0.35">
      <c r="A18" s="22"/>
      <c r="B18" s="54" t="s">
        <v>6</v>
      </c>
      <c r="C18" s="171"/>
      <c r="D18" s="55"/>
    </row>
    <row r="19" spans="1:8" x14ac:dyDescent="0.35">
      <c r="A19" s="27">
        <v>1100</v>
      </c>
      <c r="B19" s="27" t="s">
        <v>134</v>
      </c>
      <c r="C19" s="172" t="e">
        <f>#REF!</f>
        <v>#REF!</v>
      </c>
      <c r="D19" s="28">
        <v>544.55999999999995</v>
      </c>
      <c r="E19" s="52"/>
      <c r="F19" s="52"/>
      <c r="G19" s="52"/>
      <c r="H19" s="52"/>
    </row>
    <row r="20" spans="1:8" x14ac:dyDescent="0.35">
      <c r="A20" s="27">
        <v>1200</v>
      </c>
      <c r="B20" s="55" t="s">
        <v>135</v>
      </c>
      <c r="C20" s="173" t="e">
        <f>C19*0.2359</f>
        <v>#REF!</v>
      </c>
      <c r="D20" s="28">
        <v>128.46</v>
      </c>
      <c r="F20" s="52"/>
    </row>
    <row r="21" spans="1:8" x14ac:dyDescent="0.35">
      <c r="A21" s="27">
        <v>2222</v>
      </c>
      <c r="B21" s="56" t="s">
        <v>139</v>
      </c>
      <c r="C21" s="173" t="e">
        <f>#REF!</f>
        <v>#REF!</v>
      </c>
      <c r="D21" s="28">
        <v>23.16</v>
      </c>
      <c r="E21" s="52"/>
    </row>
    <row r="22" spans="1:8" x14ac:dyDescent="0.35">
      <c r="A22" s="27">
        <v>2223</v>
      </c>
      <c r="B22" s="56" t="s">
        <v>140</v>
      </c>
      <c r="C22" s="173" t="e">
        <f>#REF!</f>
        <v>#REF!</v>
      </c>
      <c r="D22" s="28">
        <v>60.18</v>
      </c>
    </row>
    <row r="23" spans="1:8" ht="31" x14ac:dyDescent="0.35">
      <c r="A23" s="27">
        <v>2224</v>
      </c>
      <c r="B23" s="56" t="s">
        <v>141</v>
      </c>
      <c r="C23" s="173" t="e">
        <f>#REF!</f>
        <v>#REF!</v>
      </c>
      <c r="D23" s="28">
        <v>0.19</v>
      </c>
    </row>
    <row r="24" spans="1:8" x14ac:dyDescent="0.35">
      <c r="A24" s="27">
        <v>2231</v>
      </c>
      <c r="B24" s="56" t="s">
        <v>142</v>
      </c>
      <c r="C24" s="173" t="e">
        <f>#REF!</f>
        <v>#REF!</v>
      </c>
      <c r="D24" s="28">
        <v>0.91</v>
      </c>
    </row>
    <row r="25" spans="1:8" x14ac:dyDescent="0.35">
      <c r="A25" s="27">
        <v>2239</v>
      </c>
      <c r="B25" s="109" t="s">
        <v>195</v>
      </c>
      <c r="C25" s="173" t="e">
        <f>#REF!</f>
        <v>#REF!</v>
      </c>
      <c r="D25" s="28">
        <v>0.12</v>
      </c>
    </row>
    <row r="26" spans="1:8" x14ac:dyDescent="0.35">
      <c r="A26" s="27">
        <v>2243</v>
      </c>
      <c r="B26" s="54" t="s">
        <v>147</v>
      </c>
      <c r="C26" s="173" t="e">
        <f>#REF!</f>
        <v>#REF!</v>
      </c>
      <c r="D26" s="28">
        <v>2.02</v>
      </c>
    </row>
    <row r="27" spans="1:8" x14ac:dyDescent="0.35">
      <c r="A27" s="27">
        <v>2244</v>
      </c>
      <c r="B27" s="54" t="s">
        <v>148</v>
      </c>
      <c r="C27" s="173" t="e">
        <f>#REF!</f>
        <v>#REF!</v>
      </c>
      <c r="D27" s="28">
        <v>80.42</v>
      </c>
    </row>
    <row r="28" spans="1:8" x14ac:dyDescent="0.35">
      <c r="A28" s="27">
        <v>2250</v>
      </c>
      <c r="B28" s="54" t="s">
        <v>151</v>
      </c>
      <c r="C28" s="173" t="e">
        <f>#REF!</f>
        <v>#REF!</v>
      </c>
      <c r="D28" s="28">
        <v>4.26</v>
      </c>
    </row>
    <row r="29" spans="1:8" x14ac:dyDescent="0.35">
      <c r="A29" s="27">
        <v>2311</v>
      </c>
      <c r="B29" s="56" t="s">
        <v>155</v>
      </c>
      <c r="C29" s="173" t="e">
        <f>#REF!</f>
        <v>#REF!</v>
      </c>
      <c r="D29" s="28">
        <v>62.81</v>
      </c>
    </row>
    <row r="30" spans="1:8" x14ac:dyDescent="0.35">
      <c r="A30" s="27">
        <v>2312</v>
      </c>
      <c r="B30" s="54" t="s">
        <v>156</v>
      </c>
      <c r="C30" s="173" t="e">
        <f>#REF!</f>
        <v>#REF!</v>
      </c>
      <c r="D30" s="28">
        <v>29.64</v>
      </c>
    </row>
    <row r="31" spans="1:8" x14ac:dyDescent="0.35">
      <c r="A31" s="27">
        <v>2314</v>
      </c>
      <c r="B31" s="54" t="s">
        <v>157</v>
      </c>
      <c r="C31" s="173" t="e">
        <f>#REF!</f>
        <v>#REF!</v>
      </c>
      <c r="D31" s="28">
        <v>0.1</v>
      </c>
    </row>
    <row r="32" spans="1:8" x14ac:dyDescent="0.35">
      <c r="A32" s="27">
        <v>2321</v>
      </c>
      <c r="B32" s="56" t="s">
        <v>158</v>
      </c>
      <c r="C32" s="173" t="e">
        <f>#REF!</f>
        <v>#REF!</v>
      </c>
      <c r="D32" s="28">
        <v>50.18</v>
      </c>
    </row>
    <row r="33" spans="1:6" x14ac:dyDescent="0.35">
      <c r="A33" s="27">
        <v>2341</v>
      </c>
      <c r="B33" s="56" t="s">
        <v>136</v>
      </c>
      <c r="C33" s="173" t="e">
        <f>#REF!</f>
        <v>#REF!</v>
      </c>
      <c r="D33" s="28">
        <v>9.7200000000000006</v>
      </c>
    </row>
    <row r="34" spans="1:6" x14ac:dyDescent="0.35">
      <c r="A34" s="27">
        <v>2350</v>
      </c>
      <c r="B34" s="55" t="s">
        <v>137</v>
      </c>
      <c r="C34" s="173" t="e">
        <f>#REF!</f>
        <v>#REF!</v>
      </c>
      <c r="D34" s="28">
        <v>19.38</v>
      </c>
    </row>
    <row r="35" spans="1:6" x14ac:dyDescent="0.35">
      <c r="A35" s="27">
        <v>2361</v>
      </c>
      <c r="B35" s="56" t="s">
        <v>170</v>
      </c>
      <c r="C35" s="173" t="e">
        <f>#REF!</f>
        <v>#REF!</v>
      </c>
      <c r="D35" s="28">
        <v>8.33</v>
      </c>
    </row>
    <row r="36" spans="1:6" x14ac:dyDescent="0.35">
      <c r="A36" s="27">
        <v>2362</v>
      </c>
      <c r="B36" s="56" t="s">
        <v>171</v>
      </c>
      <c r="C36" s="173" t="e">
        <f>#REF!</f>
        <v>#REF!</v>
      </c>
      <c r="D36" s="28">
        <v>0.71</v>
      </c>
    </row>
    <row r="37" spans="1:6" x14ac:dyDescent="0.35">
      <c r="A37" s="27">
        <v>2363</v>
      </c>
      <c r="B37" s="56" t="s">
        <v>172</v>
      </c>
      <c r="C37" s="174">
        <f>9.75*3</f>
        <v>29.25</v>
      </c>
      <c r="D37" s="28">
        <v>117</v>
      </c>
    </row>
    <row r="38" spans="1:6" x14ac:dyDescent="0.35">
      <c r="A38" s="27">
        <v>5239</v>
      </c>
      <c r="B38" s="55" t="s">
        <v>165</v>
      </c>
      <c r="C38" s="173" t="e">
        <f>#REF!</f>
        <v>#REF!</v>
      </c>
      <c r="D38" s="28">
        <v>34</v>
      </c>
    </row>
    <row r="39" spans="1:6" x14ac:dyDescent="0.35">
      <c r="A39" s="27"/>
      <c r="B39" s="57" t="s">
        <v>7</v>
      </c>
      <c r="C39" s="175" t="e">
        <f>SUM(C19:C38)</f>
        <v>#REF!</v>
      </c>
      <c r="D39" s="31">
        <f>SUM(D19:D38)</f>
        <v>1176.1499999999999</v>
      </c>
      <c r="F39" s="52"/>
    </row>
    <row r="40" spans="1:6" x14ac:dyDescent="0.35">
      <c r="A40" s="32"/>
      <c r="B40" s="57" t="s">
        <v>8</v>
      </c>
      <c r="C40" s="175"/>
      <c r="D40" s="28"/>
      <c r="E40" s="52"/>
    </row>
    <row r="41" spans="1:6" x14ac:dyDescent="0.35">
      <c r="A41" s="27">
        <v>1100</v>
      </c>
      <c r="B41" s="54" t="s">
        <v>134</v>
      </c>
      <c r="C41" s="173">
        <f>0.5144-0.00029</f>
        <v>0.51410999999999996</v>
      </c>
      <c r="D41" s="28">
        <v>257.98</v>
      </c>
      <c r="E41" s="52"/>
    </row>
    <row r="42" spans="1:6" ht="16.5" customHeight="1" x14ac:dyDescent="0.35">
      <c r="A42" s="27">
        <v>1200</v>
      </c>
      <c r="B42" s="54" t="s">
        <v>135</v>
      </c>
      <c r="C42" s="173">
        <f>C41*0.2359</f>
        <v>0.12127854899999999</v>
      </c>
      <c r="D42" s="28">
        <v>60.86</v>
      </c>
    </row>
    <row r="43" spans="1:6" ht="16.5" customHeight="1" x14ac:dyDescent="0.35">
      <c r="A43" s="27">
        <v>2100</v>
      </c>
      <c r="B43" s="33" t="s">
        <v>44</v>
      </c>
      <c r="C43" s="173">
        <v>8.0999999999999996E-4</v>
      </c>
      <c r="D43" s="28">
        <v>0.36</v>
      </c>
    </row>
    <row r="44" spans="1:6" x14ac:dyDescent="0.35">
      <c r="A44" s="34">
        <v>2210</v>
      </c>
      <c r="B44" s="56" t="s">
        <v>138</v>
      </c>
      <c r="C44" s="173">
        <v>8.0000000000000002E-3</v>
      </c>
      <c r="D44" s="28">
        <v>3.56</v>
      </c>
    </row>
    <row r="45" spans="1:6" x14ac:dyDescent="0.35">
      <c r="A45" s="27">
        <v>2222</v>
      </c>
      <c r="B45" s="56" t="s">
        <v>139</v>
      </c>
      <c r="C45" s="173">
        <v>4.4400000000000004E-3</v>
      </c>
      <c r="D45" s="28">
        <v>1.98</v>
      </c>
    </row>
    <row r="46" spans="1:6" x14ac:dyDescent="0.35">
      <c r="A46" s="27">
        <v>2223</v>
      </c>
      <c r="B46" s="56" t="s">
        <v>140</v>
      </c>
      <c r="C46" s="173">
        <v>5.4940000000000003E-2</v>
      </c>
      <c r="D46" s="28">
        <v>24.47</v>
      </c>
    </row>
    <row r="47" spans="1:6" ht="31" x14ac:dyDescent="0.35">
      <c r="A47" s="27">
        <v>2224</v>
      </c>
      <c r="B47" s="56" t="s">
        <v>141</v>
      </c>
      <c r="C47" s="173">
        <v>3.0899999999999999E-3</v>
      </c>
      <c r="D47" s="28">
        <v>3.38</v>
      </c>
    </row>
    <row r="48" spans="1:6" ht="15.75" customHeight="1" x14ac:dyDescent="0.35">
      <c r="A48" s="27">
        <v>2231</v>
      </c>
      <c r="B48" s="54" t="s">
        <v>142</v>
      </c>
      <c r="C48" s="173">
        <v>1.5E-3</v>
      </c>
      <c r="D48" s="28">
        <v>0.67</v>
      </c>
    </row>
    <row r="49" spans="1:4" ht="15.75" customHeight="1" x14ac:dyDescent="0.35">
      <c r="A49" s="27">
        <v>2235</v>
      </c>
      <c r="B49" s="58" t="s">
        <v>143</v>
      </c>
      <c r="C49" s="173">
        <v>2.5100000000000001E-3</v>
      </c>
      <c r="D49" s="28">
        <v>1.1200000000000001</v>
      </c>
    </row>
    <row r="50" spans="1:4" x14ac:dyDescent="0.35">
      <c r="A50" s="27">
        <v>2239</v>
      </c>
      <c r="B50" s="54" t="s">
        <v>144</v>
      </c>
      <c r="C50" s="173">
        <v>1.7899999999999999E-3</v>
      </c>
      <c r="D50" s="28">
        <v>0.8</v>
      </c>
    </row>
    <row r="51" spans="1:4" x14ac:dyDescent="0.35">
      <c r="A51" s="27">
        <v>2241</v>
      </c>
      <c r="B51" s="54" t="s">
        <v>145</v>
      </c>
      <c r="C51" s="173">
        <v>1.6500000000000001E-2</v>
      </c>
      <c r="D51" s="28">
        <v>7.35</v>
      </c>
    </row>
    <row r="52" spans="1:4" x14ac:dyDescent="0.35">
      <c r="A52" s="27">
        <v>2242</v>
      </c>
      <c r="B52" s="56" t="s">
        <v>146</v>
      </c>
      <c r="C52" s="173">
        <v>8.4999999999999995E-4</v>
      </c>
      <c r="D52" s="28">
        <v>0.38</v>
      </c>
    </row>
    <row r="53" spans="1:4" ht="15.75" customHeight="1" x14ac:dyDescent="0.35">
      <c r="A53" s="27">
        <v>2243</v>
      </c>
      <c r="B53" s="54" t="s">
        <v>147</v>
      </c>
      <c r="C53" s="173">
        <v>4.0000000000000002E-4</v>
      </c>
      <c r="D53" s="28">
        <v>0.18</v>
      </c>
    </row>
    <row r="54" spans="1:4" x14ac:dyDescent="0.35">
      <c r="A54" s="27">
        <v>2244</v>
      </c>
      <c r="B54" s="54" t="s">
        <v>148</v>
      </c>
      <c r="C54" s="173">
        <v>6.8070000000000006E-2</v>
      </c>
      <c r="D54" s="28">
        <v>20.32</v>
      </c>
    </row>
    <row r="55" spans="1:4" x14ac:dyDescent="0.35">
      <c r="A55" s="27">
        <v>2247</v>
      </c>
      <c r="B55" s="54" t="s">
        <v>149</v>
      </c>
      <c r="C55" s="173">
        <v>2.2000000000000001E-4</v>
      </c>
      <c r="D55" s="28">
        <v>0.1</v>
      </c>
    </row>
    <row r="56" spans="1:4" x14ac:dyDescent="0.35">
      <c r="A56" s="27">
        <v>2249</v>
      </c>
      <c r="B56" s="54" t="s">
        <v>150</v>
      </c>
      <c r="C56" s="173">
        <v>2.5000000000000001E-4</v>
      </c>
      <c r="D56" s="28">
        <v>0.11</v>
      </c>
    </row>
    <row r="57" spans="1:4" x14ac:dyDescent="0.35">
      <c r="A57" s="27">
        <v>2250</v>
      </c>
      <c r="B57" s="54" t="s">
        <v>151</v>
      </c>
      <c r="C57" s="173">
        <v>2.8400000000000002E-2</v>
      </c>
      <c r="D57" s="28">
        <v>12.65</v>
      </c>
    </row>
    <row r="58" spans="1:4" x14ac:dyDescent="0.35">
      <c r="A58" s="27">
        <v>2262</v>
      </c>
      <c r="B58" s="56" t="s">
        <v>152</v>
      </c>
      <c r="C58" s="173">
        <v>1.137E-2</v>
      </c>
      <c r="D58" s="28">
        <v>5.0599999999999996</v>
      </c>
    </row>
    <row r="59" spans="1:4" x14ac:dyDescent="0.35">
      <c r="A59" s="27">
        <v>2263</v>
      </c>
      <c r="B59" s="56" t="s">
        <v>153</v>
      </c>
      <c r="C59" s="173">
        <v>4.58E-2</v>
      </c>
      <c r="D59" s="28">
        <v>15.4</v>
      </c>
    </row>
    <row r="60" spans="1:4" x14ac:dyDescent="0.35">
      <c r="A60" s="27">
        <v>2264</v>
      </c>
      <c r="B60" s="54" t="s">
        <v>154</v>
      </c>
      <c r="C60" s="173">
        <v>2.4000000000000001E-4</v>
      </c>
      <c r="D60" s="28">
        <v>0.11</v>
      </c>
    </row>
    <row r="61" spans="1:4" x14ac:dyDescent="0.35">
      <c r="A61" s="27">
        <v>2311</v>
      </c>
      <c r="B61" s="56" t="s">
        <v>155</v>
      </c>
      <c r="C61" s="176">
        <v>7.1000000000000002E-4</v>
      </c>
      <c r="D61" s="28">
        <v>0.32</v>
      </c>
    </row>
    <row r="62" spans="1:4" x14ac:dyDescent="0.35">
      <c r="A62" s="27">
        <v>2314</v>
      </c>
      <c r="B62" s="58" t="s">
        <v>157</v>
      </c>
      <c r="C62" s="173">
        <v>4.6000000000000001E-4</v>
      </c>
      <c r="D62" s="28">
        <v>0.2</v>
      </c>
    </row>
    <row r="63" spans="1:4" x14ac:dyDescent="0.35">
      <c r="A63" s="27">
        <v>2321</v>
      </c>
      <c r="B63" s="56" t="s">
        <v>158</v>
      </c>
      <c r="C63" s="173">
        <v>6.0220000000000003E-2</v>
      </c>
      <c r="D63" s="28">
        <v>26.82</v>
      </c>
    </row>
    <row r="64" spans="1:4" x14ac:dyDescent="0.35">
      <c r="A64" s="27">
        <v>2322</v>
      </c>
      <c r="B64" s="56" t="s">
        <v>159</v>
      </c>
      <c r="C64" s="173">
        <v>2.0999999999999999E-3</v>
      </c>
      <c r="D64" s="28">
        <v>0.94</v>
      </c>
    </row>
    <row r="65" spans="1:7" ht="15.75" customHeight="1" x14ac:dyDescent="0.35">
      <c r="A65" s="27">
        <v>2513</v>
      </c>
      <c r="B65" s="55" t="s">
        <v>160</v>
      </c>
      <c r="C65" s="173">
        <v>6.3000000000000003E-4</v>
      </c>
      <c r="D65" s="28">
        <v>0.28000000000000003</v>
      </c>
    </row>
    <row r="66" spans="1:7" x14ac:dyDescent="0.35">
      <c r="A66" s="27">
        <v>2515</v>
      </c>
      <c r="B66" s="56" t="s">
        <v>161</v>
      </c>
      <c r="C66" s="173">
        <v>2.7499999999999998E-3</v>
      </c>
      <c r="D66" s="28">
        <v>1.22</v>
      </c>
    </row>
    <row r="67" spans="1:7" x14ac:dyDescent="0.35">
      <c r="A67" s="27">
        <v>2519</v>
      </c>
      <c r="B67" s="56" t="s">
        <v>162</v>
      </c>
      <c r="C67" s="173">
        <v>1.5100000000000001E-3</v>
      </c>
      <c r="D67" s="28">
        <v>0.67</v>
      </c>
    </row>
    <row r="68" spans="1:7" x14ac:dyDescent="0.35">
      <c r="A68" s="27">
        <v>5220</v>
      </c>
      <c r="B68" s="56" t="s">
        <v>163</v>
      </c>
      <c r="C68" s="173">
        <v>1.06E-2</v>
      </c>
      <c r="D68" s="28">
        <v>3.72</v>
      </c>
    </row>
    <row r="69" spans="1:7" x14ac:dyDescent="0.35">
      <c r="A69" s="27">
        <v>5238</v>
      </c>
      <c r="B69" s="55" t="s">
        <v>164</v>
      </c>
      <c r="C69" s="173">
        <v>1.65E-3</v>
      </c>
      <c r="D69" s="28">
        <v>0.73</v>
      </c>
    </row>
    <row r="70" spans="1:7" x14ac:dyDescent="0.35">
      <c r="A70" s="27">
        <v>5239</v>
      </c>
      <c r="B70" s="55" t="s">
        <v>165</v>
      </c>
      <c r="C70" s="173">
        <v>1.9800000000000002E-2</v>
      </c>
      <c r="D70" s="28">
        <v>5.79</v>
      </c>
    </row>
    <row r="71" spans="1:7" x14ac:dyDescent="0.35">
      <c r="A71" s="27">
        <v>5250</v>
      </c>
      <c r="B71" s="56" t="s">
        <v>166</v>
      </c>
      <c r="C71" s="173">
        <v>1.4999999999999999E-2</v>
      </c>
      <c r="D71" s="28">
        <v>5.68</v>
      </c>
    </row>
    <row r="72" spans="1:7" x14ac:dyDescent="0.35">
      <c r="A72" s="32"/>
      <c r="B72" s="59" t="s">
        <v>167</v>
      </c>
      <c r="C72" s="177">
        <f>SUM(C41:C71)</f>
        <v>0.99999854899999996</v>
      </c>
      <c r="D72" s="31">
        <f>SUM(D41:D71)</f>
        <v>463.21000000000015</v>
      </c>
    </row>
    <row r="73" spans="1:7" x14ac:dyDescent="0.35">
      <c r="A73" s="32"/>
      <c r="B73" s="59" t="s">
        <v>168</v>
      </c>
      <c r="C73" s="178"/>
      <c r="D73" s="31">
        <f>D39+D72</f>
        <v>1639.3600000000001</v>
      </c>
      <c r="E73" s="52"/>
    </row>
    <row r="74" spans="1:7" ht="12.75" customHeight="1" x14ac:dyDescent="0.35">
      <c r="A74" s="37"/>
      <c r="B74" s="20"/>
      <c r="C74" s="179"/>
      <c r="D74" s="60"/>
    </row>
    <row r="75" spans="1:7" ht="15.75" customHeight="1" x14ac:dyDescent="0.35">
      <c r="A75" s="211" t="s">
        <v>51</v>
      </c>
      <c r="B75" s="211"/>
      <c r="C75" s="180"/>
      <c r="D75" s="44">
        <v>4</v>
      </c>
    </row>
    <row r="76" spans="1:7" ht="15.75" customHeight="1" x14ac:dyDescent="0.35">
      <c r="A76" s="211" t="s">
        <v>58</v>
      </c>
      <c r="B76" s="211"/>
      <c r="C76" s="180"/>
      <c r="D76" s="45">
        <f>D73/D75</f>
        <v>409.84000000000003</v>
      </c>
      <c r="E76" s="52"/>
      <c r="G76" s="52"/>
    </row>
    <row r="77" spans="1:7" ht="9.75" customHeight="1" x14ac:dyDescent="0.35">
      <c r="A77" s="41"/>
      <c r="B77" s="42"/>
      <c r="C77" s="181"/>
    </row>
    <row r="78" spans="1:7" ht="15.75" customHeight="1" x14ac:dyDescent="0.35">
      <c r="A78" s="208" t="s">
        <v>52</v>
      </c>
      <c r="B78" s="208"/>
      <c r="C78" s="182"/>
      <c r="D78" s="40"/>
      <c r="E78" s="52"/>
    </row>
    <row r="79" spans="1:7" ht="15.75" customHeight="1" x14ac:dyDescent="0.35">
      <c r="A79" s="208" t="s">
        <v>74</v>
      </c>
      <c r="B79" s="208"/>
      <c r="C79" s="182"/>
      <c r="D79" s="69"/>
    </row>
    <row r="80" spans="1:7" ht="8.25" customHeight="1" x14ac:dyDescent="0.35">
      <c r="A80" s="17"/>
      <c r="B80" s="17"/>
      <c r="C80" s="183"/>
      <c r="D80" s="17"/>
    </row>
    <row r="81" spans="1:4" x14ac:dyDescent="0.35">
      <c r="A81" s="17" t="s">
        <v>53</v>
      </c>
      <c r="B81" s="17"/>
      <c r="C81" s="183"/>
      <c r="D81" s="48"/>
    </row>
    <row r="82" spans="1:4" x14ac:dyDescent="0.35">
      <c r="A82" s="17"/>
      <c r="B82" s="17"/>
      <c r="C82" s="183"/>
      <c r="D82" s="48"/>
    </row>
    <row r="83" spans="1:4" x14ac:dyDescent="0.35">
      <c r="A83" s="17" t="s">
        <v>248</v>
      </c>
      <c r="B83" s="18"/>
      <c r="C83" s="184"/>
      <c r="D83" s="17"/>
    </row>
    <row r="84" spans="1:4" x14ac:dyDescent="0.35">
      <c r="B84" s="63"/>
      <c r="C84" s="185"/>
      <c r="D84" s="64"/>
    </row>
    <row r="86" spans="1:4" x14ac:dyDescent="0.35">
      <c r="D86" s="52"/>
    </row>
  </sheetData>
  <mergeCells count="10">
    <mergeCell ref="A75:B75"/>
    <mergeCell ref="A76:B76"/>
    <mergeCell ref="A78:B78"/>
    <mergeCell ref="A79:B79"/>
    <mergeCell ref="B2:D2"/>
    <mergeCell ref="A7:D7"/>
    <mergeCell ref="A9:B9"/>
    <mergeCell ref="A10:B10"/>
    <mergeCell ref="B13:C13"/>
    <mergeCell ref="B14:D14"/>
  </mergeCells>
  <pageMargins left="0.96527777777777779" right="0.70866141732283472" top="0.74803149606299213" bottom="0.74803149606299213" header="0.31496062992125984" footer="0.31496062992125984"/>
  <pageSetup paperSize="9" scale="54" orientation="portrait" r:id="rId1"/>
  <headerFooter>
    <oddFooter>&amp;F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6"/>
  <sheetViews>
    <sheetView view="pageLayout" topLeftCell="A7" zoomScale="80" zoomScaleNormal="100" zoomScalePageLayoutView="80" workbookViewId="0">
      <selection activeCell="A83" sqref="A83"/>
    </sheetView>
  </sheetViews>
  <sheetFormatPr defaultColWidth="9.1796875" defaultRowHeight="15.5" x14ac:dyDescent="0.35"/>
  <cols>
    <col min="1" max="1" width="20" style="12" customWidth="1"/>
    <col min="2" max="2" width="87.1796875" style="12" customWidth="1"/>
    <col min="3" max="3" width="6.7265625" style="75" hidden="1" customWidth="1"/>
    <col min="4" max="4" width="32.453125" style="12" customWidth="1"/>
    <col min="5" max="5" width="12.26953125" style="12" customWidth="1"/>
    <col min="6" max="16384" width="9.1796875" style="12"/>
  </cols>
  <sheetData>
    <row r="1" spans="1:4" ht="15.75" customHeight="1" x14ac:dyDescent="0.35">
      <c r="B1" s="10"/>
      <c r="C1" s="71"/>
      <c r="D1" s="49" t="s">
        <v>50</v>
      </c>
    </row>
    <row r="2" spans="1:4" x14ac:dyDescent="0.35">
      <c r="B2" s="212" t="s">
        <v>54</v>
      </c>
      <c r="C2" s="212"/>
      <c r="D2" s="229"/>
    </row>
    <row r="3" spans="1:4" x14ac:dyDescent="0.35">
      <c r="B3" s="11"/>
      <c r="C3" s="165"/>
      <c r="D3" s="46" t="s">
        <v>76</v>
      </c>
    </row>
    <row r="4" spans="1:4" x14ac:dyDescent="0.35">
      <c r="B4" s="10"/>
      <c r="C4" s="71"/>
      <c r="D4" s="37"/>
    </row>
    <row r="5" spans="1:4" x14ac:dyDescent="0.35">
      <c r="B5" s="51"/>
      <c r="C5" s="166"/>
      <c r="D5" s="37" t="s">
        <v>246</v>
      </c>
    </row>
    <row r="6" spans="1:4" x14ac:dyDescent="0.35">
      <c r="D6" s="20"/>
    </row>
    <row r="7" spans="1:4" x14ac:dyDescent="0.35">
      <c r="A7" s="209" t="s">
        <v>10</v>
      </c>
      <c r="B7" s="209"/>
      <c r="C7" s="209"/>
      <c r="D7" s="209"/>
    </row>
    <row r="8" spans="1:4" x14ac:dyDescent="0.35">
      <c r="B8" s="53"/>
      <c r="C8" s="167"/>
      <c r="D8" s="20"/>
    </row>
    <row r="9" spans="1:4" x14ac:dyDescent="0.35">
      <c r="A9" s="210" t="s">
        <v>1</v>
      </c>
      <c r="B9" s="210"/>
      <c r="C9" s="168"/>
      <c r="D9" s="20"/>
    </row>
    <row r="10" spans="1:4" x14ac:dyDescent="0.35">
      <c r="A10" s="210" t="s">
        <v>0</v>
      </c>
      <c r="B10" s="210"/>
      <c r="C10" s="168"/>
      <c r="D10" s="20"/>
    </row>
    <row r="11" spans="1:4" x14ac:dyDescent="0.35">
      <c r="A11" s="9"/>
      <c r="B11" s="9" t="s">
        <v>213</v>
      </c>
      <c r="C11" s="168"/>
      <c r="D11" s="20"/>
    </row>
    <row r="12" spans="1:4" x14ac:dyDescent="0.35">
      <c r="A12" s="9"/>
      <c r="B12" s="9" t="s">
        <v>233</v>
      </c>
      <c r="C12" s="168"/>
      <c r="D12" s="20"/>
    </row>
    <row r="13" spans="1:4" x14ac:dyDescent="0.35">
      <c r="A13" s="9"/>
      <c r="B13" s="210" t="s">
        <v>234</v>
      </c>
      <c r="C13" s="210"/>
      <c r="D13" s="20"/>
    </row>
    <row r="14" spans="1:4" x14ac:dyDescent="0.35">
      <c r="A14" s="9"/>
      <c r="B14" s="210" t="s">
        <v>238</v>
      </c>
      <c r="C14" s="210"/>
      <c r="D14" s="210"/>
    </row>
    <row r="15" spans="1:4" x14ac:dyDescent="0.35">
      <c r="A15" s="9" t="s">
        <v>2</v>
      </c>
      <c r="B15" s="9" t="s">
        <v>197</v>
      </c>
      <c r="C15" s="168"/>
      <c r="D15" s="20"/>
    </row>
    <row r="16" spans="1:4" ht="69.75" customHeight="1" x14ac:dyDescent="0.35">
      <c r="A16" s="43" t="s">
        <v>3</v>
      </c>
      <c r="B16" s="43" t="s">
        <v>4</v>
      </c>
      <c r="C16" s="169"/>
      <c r="D16" s="43" t="s">
        <v>5</v>
      </c>
    </row>
    <row r="17" spans="1:8" x14ac:dyDescent="0.35">
      <c r="A17" s="22">
        <v>1</v>
      </c>
      <c r="B17" s="23">
        <v>2</v>
      </c>
      <c r="C17" s="170"/>
      <c r="D17" s="23">
        <v>3</v>
      </c>
    </row>
    <row r="18" spans="1:8" x14ac:dyDescent="0.35">
      <c r="A18" s="22"/>
      <c r="B18" s="54" t="s">
        <v>6</v>
      </c>
      <c r="C18" s="171"/>
      <c r="D18" s="55"/>
    </row>
    <row r="19" spans="1:8" x14ac:dyDescent="0.35">
      <c r="A19" s="27">
        <v>1100</v>
      </c>
      <c r="B19" s="27" t="s">
        <v>134</v>
      </c>
      <c r="C19" s="172" t="e">
        <f>#REF!</f>
        <v>#REF!</v>
      </c>
      <c r="D19" s="28">
        <v>457.66</v>
      </c>
      <c r="E19" s="52"/>
      <c r="F19" s="52"/>
      <c r="G19" s="52"/>
      <c r="H19" s="52"/>
    </row>
    <row r="20" spans="1:8" x14ac:dyDescent="0.35">
      <c r="A20" s="27">
        <v>1200</v>
      </c>
      <c r="B20" s="55" t="s">
        <v>135</v>
      </c>
      <c r="C20" s="173" t="e">
        <f>C19*0.2359</f>
        <v>#REF!</v>
      </c>
      <c r="D20" s="28">
        <v>107.96</v>
      </c>
      <c r="F20" s="52"/>
    </row>
    <row r="21" spans="1:8" x14ac:dyDescent="0.35">
      <c r="A21" s="27">
        <v>2222</v>
      </c>
      <c r="B21" s="56" t="s">
        <v>139</v>
      </c>
      <c r="C21" s="173" t="e">
        <f>#REF!</f>
        <v>#REF!</v>
      </c>
      <c r="D21" s="28">
        <v>23.16</v>
      </c>
      <c r="E21" s="52"/>
    </row>
    <row r="22" spans="1:8" x14ac:dyDescent="0.35">
      <c r="A22" s="27">
        <v>2223</v>
      </c>
      <c r="B22" s="56" t="s">
        <v>140</v>
      </c>
      <c r="C22" s="173" t="e">
        <f>#REF!</f>
        <v>#REF!</v>
      </c>
      <c r="D22" s="28">
        <v>51.52</v>
      </c>
    </row>
    <row r="23" spans="1:8" ht="31" x14ac:dyDescent="0.35">
      <c r="A23" s="27">
        <v>2224</v>
      </c>
      <c r="B23" s="56" t="s">
        <v>141</v>
      </c>
      <c r="C23" s="173" t="e">
        <f>#REF!</f>
        <v>#REF!</v>
      </c>
      <c r="D23" s="28">
        <v>0.16</v>
      </c>
    </row>
    <row r="24" spans="1:8" x14ac:dyDescent="0.35">
      <c r="A24" s="27">
        <v>2231</v>
      </c>
      <c r="B24" s="56" t="s">
        <v>142</v>
      </c>
      <c r="C24" s="173" t="e">
        <f>#REF!</f>
        <v>#REF!</v>
      </c>
      <c r="D24" s="28">
        <v>0.78</v>
      </c>
    </row>
    <row r="25" spans="1:8" x14ac:dyDescent="0.35">
      <c r="A25" s="27">
        <v>2239</v>
      </c>
      <c r="B25" s="109" t="s">
        <v>195</v>
      </c>
      <c r="C25" s="173" t="e">
        <f>#REF!</f>
        <v>#REF!</v>
      </c>
      <c r="D25" s="28">
        <v>0.1</v>
      </c>
    </row>
    <row r="26" spans="1:8" x14ac:dyDescent="0.35">
      <c r="A26" s="27">
        <v>2243</v>
      </c>
      <c r="B26" s="54" t="s">
        <v>147</v>
      </c>
      <c r="C26" s="173" t="e">
        <f>#REF!</f>
        <v>#REF!</v>
      </c>
      <c r="D26" s="28">
        <v>1.73</v>
      </c>
    </row>
    <row r="27" spans="1:8" x14ac:dyDescent="0.35">
      <c r="A27" s="27">
        <v>2244</v>
      </c>
      <c r="B27" s="54" t="s">
        <v>148</v>
      </c>
      <c r="C27" s="173" t="e">
        <f>#REF!</f>
        <v>#REF!</v>
      </c>
      <c r="D27" s="28">
        <v>68.849999999999994</v>
      </c>
    </row>
    <row r="28" spans="1:8" x14ac:dyDescent="0.35">
      <c r="A28" s="27">
        <v>2250</v>
      </c>
      <c r="B28" s="54" t="s">
        <v>151</v>
      </c>
      <c r="C28" s="173" t="e">
        <f>#REF!</f>
        <v>#REF!</v>
      </c>
      <c r="D28" s="28">
        <v>3.65</v>
      </c>
    </row>
    <row r="29" spans="1:8" x14ac:dyDescent="0.35">
      <c r="A29" s="27">
        <v>2311</v>
      </c>
      <c r="B29" s="56" t="s">
        <v>155</v>
      </c>
      <c r="C29" s="173" t="e">
        <f>#REF!</f>
        <v>#REF!</v>
      </c>
      <c r="D29" s="28">
        <v>53.77</v>
      </c>
    </row>
    <row r="30" spans="1:8" x14ac:dyDescent="0.35">
      <c r="A30" s="27">
        <v>2312</v>
      </c>
      <c r="B30" s="54" t="s">
        <v>156</v>
      </c>
      <c r="C30" s="173" t="e">
        <f>#REF!</f>
        <v>#REF!</v>
      </c>
      <c r="D30" s="28">
        <v>25.38</v>
      </c>
    </row>
    <row r="31" spans="1:8" x14ac:dyDescent="0.35">
      <c r="A31" s="27">
        <v>2314</v>
      </c>
      <c r="B31" s="54" t="s">
        <v>157</v>
      </c>
      <c r="C31" s="173" t="e">
        <f>#REF!</f>
        <v>#REF!</v>
      </c>
      <c r="D31" s="28">
        <v>0.08</v>
      </c>
    </row>
    <row r="32" spans="1:8" x14ac:dyDescent="0.35">
      <c r="A32" s="27">
        <v>2321</v>
      </c>
      <c r="B32" s="56" t="s">
        <v>158</v>
      </c>
      <c r="C32" s="173" t="e">
        <f>#REF!</f>
        <v>#REF!</v>
      </c>
      <c r="D32" s="28">
        <v>39.06</v>
      </c>
    </row>
    <row r="33" spans="1:6" x14ac:dyDescent="0.35">
      <c r="A33" s="27">
        <v>2341</v>
      </c>
      <c r="B33" s="56" t="s">
        <v>136</v>
      </c>
      <c r="C33" s="173" t="e">
        <f>#REF!</f>
        <v>#REF!</v>
      </c>
      <c r="D33" s="28">
        <v>8.32</v>
      </c>
    </row>
    <row r="34" spans="1:6" x14ac:dyDescent="0.35">
      <c r="A34" s="27">
        <v>2350</v>
      </c>
      <c r="B34" s="55" t="s">
        <v>137</v>
      </c>
      <c r="C34" s="173" t="e">
        <f>#REF!</f>
        <v>#REF!</v>
      </c>
      <c r="D34" s="28">
        <v>16.59</v>
      </c>
    </row>
    <row r="35" spans="1:6" x14ac:dyDescent="0.35">
      <c r="A35" s="27">
        <v>2361</v>
      </c>
      <c r="B35" s="56" t="s">
        <v>170</v>
      </c>
      <c r="C35" s="173" t="e">
        <f>#REF!</f>
        <v>#REF!</v>
      </c>
      <c r="D35" s="28">
        <v>7.13</v>
      </c>
    </row>
    <row r="36" spans="1:6" x14ac:dyDescent="0.35">
      <c r="A36" s="27">
        <v>2362</v>
      </c>
      <c r="B36" s="56" t="s">
        <v>171</v>
      </c>
      <c r="C36" s="173" t="e">
        <f>#REF!</f>
        <v>#REF!</v>
      </c>
      <c r="D36" s="28">
        <v>0.61</v>
      </c>
    </row>
    <row r="37" spans="1:6" x14ac:dyDescent="0.35">
      <c r="A37" s="27">
        <v>2363</v>
      </c>
      <c r="B37" s="56" t="s">
        <v>172</v>
      </c>
      <c r="C37" s="174">
        <f>9.75*3</f>
        <v>29.25</v>
      </c>
      <c r="D37" s="28">
        <v>117</v>
      </c>
    </row>
    <row r="38" spans="1:6" x14ac:dyDescent="0.35">
      <c r="A38" s="27">
        <v>5239</v>
      </c>
      <c r="B38" s="55" t="s">
        <v>165</v>
      </c>
      <c r="C38" s="173" t="e">
        <f>#REF!</f>
        <v>#REF!</v>
      </c>
      <c r="D38" s="28">
        <v>29.41</v>
      </c>
    </row>
    <row r="39" spans="1:6" x14ac:dyDescent="0.35">
      <c r="A39" s="27"/>
      <c r="B39" s="57" t="s">
        <v>7</v>
      </c>
      <c r="C39" s="175" t="e">
        <f>SUM(C19:C38)</f>
        <v>#REF!</v>
      </c>
      <c r="D39" s="31">
        <f>SUM(D19:D38)</f>
        <v>1012.92</v>
      </c>
      <c r="F39" s="52"/>
    </row>
    <row r="40" spans="1:6" x14ac:dyDescent="0.35">
      <c r="A40" s="32"/>
      <c r="B40" s="57" t="s">
        <v>8</v>
      </c>
      <c r="C40" s="175"/>
      <c r="D40" s="28"/>
      <c r="E40" s="52"/>
    </row>
    <row r="41" spans="1:6" x14ac:dyDescent="0.35">
      <c r="A41" s="27">
        <v>1100</v>
      </c>
      <c r="B41" s="54" t="s">
        <v>134</v>
      </c>
      <c r="C41" s="173">
        <f>0.5144-0.00029</f>
        <v>0.51410999999999996</v>
      </c>
      <c r="D41" s="28">
        <v>216.39</v>
      </c>
      <c r="E41" s="52"/>
    </row>
    <row r="42" spans="1:6" ht="16.5" customHeight="1" x14ac:dyDescent="0.35">
      <c r="A42" s="27">
        <v>1200</v>
      </c>
      <c r="B42" s="54" t="s">
        <v>135</v>
      </c>
      <c r="C42" s="173">
        <f>C41*0.2359</f>
        <v>0.12127854899999999</v>
      </c>
      <c r="D42" s="28">
        <v>51.05</v>
      </c>
    </row>
    <row r="43" spans="1:6" ht="16.5" customHeight="1" x14ac:dyDescent="0.35">
      <c r="A43" s="27">
        <v>2100</v>
      </c>
      <c r="B43" s="33" t="s">
        <v>44</v>
      </c>
      <c r="C43" s="173">
        <v>8.0999999999999996E-4</v>
      </c>
      <c r="D43" s="28">
        <v>0.3</v>
      </c>
    </row>
    <row r="44" spans="1:6" x14ac:dyDescent="0.35">
      <c r="A44" s="34">
        <v>2210</v>
      </c>
      <c r="B44" s="56" t="s">
        <v>138</v>
      </c>
      <c r="C44" s="173">
        <v>8.0000000000000002E-3</v>
      </c>
      <c r="D44" s="28">
        <v>2.92</v>
      </c>
    </row>
    <row r="45" spans="1:6" x14ac:dyDescent="0.35">
      <c r="A45" s="27">
        <v>2222</v>
      </c>
      <c r="B45" s="56" t="s">
        <v>139</v>
      </c>
      <c r="C45" s="173">
        <v>4.4400000000000004E-3</v>
      </c>
      <c r="D45" s="28">
        <v>2.62</v>
      </c>
    </row>
    <row r="46" spans="1:6" x14ac:dyDescent="0.35">
      <c r="A46" s="27">
        <v>2223</v>
      </c>
      <c r="B46" s="56" t="s">
        <v>140</v>
      </c>
      <c r="C46" s="173">
        <v>5.4940000000000003E-2</v>
      </c>
      <c r="D46" s="28">
        <v>22.03</v>
      </c>
    </row>
    <row r="47" spans="1:6" ht="31" x14ac:dyDescent="0.35">
      <c r="A47" s="27">
        <v>2224</v>
      </c>
      <c r="B47" s="56" t="s">
        <v>141</v>
      </c>
      <c r="C47" s="173">
        <v>3.0899999999999999E-3</v>
      </c>
      <c r="D47" s="28">
        <v>1.1299999999999999</v>
      </c>
    </row>
    <row r="48" spans="1:6" ht="15.75" customHeight="1" x14ac:dyDescent="0.35">
      <c r="A48" s="27">
        <v>2231</v>
      </c>
      <c r="B48" s="54" t="s">
        <v>142</v>
      </c>
      <c r="C48" s="173">
        <v>1.5E-3</v>
      </c>
      <c r="D48" s="28">
        <v>0.55000000000000004</v>
      </c>
    </row>
    <row r="49" spans="1:4" ht="15.75" customHeight="1" x14ac:dyDescent="0.35">
      <c r="A49" s="27">
        <v>2235</v>
      </c>
      <c r="B49" s="58" t="s">
        <v>143</v>
      </c>
      <c r="C49" s="173">
        <v>2.5100000000000001E-3</v>
      </c>
      <c r="D49" s="28">
        <v>0.91</v>
      </c>
    </row>
    <row r="50" spans="1:4" x14ac:dyDescent="0.35">
      <c r="A50" s="27">
        <v>2239</v>
      </c>
      <c r="B50" s="54" t="s">
        <v>144</v>
      </c>
      <c r="C50" s="173">
        <v>1.7899999999999999E-3</v>
      </c>
      <c r="D50" s="28">
        <v>0.65</v>
      </c>
    </row>
    <row r="51" spans="1:4" x14ac:dyDescent="0.35">
      <c r="A51" s="27">
        <v>2241</v>
      </c>
      <c r="B51" s="54" t="s">
        <v>145</v>
      </c>
      <c r="C51" s="173">
        <v>1.6500000000000001E-2</v>
      </c>
      <c r="D51" s="28">
        <v>10.01</v>
      </c>
    </row>
    <row r="52" spans="1:4" x14ac:dyDescent="0.35">
      <c r="A52" s="27">
        <v>2242</v>
      </c>
      <c r="B52" s="56" t="s">
        <v>146</v>
      </c>
      <c r="C52" s="173">
        <v>8.4999999999999995E-4</v>
      </c>
      <c r="D52" s="28">
        <v>0.31</v>
      </c>
    </row>
    <row r="53" spans="1:4" ht="15.75" customHeight="1" x14ac:dyDescent="0.35">
      <c r="A53" s="27">
        <v>2243</v>
      </c>
      <c r="B53" s="54" t="s">
        <v>147</v>
      </c>
      <c r="C53" s="173">
        <v>4.0000000000000002E-4</v>
      </c>
      <c r="D53" s="28">
        <v>0.15</v>
      </c>
    </row>
    <row r="54" spans="1:4" x14ac:dyDescent="0.35">
      <c r="A54" s="27">
        <v>2244</v>
      </c>
      <c r="B54" s="54" t="s">
        <v>148</v>
      </c>
      <c r="C54" s="173">
        <v>6.8070000000000006E-2</v>
      </c>
      <c r="D54" s="28">
        <v>24.81</v>
      </c>
    </row>
    <row r="55" spans="1:4" x14ac:dyDescent="0.35">
      <c r="A55" s="27">
        <v>2247</v>
      </c>
      <c r="B55" s="54" t="s">
        <v>149</v>
      </c>
      <c r="C55" s="173">
        <v>2.2000000000000001E-4</v>
      </c>
      <c r="D55" s="28">
        <v>0.08</v>
      </c>
    </row>
    <row r="56" spans="1:4" x14ac:dyDescent="0.35">
      <c r="A56" s="27">
        <v>2249</v>
      </c>
      <c r="B56" s="54" t="s">
        <v>150</v>
      </c>
      <c r="C56" s="173">
        <v>2.5000000000000001E-4</v>
      </c>
      <c r="D56" s="28">
        <v>0.09</v>
      </c>
    </row>
    <row r="57" spans="1:4" x14ac:dyDescent="0.35">
      <c r="A57" s="27">
        <v>2250</v>
      </c>
      <c r="B57" s="54" t="s">
        <v>151</v>
      </c>
      <c r="C57" s="173">
        <v>2.8400000000000002E-2</v>
      </c>
      <c r="D57" s="28">
        <v>10.35</v>
      </c>
    </row>
    <row r="58" spans="1:4" x14ac:dyDescent="0.35">
      <c r="A58" s="27">
        <v>2262</v>
      </c>
      <c r="B58" s="56" t="s">
        <v>152</v>
      </c>
      <c r="C58" s="173">
        <v>1.137E-2</v>
      </c>
      <c r="D58" s="28">
        <v>4.1399999999999997</v>
      </c>
    </row>
    <row r="59" spans="1:4" x14ac:dyDescent="0.35">
      <c r="A59" s="27">
        <v>2263</v>
      </c>
      <c r="B59" s="56" t="s">
        <v>153</v>
      </c>
      <c r="C59" s="173">
        <v>4.58E-2</v>
      </c>
      <c r="D59" s="28">
        <v>10.7</v>
      </c>
    </row>
    <row r="60" spans="1:4" x14ac:dyDescent="0.35">
      <c r="A60" s="27">
        <v>2264</v>
      </c>
      <c r="B60" s="54" t="s">
        <v>154</v>
      </c>
      <c r="C60" s="173">
        <v>2.4000000000000001E-4</v>
      </c>
      <c r="D60" s="28">
        <v>0.09</v>
      </c>
    </row>
    <row r="61" spans="1:4" x14ac:dyDescent="0.35">
      <c r="A61" s="27">
        <v>2311</v>
      </c>
      <c r="B61" s="56" t="s">
        <v>155</v>
      </c>
      <c r="C61" s="176">
        <v>7.1000000000000002E-4</v>
      </c>
      <c r="D61" s="28">
        <v>0.26</v>
      </c>
    </row>
    <row r="62" spans="1:4" x14ac:dyDescent="0.35">
      <c r="A62" s="27">
        <v>2314</v>
      </c>
      <c r="B62" s="58" t="s">
        <v>157</v>
      </c>
      <c r="C62" s="173">
        <v>4.6000000000000001E-4</v>
      </c>
      <c r="D62" s="28">
        <v>0.17</v>
      </c>
    </row>
    <row r="63" spans="1:4" x14ac:dyDescent="0.35">
      <c r="A63" s="27">
        <v>2321</v>
      </c>
      <c r="B63" s="56" t="s">
        <v>158</v>
      </c>
      <c r="C63" s="173">
        <v>6.0220000000000003E-2</v>
      </c>
      <c r="D63" s="28">
        <v>23.95</v>
      </c>
    </row>
    <row r="64" spans="1:4" x14ac:dyDescent="0.35">
      <c r="A64" s="27">
        <v>2322</v>
      </c>
      <c r="B64" s="56" t="s">
        <v>159</v>
      </c>
      <c r="C64" s="173">
        <v>2.0999999999999999E-3</v>
      </c>
      <c r="D64" s="28">
        <v>0.77</v>
      </c>
    </row>
    <row r="65" spans="1:7" ht="15.75" customHeight="1" x14ac:dyDescent="0.35">
      <c r="A65" s="27">
        <v>2513</v>
      </c>
      <c r="B65" s="55" t="s">
        <v>160</v>
      </c>
      <c r="C65" s="173">
        <v>6.3000000000000003E-4</v>
      </c>
      <c r="D65" s="28">
        <v>0.23</v>
      </c>
    </row>
    <row r="66" spans="1:7" x14ac:dyDescent="0.35">
      <c r="A66" s="27">
        <v>2515</v>
      </c>
      <c r="B66" s="56" t="s">
        <v>161</v>
      </c>
      <c r="C66" s="173">
        <v>2.7499999999999998E-3</v>
      </c>
      <c r="D66" s="28">
        <v>1</v>
      </c>
    </row>
    <row r="67" spans="1:7" x14ac:dyDescent="0.35">
      <c r="A67" s="27">
        <v>2519</v>
      </c>
      <c r="B67" s="56" t="s">
        <v>162</v>
      </c>
      <c r="C67" s="173">
        <v>1.5100000000000001E-3</v>
      </c>
      <c r="D67" s="28">
        <v>0.55000000000000004</v>
      </c>
    </row>
    <row r="68" spans="1:7" x14ac:dyDescent="0.35">
      <c r="A68" s="27">
        <v>5220</v>
      </c>
      <c r="B68" s="56" t="s">
        <v>163</v>
      </c>
      <c r="C68" s="173">
        <v>1.06E-2</v>
      </c>
      <c r="D68" s="28">
        <v>2.72</v>
      </c>
    </row>
    <row r="69" spans="1:7" x14ac:dyDescent="0.35">
      <c r="A69" s="27">
        <v>5238</v>
      </c>
      <c r="B69" s="55" t="s">
        <v>164</v>
      </c>
      <c r="C69" s="173">
        <v>1.65E-3</v>
      </c>
      <c r="D69" s="28">
        <v>0.6</v>
      </c>
    </row>
    <row r="70" spans="1:7" x14ac:dyDescent="0.35">
      <c r="A70" s="27">
        <v>5239</v>
      </c>
      <c r="B70" s="55" t="s">
        <v>165</v>
      </c>
      <c r="C70" s="173">
        <v>1.9800000000000002E-2</v>
      </c>
      <c r="D70" s="28">
        <v>3.79</v>
      </c>
    </row>
    <row r="71" spans="1:7" x14ac:dyDescent="0.35">
      <c r="A71" s="27">
        <v>5250</v>
      </c>
      <c r="B71" s="56" t="s">
        <v>166</v>
      </c>
      <c r="C71" s="173">
        <v>1.4999999999999999E-2</v>
      </c>
      <c r="D71" s="28">
        <v>3.68</v>
      </c>
    </row>
    <row r="72" spans="1:7" x14ac:dyDescent="0.35">
      <c r="A72" s="32"/>
      <c r="B72" s="59" t="s">
        <v>167</v>
      </c>
      <c r="C72" s="177">
        <f>SUM(C41:C71)</f>
        <v>0.99999854899999996</v>
      </c>
      <c r="D72" s="31">
        <f>SUM(D41:D71)</f>
        <v>397.00000000000006</v>
      </c>
    </row>
    <row r="73" spans="1:7" x14ac:dyDescent="0.35">
      <c r="A73" s="32"/>
      <c r="B73" s="59" t="s">
        <v>168</v>
      </c>
      <c r="C73" s="178"/>
      <c r="D73" s="31">
        <f>D39+D72</f>
        <v>1409.92</v>
      </c>
      <c r="E73" s="52"/>
    </row>
    <row r="74" spans="1:7" ht="12.75" customHeight="1" x14ac:dyDescent="0.35">
      <c r="A74" s="37"/>
      <c r="B74" s="20"/>
      <c r="C74" s="179"/>
      <c r="D74" s="60"/>
    </row>
    <row r="75" spans="1:7" ht="15.75" customHeight="1" x14ac:dyDescent="0.35">
      <c r="A75" s="211" t="s">
        <v>51</v>
      </c>
      <c r="B75" s="211"/>
      <c r="C75" s="180"/>
      <c r="D75" s="44">
        <v>4</v>
      </c>
    </row>
    <row r="76" spans="1:7" ht="15.75" customHeight="1" x14ac:dyDescent="0.35">
      <c r="A76" s="211" t="s">
        <v>58</v>
      </c>
      <c r="B76" s="211"/>
      <c r="C76" s="180"/>
      <c r="D76" s="45">
        <f>D73/D75</f>
        <v>352.48</v>
      </c>
      <c r="E76" s="52"/>
      <c r="G76" s="52"/>
    </row>
    <row r="77" spans="1:7" x14ac:dyDescent="0.35">
      <c r="A77" s="41"/>
      <c r="B77" s="42"/>
      <c r="C77" s="181"/>
    </row>
    <row r="78" spans="1:7" ht="15.75" customHeight="1" x14ac:dyDescent="0.35">
      <c r="A78" s="208" t="s">
        <v>52</v>
      </c>
      <c r="B78" s="208"/>
      <c r="C78" s="182"/>
      <c r="D78" s="40"/>
      <c r="E78" s="52"/>
    </row>
    <row r="79" spans="1:7" ht="15.75" customHeight="1" x14ac:dyDescent="0.35">
      <c r="A79" s="208" t="s">
        <v>74</v>
      </c>
      <c r="B79" s="208"/>
      <c r="C79" s="182"/>
      <c r="D79" s="69"/>
    </row>
    <row r="80" spans="1:7" x14ac:dyDescent="0.35">
      <c r="A80" s="17"/>
      <c r="B80" s="17"/>
      <c r="C80" s="183"/>
      <c r="D80" s="17"/>
    </row>
    <row r="81" spans="1:5" x14ac:dyDescent="0.35">
      <c r="A81" s="17" t="s">
        <v>53</v>
      </c>
      <c r="B81" s="17"/>
      <c r="C81" s="183"/>
      <c r="D81" s="48"/>
      <c r="E81" s="52"/>
    </row>
    <row r="82" spans="1:5" x14ac:dyDescent="0.35">
      <c r="A82" s="17"/>
      <c r="B82" s="17"/>
      <c r="C82" s="183"/>
      <c r="D82" s="48"/>
    </row>
    <row r="83" spans="1:5" x14ac:dyDescent="0.35">
      <c r="A83" s="17" t="s">
        <v>248</v>
      </c>
      <c r="B83" s="18"/>
      <c r="C83" s="184"/>
      <c r="D83" s="17"/>
    </row>
    <row r="84" spans="1:5" x14ac:dyDescent="0.35">
      <c r="B84" s="63"/>
      <c r="C84" s="185"/>
      <c r="D84" s="64"/>
    </row>
    <row r="86" spans="1:5" x14ac:dyDescent="0.35">
      <c r="D86" s="52"/>
    </row>
  </sheetData>
  <mergeCells count="10">
    <mergeCell ref="A75:B75"/>
    <mergeCell ref="A76:B76"/>
    <mergeCell ref="A78:B78"/>
    <mergeCell ref="A79:B79"/>
    <mergeCell ref="B14:D14"/>
    <mergeCell ref="B2:D2"/>
    <mergeCell ref="A7:D7"/>
    <mergeCell ref="A9:B9"/>
    <mergeCell ref="A10:B10"/>
    <mergeCell ref="B13:C13"/>
  </mergeCells>
  <pageMargins left="0.85393518518518519" right="0.70866141732283472" top="0.35433070866141736" bottom="0.73" header="0.31496062992125984" footer="0.52"/>
  <pageSetup paperSize="9" scale="56" orientation="portrait" r:id="rId1"/>
  <headerFooter>
    <oddFooter>&amp;F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7"/>
  <sheetViews>
    <sheetView view="pageLayout" topLeftCell="A13" zoomScale="80" zoomScaleNormal="100" zoomScalePageLayoutView="80" workbookViewId="0">
      <selection activeCell="A84" sqref="A84"/>
    </sheetView>
  </sheetViews>
  <sheetFormatPr defaultColWidth="9.1796875" defaultRowHeight="15.5" x14ac:dyDescent="0.35"/>
  <cols>
    <col min="1" max="1" width="19.26953125" style="12" customWidth="1"/>
    <col min="2" max="2" width="93" style="12" customWidth="1"/>
    <col min="3" max="3" width="8.7265625" style="78" hidden="1" customWidth="1"/>
    <col min="4" max="4" width="25.1796875" style="12" hidden="1" customWidth="1"/>
    <col min="5" max="5" width="35.26953125" style="12" customWidth="1"/>
    <col min="6" max="16384" width="9.1796875" style="12"/>
  </cols>
  <sheetData>
    <row r="1" spans="1:5" ht="15.75" customHeight="1" x14ac:dyDescent="0.35">
      <c r="B1" s="10"/>
      <c r="C1" s="73"/>
      <c r="D1" s="49" t="s">
        <v>50</v>
      </c>
      <c r="E1" s="49" t="s">
        <v>50</v>
      </c>
    </row>
    <row r="2" spans="1:5" x14ac:dyDescent="0.35">
      <c r="B2" s="11"/>
      <c r="C2" s="11"/>
      <c r="D2" s="11"/>
      <c r="E2" s="10" t="s">
        <v>54</v>
      </c>
    </row>
    <row r="3" spans="1:5" x14ac:dyDescent="0.35">
      <c r="B3" s="11"/>
      <c r="C3" s="141"/>
      <c r="D3" s="46" t="s">
        <v>76</v>
      </c>
      <c r="E3" s="46" t="s">
        <v>76</v>
      </c>
    </row>
    <row r="4" spans="1:5" x14ac:dyDescent="0.35">
      <c r="B4" s="10"/>
      <c r="C4" s="73"/>
      <c r="D4" s="37"/>
      <c r="E4" s="37"/>
    </row>
    <row r="5" spans="1:5" x14ac:dyDescent="0.35">
      <c r="B5" s="51"/>
      <c r="C5" s="80"/>
    </row>
    <row r="6" spans="1:5" x14ac:dyDescent="0.35">
      <c r="B6" s="51"/>
      <c r="C6" s="80"/>
      <c r="D6" s="37" t="s">
        <v>196</v>
      </c>
      <c r="E6" s="37" t="s">
        <v>246</v>
      </c>
    </row>
    <row r="7" spans="1:5" x14ac:dyDescent="0.35">
      <c r="D7" s="20"/>
      <c r="E7" s="20"/>
    </row>
    <row r="8" spans="1:5" x14ac:dyDescent="0.35">
      <c r="A8" s="209" t="s">
        <v>10</v>
      </c>
      <c r="B8" s="209"/>
      <c r="C8" s="209"/>
      <c r="D8" s="209"/>
      <c r="E8" s="50"/>
    </row>
    <row r="9" spans="1:5" x14ac:dyDescent="0.35">
      <c r="B9" s="53"/>
      <c r="C9" s="142"/>
      <c r="D9" s="20"/>
      <c r="E9" s="20"/>
    </row>
    <row r="10" spans="1:5" x14ac:dyDescent="0.35">
      <c r="A10" s="210" t="s">
        <v>1</v>
      </c>
      <c r="B10" s="210"/>
      <c r="C10" s="143"/>
      <c r="D10" s="20"/>
      <c r="E10" s="20"/>
    </row>
    <row r="11" spans="1:5" x14ac:dyDescent="0.35">
      <c r="A11" s="210" t="s">
        <v>0</v>
      </c>
      <c r="B11" s="210"/>
      <c r="C11" s="143"/>
      <c r="D11" s="20"/>
      <c r="E11" s="20"/>
    </row>
    <row r="12" spans="1:5" x14ac:dyDescent="0.35">
      <c r="A12" s="9"/>
      <c r="B12" s="9" t="s">
        <v>213</v>
      </c>
      <c r="C12" s="143"/>
      <c r="D12" s="20"/>
      <c r="E12" s="20"/>
    </row>
    <row r="13" spans="1:5" x14ac:dyDescent="0.35">
      <c r="A13" s="9"/>
      <c r="B13" s="9" t="s">
        <v>225</v>
      </c>
      <c r="C13" s="143"/>
      <c r="D13" s="20"/>
      <c r="E13" s="20"/>
    </row>
    <row r="14" spans="1:5" x14ac:dyDescent="0.35">
      <c r="A14" s="9"/>
      <c r="B14" s="9" t="s">
        <v>226</v>
      </c>
      <c r="C14" s="143"/>
      <c r="D14" s="20"/>
      <c r="E14" s="20"/>
    </row>
    <row r="15" spans="1:5" x14ac:dyDescent="0.35">
      <c r="A15" s="9"/>
      <c r="B15" s="9" t="s">
        <v>240</v>
      </c>
      <c r="C15" s="143"/>
      <c r="D15" s="20"/>
      <c r="E15" s="20"/>
    </row>
    <row r="16" spans="1:5" x14ac:dyDescent="0.35">
      <c r="A16" s="9" t="s">
        <v>2</v>
      </c>
      <c r="B16" s="9" t="s">
        <v>197</v>
      </c>
      <c r="C16" s="143"/>
      <c r="D16" s="20"/>
      <c r="E16" s="20"/>
    </row>
    <row r="17" spans="1:5" ht="69.75" customHeight="1" x14ac:dyDescent="0.35">
      <c r="A17" s="43" t="s">
        <v>3</v>
      </c>
      <c r="B17" s="43" t="s">
        <v>4</v>
      </c>
      <c r="C17" s="144"/>
      <c r="D17" s="43" t="s">
        <v>5</v>
      </c>
      <c r="E17" s="43" t="s">
        <v>5</v>
      </c>
    </row>
    <row r="18" spans="1:5" x14ac:dyDescent="0.35">
      <c r="A18" s="22">
        <v>1</v>
      </c>
      <c r="B18" s="23">
        <v>2</v>
      </c>
      <c r="C18" s="145"/>
      <c r="D18" s="23">
        <v>3</v>
      </c>
      <c r="E18" s="23">
        <v>3</v>
      </c>
    </row>
    <row r="19" spans="1:5" x14ac:dyDescent="0.35">
      <c r="A19" s="22"/>
      <c r="B19" s="54" t="s">
        <v>6</v>
      </c>
      <c r="C19" s="146"/>
      <c r="D19" s="55"/>
      <c r="E19" s="55"/>
    </row>
    <row r="20" spans="1:5" x14ac:dyDescent="0.35">
      <c r="A20" s="27">
        <v>1100</v>
      </c>
      <c r="B20" s="27" t="s">
        <v>134</v>
      </c>
      <c r="C20" s="147" t="e">
        <f>#REF!</f>
        <v>#REF!</v>
      </c>
      <c r="D20" s="28">
        <v>9034.68</v>
      </c>
      <c r="E20" s="28">
        <v>2655.07</v>
      </c>
    </row>
    <row r="21" spans="1:5" x14ac:dyDescent="0.35">
      <c r="A21" s="27">
        <v>1200</v>
      </c>
      <c r="B21" s="55" t="s">
        <v>135</v>
      </c>
      <c r="C21" s="148" t="e">
        <f>C20*0.2359</f>
        <v>#REF!</v>
      </c>
      <c r="D21" s="28">
        <v>2131.2800000000002</v>
      </c>
      <c r="E21" s="28">
        <v>626.33000000000004</v>
      </c>
    </row>
    <row r="22" spans="1:5" x14ac:dyDescent="0.35">
      <c r="A22" s="27">
        <v>2222</v>
      </c>
      <c r="B22" s="56" t="s">
        <v>139</v>
      </c>
      <c r="C22" s="149" t="e">
        <f>#REF!</f>
        <v>#REF!</v>
      </c>
      <c r="D22" s="28">
        <v>391.39</v>
      </c>
      <c r="E22" s="28">
        <v>112.72</v>
      </c>
    </row>
    <row r="23" spans="1:5" x14ac:dyDescent="0.35">
      <c r="A23" s="27">
        <v>2223</v>
      </c>
      <c r="B23" s="56" t="s">
        <v>140</v>
      </c>
      <c r="C23" s="149" t="e">
        <f>#REF!</f>
        <v>#REF!</v>
      </c>
      <c r="D23" s="28">
        <v>1118.82</v>
      </c>
      <c r="E23" s="28">
        <v>245.37</v>
      </c>
    </row>
    <row r="24" spans="1:5" ht="31" x14ac:dyDescent="0.35">
      <c r="A24" s="27">
        <v>2224</v>
      </c>
      <c r="B24" s="56" t="s">
        <v>141</v>
      </c>
      <c r="C24" s="149" t="e">
        <f>#REF!</f>
        <v>#REF!</v>
      </c>
      <c r="D24" s="28">
        <v>3.49</v>
      </c>
      <c r="E24" s="28">
        <v>1.01</v>
      </c>
    </row>
    <row r="25" spans="1:5" x14ac:dyDescent="0.35">
      <c r="A25" s="27">
        <v>2231</v>
      </c>
      <c r="B25" s="56" t="s">
        <v>142</v>
      </c>
      <c r="C25" s="149" t="e">
        <f>#REF!</f>
        <v>#REF!</v>
      </c>
      <c r="D25" s="28">
        <v>16.829999999999998</v>
      </c>
      <c r="E25" s="28">
        <v>4.04</v>
      </c>
    </row>
    <row r="26" spans="1:5" x14ac:dyDescent="0.35">
      <c r="A26" s="27">
        <v>2239</v>
      </c>
      <c r="B26" s="109" t="s">
        <v>195</v>
      </c>
      <c r="C26" s="149" t="e">
        <f>#REF!</f>
        <v>#REF!</v>
      </c>
      <c r="D26" s="28">
        <v>2.21</v>
      </c>
      <c r="E26" s="28">
        <v>0.53</v>
      </c>
    </row>
    <row r="27" spans="1:5" x14ac:dyDescent="0.35">
      <c r="A27" s="27">
        <v>2243</v>
      </c>
      <c r="B27" s="54" t="s">
        <v>147</v>
      </c>
      <c r="C27" s="146" t="e">
        <f>#REF!</f>
        <v>#REF!</v>
      </c>
      <c r="D27" s="28">
        <v>37.57</v>
      </c>
      <c r="E27" s="28">
        <v>9.01</v>
      </c>
    </row>
    <row r="28" spans="1:5" x14ac:dyDescent="0.35">
      <c r="A28" s="27">
        <v>2244</v>
      </c>
      <c r="B28" s="54" t="s">
        <v>148</v>
      </c>
      <c r="C28" s="146" t="e">
        <f>#REF!</f>
        <v>#REF!</v>
      </c>
      <c r="D28" s="28">
        <v>1495.1</v>
      </c>
      <c r="E28" s="28">
        <v>318.82</v>
      </c>
    </row>
    <row r="29" spans="1:5" x14ac:dyDescent="0.35">
      <c r="A29" s="27">
        <v>2250</v>
      </c>
      <c r="B29" s="54" t="s">
        <v>151</v>
      </c>
      <c r="C29" s="146" t="e">
        <f>#REF!</f>
        <v>#REF!</v>
      </c>
      <c r="D29" s="28">
        <v>79.27</v>
      </c>
      <c r="E29" s="28">
        <v>19.02</v>
      </c>
    </row>
    <row r="30" spans="1:5" x14ac:dyDescent="0.35">
      <c r="A30" s="27">
        <v>2311</v>
      </c>
      <c r="B30" s="56" t="s">
        <v>155</v>
      </c>
      <c r="C30" s="146" t="e">
        <f>#REF!</f>
        <v>#REF!</v>
      </c>
      <c r="D30" s="28">
        <v>1167.6600000000001</v>
      </c>
      <c r="E30" s="28">
        <v>80.239999999999995</v>
      </c>
    </row>
    <row r="31" spans="1:5" x14ac:dyDescent="0.35">
      <c r="A31" s="27">
        <v>2312</v>
      </c>
      <c r="B31" s="54" t="s">
        <v>156</v>
      </c>
      <c r="C31" s="146" t="e">
        <f>#REF!</f>
        <v>#REF!</v>
      </c>
      <c r="D31" s="28">
        <v>551.12</v>
      </c>
      <c r="E31" s="28">
        <v>82.26</v>
      </c>
    </row>
    <row r="32" spans="1:5" x14ac:dyDescent="0.35">
      <c r="A32" s="27">
        <v>2314</v>
      </c>
      <c r="B32" s="54" t="s">
        <v>157</v>
      </c>
      <c r="C32" s="146" t="e">
        <f>#REF!</f>
        <v>#REF!</v>
      </c>
      <c r="D32" s="28">
        <v>1.81</v>
      </c>
      <c r="E32" s="28">
        <v>0.43</v>
      </c>
    </row>
    <row r="33" spans="1:5" x14ac:dyDescent="0.35">
      <c r="A33" s="27">
        <v>2321</v>
      </c>
      <c r="B33" s="56" t="s">
        <v>158</v>
      </c>
      <c r="C33" s="149" t="e">
        <f>#REF!</f>
        <v>#REF!</v>
      </c>
      <c r="D33" s="28">
        <v>848.22</v>
      </c>
      <c r="E33" s="28">
        <v>194.28</v>
      </c>
    </row>
    <row r="34" spans="1:5" x14ac:dyDescent="0.35">
      <c r="A34" s="27">
        <v>2341</v>
      </c>
      <c r="B34" s="56" t="s">
        <v>136</v>
      </c>
      <c r="C34" s="149" t="e">
        <f>#REF!</f>
        <v>#REF!</v>
      </c>
      <c r="D34" s="28">
        <v>180.62</v>
      </c>
      <c r="E34" s="28">
        <v>43.34</v>
      </c>
    </row>
    <row r="35" spans="1:5" x14ac:dyDescent="0.35">
      <c r="A35" s="27">
        <v>2350</v>
      </c>
      <c r="B35" s="55" t="s">
        <v>137</v>
      </c>
      <c r="C35" s="149" t="e">
        <f>#REF!</f>
        <v>#REF!</v>
      </c>
      <c r="D35" s="28">
        <v>360.22</v>
      </c>
      <c r="E35" s="28">
        <v>56.45</v>
      </c>
    </row>
    <row r="36" spans="1:5" x14ac:dyDescent="0.35">
      <c r="A36" s="27">
        <v>2361</v>
      </c>
      <c r="B36" s="56" t="s">
        <v>170</v>
      </c>
      <c r="C36" s="149" t="e">
        <f>#REF!</f>
        <v>#REF!</v>
      </c>
      <c r="D36" s="28">
        <v>154.82</v>
      </c>
      <c r="E36" s="28">
        <v>37.15</v>
      </c>
    </row>
    <row r="37" spans="1:5" x14ac:dyDescent="0.35">
      <c r="A37" s="27">
        <v>2362</v>
      </c>
      <c r="B37" s="56" t="s">
        <v>171</v>
      </c>
      <c r="C37" s="149" t="e">
        <f>#REF!</f>
        <v>#REF!</v>
      </c>
      <c r="D37" s="28">
        <v>13.2</v>
      </c>
      <c r="E37" s="28">
        <v>3.17</v>
      </c>
    </row>
    <row r="38" spans="1:5" x14ac:dyDescent="0.35">
      <c r="A38" s="27">
        <v>2363</v>
      </c>
      <c r="B38" s="56" t="s">
        <v>172</v>
      </c>
      <c r="C38" s="191">
        <f>9.75*5</f>
        <v>48.75</v>
      </c>
      <c r="D38" s="28">
        <f>C38*50</f>
        <v>2437.5</v>
      </c>
      <c r="E38" s="28">
        <v>585</v>
      </c>
    </row>
    <row r="39" spans="1:5" x14ac:dyDescent="0.35">
      <c r="A39" s="27">
        <v>5239</v>
      </c>
      <c r="B39" s="55" t="s">
        <v>165</v>
      </c>
      <c r="C39" s="151" t="e">
        <f>#REF!</f>
        <v>#REF!</v>
      </c>
      <c r="D39" s="28">
        <v>721.32</v>
      </c>
      <c r="E39" s="28">
        <v>103.11</v>
      </c>
    </row>
    <row r="40" spans="1:5" x14ac:dyDescent="0.35">
      <c r="A40" s="27"/>
      <c r="B40" s="57" t="s">
        <v>7</v>
      </c>
      <c r="C40" s="152" t="e">
        <f>SUM(C20:C39)</f>
        <v>#REF!</v>
      </c>
      <c r="D40" s="31">
        <f>SUM(D20:D39)</f>
        <v>20747.13</v>
      </c>
      <c r="E40" s="31">
        <f>SUM(E20:E39)</f>
        <v>5177.3499999999995</v>
      </c>
    </row>
    <row r="41" spans="1:5" x14ac:dyDescent="0.35">
      <c r="A41" s="32"/>
      <c r="B41" s="57" t="s">
        <v>8</v>
      </c>
      <c r="C41" s="152"/>
      <c r="D41" s="28"/>
      <c r="E41" s="28"/>
    </row>
    <row r="42" spans="1:5" x14ac:dyDescent="0.35">
      <c r="A42" s="27">
        <v>1100</v>
      </c>
      <c r="B42" s="54" t="s">
        <v>134</v>
      </c>
      <c r="C42" s="151">
        <f>0.5144-0.00029</f>
        <v>0.51410999999999996</v>
      </c>
      <c r="D42" s="28">
        <v>4122.32</v>
      </c>
      <c r="E42" s="28">
        <v>1065.25</v>
      </c>
    </row>
    <row r="43" spans="1:5" ht="16.5" customHeight="1" x14ac:dyDescent="0.35">
      <c r="A43" s="27">
        <v>1200</v>
      </c>
      <c r="B43" s="54" t="s">
        <v>135</v>
      </c>
      <c r="C43" s="151">
        <f>C42*0.2359</f>
        <v>0.12127854899999999</v>
      </c>
      <c r="D43" s="28">
        <v>972.46</v>
      </c>
      <c r="E43" s="28">
        <v>251.29</v>
      </c>
    </row>
    <row r="44" spans="1:5" ht="16.5" customHeight="1" x14ac:dyDescent="0.35">
      <c r="A44" s="27">
        <v>2100</v>
      </c>
      <c r="B44" s="33" t="s">
        <v>44</v>
      </c>
      <c r="C44" s="151">
        <v>8.0999999999999996E-4</v>
      </c>
      <c r="D44" s="28">
        <v>6.51</v>
      </c>
      <c r="E44" s="28">
        <v>1.56</v>
      </c>
    </row>
    <row r="45" spans="1:5" x14ac:dyDescent="0.35">
      <c r="A45" s="34">
        <v>2210</v>
      </c>
      <c r="B45" s="56" t="s">
        <v>138</v>
      </c>
      <c r="C45" s="151">
        <v>8.0000000000000002E-3</v>
      </c>
      <c r="D45" s="28">
        <v>64.150000000000006</v>
      </c>
      <c r="E45" s="28">
        <v>15.4</v>
      </c>
    </row>
    <row r="46" spans="1:5" x14ac:dyDescent="0.35">
      <c r="A46" s="27">
        <v>2222</v>
      </c>
      <c r="B46" s="56" t="s">
        <v>139</v>
      </c>
      <c r="C46" s="151">
        <v>4.4400000000000004E-3</v>
      </c>
      <c r="D46" s="28">
        <v>35.6</v>
      </c>
      <c r="E46" s="28">
        <v>17.04</v>
      </c>
    </row>
    <row r="47" spans="1:5" x14ac:dyDescent="0.35">
      <c r="A47" s="27">
        <v>2223</v>
      </c>
      <c r="B47" s="56" t="s">
        <v>140</v>
      </c>
      <c r="C47" s="151">
        <v>5.4940000000000003E-2</v>
      </c>
      <c r="D47" s="28">
        <v>440.53</v>
      </c>
      <c r="E47" s="28">
        <v>126.97</v>
      </c>
    </row>
    <row r="48" spans="1:5" ht="31" x14ac:dyDescent="0.35">
      <c r="A48" s="27">
        <v>2224</v>
      </c>
      <c r="B48" s="56" t="s">
        <v>141</v>
      </c>
      <c r="C48" s="151">
        <v>3.0899999999999999E-3</v>
      </c>
      <c r="D48" s="28">
        <v>24.78</v>
      </c>
      <c r="E48" s="28">
        <v>8.92</v>
      </c>
    </row>
    <row r="49" spans="1:5" ht="15.75" customHeight="1" x14ac:dyDescent="0.35">
      <c r="A49" s="27">
        <v>2231</v>
      </c>
      <c r="B49" s="54" t="s">
        <v>142</v>
      </c>
      <c r="C49" s="151">
        <v>1.5E-3</v>
      </c>
      <c r="D49" s="28">
        <v>12.03</v>
      </c>
      <c r="E49" s="28">
        <v>2.89</v>
      </c>
    </row>
    <row r="50" spans="1:5" ht="15.75" customHeight="1" x14ac:dyDescent="0.35">
      <c r="A50" s="27">
        <v>2235</v>
      </c>
      <c r="B50" s="58" t="s">
        <v>143</v>
      </c>
      <c r="C50" s="151">
        <v>2.5100000000000001E-3</v>
      </c>
      <c r="D50" s="28">
        <v>20.13</v>
      </c>
      <c r="E50" s="28">
        <v>4.83</v>
      </c>
    </row>
    <row r="51" spans="1:5" x14ac:dyDescent="0.35">
      <c r="A51" s="27">
        <v>2239</v>
      </c>
      <c r="B51" s="54" t="s">
        <v>144</v>
      </c>
      <c r="C51" s="151">
        <v>1.7899999999999999E-3</v>
      </c>
      <c r="D51" s="28">
        <v>14.35</v>
      </c>
      <c r="E51" s="28">
        <v>3.44</v>
      </c>
    </row>
    <row r="52" spans="1:5" x14ac:dyDescent="0.35">
      <c r="A52" s="27">
        <v>2241</v>
      </c>
      <c r="B52" s="54" t="s">
        <v>145</v>
      </c>
      <c r="C52" s="151">
        <v>1.6500000000000001E-2</v>
      </c>
      <c r="D52" s="28">
        <v>132.30000000000001</v>
      </c>
      <c r="E52" s="28">
        <v>38.1</v>
      </c>
    </row>
    <row r="53" spans="1:5" x14ac:dyDescent="0.35">
      <c r="A53" s="27">
        <v>2242</v>
      </c>
      <c r="B53" s="56" t="s">
        <v>146</v>
      </c>
      <c r="C53" s="151">
        <v>8.4999999999999995E-4</v>
      </c>
      <c r="D53" s="28">
        <v>6.82</v>
      </c>
      <c r="E53" s="28">
        <v>1.64</v>
      </c>
    </row>
    <row r="54" spans="1:5" ht="15.75" customHeight="1" x14ac:dyDescent="0.35">
      <c r="A54" s="27">
        <v>2243</v>
      </c>
      <c r="B54" s="54" t="s">
        <v>147</v>
      </c>
      <c r="C54" s="151">
        <v>4.0000000000000002E-4</v>
      </c>
      <c r="D54" s="28">
        <v>3.21</v>
      </c>
      <c r="E54" s="28">
        <v>0.78</v>
      </c>
    </row>
    <row r="55" spans="1:5" x14ac:dyDescent="0.35">
      <c r="A55" s="27">
        <v>2244</v>
      </c>
      <c r="B55" s="54" t="s">
        <v>148</v>
      </c>
      <c r="C55" s="151">
        <v>6.8070000000000006E-2</v>
      </c>
      <c r="D55" s="28">
        <v>545.80999999999995</v>
      </c>
      <c r="E55" s="28">
        <v>120.99</v>
      </c>
    </row>
    <row r="56" spans="1:5" x14ac:dyDescent="0.35">
      <c r="A56" s="27">
        <v>2247</v>
      </c>
      <c r="B56" s="54" t="s">
        <v>149</v>
      </c>
      <c r="C56" s="151">
        <v>2.2000000000000001E-4</v>
      </c>
      <c r="D56" s="28">
        <v>1.76</v>
      </c>
      <c r="E56" s="28">
        <v>0.42</v>
      </c>
    </row>
    <row r="57" spans="1:5" x14ac:dyDescent="0.35">
      <c r="A57" s="27">
        <v>2249</v>
      </c>
      <c r="B57" s="54" t="s">
        <v>150</v>
      </c>
      <c r="C57" s="151">
        <v>2.5000000000000001E-4</v>
      </c>
      <c r="D57" s="28">
        <v>2</v>
      </c>
      <c r="E57" s="28">
        <v>0.48</v>
      </c>
    </row>
    <row r="58" spans="1:5" x14ac:dyDescent="0.35">
      <c r="A58" s="27">
        <v>2250</v>
      </c>
      <c r="B58" s="54" t="s">
        <v>151</v>
      </c>
      <c r="C58" s="151">
        <v>2.8400000000000002E-2</v>
      </c>
      <c r="D58" s="28">
        <v>227.72</v>
      </c>
      <c r="E58" s="28">
        <v>54.65</v>
      </c>
    </row>
    <row r="59" spans="1:5" x14ac:dyDescent="0.35">
      <c r="A59" s="27">
        <v>2262</v>
      </c>
      <c r="B59" s="56" t="s">
        <v>152</v>
      </c>
      <c r="C59" s="151">
        <v>1.137E-2</v>
      </c>
      <c r="D59" s="28">
        <v>91.17</v>
      </c>
      <c r="E59" s="28">
        <v>21.88</v>
      </c>
    </row>
    <row r="60" spans="1:5" x14ac:dyDescent="0.35">
      <c r="A60" s="27">
        <v>2263</v>
      </c>
      <c r="B60" s="56" t="s">
        <v>153</v>
      </c>
      <c r="C60" s="151">
        <v>4.58E-2</v>
      </c>
      <c r="D60" s="28">
        <v>367.24</v>
      </c>
      <c r="E60" s="28">
        <v>88.14</v>
      </c>
    </row>
    <row r="61" spans="1:5" x14ac:dyDescent="0.35">
      <c r="A61" s="27">
        <v>2264</v>
      </c>
      <c r="B61" s="54" t="s">
        <v>154</v>
      </c>
      <c r="C61" s="151">
        <v>2.4000000000000001E-4</v>
      </c>
      <c r="D61" s="28">
        <v>1.92</v>
      </c>
      <c r="E61" s="28">
        <v>0.46</v>
      </c>
    </row>
    <row r="62" spans="1:5" x14ac:dyDescent="0.35">
      <c r="A62" s="27">
        <v>2311</v>
      </c>
      <c r="B62" s="56" t="s">
        <v>155</v>
      </c>
      <c r="C62" s="153">
        <v>7.1000000000000002E-4</v>
      </c>
      <c r="D62" s="28">
        <v>5.69</v>
      </c>
      <c r="E62" s="28">
        <v>1.37</v>
      </c>
    </row>
    <row r="63" spans="1:5" x14ac:dyDescent="0.35">
      <c r="A63" s="27">
        <v>2314</v>
      </c>
      <c r="B63" s="58" t="s">
        <v>157</v>
      </c>
      <c r="C63" s="151">
        <v>4.6000000000000001E-4</v>
      </c>
      <c r="D63" s="28">
        <v>3.69</v>
      </c>
      <c r="E63" s="28">
        <v>0.89</v>
      </c>
    </row>
    <row r="64" spans="1:5" x14ac:dyDescent="0.35">
      <c r="A64" s="27">
        <v>2321</v>
      </c>
      <c r="B64" s="56" t="s">
        <v>158</v>
      </c>
      <c r="C64" s="151">
        <v>6.0220000000000003E-2</v>
      </c>
      <c r="D64" s="28">
        <v>482.87</v>
      </c>
      <c r="E64" s="28">
        <v>129.07</v>
      </c>
    </row>
    <row r="65" spans="1:5" x14ac:dyDescent="0.35">
      <c r="A65" s="27">
        <v>2322</v>
      </c>
      <c r="B65" s="56" t="s">
        <v>159</v>
      </c>
      <c r="C65" s="151">
        <v>2.0999999999999999E-3</v>
      </c>
      <c r="D65" s="28">
        <v>16.84</v>
      </c>
      <c r="E65" s="28">
        <v>4.04</v>
      </c>
    </row>
    <row r="66" spans="1:5" ht="15.75" customHeight="1" x14ac:dyDescent="0.35">
      <c r="A66" s="27">
        <v>2513</v>
      </c>
      <c r="B66" s="55" t="s">
        <v>160</v>
      </c>
      <c r="C66" s="151">
        <v>6.3000000000000003E-4</v>
      </c>
      <c r="D66" s="28">
        <v>5.05</v>
      </c>
      <c r="E66" s="28">
        <v>1.21</v>
      </c>
    </row>
    <row r="67" spans="1:5" x14ac:dyDescent="0.35">
      <c r="A67" s="27">
        <v>2515</v>
      </c>
      <c r="B67" s="56" t="s">
        <v>161</v>
      </c>
      <c r="C67" s="151">
        <v>2.7499999999999998E-3</v>
      </c>
      <c r="D67" s="28">
        <v>22.05</v>
      </c>
      <c r="E67" s="28">
        <v>5.29</v>
      </c>
    </row>
    <row r="68" spans="1:5" x14ac:dyDescent="0.35">
      <c r="A68" s="27">
        <v>2519</v>
      </c>
      <c r="B68" s="56" t="s">
        <v>162</v>
      </c>
      <c r="C68" s="151">
        <v>1.5100000000000001E-3</v>
      </c>
      <c r="D68" s="28">
        <v>12.11</v>
      </c>
      <c r="E68" s="28">
        <v>2.91</v>
      </c>
    </row>
    <row r="69" spans="1:5" x14ac:dyDescent="0.35">
      <c r="A69" s="27">
        <v>5220</v>
      </c>
      <c r="B69" s="56" t="s">
        <v>163</v>
      </c>
      <c r="C69" s="151">
        <v>1.06E-2</v>
      </c>
      <c r="D69" s="28">
        <v>84.99</v>
      </c>
      <c r="E69" s="28">
        <v>10.4</v>
      </c>
    </row>
    <row r="70" spans="1:5" x14ac:dyDescent="0.35">
      <c r="A70" s="27">
        <v>5238</v>
      </c>
      <c r="B70" s="55" t="s">
        <v>164</v>
      </c>
      <c r="C70" s="151">
        <v>1.65E-3</v>
      </c>
      <c r="D70" s="28">
        <v>13.23</v>
      </c>
      <c r="E70" s="28">
        <v>3.18</v>
      </c>
    </row>
    <row r="71" spans="1:5" x14ac:dyDescent="0.35">
      <c r="A71" s="27">
        <v>5239</v>
      </c>
      <c r="B71" s="55" t="s">
        <v>165</v>
      </c>
      <c r="C71" s="151">
        <v>1.9800000000000002E-2</v>
      </c>
      <c r="D71" s="28">
        <v>158.76</v>
      </c>
      <c r="E71" s="28">
        <v>28.09</v>
      </c>
    </row>
    <row r="72" spans="1:5" x14ac:dyDescent="0.35">
      <c r="A72" s="27">
        <v>5250</v>
      </c>
      <c r="B72" s="56" t="s">
        <v>166</v>
      </c>
      <c r="C72" s="151">
        <v>1.4999999999999999E-2</v>
      </c>
      <c r="D72" s="28">
        <v>120.28</v>
      </c>
      <c r="E72" s="28">
        <v>18.87</v>
      </c>
    </row>
    <row r="73" spans="1:5" x14ac:dyDescent="0.35">
      <c r="A73" s="32"/>
      <c r="B73" s="59" t="s">
        <v>167</v>
      </c>
      <c r="C73" s="154"/>
      <c r="D73" s="31">
        <f>SUM(D42:D72)</f>
        <v>8018.369999999999</v>
      </c>
      <c r="E73" s="31">
        <f>SUM(E42:E72)</f>
        <v>2030.4500000000005</v>
      </c>
    </row>
    <row r="74" spans="1:5" x14ac:dyDescent="0.35">
      <c r="A74" s="32"/>
      <c r="B74" s="59" t="s">
        <v>168</v>
      </c>
      <c r="C74" s="154"/>
      <c r="D74" s="31">
        <f>D40+D73</f>
        <v>28765.5</v>
      </c>
      <c r="E74" s="31">
        <f>E40+E73</f>
        <v>7207.8</v>
      </c>
    </row>
    <row r="75" spans="1:5" ht="12.75" customHeight="1" x14ac:dyDescent="0.35">
      <c r="A75" s="37"/>
      <c r="B75" s="20"/>
      <c r="C75" s="155"/>
      <c r="D75" s="60"/>
      <c r="E75" s="60"/>
    </row>
    <row r="76" spans="1:5" ht="15.75" customHeight="1" x14ac:dyDescent="0.35">
      <c r="A76" s="211" t="s">
        <v>51</v>
      </c>
      <c r="B76" s="211"/>
      <c r="C76" s="156"/>
      <c r="D76" s="44">
        <v>50</v>
      </c>
      <c r="E76" s="44">
        <v>10</v>
      </c>
    </row>
    <row r="77" spans="1:5" ht="15.75" customHeight="1" x14ac:dyDescent="0.35">
      <c r="A77" s="211" t="s">
        <v>58</v>
      </c>
      <c r="B77" s="211"/>
      <c r="C77" s="156"/>
      <c r="D77" s="45">
        <f>D74/D76</f>
        <v>575.30999999999995</v>
      </c>
      <c r="E77" s="45">
        <f>E74/E76</f>
        <v>720.78</v>
      </c>
    </row>
    <row r="78" spans="1:5" ht="9.75" customHeight="1" x14ac:dyDescent="0.35">
      <c r="A78" s="41"/>
      <c r="B78" s="42"/>
      <c r="C78" s="157"/>
    </row>
    <row r="79" spans="1:5" ht="15.75" customHeight="1" x14ac:dyDescent="0.35">
      <c r="A79" s="208" t="s">
        <v>52</v>
      </c>
      <c r="B79" s="208"/>
      <c r="C79" s="158"/>
      <c r="D79" s="140"/>
      <c r="E79" s="140"/>
    </row>
    <row r="80" spans="1:5" ht="15.75" customHeight="1" x14ac:dyDescent="0.35">
      <c r="A80" s="208" t="s">
        <v>74</v>
      </c>
      <c r="B80" s="208"/>
      <c r="C80" s="158"/>
      <c r="D80" s="40"/>
      <c r="E80" s="40"/>
    </row>
    <row r="81" spans="1:6" ht="8.25" customHeight="1" x14ac:dyDescent="0.35">
      <c r="A81" s="17"/>
      <c r="B81" s="17"/>
      <c r="C81" s="159"/>
      <c r="D81" s="17"/>
      <c r="E81" s="17"/>
    </row>
    <row r="82" spans="1:6" x14ac:dyDescent="0.35">
      <c r="A82" s="17" t="s">
        <v>53</v>
      </c>
      <c r="B82" s="17"/>
      <c r="C82" s="159"/>
      <c r="D82" s="48"/>
      <c r="E82" s="48"/>
    </row>
    <row r="83" spans="1:6" x14ac:dyDescent="0.35">
      <c r="A83" s="17"/>
      <c r="B83" s="17"/>
      <c r="C83" s="160"/>
      <c r="D83" s="48"/>
      <c r="E83" s="48"/>
    </row>
    <row r="84" spans="1:6" x14ac:dyDescent="0.35">
      <c r="A84" s="17" t="s">
        <v>248</v>
      </c>
      <c r="B84" s="18"/>
      <c r="C84" s="161"/>
      <c r="D84" s="48"/>
      <c r="E84" s="48"/>
    </row>
    <row r="85" spans="1:6" x14ac:dyDescent="0.35">
      <c r="B85" s="63"/>
      <c r="C85" s="162"/>
      <c r="D85" s="64"/>
      <c r="E85" s="64"/>
    </row>
    <row r="86" spans="1:6" x14ac:dyDescent="0.35">
      <c r="E86" s="64"/>
      <c r="F86" s="64"/>
    </row>
    <row r="87" spans="1:6" x14ac:dyDescent="0.35">
      <c r="D87" s="52"/>
      <c r="E87" s="52"/>
    </row>
  </sheetData>
  <mergeCells count="7">
    <mergeCell ref="A80:B80"/>
    <mergeCell ref="A8:D8"/>
    <mergeCell ref="A10:B10"/>
    <mergeCell ref="A11:B11"/>
    <mergeCell ref="A76:B76"/>
    <mergeCell ref="A77:B77"/>
    <mergeCell ref="A79:B79"/>
  </mergeCells>
  <pageMargins left="1.2490885416666666" right="0.64869791666666665" top="0.75" bottom="0.75" header="0.3" footer="0.3"/>
  <pageSetup paperSize="9" scale="53" orientation="portrait" verticalDpi="0" r:id="rId1"/>
  <headerFooter>
    <oddFooter>&amp;F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7"/>
  <sheetViews>
    <sheetView tabSelected="1" view="pageLayout" zoomScale="80" zoomScaleNormal="100" zoomScalePageLayoutView="80" workbookViewId="0">
      <selection activeCell="B13" sqref="B13"/>
    </sheetView>
  </sheetViews>
  <sheetFormatPr defaultColWidth="9.1796875" defaultRowHeight="15.5" x14ac:dyDescent="0.35"/>
  <cols>
    <col min="1" max="1" width="24.7265625" style="12" customWidth="1"/>
    <col min="2" max="2" width="93" style="12" customWidth="1"/>
    <col min="3" max="3" width="8.7265625" style="78" hidden="1" customWidth="1"/>
    <col min="4" max="4" width="25.1796875" style="12" hidden="1" customWidth="1"/>
    <col min="5" max="5" width="31.1796875" style="12" customWidth="1"/>
    <col min="6" max="16384" width="9.1796875" style="12"/>
  </cols>
  <sheetData>
    <row r="1" spans="1:5" ht="15.75" customHeight="1" x14ac:dyDescent="0.35">
      <c r="B1" s="10"/>
      <c r="C1" s="73"/>
      <c r="D1" s="49" t="s">
        <v>50</v>
      </c>
      <c r="E1" s="49" t="s">
        <v>50</v>
      </c>
    </row>
    <row r="2" spans="1:5" x14ac:dyDescent="0.35">
      <c r="B2" s="11"/>
      <c r="C2" s="11"/>
      <c r="D2" s="11"/>
      <c r="E2" s="10" t="s">
        <v>54</v>
      </c>
    </row>
    <row r="3" spans="1:5" x14ac:dyDescent="0.35">
      <c r="B3" s="11"/>
      <c r="C3" s="141"/>
      <c r="D3" s="46" t="s">
        <v>76</v>
      </c>
      <c r="E3" s="46" t="s">
        <v>76</v>
      </c>
    </row>
    <row r="4" spans="1:5" x14ac:dyDescent="0.35">
      <c r="B4" s="10"/>
      <c r="C4" s="73"/>
      <c r="D4" s="37"/>
      <c r="E4" s="37"/>
    </row>
    <row r="5" spans="1:5" x14ac:dyDescent="0.35">
      <c r="B5" s="51"/>
      <c r="C5" s="80"/>
    </row>
    <row r="6" spans="1:5" x14ac:dyDescent="0.35">
      <c r="B6" s="51"/>
      <c r="C6" s="80"/>
      <c r="D6" s="37" t="s">
        <v>196</v>
      </c>
      <c r="E6" s="37" t="s">
        <v>246</v>
      </c>
    </row>
    <row r="7" spans="1:5" x14ac:dyDescent="0.35">
      <c r="D7" s="20"/>
      <c r="E7" s="20"/>
    </row>
    <row r="8" spans="1:5" x14ac:dyDescent="0.35">
      <c r="A8" s="209" t="s">
        <v>10</v>
      </c>
      <c r="B8" s="209"/>
      <c r="C8" s="209"/>
      <c r="D8" s="209"/>
      <c r="E8" s="50"/>
    </row>
    <row r="9" spans="1:5" x14ac:dyDescent="0.35">
      <c r="B9" s="53"/>
      <c r="C9" s="142"/>
      <c r="D9" s="20"/>
      <c r="E9" s="20"/>
    </row>
    <row r="10" spans="1:5" x14ac:dyDescent="0.35">
      <c r="A10" s="210" t="s">
        <v>1</v>
      </c>
      <c r="B10" s="210"/>
      <c r="C10" s="143"/>
      <c r="D10" s="20"/>
      <c r="E10" s="20"/>
    </row>
    <row r="11" spans="1:5" x14ac:dyDescent="0.35">
      <c r="A11" s="210" t="s">
        <v>0</v>
      </c>
      <c r="B11" s="210"/>
      <c r="C11" s="143"/>
      <c r="D11" s="20"/>
      <c r="E11" s="20"/>
    </row>
    <row r="12" spans="1:5" x14ac:dyDescent="0.35">
      <c r="A12" s="9"/>
      <c r="B12" s="9" t="s">
        <v>213</v>
      </c>
      <c r="C12" s="143"/>
      <c r="D12" s="20"/>
      <c r="E12" s="20"/>
    </row>
    <row r="13" spans="1:5" x14ac:dyDescent="0.35">
      <c r="A13" s="9"/>
      <c r="B13" s="9" t="s">
        <v>225</v>
      </c>
      <c r="C13" s="143"/>
      <c r="D13" s="20"/>
      <c r="E13" s="20"/>
    </row>
    <row r="14" spans="1:5" x14ac:dyDescent="0.35">
      <c r="A14" s="9"/>
      <c r="B14" s="9" t="s">
        <v>226</v>
      </c>
      <c r="C14" s="143"/>
      <c r="D14" s="20"/>
      <c r="E14" s="20"/>
    </row>
    <row r="15" spans="1:5" x14ac:dyDescent="0.35">
      <c r="A15" s="9"/>
      <c r="B15" s="9" t="s">
        <v>249</v>
      </c>
      <c r="C15" s="143"/>
      <c r="D15" s="20"/>
      <c r="E15" s="20"/>
    </row>
    <row r="16" spans="1:5" x14ac:dyDescent="0.35">
      <c r="A16" s="9" t="s">
        <v>2</v>
      </c>
      <c r="B16" s="9" t="s">
        <v>197</v>
      </c>
      <c r="C16" s="143"/>
      <c r="D16" s="20"/>
      <c r="E16" s="20"/>
    </row>
    <row r="17" spans="1:5" ht="69.75" customHeight="1" x14ac:dyDescent="0.35">
      <c r="A17" s="43" t="s">
        <v>3</v>
      </c>
      <c r="B17" s="43" t="s">
        <v>4</v>
      </c>
      <c r="C17" s="144"/>
      <c r="D17" s="43" t="s">
        <v>5</v>
      </c>
      <c r="E17" s="43" t="s">
        <v>5</v>
      </c>
    </row>
    <row r="18" spans="1:5" x14ac:dyDescent="0.35">
      <c r="A18" s="22">
        <v>1</v>
      </c>
      <c r="B18" s="23">
        <v>2</v>
      </c>
      <c r="C18" s="145"/>
      <c r="D18" s="23">
        <v>3</v>
      </c>
      <c r="E18" s="23">
        <v>3</v>
      </c>
    </row>
    <row r="19" spans="1:5" x14ac:dyDescent="0.35">
      <c r="A19" s="22"/>
      <c r="B19" s="54" t="s">
        <v>6</v>
      </c>
      <c r="C19" s="146"/>
      <c r="D19" s="55"/>
      <c r="E19" s="55"/>
    </row>
    <row r="20" spans="1:5" x14ac:dyDescent="0.35">
      <c r="A20" s="27">
        <v>1100</v>
      </c>
      <c r="B20" s="27" t="s">
        <v>134</v>
      </c>
      <c r="C20" s="147" t="e">
        <f>#REF!</f>
        <v>#REF!</v>
      </c>
      <c r="D20" s="28">
        <v>9034.68</v>
      </c>
      <c r="E20" s="28">
        <v>2195.16</v>
      </c>
    </row>
    <row r="21" spans="1:5" x14ac:dyDescent="0.35">
      <c r="A21" s="27">
        <v>1200</v>
      </c>
      <c r="B21" s="55" t="s">
        <v>135</v>
      </c>
      <c r="C21" s="148" t="e">
        <f>C20*0.2359</f>
        <v>#REF!</v>
      </c>
      <c r="D21" s="28">
        <v>2131.2800000000002</v>
      </c>
      <c r="E21" s="28">
        <v>517.84</v>
      </c>
    </row>
    <row r="22" spans="1:5" x14ac:dyDescent="0.35">
      <c r="A22" s="27">
        <v>2222</v>
      </c>
      <c r="B22" s="56" t="s">
        <v>139</v>
      </c>
      <c r="C22" s="149" t="e">
        <f>#REF!</f>
        <v>#REF!</v>
      </c>
      <c r="D22" s="28">
        <v>391.39</v>
      </c>
      <c r="E22" s="28">
        <v>93.19</v>
      </c>
    </row>
    <row r="23" spans="1:5" x14ac:dyDescent="0.35">
      <c r="A23" s="27">
        <v>2223</v>
      </c>
      <c r="B23" s="56" t="s">
        <v>140</v>
      </c>
      <c r="C23" s="149" t="e">
        <f>#REF!</f>
        <v>#REF!</v>
      </c>
      <c r="D23" s="28">
        <v>1118.82</v>
      </c>
      <c r="E23" s="28">
        <v>202.87</v>
      </c>
    </row>
    <row r="24" spans="1:5" ht="31" x14ac:dyDescent="0.35">
      <c r="A24" s="27">
        <v>2224</v>
      </c>
      <c r="B24" s="56" t="s">
        <v>141</v>
      </c>
      <c r="C24" s="149" t="e">
        <f>#REF!</f>
        <v>#REF!</v>
      </c>
      <c r="D24" s="28">
        <v>3.49</v>
      </c>
      <c r="E24" s="28">
        <v>0.84</v>
      </c>
    </row>
    <row r="25" spans="1:5" x14ac:dyDescent="0.35">
      <c r="A25" s="27">
        <v>2231</v>
      </c>
      <c r="B25" s="56" t="s">
        <v>142</v>
      </c>
      <c r="C25" s="149" t="e">
        <f>#REF!</f>
        <v>#REF!</v>
      </c>
      <c r="D25" s="28">
        <v>16.829999999999998</v>
      </c>
      <c r="E25" s="28">
        <v>3.34</v>
      </c>
    </row>
    <row r="26" spans="1:5" x14ac:dyDescent="0.35">
      <c r="A26" s="27">
        <v>2239</v>
      </c>
      <c r="B26" s="109" t="s">
        <v>195</v>
      </c>
      <c r="C26" s="149" t="e">
        <f>#REF!</f>
        <v>#REF!</v>
      </c>
      <c r="D26" s="28">
        <v>2.21</v>
      </c>
      <c r="E26" s="28">
        <v>0.44</v>
      </c>
    </row>
    <row r="27" spans="1:5" x14ac:dyDescent="0.35">
      <c r="A27" s="27">
        <v>2243</v>
      </c>
      <c r="B27" s="54" t="s">
        <v>147</v>
      </c>
      <c r="C27" s="146" t="e">
        <f>#REF!</f>
        <v>#REF!</v>
      </c>
      <c r="D27" s="28">
        <v>37.57</v>
      </c>
      <c r="E27" s="28">
        <v>7.45</v>
      </c>
    </row>
    <row r="28" spans="1:5" x14ac:dyDescent="0.35">
      <c r="A28" s="27">
        <v>2244</v>
      </c>
      <c r="B28" s="54" t="s">
        <v>148</v>
      </c>
      <c r="C28" s="146" t="e">
        <f>#REF!</f>
        <v>#REF!</v>
      </c>
      <c r="D28" s="28">
        <v>1495.1</v>
      </c>
      <c r="E28" s="28">
        <v>263.58999999999997</v>
      </c>
    </row>
    <row r="29" spans="1:5" x14ac:dyDescent="0.35">
      <c r="A29" s="27">
        <v>2250</v>
      </c>
      <c r="B29" s="54" t="s">
        <v>151</v>
      </c>
      <c r="C29" s="146" t="e">
        <f>#REF!</f>
        <v>#REF!</v>
      </c>
      <c r="D29" s="28">
        <v>79.27</v>
      </c>
      <c r="E29" s="28">
        <v>15.72</v>
      </c>
    </row>
    <row r="30" spans="1:5" x14ac:dyDescent="0.35">
      <c r="A30" s="27">
        <v>2311</v>
      </c>
      <c r="B30" s="56" t="s">
        <v>155</v>
      </c>
      <c r="C30" s="146" t="e">
        <f>#REF!</f>
        <v>#REF!</v>
      </c>
      <c r="D30" s="28">
        <v>1167.6600000000001</v>
      </c>
      <c r="E30" s="28">
        <v>66.34</v>
      </c>
    </row>
    <row r="31" spans="1:5" x14ac:dyDescent="0.35">
      <c r="A31" s="27">
        <v>2312</v>
      </c>
      <c r="B31" s="54" t="s">
        <v>156</v>
      </c>
      <c r="C31" s="146" t="e">
        <f>#REF!</f>
        <v>#REF!</v>
      </c>
      <c r="D31" s="28">
        <v>551.12</v>
      </c>
      <c r="E31" s="28">
        <v>68.010000000000005</v>
      </c>
    </row>
    <row r="32" spans="1:5" x14ac:dyDescent="0.35">
      <c r="A32" s="27">
        <v>2314</v>
      </c>
      <c r="B32" s="54" t="s">
        <v>157</v>
      </c>
      <c r="C32" s="146" t="e">
        <f>#REF!</f>
        <v>#REF!</v>
      </c>
      <c r="D32" s="28">
        <v>1.81</v>
      </c>
      <c r="E32" s="28">
        <v>0.36</v>
      </c>
    </row>
    <row r="33" spans="1:5" x14ac:dyDescent="0.35">
      <c r="A33" s="27">
        <v>2321</v>
      </c>
      <c r="B33" s="56" t="s">
        <v>158</v>
      </c>
      <c r="C33" s="149" t="e">
        <f>#REF!</f>
        <v>#REF!</v>
      </c>
      <c r="D33" s="28">
        <v>848.22</v>
      </c>
      <c r="E33" s="28">
        <v>160.63</v>
      </c>
    </row>
    <row r="34" spans="1:5" x14ac:dyDescent="0.35">
      <c r="A34" s="27">
        <v>2341</v>
      </c>
      <c r="B34" s="56" t="s">
        <v>136</v>
      </c>
      <c r="C34" s="149" t="e">
        <f>#REF!</f>
        <v>#REF!</v>
      </c>
      <c r="D34" s="28">
        <v>180.62</v>
      </c>
      <c r="E34" s="28">
        <v>35.83</v>
      </c>
    </row>
    <row r="35" spans="1:5" x14ac:dyDescent="0.35">
      <c r="A35" s="27">
        <v>2350</v>
      </c>
      <c r="B35" s="55" t="s">
        <v>137</v>
      </c>
      <c r="C35" s="149" t="e">
        <f>#REF!</f>
        <v>#REF!</v>
      </c>
      <c r="D35" s="28">
        <v>360.22</v>
      </c>
      <c r="E35" s="28">
        <v>46.67</v>
      </c>
    </row>
    <row r="36" spans="1:5" x14ac:dyDescent="0.35">
      <c r="A36" s="27">
        <v>2361</v>
      </c>
      <c r="B36" s="56" t="s">
        <v>170</v>
      </c>
      <c r="C36" s="149" t="e">
        <f>#REF!</f>
        <v>#REF!</v>
      </c>
      <c r="D36" s="28">
        <v>154.82</v>
      </c>
      <c r="E36" s="28">
        <v>30.71</v>
      </c>
    </row>
    <row r="37" spans="1:5" x14ac:dyDescent="0.35">
      <c r="A37" s="27">
        <v>2362</v>
      </c>
      <c r="B37" s="56" t="s">
        <v>171</v>
      </c>
      <c r="C37" s="149" t="e">
        <f>#REF!</f>
        <v>#REF!</v>
      </c>
      <c r="D37" s="28">
        <v>13.2</v>
      </c>
      <c r="E37" s="28">
        <v>2.62</v>
      </c>
    </row>
    <row r="38" spans="1:5" x14ac:dyDescent="0.35">
      <c r="A38" s="27">
        <v>2363</v>
      </c>
      <c r="B38" s="56" t="s">
        <v>172</v>
      </c>
      <c r="C38" s="191">
        <f>9.75*5</f>
        <v>48.75</v>
      </c>
      <c r="D38" s="28">
        <f>C38*50</f>
        <v>2437.5</v>
      </c>
      <c r="E38" s="28">
        <v>585</v>
      </c>
    </row>
    <row r="39" spans="1:5" x14ac:dyDescent="0.35">
      <c r="A39" s="27">
        <v>5239</v>
      </c>
      <c r="B39" s="55" t="s">
        <v>165</v>
      </c>
      <c r="C39" s="151" t="e">
        <f>#REF!</f>
        <v>#REF!</v>
      </c>
      <c r="D39" s="28">
        <v>721.32</v>
      </c>
      <c r="E39" s="28">
        <v>85.25</v>
      </c>
    </row>
    <row r="40" spans="1:5" x14ac:dyDescent="0.35">
      <c r="A40" s="27"/>
      <c r="B40" s="57" t="s">
        <v>7</v>
      </c>
      <c r="C40" s="152" t="e">
        <f>SUM(C20:C39)</f>
        <v>#REF!</v>
      </c>
      <c r="D40" s="31">
        <f>SUM(D20:D39)</f>
        <v>20747.13</v>
      </c>
      <c r="E40" s="31">
        <f>SUM(E20:E39)</f>
        <v>4381.8600000000006</v>
      </c>
    </row>
    <row r="41" spans="1:5" x14ac:dyDescent="0.35">
      <c r="A41" s="32"/>
      <c r="B41" s="57" t="s">
        <v>8</v>
      </c>
      <c r="C41" s="152"/>
      <c r="D41" s="28"/>
      <c r="E41" s="28"/>
    </row>
    <row r="42" spans="1:5" x14ac:dyDescent="0.35">
      <c r="A42" s="27">
        <v>1100</v>
      </c>
      <c r="B42" s="54" t="s">
        <v>134</v>
      </c>
      <c r="C42" s="151">
        <f>0.5144-0.00029</f>
        <v>0.51410999999999996</v>
      </c>
      <c r="D42" s="28">
        <v>4122.32</v>
      </c>
      <c r="E42" s="28">
        <v>880.73</v>
      </c>
    </row>
    <row r="43" spans="1:5" ht="16.5" customHeight="1" x14ac:dyDescent="0.35">
      <c r="A43" s="27">
        <v>1200</v>
      </c>
      <c r="B43" s="54" t="s">
        <v>135</v>
      </c>
      <c r="C43" s="151">
        <f>C42*0.2359</f>
        <v>0.12127854899999999</v>
      </c>
      <c r="D43" s="28">
        <v>972.46</v>
      </c>
      <c r="E43" s="28">
        <v>207.76</v>
      </c>
    </row>
    <row r="44" spans="1:5" ht="16.5" customHeight="1" x14ac:dyDescent="0.35">
      <c r="A44" s="27">
        <v>2100</v>
      </c>
      <c r="B44" s="33" t="s">
        <v>44</v>
      </c>
      <c r="C44" s="151">
        <v>8.0999999999999996E-4</v>
      </c>
      <c r="D44" s="28">
        <v>6.51</v>
      </c>
      <c r="E44" s="28">
        <v>1.29</v>
      </c>
    </row>
    <row r="45" spans="1:5" x14ac:dyDescent="0.35">
      <c r="A45" s="34">
        <v>2210</v>
      </c>
      <c r="B45" s="56" t="s">
        <v>138</v>
      </c>
      <c r="C45" s="151">
        <v>8.0000000000000002E-3</v>
      </c>
      <c r="D45" s="28">
        <v>64.150000000000006</v>
      </c>
      <c r="E45" s="28">
        <v>12.73</v>
      </c>
    </row>
    <row r="46" spans="1:5" x14ac:dyDescent="0.35">
      <c r="A46" s="27">
        <v>2222</v>
      </c>
      <c r="B46" s="56" t="s">
        <v>139</v>
      </c>
      <c r="C46" s="151">
        <v>4.4400000000000004E-3</v>
      </c>
      <c r="D46" s="28">
        <v>35.6</v>
      </c>
      <c r="E46" s="28">
        <v>14.11</v>
      </c>
    </row>
    <row r="47" spans="1:5" x14ac:dyDescent="0.35">
      <c r="A47" s="27">
        <v>2223</v>
      </c>
      <c r="B47" s="56" t="s">
        <v>140</v>
      </c>
      <c r="C47" s="151">
        <v>5.4940000000000003E-2</v>
      </c>
      <c r="D47" s="28">
        <v>440.53</v>
      </c>
      <c r="E47" s="28">
        <v>104.98</v>
      </c>
    </row>
    <row r="48" spans="1:5" ht="31" x14ac:dyDescent="0.35">
      <c r="A48" s="27">
        <v>2224</v>
      </c>
      <c r="B48" s="56" t="s">
        <v>141</v>
      </c>
      <c r="C48" s="151">
        <v>3.0899999999999999E-3</v>
      </c>
      <c r="D48" s="28">
        <v>24.78</v>
      </c>
      <c r="E48" s="28">
        <v>7.37</v>
      </c>
    </row>
    <row r="49" spans="1:5" ht="15.75" customHeight="1" x14ac:dyDescent="0.35">
      <c r="A49" s="27">
        <v>2231</v>
      </c>
      <c r="B49" s="54" t="s">
        <v>142</v>
      </c>
      <c r="C49" s="151">
        <v>1.5E-3</v>
      </c>
      <c r="D49" s="28">
        <v>12.03</v>
      </c>
      <c r="E49" s="28">
        <v>2.39</v>
      </c>
    </row>
    <row r="50" spans="1:5" ht="15.75" customHeight="1" x14ac:dyDescent="0.35">
      <c r="A50" s="27">
        <v>2235</v>
      </c>
      <c r="B50" s="58" t="s">
        <v>143</v>
      </c>
      <c r="C50" s="151">
        <v>2.5100000000000001E-3</v>
      </c>
      <c r="D50" s="28">
        <v>20.13</v>
      </c>
      <c r="E50" s="28">
        <v>3.99</v>
      </c>
    </row>
    <row r="51" spans="1:5" x14ac:dyDescent="0.35">
      <c r="A51" s="27">
        <v>2239</v>
      </c>
      <c r="B51" s="54" t="s">
        <v>144</v>
      </c>
      <c r="C51" s="151">
        <v>1.7899999999999999E-3</v>
      </c>
      <c r="D51" s="28">
        <v>14.35</v>
      </c>
      <c r="E51" s="28">
        <v>2.84</v>
      </c>
    </row>
    <row r="52" spans="1:5" x14ac:dyDescent="0.35">
      <c r="A52" s="27">
        <v>2241</v>
      </c>
      <c r="B52" s="54" t="s">
        <v>145</v>
      </c>
      <c r="C52" s="151">
        <v>1.6500000000000001E-2</v>
      </c>
      <c r="D52" s="28">
        <v>132.30000000000001</v>
      </c>
      <c r="E52" s="28">
        <v>31.5</v>
      </c>
    </row>
    <row r="53" spans="1:5" x14ac:dyDescent="0.35">
      <c r="A53" s="27">
        <v>2242</v>
      </c>
      <c r="B53" s="56" t="s">
        <v>146</v>
      </c>
      <c r="C53" s="151">
        <v>8.4999999999999995E-4</v>
      </c>
      <c r="D53" s="28">
        <v>6.82</v>
      </c>
      <c r="E53" s="28">
        <v>1.36</v>
      </c>
    </row>
    <row r="54" spans="1:5" ht="15.75" customHeight="1" x14ac:dyDescent="0.35">
      <c r="A54" s="27">
        <v>2243</v>
      </c>
      <c r="B54" s="54" t="s">
        <v>147</v>
      </c>
      <c r="C54" s="151">
        <v>4.0000000000000002E-4</v>
      </c>
      <c r="D54" s="28">
        <v>3.21</v>
      </c>
      <c r="E54" s="28">
        <v>0.64</v>
      </c>
    </row>
    <row r="55" spans="1:5" x14ac:dyDescent="0.35">
      <c r="A55" s="27">
        <v>2244</v>
      </c>
      <c r="B55" s="54" t="s">
        <v>148</v>
      </c>
      <c r="C55" s="151">
        <v>6.8070000000000006E-2</v>
      </c>
      <c r="D55" s="28">
        <v>545.80999999999995</v>
      </c>
      <c r="E55" s="28">
        <v>100.03</v>
      </c>
    </row>
    <row r="56" spans="1:5" x14ac:dyDescent="0.35">
      <c r="A56" s="27">
        <v>2247</v>
      </c>
      <c r="B56" s="54" t="s">
        <v>149</v>
      </c>
      <c r="C56" s="151">
        <v>2.2000000000000001E-4</v>
      </c>
      <c r="D56" s="28">
        <v>1.76</v>
      </c>
      <c r="E56" s="28">
        <v>0.35</v>
      </c>
    </row>
    <row r="57" spans="1:5" x14ac:dyDescent="0.35">
      <c r="A57" s="27">
        <v>2249</v>
      </c>
      <c r="B57" s="54" t="s">
        <v>150</v>
      </c>
      <c r="C57" s="151">
        <v>2.5000000000000001E-4</v>
      </c>
      <c r="D57" s="28">
        <v>2</v>
      </c>
      <c r="E57" s="28">
        <v>0.4</v>
      </c>
    </row>
    <row r="58" spans="1:5" x14ac:dyDescent="0.35">
      <c r="A58" s="27">
        <v>2250</v>
      </c>
      <c r="B58" s="54" t="s">
        <v>151</v>
      </c>
      <c r="C58" s="151">
        <v>2.8400000000000002E-2</v>
      </c>
      <c r="D58" s="28">
        <v>227.72</v>
      </c>
      <c r="E58" s="28">
        <v>45.18</v>
      </c>
    </row>
    <row r="59" spans="1:5" x14ac:dyDescent="0.35">
      <c r="A59" s="27">
        <v>2262</v>
      </c>
      <c r="B59" s="56" t="s">
        <v>152</v>
      </c>
      <c r="C59" s="151">
        <v>1.137E-2</v>
      </c>
      <c r="D59" s="28">
        <v>91.17</v>
      </c>
      <c r="E59" s="28">
        <v>18.09</v>
      </c>
    </row>
    <row r="60" spans="1:5" x14ac:dyDescent="0.35">
      <c r="A60" s="27">
        <v>2263</v>
      </c>
      <c r="B60" s="56" t="s">
        <v>153</v>
      </c>
      <c r="C60" s="151">
        <v>4.58E-2</v>
      </c>
      <c r="D60" s="28">
        <v>367.24</v>
      </c>
      <c r="E60" s="28">
        <v>72.87</v>
      </c>
    </row>
    <row r="61" spans="1:5" x14ac:dyDescent="0.35">
      <c r="A61" s="27">
        <v>2264</v>
      </c>
      <c r="B61" s="54" t="s">
        <v>154</v>
      </c>
      <c r="C61" s="151">
        <v>2.4000000000000001E-4</v>
      </c>
      <c r="D61" s="28">
        <v>1.92</v>
      </c>
      <c r="E61" s="28">
        <v>0.38</v>
      </c>
    </row>
    <row r="62" spans="1:5" x14ac:dyDescent="0.35">
      <c r="A62" s="27">
        <v>2311</v>
      </c>
      <c r="B62" s="56" t="s">
        <v>155</v>
      </c>
      <c r="C62" s="153">
        <v>7.1000000000000002E-4</v>
      </c>
      <c r="D62" s="28">
        <v>5.69</v>
      </c>
      <c r="E62" s="28">
        <v>1.1299999999999999</v>
      </c>
    </row>
    <row r="63" spans="1:5" x14ac:dyDescent="0.35">
      <c r="A63" s="27">
        <v>2314</v>
      </c>
      <c r="B63" s="58" t="s">
        <v>157</v>
      </c>
      <c r="C63" s="151">
        <v>4.6000000000000001E-4</v>
      </c>
      <c r="D63" s="28">
        <v>3.69</v>
      </c>
      <c r="E63" s="28">
        <v>0.74</v>
      </c>
    </row>
    <row r="64" spans="1:5" x14ac:dyDescent="0.35">
      <c r="A64" s="27">
        <v>2321</v>
      </c>
      <c r="B64" s="56" t="s">
        <v>158</v>
      </c>
      <c r="C64" s="151">
        <v>6.0220000000000003E-2</v>
      </c>
      <c r="D64" s="28">
        <v>482.87</v>
      </c>
      <c r="E64" s="28">
        <v>106.71</v>
      </c>
    </row>
    <row r="65" spans="1:5" x14ac:dyDescent="0.35">
      <c r="A65" s="27">
        <v>2322</v>
      </c>
      <c r="B65" s="56" t="s">
        <v>159</v>
      </c>
      <c r="C65" s="151">
        <v>2.0999999999999999E-3</v>
      </c>
      <c r="D65" s="28">
        <v>16.84</v>
      </c>
      <c r="E65" s="28">
        <v>3.34</v>
      </c>
    </row>
    <row r="66" spans="1:5" ht="15.75" customHeight="1" x14ac:dyDescent="0.35">
      <c r="A66" s="27">
        <v>2513</v>
      </c>
      <c r="B66" s="55" t="s">
        <v>160</v>
      </c>
      <c r="C66" s="151">
        <v>6.3000000000000003E-4</v>
      </c>
      <c r="D66" s="28">
        <v>5.05</v>
      </c>
      <c r="E66" s="28">
        <v>1</v>
      </c>
    </row>
    <row r="67" spans="1:5" x14ac:dyDescent="0.35">
      <c r="A67" s="27">
        <v>2515</v>
      </c>
      <c r="B67" s="56" t="s">
        <v>161</v>
      </c>
      <c r="C67" s="151">
        <v>2.7499999999999998E-3</v>
      </c>
      <c r="D67" s="28">
        <v>22.05</v>
      </c>
      <c r="E67" s="28">
        <v>4.37</v>
      </c>
    </row>
    <row r="68" spans="1:5" x14ac:dyDescent="0.35">
      <c r="A68" s="27">
        <v>2519</v>
      </c>
      <c r="B68" s="56" t="s">
        <v>162</v>
      </c>
      <c r="C68" s="151">
        <v>1.5100000000000001E-3</v>
      </c>
      <c r="D68" s="28">
        <v>12.11</v>
      </c>
      <c r="E68" s="28">
        <v>2.41</v>
      </c>
    </row>
    <row r="69" spans="1:5" x14ac:dyDescent="0.35">
      <c r="A69" s="27">
        <v>5220</v>
      </c>
      <c r="B69" s="56" t="s">
        <v>163</v>
      </c>
      <c r="C69" s="151">
        <v>1.06E-2</v>
      </c>
      <c r="D69" s="28">
        <v>84.99</v>
      </c>
      <c r="E69" s="28">
        <v>8.6</v>
      </c>
    </row>
    <row r="70" spans="1:5" x14ac:dyDescent="0.35">
      <c r="A70" s="27">
        <v>5238</v>
      </c>
      <c r="B70" s="55" t="s">
        <v>164</v>
      </c>
      <c r="C70" s="151">
        <v>1.65E-3</v>
      </c>
      <c r="D70" s="28">
        <v>13.23</v>
      </c>
      <c r="E70" s="28">
        <v>2.63</v>
      </c>
    </row>
    <row r="71" spans="1:5" x14ac:dyDescent="0.35">
      <c r="A71" s="27">
        <v>5239</v>
      </c>
      <c r="B71" s="55" t="s">
        <v>165</v>
      </c>
      <c r="C71" s="151">
        <v>1.9800000000000002E-2</v>
      </c>
      <c r="D71" s="28">
        <v>158.76</v>
      </c>
      <c r="E71" s="28">
        <v>23.22</v>
      </c>
    </row>
    <row r="72" spans="1:5" x14ac:dyDescent="0.35">
      <c r="A72" s="27">
        <v>5250</v>
      </c>
      <c r="B72" s="56" t="s">
        <v>166</v>
      </c>
      <c r="C72" s="151">
        <v>1.4999999999999999E-2</v>
      </c>
      <c r="D72" s="28">
        <v>120.28</v>
      </c>
      <c r="E72" s="28">
        <v>15.6</v>
      </c>
    </row>
    <row r="73" spans="1:5" x14ac:dyDescent="0.35">
      <c r="A73" s="32"/>
      <c r="B73" s="59" t="s">
        <v>167</v>
      </c>
      <c r="C73" s="154"/>
      <c r="D73" s="31">
        <f>SUM(D42:D72)</f>
        <v>8018.369999999999</v>
      </c>
      <c r="E73" s="31">
        <f>SUM(E42:E72)</f>
        <v>1678.7399999999998</v>
      </c>
    </row>
    <row r="74" spans="1:5" x14ac:dyDescent="0.35">
      <c r="A74" s="32"/>
      <c r="B74" s="59" t="s">
        <v>168</v>
      </c>
      <c r="C74" s="154"/>
      <c r="D74" s="31">
        <f>D40+D73</f>
        <v>28765.5</v>
      </c>
      <c r="E74" s="31">
        <f>E40+E73</f>
        <v>6060.6</v>
      </c>
    </row>
    <row r="75" spans="1:5" ht="12.75" customHeight="1" x14ac:dyDescent="0.35">
      <c r="A75" s="37"/>
      <c r="B75" s="20"/>
      <c r="C75" s="155"/>
      <c r="D75" s="60"/>
      <c r="E75" s="60"/>
    </row>
    <row r="76" spans="1:5" ht="15.75" customHeight="1" x14ac:dyDescent="0.35">
      <c r="A76" s="211" t="s">
        <v>51</v>
      </c>
      <c r="B76" s="211"/>
      <c r="C76" s="156"/>
      <c r="D76" s="44">
        <v>50</v>
      </c>
      <c r="E76" s="44">
        <v>10</v>
      </c>
    </row>
    <row r="77" spans="1:5" ht="15.75" customHeight="1" x14ac:dyDescent="0.35">
      <c r="A77" s="211" t="s">
        <v>58</v>
      </c>
      <c r="B77" s="211"/>
      <c r="C77" s="156"/>
      <c r="D77" s="45">
        <f>D74/D76</f>
        <v>575.30999999999995</v>
      </c>
      <c r="E77" s="45">
        <f>E74/E76</f>
        <v>606.06000000000006</v>
      </c>
    </row>
    <row r="78" spans="1:5" ht="9.75" customHeight="1" x14ac:dyDescent="0.35">
      <c r="A78" s="41"/>
      <c r="B78" s="42"/>
      <c r="C78" s="157"/>
    </row>
    <row r="79" spans="1:5" ht="15.75" customHeight="1" x14ac:dyDescent="0.35">
      <c r="A79" s="208" t="s">
        <v>52</v>
      </c>
      <c r="B79" s="208"/>
      <c r="C79" s="158"/>
      <c r="D79" s="140"/>
      <c r="E79" s="140"/>
    </row>
    <row r="80" spans="1:5" ht="15.75" customHeight="1" x14ac:dyDescent="0.35">
      <c r="A80" s="208" t="s">
        <v>74</v>
      </c>
      <c r="B80" s="208"/>
      <c r="C80" s="158"/>
      <c r="D80" s="40"/>
      <c r="E80" s="40"/>
    </row>
    <row r="81" spans="1:5" ht="8.25" customHeight="1" x14ac:dyDescent="0.35">
      <c r="A81" s="17"/>
      <c r="B81" s="17"/>
      <c r="C81" s="159"/>
      <c r="D81" s="17"/>
      <c r="E81" s="17"/>
    </row>
    <row r="82" spans="1:5" x14ac:dyDescent="0.35">
      <c r="A82" s="17" t="s">
        <v>53</v>
      </c>
      <c r="B82" s="17"/>
      <c r="C82" s="159"/>
      <c r="D82" s="48"/>
      <c r="E82" s="48"/>
    </row>
    <row r="83" spans="1:5" x14ac:dyDescent="0.35">
      <c r="A83" s="17"/>
      <c r="B83" s="17"/>
      <c r="C83" s="160"/>
      <c r="D83" s="48"/>
      <c r="E83" s="199"/>
    </row>
    <row r="84" spans="1:5" x14ac:dyDescent="0.35">
      <c r="A84" s="17" t="s">
        <v>248</v>
      </c>
      <c r="B84" s="18"/>
      <c r="C84" s="161"/>
      <c r="D84" s="48"/>
      <c r="E84" s="48"/>
    </row>
    <row r="85" spans="1:5" x14ac:dyDescent="0.35">
      <c r="B85" s="63"/>
      <c r="C85" s="162"/>
      <c r="D85" s="64"/>
      <c r="E85" s="64"/>
    </row>
    <row r="86" spans="1:5" x14ac:dyDescent="0.35">
      <c r="E86" s="64"/>
    </row>
    <row r="87" spans="1:5" x14ac:dyDescent="0.35">
      <c r="D87" s="52"/>
      <c r="E87" s="52"/>
    </row>
  </sheetData>
  <mergeCells count="7">
    <mergeCell ref="A80:B80"/>
    <mergeCell ref="A8:D8"/>
    <mergeCell ref="A10:B10"/>
    <mergeCell ref="A11:B11"/>
    <mergeCell ref="A76:B76"/>
    <mergeCell ref="A77:B77"/>
    <mergeCell ref="A79:B79"/>
  </mergeCells>
  <pageMargins left="0.7" right="0.7" top="0.75" bottom="0.75" header="0.3" footer="0.3"/>
  <pageSetup paperSize="9" scale="53" orientation="portrait" verticalDpi="0" r:id="rId1"/>
  <headerFooter>
    <oddFooter>&amp;F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"/>
  <sheetViews>
    <sheetView topLeftCell="C1" workbookViewId="0">
      <selection activeCell="U23" sqref="U23"/>
    </sheetView>
  </sheetViews>
  <sheetFormatPr defaultColWidth="9.1796875" defaultRowHeight="14" x14ac:dyDescent="0.3"/>
  <cols>
    <col min="1" max="14" width="8.7265625" customWidth="1"/>
    <col min="15" max="16384" width="9.1796875" style="200"/>
  </cols>
  <sheetData/>
  <pageMargins left="0.7" right="0.7" top="0.75" bottom="0.75" header="0.3" footer="0.3"/>
  <pageSetup paperSize="9" orientation="portrait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8"/>
  <sheetViews>
    <sheetView view="pageLayout" zoomScale="90" zoomScaleNormal="100" zoomScalePageLayoutView="90" workbookViewId="0">
      <selection activeCell="B14" sqref="B14:C14"/>
    </sheetView>
  </sheetViews>
  <sheetFormatPr defaultColWidth="9.1796875" defaultRowHeight="15.5" x14ac:dyDescent="0.35"/>
  <cols>
    <col min="1" max="1" width="20.26953125" style="12" customWidth="1"/>
    <col min="2" max="2" width="83.54296875" style="12" customWidth="1"/>
    <col min="3" max="3" width="10" style="12" hidden="1" customWidth="1"/>
    <col min="4" max="4" width="26.453125" style="12" customWidth="1"/>
    <col min="5" max="5" width="12.26953125" style="12" customWidth="1"/>
    <col min="6" max="16384" width="9.1796875" style="12"/>
  </cols>
  <sheetData>
    <row r="1" spans="1:4" ht="15.75" customHeight="1" x14ac:dyDescent="0.35">
      <c r="B1" s="10"/>
      <c r="C1" s="10"/>
      <c r="D1" s="49" t="s">
        <v>50</v>
      </c>
    </row>
    <row r="2" spans="1:4" x14ac:dyDescent="0.35">
      <c r="B2" s="212" t="s">
        <v>54</v>
      </c>
      <c r="C2" s="212"/>
      <c r="D2" s="229"/>
    </row>
    <row r="3" spans="1:4" x14ac:dyDescent="0.35">
      <c r="B3" s="11"/>
      <c r="C3" s="11"/>
      <c r="D3" s="46" t="s">
        <v>76</v>
      </c>
    </row>
    <row r="4" spans="1:4" x14ac:dyDescent="0.35">
      <c r="B4" s="10"/>
      <c r="C4" s="10"/>
      <c r="D4" s="37"/>
    </row>
    <row r="5" spans="1:4" x14ac:dyDescent="0.35">
      <c r="B5" s="51"/>
      <c r="C5" s="51"/>
      <c r="D5" s="37" t="s">
        <v>193</v>
      </c>
    </row>
    <row r="6" spans="1:4" x14ac:dyDescent="0.35">
      <c r="D6" s="20"/>
    </row>
    <row r="7" spans="1:4" x14ac:dyDescent="0.35">
      <c r="A7" s="209" t="s">
        <v>10</v>
      </c>
      <c r="B7" s="209"/>
      <c r="C7" s="209"/>
      <c r="D7" s="209"/>
    </row>
    <row r="8" spans="1:4" x14ac:dyDescent="0.35">
      <c r="B8" s="53"/>
      <c r="C8" s="53"/>
      <c r="D8" s="20"/>
    </row>
    <row r="9" spans="1:4" x14ac:dyDescent="0.35">
      <c r="A9" s="210" t="s">
        <v>1</v>
      </c>
      <c r="B9" s="210"/>
      <c r="C9" s="9"/>
      <c r="D9" s="20"/>
    </row>
    <row r="10" spans="1:4" x14ac:dyDescent="0.35">
      <c r="A10" s="210" t="s">
        <v>0</v>
      </c>
      <c r="B10" s="210"/>
      <c r="C10" s="9"/>
      <c r="D10" s="20"/>
    </row>
    <row r="11" spans="1:4" x14ac:dyDescent="0.35">
      <c r="A11" s="9"/>
      <c r="B11" s="9" t="s">
        <v>47</v>
      </c>
      <c r="C11" s="9"/>
      <c r="D11" s="20"/>
    </row>
    <row r="12" spans="1:4" x14ac:dyDescent="0.35">
      <c r="A12" s="9"/>
      <c r="B12" s="9" t="s">
        <v>83</v>
      </c>
      <c r="C12" s="9"/>
      <c r="D12" s="20"/>
    </row>
    <row r="13" spans="1:4" x14ac:dyDescent="0.35">
      <c r="A13" s="9"/>
      <c r="B13" s="210" t="s">
        <v>84</v>
      </c>
      <c r="C13" s="210"/>
      <c r="D13" s="20"/>
    </row>
    <row r="14" spans="1:4" x14ac:dyDescent="0.35">
      <c r="A14" s="9"/>
      <c r="B14" s="210" t="s">
        <v>182</v>
      </c>
      <c r="C14" s="210"/>
      <c r="D14" s="20"/>
    </row>
    <row r="15" spans="1:4" x14ac:dyDescent="0.35">
      <c r="A15" s="9" t="s">
        <v>2</v>
      </c>
      <c r="B15" s="9" t="s">
        <v>191</v>
      </c>
      <c r="C15" s="9"/>
      <c r="D15" s="20"/>
    </row>
    <row r="16" spans="1:4" ht="69.75" customHeight="1" x14ac:dyDescent="0.35">
      <c r="A16" s="43" t="s">
        <v>3</v>
      </c>
      <c r="B16" s="43" t="s">
        <v>4</v>
      </c>
      <c r="C16" s="43"/>
      <c r="D16" s="43" t="s">
        <v>5</v>
      </c>
    </row>
    <row r="17" spans="1:8" x14ac:dyDescent="0.35">
      <c r="A17" s="22">
        <v>1</v>
      </c>
      <c r="B17" s="23">
        <v>2</v>
      </c>
      <c r="C17" s="23"/>
      <c r="D17" s="23">
        <v>3</v>
      </c>
    </row>
    <row r="18" spans="1:8" x14ac:dyDescent="0.35">
      <c r="A18" s="22"/>
      <c r="B18" s="54" t="s">
        <v>6</v>
      </c>
      <c r="C18" s="54"/>
      <c r="D18" s="55"/>
    </row>
    <row r="19" spans="1:8" x14ac:dyDescent="0.35">
      <c r="A19" s="27">
        <v>1100</v>
      </c>
      <c r="B19" s="27" t="s">
        <v>134</v>
      </c>
      <c r="C19" s="27"/>
      <c r="D19" s="28">
        <v>717.6</v>
      </c>
      <c r="E19" s="52"/>
      <c r="F19" s="52"/>
      <c r="G19" s="52"/>
      <c r="H19" s="52"/>
    </row>
    <row r="20" spans="1:8" x14ac:dyDescent="0.35">
      <c r="A20" s="27">
        <v>1200</v>
      </c>
      <c r="B20" s="55" t="s">
        <v>135</v>
      </c>
      <c r="C20" s="55"/>
      <c r="D20" s="28">
        <v>169.28</v>
      </c>
      <c r="E20" s="52"/>
      <c r="F20" s="52"/>
    </row>
    <row r="21" spans="1:8" x14ac:dyDescent="0.35">
      <c r="A21" s="27">
        <v>2222</v>
      </c>
      <c r="B21" s="56" t="s">
        <v>139</v>
      </c>
      <c r="C21" s="55"/>
      <c r="D21" s="28">
        <v>30.49</v>
      </c>
      <c r="E21" s="52"/>
    </row>
    <row r="22" spans="1:8" x14ac:dyDescent="0.35">
      <c r="A22" s="27">
        <v>2223</v>
      </c>
      <c r="B22" s="56" t="s">
        <v>140</v>
      </c>
      <c r="C22" s="55"/>
      <c r="D22" s="28">
        <v>32.409999999999997</v>
      </c>
    </row>
    <row r="23" spans="1:8" hidden="1" x14ac:dyDescent="0.35">
      <c r="A23" s="27">
        <v>2243</v>
      </c>
      <c r="B23" s="54" t="s">
        <v>147</v>
      </c>
      <c r="C23" s="55"/>
      <c r="D23" s="28">
        <v>0</v>
      </c>
    </row>
    <row r="24" spans="1:8" x14ac:dyDescent="0.35">
      <c r="A24" s="27">
        <v>2244</v>
      </c>
      <c r="B24" s="54" t="s">
        <v>148</v>
      </c>
      <c r="C24" s="55"/>
      <c r="D24" s="28">
        <f>53/20*14</f>
        <v>37.1</v>
      </c>
    </row>
    <row r="25" spans="1:8" x14ac:dyDescent="0.35">
      <c r="A25" s="27">
        <v>2312</v>
      </c>
      <c r="B25" s="54" t="s">
        <v>156</v>
      </c>
      <c r="C25" s="55"/>
      <c r="D25" s="28">
        <v>7.1</v>
      </c>
    </row>
    <row r="26" spans="1:8" x14ac:dyDescent="0.35">
      <c r="A26" s="27">
        <v>2321</v>
      </c>
      <c r="B26" s="56" t="s">
        <v>158</v>
      </c>
      <c r="C26" s="55"/>
      <c r="D26" s="28">
        <v>45.57</v>
      </c>
    </row>
    <row r="27" spans="1:8" x14ac:dyDescent="0.35">
      <c r="A27" s="27">
        <v>2341</v>
      </c>
      <c r="B27" s="56" t="s">
        <v>136</v>
      </c>
      <c r="C27" s="55"/>
      <c r="D27" s="28">
        <v>67.87</v>
      </c>
    </row>
    <row r="28" spans="1:8" x14ac:dyDescent="0.35">
      <c r="A28" s="27">
        <v>2361</v>
      </c>
      <c r="B28" s="56" t="s">
        <v>170</v>
      </c>
      <c r="C28" s="55"/>
      <c r="D28" s="28">
        <f>0.28*5*5+1.97*5*5</f>
        <v>56.25</v>
      </c>
    </row>
    <row r="29" spans="1:8" x14ac:dyDescent="0.35">
      <c r="A29" s="27">
        <v>2363</v>
      </c>
      <c r="B29" s="56" t="s">
        <v>172</v>
      </c>
      <c r="C29" s="55"/>
      <c r="D29" s="28">
        <f>8.12*5*5</f>
        <v>202.99999999999997</v>
      </c>
    </row>
    <row r="30" spans="1:8" x14ac:dyDescent="0.35">
      <c r="A30" s="27">
        <v>5239</v>
      </c>
      <c r="B30" s="55" t="s">
        <v>165</v>
      </c>
      <c r="C30" s="55"/>
      <c r="D30" s="28">
        <v>9.27</v>
      </c>
    </row>
    <row r="31" spans="1:8" x14ac:dyDescent="0.35">
      <c r="A31" s="27"/>
      <c r="B31" s="57" t="s">
        <v>7</v>
      </c>
      <c r="C31" s="57"/>
      <c r="D31" s="31">
        <f>SUM(D19:D30)</f>
        <v>1375.94</v>
      </c>
      <c r="F31" s="52"/>
    </row>
    <row r="32" spans="1:8" x14ac:dyDescent="0.35">
      <c r="A32" s="32"/>
      <c r="B32" s="57" t="s">
        <v>8</v>
      </c>
      <c r="C32" s="57"/>
      <c r="D32" s="28"/>
    </row>
    <row r="33" spans="1:4" x14ac:dyDescent="0.35">
      <c r="A33" s="27">
        <v>1100</v>
      </c>
      <c r="B33" s="54" t="s">
        <v>134</v>
      </c>
      <c r="C33" s="55">
        <f>0.388+0.024</f>
        <v>0.41200000000000003</v>
      </c>
      <c r="D33" s="28">
        <v>309.63</v>
      </c>
    </row>
    <row r="34" spans="1:4" ht="16.5" customHeight="1" x14ac:dyDescent="0.35">
      <c r="A34" s="27">
        <v>1200</v>
      </c>
      <c r="B34" s="54" t="s">
        <v>135</v>
      </c>
      <c r="C34" s="55">
        <f>C33*0.2359</f>
        <v>9.7190800000000008E-2</v>
      </c>
      <c r="D34" s="28">
        <v>73.040000000000006</v>
      </c>
    </row>
    <row r="35" spans="1:4" ht="16.5" customHeight="1" x14ac:dyDescent="0.35">
      <c r="A35" s="27">
        <v>2100</v>
      </c>
      <c r="B35" s="33" t="s">
        <v>44</v>
      </c>
      <c r="C35" s="55">
        <v>1.1659999999999999E-3</v>
      </c>
      <c r="D35" s="28">
        <v>0.9</v>
      </c>
    </row>
    <row r="36" spans="1:4" x14ac:dyDescent="0.35">
      <c r="A36" s="34">
        <v>2210</v>
      </c>
      <c r="B36" s="56" t="s">
        <v>138</v>
      </c>
      <c r="C36" s="55">
        <v>7.6E-3</v>
      </c>
      <c r="D36" s="28">
        <v>5.9</v>
      </c>
    </row>
    <row r="37" spans="1:4" x14ac:dyDescent="0.35">
      <c r="A37" s="27">
        <v>2222</v>
      </c>
      <c r="B37" s="56" t="s">
        <v>139</v>
      </c>
      <c r="C37" s="55">
        <v>9.4999999999999998E-3</v>
      </c>
      <c r="D37" s="28">
        <v>7.37</v>
      </c>
    </row>
    <row r="38" spans="1:4" x14ac:dyDescent="0.35">
      <c r="A38" s="27">
        <v>2223</v>
      </c>
      <c r="B38" s="56" t="s">
        <v>140</v>
      </c>
      <c r="C38" s="55">
        <v>1.9019999999999999E-2</v>
      </c>
      <c r="D38" s="28">
        <v>14.76</v>
      </c>
    </row>
    <row r="39" spans="1:4" ht="31" x14ac:dyDescent="0.35">
      <c r="A39" s="27">
        <v>2224</v>
      </c>
      <c r="B39" s="56" t="s">
        <v>141</v>
      </c>
      <c r="C39" s="55">
        <v>4.9500000000000004E-3</v>
      </c>
      <c r="D39" s="28">
        <v>3.84</v>
      </c>
    </row>
    <row r="40" spans="1:4" ht="15.75" customHeight="1" x14ac:dyDescent="0.35">
      <c r="A40" s="27">
        <v>2231</v>
      </c>
      <c r="B40" s="54" t="s">
        <v>142</v>
      </c>
      <c r="C40" s="55">
        <v>1.5499999999999999E-3</v>
      </c>
      <c r="D40" s="28">
        <v>1.2</v>
      </c>
    </row>
    <row r="41" spans="1:4" ht="15.75" customHeight="1" x14ac:dyDescent="0.35">
      <c r="A41" s="27">
        <v>2235</v>
      </c>
      <c r="B41" s="58" t="s">
        <v>143</v>
      </c>
      <c r="C41" s="55">
        <v>1.65E-3</v>
      </c>
      <c r="D41" s="28">
        <v>1.28</v>
      </c>
    </row>
    <row r="42" spans="1:4" x14ac:dyDescent="0.35">
      <c r="A42" s="27">
        <v>2239</v>
      </c>
      <c r="B42" s="54" t="s">
        <v>144</v>
      </c>
      <c r="C42" s="55">
        <v>4.4099999999999999E-3</v>
      </c>
      <c r="D42" s="28">
        <v>3.42</v>
      </c>
    </row>
    <row r="43" spans="1:4" x14ac:dyDescent="0.35">
      <c r="A43" s="27">
        <v>2241</v>
      </c>
      <c r="B43" s="54" t="s">
        <v>145</v>
      </c>
      <c r="C43" s="55">
        <v>1.6500000000000001E-2</v>
      </c>
      <c r="D43" s="28">
        <v>12.8</v>
      </c>
    </row>
    <row r="44" spans="1:4" x14ac:dyDescent="0.35">
      <c r="A44" s="27">
        <v>2242</v>
      </c>
      <c r="B44" s="56" t="s">
        <v>146</v>
      </c>
      <c r="C44" s="55">
        <v>2.2599999999999999E-3</v>
      </c>
      <c r="D44" s="28">
        <v>1.75</v>
      </c>
    </row>
    <row r="45" spans="1:4" ht="15.75" customHeight="1" x14ac:dyDescent="0.35">
      <c r="A45" s="27">
        <v>2243</v>
      </c>
      <c r="B45" s="54" t="s">
        <v>147</v>
      </c>
      <c r="C45" s="55">
        <v>3.2599999999999997E-2</v>
      </c>
      <c r="D45" s="28">
        <v>25.29</v>
      </c>
    </row>
    <row r="46" spans="1:4" x14ac:dyDescent="0.35">
      <c r="A46" s="27">
        <v>2244</v>
      </c>
      <c r="B46" s="54" t="s">
        <v>148</v>
      </c>
      <c r="C46" s="55">
        <v>0.20397000000000001</v>
      </c>
      <c r="D46" s="28">
        <v>148.24</v>
      </c>
    </row>
    <row r="47" spans="1:4" x14ac:dyDescent="0.35">
      <c r="A47" s="27">
        <v>2247</v>
      </c>
      <c r="B47" s="54" t="s">
        <v>149</v>
      </c>
      <c r="C47" s="55">
        <v>7.1900000000000002E-4</v>
      </c>
      <c r="D47" s="28">
        <v>0.56000000000000005</v>
      </c>
    </row>
    <row r="48" spans="1:4" x14ac:dyDescent="0.35">
      <c r="A48" s="27">
        <v>2249</v>
      </c>
      <c r="B48" s="54" t="s">
        <v>150</v>
      </c>
      <c r="C48" s="55">
        <v>2.32E-4</v>
      </c>
      <c r="D48" s="28">
        <v>0.18</v>
      </c>
    </row>
    <row r="49" spans="1:4" x14ac:dyDescent="0.35">
      <c r="A49" s="27">
        <v>2250</v>
      </c>
      <c r="B49" s="54" t="s">
        <v>151</v>
      </c>
      <c r="C49" s="55">
        <v>2.4025999999999999E-2</v>
      </c>
      <c r="D49" s="28">
        <v>18.64</v>
      </c>
    </row>
    <row r="50" spans="1:4" hidden="1" x14ac:dyDescent="0.35">
      <c r="A50" s="27">
        <v>2261</v>
      </c>
      <c r="B50" s="56" t="s">
        <v>169</v>
      </c>
      <c r="C50" s="55">
        <v>0</v>
      </c>
      <c r="D50" s="28">
        <f>C50*775.79</f>
        <v>0</v>
      </c>
    </row>
    <row r="51" spans="1:4" x14ac:dyDescent="0.35">
      <c r="A51" s="27">
        <v>2262</v>
      </c>
      <c r="B51" s="56" t="s">
        <v>152</v>
      </c>
      <c r="C51" s="55">
        <v>6.2599999999999999E-3</v>
      </c>
      <c r="D51" s="28">
        <v>4.8600000000000003</v>
      </c>
    </row>
    <row r="52" spans="1:4" x14ac:dyDescent="0.35">
      <c r="A52" s="27">
        <v>2263</v>
      </c>
      <c r="B52" s="56" t="s">
        <v>153</v>
      </c>
      <c r="C52" s="55">
        <v>4.58E-2</v>
      </c>
      <c r="D52" s="28">
        <v>35.53</v>
      </c>
    </row>
    <row r="53" spans="1:4" x14ac:dyDescent="0.35">
      <c r="A53" s="27">
        <v>2264</v>
      </c>
      <c r="B53" s="54" t="s">
        <v>154</v>
      </c>
      <c r="C53" s="55">
        <v>1.49E-3</v>
      </c>
      <c r="D53" s="28">
        <v>1.1599999999999999</v>
      </c>
    </row>
    <row r="54" spans="1:4" x14ac:dyDescent="0.35">
      <c r="A54" s="27">
        <v>2311</v>
      </c>
      <c r="B54" s="56" t="s">
        <v>155</v>
      </c>
      <c r="C54" s="55">
        <v>4.7699999999999999E-3</v>
      </c>
      <c r="D54" s="28">
        <v>3.7</v>
      </c>
    </row>
    <row r="55" spans="1:4" x14ac:dyDescent="0.35">
      <c r="A55" s="27">
        <v>2312</v>
      </c>
      <c r="B55" s="56" t="s">
        <v>156</v>
      </c>
      <c r="C55" s="55">
        <v>5.79E-3</v>
      </c>
      <c r="D55" s="28">
        <v>4.49</v>
      </c>
    </row>
    <row r="56" spans="1:4" x14ac:dyDescent="0.35">
      <c r="A56" s="27">
        <v>2314</v>
      </c>
      <c r="B56" s="58" t="s">
        <v>157</v>
      </c>
      <c r="C56" s="55">
        <v>2.2200000000000002E-3</v>
      </c>
      <c r="D56" s="28">
        <v>1.72</v>
      </c>
    </row>
    <row r="57" spans="1:4" x14ac:dyDescent="0.35">
      <c r="A57" s="27">
        <v>2321</v>
      </c>
      <c r="B57" s="56" t="s">
        <v>158</v>
      </c>
      <c r="C57" s="55">
        <v>1.9800000000000002E-2</v>
      </c>
      <c r="D57" s="28">
        <v>15.36</v>
      </c>
    </row>
    <row r="58" spans="1:4" x14ac:dyDescent="0.35">
      <c r="A58" s="27">
        <v>2322</v>
      </c>
      <c r="B58" s="56" t="s">
        <v>159</v>
      </c>
      <c r="C58" s="55">
        <v>3.5000000000000001E-3</v>
      </c>
      <c r="D58" s="28">
        <v>2.72</v>
      </c>
    </row>
    <row r="59" spans="1:4" hidden="1" x14ac:dyDescent="0.35">
      <c r="A59" s="27">
        <v>2341</v>
      </c>
      <c r="B59" s="56" t="s">
        <v>136</v>
      </c>
      <c r="C59" s="55"/>
      <c r="D59" s="28">
        <f>C59*775.79</f>
        <v>0</v>
      </c>
    </row>
    <row r="60" spans="1:4" x14ac:dyDescent="0.35">
      <c r="A60" s="27">
        <v>2350</v>
      </c>
      <c r="B60" s="55" t="s">
        <v>137</v>
      </c>
      <c r="C60" s="55">
        <v>8.5000000000000006E-3</v>
      </c>
      <c r="D60" s="28">
        <v>6.59</v>
      </c>
    </row>
    <row r="61" spans="1:4" hidden="1" x14ac:dyDescent="0.35">
      <c r="A61" s="27">
        <v>2361</v>
      </c>
      <c r="B61" s="56" t="s">
        <v>170</v>
      </c>
      <c r="C61" s="55">
        <v>0</v>
      </c>
      <c r="D61" s="28">
        <f t="shared" ref="D61:D66" si="0">C61*775.79</f>
        <v>0</v>
      </c>
    </row>
    <row r="62" spans="1:4" hidden="1" x14ac:dyDescent="0.35">
      <c r="A62" s="27">
        <v>2362</v>
      </c>
      <c r="B62" s="56" t="s">
        <v>171</v>
      </c>
      <c r="C62" s="55">
        <v>0</v>
      </c>
      <c r="D62" s="28">
        <f t="shared" si="0"/>
        <v>0</v>
      </c>
    </row>
    <row r="63" spans="1:4" hidden="1" x14ac:dyDescent="0.35">
      <c r="A63" s="27">
        <v>2363</v>
      </c>
      <c r="B63" s="56" t="s">
        <v>172</v>
      </c>
      <c r="C63" s="55">
        <v>0</v>
      </c>
      <c r="D63" s="28">
        <f t="shared" si="0"/>
        <v>0</v>
      </c>
    </row>
    <row r="64" spans="1:4" hidden="1" x14ac:dyDescent="0.35">
      <c r="A64" s="27">
        <v>2370</v>
      </c>
      <c r="B64" s="56" t="s">
        <v>173</v>
      </c>
      <c r="C64" s="55">
        <v>0</v>
      </c>
      <c r="D64" s="28">
        <f t="shared" si="0"/>
        <v>0</v>
      </c>
    </row>
    <row r="65" spans="1:7" hidden="1" x14ac:dyDescent="0.35">
      <c r="A65" s="27">
        <v>2400</v>
      </c>
      <c r="B65" s="56" t="s">
        <v>174</v>
      </c>
      <c r="C65" s="55">
        <v>0</v>
      </c>
      <c r="D65" s="28">
        <f t="shared" si="0"/>
        <v>0</v>
      </c>
    </row>
    <row r="66" spans="1:7" hidden="1" x14ac:dyDescent="0.35">
      <c r="A66" s="27">
        <v>2512</v>
      </c>
      <c r="B66" s="56" t="s">
        <v>175</v>
      </c>
      <c r="C66" s="55">
        <v>0</v>
      </c>
      <c r="D66" s="28">
        <f t="shared" si="0"/>
        <v>0</v>
      </c>
    </row>
    <row r="67" spans="1:7" ht="15.75" customHeight="1" x14ac:dyDescent="0.35">
      <c r="A67" s="27">
        <v>2513</v>
      </c>
      <c r="B67" s="55" t="s">
        <v>160</v>
      </c>
      <c r="C67" s="55">
        <v>1.4599999999999999E-3</v>
      </c>
      <c r="D67" s="28">
        <v>1.1299999999999999</v>
      </c>
    </row>
    <row r="68" spans="1:7" x14ac:dyDescent="0.35">
      <c r="A68" s="27">
        <v>2515</v>
      </c>
      <c r="B68" s="56" t="s">
        <v>161</v>
      </c>
      <c r="C68" s="55">
        <v>1.9E-3</v>
      </c>
      <c r="D68" s="28">
        <v>1.47</v>
      </c>
    </row>
    <row r="69" spans="1:7" x14ac:dyDescent="0.35">
      <c r="A69" s="27">
        <v>2519</v>
      </c>
      <c r="B69" s="56" t="s">
        <v>162</v>
      </c>
      <c r="C69" s="55">
        <v>2E-3</v>
      </c>
      <c r="D69" s="28">
        <v>1.55</v>
      </c>
    </row>
    <row r="70" spans="1:7" x14ac:dyDescent="0.35">
      <c r="A70" s="27">
        <v>5220</v>
      </c>
      <c r="B70" s="56" t="s">
        <v>163</v>
      </c>
      <c r="C70" s="55">
        <v>1.06E-2</v>
      </c>
      <c r="D70" s="28">
        <v>8.2200000000000006</v>
      </c>
    </row>
    <row r="71" spans="1:7" x14ac:dyDescent="0.35">
      <c r="A71" s="27">
        <v>5238</v>
      </c>
      <c r="B71" s="55" t="s">
        <v>164</v>
      </c>
      <c r="C71" s="55">
        <v>1.65E-3</v>
      </c>
      <c r="D71" s="28">
        <v>1.38</v>
      </c>
    </row>
    <row r="72" spans="1:7" x14ac:dyDescent="0.35">
      <c r="A72" s="27">
        <v>5239</v>
      </c>
      <c r="B72" s="55" t="s">
        <v>165</v>
      </c>
      <c r="C72" s="55">
        <v>1.9800000000000002E-2</v>
      </c>
      <c r="D72" s="28">
        <v>15.36</v>
      </c>
    </row>
    <row r="73" spans="1:7" x14ac:dyDescent="0.35">
      <c r="A73" s="27">
        <v>5250</v>
      </c>
      <c r="B73" s="56" t="s">
        <v>166</v>
      </c>
      <c r="C73" s="55">
        <v>2.5000000000000001E-2</v>
      </c>
      <c r="D73" s="28">
        <v>15.27</v>
      </c>
    </row>
    <row r="74" spans="1:7" x14ac:dyDescent="0.35">
      <c r="A74" s="32"/>
      <c r="B74" s="59" t="s">
        <v>167</v>
      </c>
      <c r="C74" s="55">
        <f>SUM(C33:C73)</f>
        <v>0.99988380000000032</v>
      </c>
      <c r="D74" s="31">
        <f>SUM(D33:D73)</f>
        <v>749.31</v>
      </c>
    </row>
    <row r="75" spans="1:7" x14ac:dyDescent="0.35">
      <c r="A75" s="32"/>
      <c r="B75" s="59" t="s">
        <v>168</v>
      </c>
      <c r="C75" s="59"/>
      <c r="D75" s="31">
        <f>D31+D74</f>
        <v>2125.25</v>
      </c>
      <c r="E75" s="52"/>
    </row>
    <row r="76" spans="1:7" ht="12.75" customHeight="1" x14ac:dyDescent="0.35">
      <c r="A76" s="37"/>
      <c r="B76" s="20"/>
      <c r="C76" s="20"/>
      <c r="D76" s="60"/>
    </row>
    <row r="77" spans="1:7" ht="15.75" customHeight="1" x14ac:dyDescent="0.35">
      <c r="A77" s="211" t="s">
        <v>51</v>
      </c>
      <c r="B77" s="211"/>
      <c r="C77" s="61"/>
      <c r="D77" s="44">
        <v>5</v>
      </c>
    </row>
    <row r="78" spans="1:7" ht="15.75" customHeight="1" x14ac:dyDescent="0.35">
      <c r="A78" s="211" t="s">
        <v>58</v>
      </c>
      <c r="B78" s="211"/>
      <c r="C78" s="61"/>
      <c r="D78" s="45">
        <f>D75/D77</f>
        <v>425.05</v>
      </c>
      <c r="E78" s="52"/>
      <c r="G78" s="52"/>
    </row>
    <row r="79" spans="1:7" ht="9.75" customHeight="1" x14ac:dyDescent="0.35">
      <c r="A79" s="41"/>
      <c r="B79" s="42"/>
      <c r="C79" s="42"/>
    </row>
    <row r="80" spans="1:7" ht="15.75" customHeight="1" x14ac:dyDescent="0.35">
      <c r="A80" s="208" t="s">
        <v>52</v>
      </c>
      <c r="B80" s="208"/>
      <c r="C80" s="62"/>
      <c r="D80" s="40"/>
    </row>
    <row r="81" spans="1:4" ht="15.75" customHeight="1" x14ac:dyDescent="0.35">
      <c r="A81" s="208" t="s">
        <v>74</v>
      </c>
      <c r="B81" s="208"/>
      <c r="C81" s="62"/>
      <c r="D81" s="40"/>
    </row>
    <row r="82" spans="1:4" ht="8.25" customHeight="1" x14ac:dyDescent="0.35">
      <c r="A82" s="17"/>
      <c r="B82" s="17"/>
      <c r="C82" s="17"/>
      <c r="D82" s="17"/>
    </row>
    <row r="83" spans="1:4" x14ac:dyDescent="0.35">
      <c r="A83" s="17" t="s">
        <v>53</v>
      </c>
      <c r="B83" s="17"/>
      <c r="C83" s="17"/>
      <c r="D83" s="48"/>
    </row>
    <row r="84" spans="1:4" x14ac:dyDescent="0.35">
      <c r="A84" s="17"/>
      <c r="B84" s="17"/>
      <c r="C84" s="17"/>
      <c r="D84" s="48"/>
    </row>
    <row r="85" spans="1:4" x14ac:dyDescent="0.35">
      <c r="A85" s="17" t="s">
        <v>68</v>
      </c>
      <c r="B85" s="18"/>
      <c r="C85" s="18"/>
      <c r="D85" s="17"/>
    </row>
    <row r="86" spans="1:4" x14ac:dyDescent="0.35">
      <c r="B86" s="63"/>
      <c r="C86" s="63"/>
      <c r="D86" s="64"/>
    </row>
    <row r="88" spans="1:4" x14ac:dyDescent="0.35">
      <c r="D88" s="52"/>
    </row>
  </sheetData>
  <mergeCells count="10">
    <mergeCell ref="A9:B9"/>
    <mergeCell ref="A10:B10"/>
    <mergeCell ref="B2:D2"/>
    <mergeCell ref="A7:D7"/>
    <mergeCell ref="A78:B78"/>
    <mergeCell ref="A81:B81"/>
    <mergeCell ref="B13:C13"/>
    <mergeCell ref="B14:C14"/>
    <mergeCell ref="A77:B77"/>
    <mergeCell ref="A80:B80"/>
  </mergeCells>
  <pageMargins left="0.88263888888888886" right="0.70866141732283472" top="0.55118110236220474" bottom="0.55118110236220474" header="0.31496062992125984" footer="0.31496062992125984"/>
  <pageSetup paperSize="9" scale="62" orientation="portrait" r:id="rId1"/>
  <headerFooter>
    <oddFooter>&amp;F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8"/>
  <sheetViews>
    <sheetView view="pageLayout" topLeftCell="A31" zoomScale="90" zoomScaleNormal="100" zoomScalePageLayoutView="90" workbookViewId="0">
      <selection activeCell="B6" sqref="B6"/>
    </sheetView>
  </sheetViews>
  <sheetFormatPr defaultColWidth="9.1796875" defaultRowHeight="15.5" x14ac:dyDescent="0.35"/>
  <cols>
    <col min="1" max="1" width="18.26953125" style="12" customWidth="1"/>
    <col min="2" max="2" width="85.7265625" style="12" customWidth="1"/>
    <col min="3" max="3" width="10" style="12" hidden="1" customWidth="1"/>
    <col min="4" max="4" width="26.453125" style="12" customWidth="1"/>
    <col min="5" max="5" width="12.26953125" style="12" customWidth="1"/>
    <col min="6" max="16384" width="9.1796875" style="12"/>
  </cols>
  <sheetData>
    <row r="1" spans="1:4" ht="15.75" customHeight="1" x14ac:dyDescent="0.35">
      <c r="B1" s="10"/>
      <c r="C1" s="10"/>
      <c r="D1" s="49" t="s">
        <v>50</v>
      </c>
    </row>
    <row r="2" spans="1:4" x14ac:dyDescent="0.35">
      <c r="B2" s="212" t="s">
        <v>54</v>
      </c>
      <c r="C2" s="212"/>
      <c r="D2" s="229"/>
    </row>
    <row r="3" spans="1:4" x14ac:dyDescent="0.35">
      <c r="B3" s="11"/>
      <c r="C3" s="11"/>
      <c r="D3" s="46" t="s">
        <v>76</v>
      </c>
    </row>
    <row r="4" spans="1:4" x14ac:dyDescent="0.35">
      <c r="B4" s="10"/>
      <c r="C4" s="10"/>
      <c r="D4" s="37"/>
    </row>
    <row r="5" spans="1:4" x14ac:dyDescent="0.35">
      <c r="B5" s="51"/>
      <c r="C5" s="51"/>
      <c r="D5" s="37" t="s">
        <v>193</v>
      </c>
    </row>
    <row r="6" spans="1:4" x14ac:dyDescent="0.35">
      <c r="D6" s="20"/>
    </row>
    <row r="7" spans="1:4" x14ac:dyDescent="0.35">
      <c r="A7" s="209" t="s">
        <v>10</v>
      </c>
      <c r="B7" s="209"/>
      <c r="C7" s="209"/>
      <c r="D7" s="209"/>
    </row>
    <row r="8" spans="1:4" x14ac:dyDescent="0.35">
      <c r="B8" s="53"/>
      <c r="C8" s="53"/>
      <c r="D8" s="20"/>
    </row>
    <row r="9" spans="1:4" x14ac:dyDescent="0.35">
      <c r="A9" s="210" t="s">
        <v>1</v>
      </c>
      <c r="B9" s="210"/>
      <c r="C9" s="9"/>
      <c r="D9" s="20"/>
    </row>
    <row r="10" spans="1:4" x14ac:dyDescent="0.35">
      <c r="A10" s="210" t="s">
        <v>0</v>
      </c>
      <c r="B10" s="210"/>
      <c r="C10" s="9"/>
      <c r="D10" s="20"/>
    </row>
    <row r="11" spans="1:4" x14ac:dyDescent="0.35">
      <c r="A11" s="9"/>
      <c r="B11" s="9" t="s">
        <v>47</v>
      </c>
      <c r="C11" s="9"/>
      <c r="D11" s="20"/>
    </row>
    <row r="12" spans="1:4" x14ac:dyDescent="0.35">
      <c r="A12" s="9"/>
      <c r="B12" s="9" t="s">
        <v>83</v>
      </c>
      <c r="C12" s="9"/>
      <c r="D12" s="20"/>
    </row>
    <row r="13" spans="1:4" x14ac:dyDescent="0.35">
      <c r="A13" s="9"/>
      <c r="B13" s="210" t="s">
        <v>84</v>
      </c>
      <c r="C13" s="210"/>
      <c r="D13" s="20"/>
    </row>
    <row r="14" spans="1:4" x14ac:dyDescent="0.35">
      <c r="A14" s="9"/>
      <c r="B14" s="210" t="s">
        <v>123</v>
      </c>
      <c r="C14" s="210"/>
      <c r="D14" s="20"/>
    </row>
    <row r="15" spans="1:4" x14ac:dyDescent="0.35">
      <c r="A15" s="9" t="s">
        <v>2</v>
      </c>
      <c r="B15" s="9" t="s">
        <v>191</v>
      </c>
      <c r="C15" s="9"/>
      <c r="D15" s="20"/>
    </row>
    <row r="16" spans="1:4" ht="69.75" customHeight="1" x14ac:dyDescent="0.35">
      <c r="A16" s="43" t="s">
        <v>3</v>
      </c>
      <c r="B16" s="43" t="s">
        <v>4</v>
      </c>
      <c r="C16" s="43"/>
      <c r="D16" s="43" t="s">
        <v>5</v>
      </c>
    </row>
    <row r="17" spans="1:8" x14ac:dyDescent="0.35">
      <c r="A17" s="22">
        <v>1</v>
      </c>
      <c r="B17" s="23">
        <v>2</v>
      </c>
      <c r="C17" s="23"/>
      <c r="D17" s="23">
        <v>3</v>
      </c>
    </row>
    <row r="18" spans="1:8" x14ac:dyDescent="0.35">
      <c r="A18" s="22"/>
      <c r="B18" s="54" t="s">
        <v>6</v>
      </c>
      <c r="C18" s="54"/>
      <c r="D18" s="55"/>
    </row>
    <row r="19" spans="1:8" x14ac:dyDescent="0.35">
      <c r="A19" s="27">
        <v>1100</v>
      </c>
      <c r="B19" s="27" t="s">
        <v>134</v>
      </c>
      <c r="C19" s="27"/>
      <c r="D19" s="28">
        <v>717.6</v>
      </c>
      <c r="E19" s="52"/>
      <c r="F19" s="52"/>
      <c r="G19" s="52"/>
      <c r="H19" s="52"/>
    </row>
    <row r="20" spans="1:8" x14ac:dyDescent="0.35">
      <c r="A20" s="27">
        <v>1200</v>
      </c>
      <c r="B20" s="55" t="s">
        <v>135</v>
      </c>
      <c r="C20" s="55"/>
      <c r="D20" s="28">
        <v>169.28</v>
      </c>
    </row>
    <row r="21" spans="1:8" x14ac:dyDescent="0.35">
      <c r="A21" s="27">
        <v>2222</v>
      </c>
      <c r="B21" s="56" t="s">
        <v>139</v>
      </c>
      <c r="C21" s="55"/>
      <c r="D21" s="28">
        <f>'1.3.1.2.'!D21</f>
        <v>1787.68</v>
      </c>
      <c r="E21" s="52"/>
    </row>
    <row r="22" spans="1:8" x14ac:dyDescent="0.35">
      <c r="A22" s="27">
        <v>2223</v>
      </c>
      <c r="B22" s="56" t="s">
        <v>140</v>
      </c>
      <c r="C22" s="55"/>
      <c r="D22" s="28">
        <v>29.85</v>
      </c>
    </row>
    <row r="23" spans="1:8" hidden="1" x14ac:dyDescent="0.35">
      <c r="A23" s="27">
        <v>2243</v>
      </c>
      <c r="B23" s="54" t="s">
        <v>147</v>
      </c>
      <c r="C23" s="55"/>
      <c r="D23" s="28">
        <v>0</v>
      </c>
    </row>
    <row r="24" spans="1:8" x14ac:dyDescent="0.35">
      <c r="A24" s="27">
        <v>2244</v>
      </c>
      <c r="B24" s="54" t="s">
        <v>148</v>
      </c>
      <c r="C24" s="55"/>
      <c r="D24" s="28">
        <v>21.2</v>
      </c>
    </row>
    <row r="25" spans="1:8" x14ac:dyDescent="0.35">
      <c r="A25" s="27">
        <v>2312</v>
      </c>
      <c r="B25" s="54" t="s">
        <v>156</v>
      </c>
      <c r="C25" s="55"/>
      <c r="D25" s="28">
        <v>6.74</v>
      </c>
    </row>
    <row r="26" spans="1:8" x14ac:dyDescent="0.35">
      <c r="A26" s="27">
        <v>2321</v>
      </c>
      <c r="B26" s="56" t="s">
        <v>158</v>
      </c>
      <c r="C26" s="55"/>
      <c r="D26" s="28">
        <v>40.93</v>
      </c>
    </row>
    <row r="27" spans="1:8" x14ac:dyDescent="0.35">
      <c r="A27" s="27">
        <v>2341</v>
      </c>
      <c r="B27" s="56" t="s">
        <v>136</v>
      </c>
      <c r="C27" s="55"/>
      <c r="D27" s="28">
        <v>67.87</v>
      </c>
    </row>
    <row r="28" spans="1:8" x14ac:dyDescent="0.35">
      <c r="A28" s="27">
        <v>2361</v>
      </c>
      <c r="B28" s="56" t="s">
        <v>170</v>
      </c>
      <c r="C28" s="55"/>
      <c r="D28" s="28">
        <f>0.28*5*5+1.97*5*5</f>
        <v>56.25</v>
      </c>
    </row>
    <row r="29" spans="1:8" x14ac:dyDescent="0.35">
      <c r="A29" s="27">
        <v>2363</v>
      </c>
      <c r="B29" s="56" t="s">
        <v>172</v>
      </c>
      <c r="C29" s="55"/>
      <c r="D29" s="28">
        <v>203</v>
      </c>
    </row>
    <row r="30" spans="1:8" x14ac:dyDescent="0.35">
      <c r="A30" s="27">
        <v>5239</v>
      </c>
      <c r="B30" s="55" t="s">
        <v>165</v>
      </c>
      <c r="C30" s="55"/>
      <c r="D30" s="28">
        <v>8.86</v>
      </c>
    </row>
    <row r="31" spans="1:8" x14ac:dyDescent="0.35">
      <c r="A31" s="27"/>
      <c r="B31" s="57" t="s">
        <v>7</v>
      </c>
      <c r="C31" s="57"/>
      <c r="D31" s="31">
        <f>SUM(D19:D30)</f>
        <v>3109.2599999999993</v>
      </c>
      <c r="E31" s="52"/>
      <c r="F31" s="52"/>
    </row>
    <row r="32" spans="1:8" x14ac:dyDescent="0.35">
      <c r="A32" s="32"/>
      <c r="B32" s="57" t="s">
        <v>8</v>
      </c>
      <c r="C32" s="57"/>
      <c r="D32" s="28"/>
    </row>
    <row r="33" spans="1:4" x14ac:dyDescent="0.35">
      <c r="A33" s="27">
        <v>1100</v>
      </c>
      <c r="B33" s="54" t="s">
        <v>134</v>
      </c>
      <c r="C33" s="55">
        <f>0.388+0.024</f>
        <v>0.41200000000000003</v>
      </c>
      <c r="D33" s="28">
        <v>286.91000000000003</v>
      </c>
    </row>
    <row r="34" spans="1:4" ht="16.5" customHeight="1" x14ac:dyDescent="0.35">
      <c r="A34" s="27">
        <v>1200</v>
      </c>
      <c r="B34" s="54" t="s">
        <v>135</v>
      </c>
      <c r="C34" s="55">
        <f>C33*0.2359</f>
        <v>9.7190800000000008E-2</v>
      </c>
      <c r="D34" s="28">
        <v>67.680000000000007</v>
      </c>
    </row>
    <row r="35" spans="1:4" ht="16.5" customHeight="1" x14ac:dyDescent="0.35">
      <c r="A35" s="27">
        <v>2100</v>
      </c>
      <c r="B35" s="33" t="s">
        <v>44</v>
      </c>
      <c r="C35" s="55">
        <v>1.1659999999999999E-3</v>
      </c>
      <c r="D35" s="28">
        <v>0.81</v>
      </c>
    </row>
    <row r="36" spans="1:4" x14ac:dyDescent="0.35">
      <c r="A36" s="34">
        <v>2210</v>
      </c>
      <c r="B36" s="56" t="s">
        <v>138</v>
      </c>
      <c r="C36" s="55">
        <v>7.6E-3</v>
      </c>
      <c r="D36" s="28">
        <v>5.29</v>
      </c>
    </row>
    <row r="37" spans="1:4" x14ac:dyDescent="0.35">
      <c r="A37" s="27">
        <v>2222</v>
      </c>
      <c r="B37" s="56" t="s">
        <v>139</v>
      </c>
      <c r="C37" s="55">
        <v>9.4999999999999998E-3</v>
      </c>
      <c r="D37" s="28">
        <v>6.62</v>
      </c>
    </row>
    <row r="38" spans="1:4" x14ac:dyDescent="0.35">
      <c r="A38" s="27">
        <v>2223</v>
      </c>
      <c r="B38" s="56" t="s">
        <v>140</v>
      </c>
      <c r="C38" s="55">
        <v>1.9019999999999999E-2</v>
      </c>
      <c r="D38" s="28">
        <v>13.25</v>
      </c>
    </row>
    <row r="39" spans="1:4" ht="31" x14ac:dyDescent="0.35">
      <c r="A39" s="27">
        <v>2224</v>
      </c>
      <c r="B39" s="56" t="s">
        <v>141</v>
      </c>
      <c r="C39" s="55">
        <v>4.9500000000000004E-3</v>
      </c>
      <c r="D39" s="28">
        <v>3.45</v>
      </c>
    </row>
    <row r="40" spans="1:4" ht="15.75" customHeight="1" x14ac:dyDescent="0.35">
      <c r="A40" s="27">
        <v>2231</v>
      </c>
      <c r="B40" s="54" t="s">
        <v>142</v>
      </c>
      <c r="C40" s="55">
        <v>1.5499999999999999E-3</v>
      </c>
      <c r="D40" s="28">
        <v>1.08</v>
      </c>
    </row>
    <row r="41" spans="1:4" ht="15.75" customHeight="1" x14ac:dyDescent="0.35">
      <c r="A41" s="27">
        <v>2235</v>
      </c>
      <c r="B41" s="58" t="s">
        <v>143</v>
      </c>
      <c r="C41" s="55">
        <v>1.65E-3</v>
      </c>
      <c r="D41" s="28">
        <v>1.1499999999999999</v>
      </c>
    </row>
    <row r="42" spans="1:4" x14ac:dyDescent="0.35">
      <c r="A42" s="27">
        <v>2239</v>
      </c>
      <c r="B42" s="54" t="s">
        <v>144</v>
      </c>
      <c r="C42" s="55">
        <v>4.4099999999999999E-3</v>
      </c>
      <c r="D42" s="28">
        <v>3.07</v>
      </c>
    </row>
    <row r="43" spans="1:4" x14ac:dyDescent="0.35">
      <c r="A43" s="27">
        <v>2241</v>
      </c>
      <c r="B43" s="54" t="s">
        <v>145</v>
      </c>
      <c r="C43" s="55">
        <v>1.6500000000000001E-2</v>
      </c>
      <c r="D43" s="28">
        <v>11.49</v>
      </c>
    </row>
    <row r="44" spans="1:4" x14ac:dyDescent="0.35">
      <c r="A44" s="27">
        <v>2242</v>
      </c>
      <c r="B44" s="56" t="s">
        <v>146</v>
      </c>
      <c r="C44" s="55">
        <v>2.2599999999999999E-3</v>
      </c>
      <c r="D44" s="28">
        <v>1.57</v>
      </c>
    </row>
    <row r="45" spans="1:4" ht="15.75" customHeight="1" x14ac:dyDescent="0.35">
      <c r="A45" s="27">
        <v>2243</v>
      </c>
      <c r="B45" s="54" t="s">
        <v>147</v>
      </c>
      <c r="C45" s="55">
        <v>3.2599999999999997E-2</v>
      </c>
      <c r="D45" s="28">
        <v>24</v>
      </c>
    </row>
    <row r="46" spans="1:4" x14ac:dyDescent="0.35">
      <c r="A46" s="27">
        <v>2244</v>
      </c>
      <c r="B46" s="54" t="s">
        <v>148</v>
      </c>
      <c r="C46" s="55">
        <v>0.20397000000000001</v>
      </c>
      <c r="D46" s="28">
        <v>142.04</v>
      </c>
    </row>
    <row r="47" spans="1:4" x14ac:dyDescent="0.35">
      <c r="A47" s="27">
        <v>2247</v>
      </c>
      <c r="B47" s="54" t="s">
        <v>149</v>
      </c>
      <c r="C47" s="55">
        <v>7.1900000000000002E-4</v>
      </c>
      <c r="D47" s="28">
        <v>0.5</v>
      </c>
    </row>
    <row r="48" spans="1:4" x14ac:dyDescent="0.35">
      <c r="A48" s="27">
        <v>2249</v>
      </c>
      <c r="B48" s="54" t="s">
        <v>150</v>
      </c>
      <c r="C48" s="55">
        <v>2.32E-4</v>
      </c>
      <c r="D48" s="28">
        <v>0.16</v>
      </c>
    </row>
    <row r="49" spans="1:4" x14ac:dyDescent="0.35">
      <c r="A49" s="27">
        <v>2250</v>
      </c>
      <c r="B49" s="54" t="s">
        <v>151</v>
      </c>
      <c r="C49" s="55">
        <v>2.4025999999999999E-2</v>
      </c>
      <c r="D49" s="28">
        <v>16.73</v>
      </c>
    </row>
    <row r="50" spans="1:4" hidden="1" x14ac:dyDescent="0.35">
      <c r="A50" s="27">
        <v>2261</v>
      </c>
      <c r="B50" s="56" t="s">
        <v>169</v>
      </c>
      <c r="C50" s="55">
        <v>0</v>
      </c>
      <c r="D50" s="28">
        <f>C50*696.38</f>
        <v>0</v>
      </c>
    </row>
    <row r="51" spans="1:4" x14ac:dyDescent="0.35">
      <c r="A51" s="27">
        <v>2262</v>
      </c>
      <c r="B51" s="56" t="s">
        <v>152</v>
      </c>
      <c r="C51" s="55">
        <v>6.2599999999999999E-3</v>
      </c>
      <c r="D51" s="28">
        <v>4.3600000000000003</v>
      </c>
    </row>
    <row r="52" spans="1:4" x14ac:dyDescent="0.35">
      <c r="A52" s="27">
        <v>2263</v>
      </c>
      <c r="B52" s="56" t="s">
        <v>153</v>
      </c>
      <c r="C52" s="55">
        <v>4.58E-2</v>
      </c>
      <c r="D52" s="28">
        <v>31.89</v>
      </c>
    </row>
    <row r="53" spans="1:4" x14ac:dyDescent="0.35">
      <c r="A53" s="27">
        <v>2264</v>
      </c>
      <c r="B53" s="54" t="s">
        <v>154</v>
      </c>
      <c r="C53" s="55">
        <v>1.49E-3</v>
      </c>
      <c r="D53" s="28">
        <v>1.04</v>
      </c>
    </row>
    <row r="54" spans="1:4" x14ac:dyDescent="0.35">
      <c r="A54" s="27">
        <v>2311</v>
      </c>
      <c r="B54" s="56" t="s">
        <v>155</v>
      </c>
      <c r="C54" s="55">
        <v>4.7699999999999999E-3</v>
      </c>
      <c r="D54" s="28">
        <v>3.32</v>
      </c>
    </row>
    <row r="55" spans="1:4" x14ac:dyDescent="0.35">
      <c r="A55" s="27">
        <v>2312</v>
      </c>
      <c r="B55" s="56" t="s">
        <v>156</v>
      </c>
      <c r="C55" s="55">
        <v>5.79E-3</v>
      </c>
      <c r="D55" s="28">
        <v>4.03</v>
      </c>
    </row>
    <row r="56" spans="1:4" x14ac:dyDescent="0.35">
      <c r="A56" s="27">
        <v>2314</v>
      </c>
      <c r="B56" s="58" t="s">
        <v>157</v>
      </c>
      <c r="C56" s="55">
        <v>2.2200000000000002E-3</v>
      </c>
      <c r="D56" s="28">
        <v>1.55</v>
      </c>
    </row>
    <row r="57" spans="1:4" x14ac:dyDescent="0.35">
      <c r="A57" s="27">
        <v>2321</v>
      </c>
      <c r="B57" s="56" t="s">
        <v>158</v>
      </c>
      <c r="C57" s="55">
        <v>1.9800000000000002E-2</v>
      </c>
      <c r="D57" s="28">
        <v>14.72</v>
      </c>
    </row>
    <row r="58" spans="1:4" x14ac:dyDescent="0.35">
      <c r="A58" s="27">
        <v>2322</v>
      </c>
      <c r="B58" s="56" t="s">
        <v>159</v>
      </c>
      <c r="C58" s="55">
        <v>3.5000000000000001E-3</v>
      </c>
      <c r="D58" s="28">
        <v>2.44</v>
      </c>
    </row>
    <row r="59" spans="1:4" hidden="1" x14ac:dyDescent="0.35">
      <c r="A59" s="27">
        <v>2341</v>
      </c>
      <c r="B59" s="56" t="s">
        <v>136</v>
      </c>
      <c r="C59" s="55"/>
      <c r="D59" s="28">
        <f>C59*696.38</f>
        <v>0</v>
      </c>
    </row>
    <row r="60" spans="1:4" x14ac:dyDescent="0.35">
      <c r="A60" s="27">
        <v>2350</v>
      </c>
      <c r="B60" s="55" t="s">
        <v>137</v>
      </c>
      <c r="C60" s="55">
        <v>8.5000000000000006E-3</v>
      </c>
      <c r="D60" s="28">
        <v>6.92</v>
      </c>
    </row>
    <row r="61" spans="1:4" hidden="1" x14ac:dyDescent="0.35">
      <c r="A61" s="27">
        <v>2361</v>
      </c>
      <c r="B61" s="56" t="s">
        <v>170</v>
      </c>
      <c r="C61" s="55">
        <v>0</v>
      </c>
      <c r="D61" s="28">
        <f t="shared" ref="D61:D66" si="0">C61*696.38</f>
        <v>0</v>
      </c>
    </row>
    <row r="62" spans="1:4" hidden="1" x14ac:dyDescent="0.35">
      <c r="A62" s="27">
        <v>2362</v>
      </c>
      <c r="B62" s="56" t="s">
        <v>171</v>
      </c>
      <c r="C62" s="55">
        <v>0</v>
      </c>
      <c r="D62" s="28">
        <f t="shared" si="0"/>
        <v>0</v>
      </c>
    </row>
    <row r="63" spans="1:4" hidden="1" x14ac:dyDescent="0.35">
      <c r="A63" s="27">
        <v>2363</v>
      </c>
      <c r="B63" s="56" t="s">
        <v>172</v>
      </c>
      <c r="C63" s="55">
        <v>0</v>
      </c>
      <c r="D63" s="28">
        <f t="shared" si="0"/>
        <v>0</v>
      </c>
    </row>
    <row r="64" spans="1:4" hidden="1" x14ac:dyDescent="0.35">
      <c r="A64" s="27">
        <v>2370</v>
      </c>
      <c r="B64" s="56" t="s">
        <v>173</v>
      </c>
      <c r="C64" s="55">
        <v>0</v>
      </c>
      <c r="D64" s="28">
        <f t="shared" si="0"/>
        <v>0</v>
      </c>
    </row>
    <row r="65" spans="1:7" hidden="1" x14ac:dyDescent="0.35">
      <c r="A65" s="27">
        <v>2400</v>
      </c>
      <c r="B65" s="56" t="s">
        <v>174</v>
      </c>
      <c r="C65" s="55">
        <v>0</v>
      </c>
      <c r="D65" s="28">
        <f t="shared" si="0"/>
        <v>0</v>
      </c>
    </row>
    <row r="66" spans="1:7" hidden="1" x14ac:dyDescent="0.35">
      <c r="A66" s="27">
        <v>2512</v>
      </c>
      <c r="B66" s="56" t="s">
        <v>175</v>
      </c>
      <c r="C66" s="55">
        <v>0</v>
      </c>
      <c r="D66" s="28">
        <f t="shared" si="0"/>
        <v>0</v>
      </c>
    </row>
    <row r="67" spans="1:7" ht="15.75" customHeight="1" x14ac:dyDescent="0.35">
      <c r="A67" s="27">
        <v>2513</v>
      </c>
      <c r="B67" s="55" t="s">
        <v>160</v>
      </c>
      <c r="C67" s="55">
        <v>1.4599999999999999E-3</v>
      </c>
      <c r="D67" s="28">
        <v>1.02</v>
      </c>
    </row>
    <row r="68" spans="1:7" x14ac:dyDescent="0.35">
      <c r="A68" s="27">
        <v>2515</v>
      </c>
      <c r="B68" s="56" t="s">
        <v>161</v>
      </c>
      <c r="C68" s="55">
        <v>1.9E-3</v>
      </c>
      <c r="D68" s="28">
        <v>1.32</v>
      </c>
    </row>
    <row r="69" spans="1:7" x14ac:dyDescent="0.35">
      <c r="A69" s="27">
        <v>2519</v>
      </c>
      <c r="B69" s="56" t="s">
        <v>162</v>
      </c>
      <c r="C69" s="55">
        <v>2E-3</v>
      </c>
      <c r="D69" s="28">
        <v>1.39</v>
      </c>
    </row>
    <row r="70" spans="1:7" x14ac:dyDescent="0.35">
      <c r="A70" s="27">
        <v>5220</v>
      </c>
      <c r="B70" s="56" t="s">
        <v>163</v>
      </c>
      <c r="C70" s="55">
        <v>1.06E-2</v>
      </c>
      <c r="D70" s="28">
        <v>7.38</v>
      </c>
    </row>
    <row r="71" spans="1:7" x14ac:dyDescent="0.35">
      <c r="A71" s="27">
        <v>5238</v>
      </c>
      <c r="B71" s="55" t="s">
        <v>164</v>
      </c>
      <c r="C71" s="55">
        <v>1.65E-3</v>
      </c>
      <c r="D71" s="28">
        <v>4.7300000000000004</v>
      </c>
    </row>
    <row r="72" spans="1:7" x14ac:dyDescent="0.35">
      <c r="A72" s="27">
        <v>5239</v>
      </c>
      <c r="B72" s="55" t="s">
        <v>165</v>
      </c>
      <c r="C72" s="55">
        <v>1.9800000000000002E-2</v>
      </c>
      <c r="D72" s="28">
        <v>13.79</v>
      </c>
    </row>
    <row r="73" spans="1:7" x14ac:dyDescent="0.35">
      <c r="A73" s="27">
        <v>5250</v>
      </c>
      <c r="B73" s="56" t="s">
        <v>166</v>
      </c>
      <c r="C73" s="55">
        <v>2.5000000000000001E-2</v>
      </c>
      <c r="D73" s="28">
        <v>17.41</v>
      </c>
    </row>
    <row r="74" spans="1:7" x14ac:dyDescent="0.35">
      <c r="A74" s="32"/>
      <c r="B74" s="59" t="s">
        <v>167</v>
      </c>
      <c r="C74" s="55">
        <f>SUM(C33:C73)</f>
        <v>0.99988380000000032</v>
      </c>
      <c r="D74" s="31">
        <f>SUM(D33:D73)</f>
        <v>703.1099999999999</v>
      </c>
    </row>
    <row r="75" spans="1:7" x14ac:dyDescent="0.35">
      <c r="A75" s="32"/>
      <c r="B75" s="59" t="s">
        <v>168</v>
      </c>
      <c r="C75" s="59"/>
      <c r="D75" s="31">
        <f>D31+D74</f>
        <v>3812.369999999999</v>
      </c>
      <c r="E75" s="52"/>
    </row>
    <row r="76" spans="1:7" ht="12.75" customHeight="1" x14ac:dyDescent="0.35">
      <c r="A76" s="37"/>
      <c r="B76" s="20"/>
      <c r="C76" s="20"/>
      <c r="D76" s="60"/>
    </row>
    <row r="77" spans="1:7" ht="15.75" customHeight="1" x14ac:dyDescent="0.35">
      <c r="A77" s="211" t="s">
        <v>51</v>
      </c>
      <c r="B77" s="211"/>
      <c r="C77" s="61"/>
      <c r="D77" s="44">
        <v>5</v>
      </c>
    </row>
    <row r="78" spans="1:7" ht="15.75" customHeight="1" x14ac:dyDescent="0.35">
      <c r="A78" s="211" t="s">
        <v>58</v>
      </c>
      <c r="B78" s="211"/>
      <c r="C78" s="61"/>
      <c r="D78" s="45">
        <f>D75/D77</f>
        <v>762.47399999999982</v>
      </c>
      <c r="E78" s="52"/>
      <c r="G78" s="52"/>
    </row>
    <row r="79" spans="1:7" ht="9.75" customHeight="1" x14ac:dyDescent="0.35">
      <c r="A79" s="41"/>
      <c r="B79" s="42"/>
      <c r="C79" s="42"/>
    </row>
    <row r="80" spans="1:7" ht="15.75" customHeight="1" x14ac:dyDescent="0.35">
      <c r="A80" s="208" t="s">
        <v>52</v>
      </c>
      <c r="B80" s="208"/>
      <c r="C80" s="62"/>
      <c r="D80" s="40"/>
    </row>
    <row r="81" spans="1:4" ht="15.75" customHeight="1" x14ac:dyDescent="0.35">
      <c r="A81" s="208" t="s">
        <v>74</v>
      </c>
      <c r="B81" s="208"/>
      <c r="C81" s="62"/>
      <c r="D81" s="40"/>
    </row>
    <row r="82" spans="1:4" ht="8.25" customHeight="1" x14ac:dyDescent="0.35">
      <c r="A82" s="17"/>
      <c r="B82" s="17"/>
      <c r="C82" s="17"/>
      <c r="D82" s="17"/>
    </row>
    <row r="83" spans="1:4" x14ac:dyDescent="0.35">
      <c r="A83" s="17" t="s">
        <v>53</v>
      </c>
      <c r="B83" s="17"/>
      <c r="C83" s="17"/>
      <c r="D83" s="48"/>
    </row>
    <row r="84" spans="1:4" x14ac:dyDescent="0.35">
      <c r="A84" s="17"/>
      <c r="B84" s="17"/>
      <c r="C84" s="17"/>
      <c r="D84" s="48"/>
    </row>
    <row r="85" spans="1:4" x14ac:dyDescent="0.35">
      <c r="A85" s="17" t="s">
        <v>68</v>
      </c>
      <c r="B85" s="18"/>
      <c r="C85" s="18"/>
      <c r="D85" s="17"/>
    </row>
    <row r="86" spans="1:4" x14ac:dyDescent="0.35">
      <c r="B86" s="63"/>
      <c r="C86" s="63"/>
      <c r="D86" s="64"/>
    </row>
    <row r="88" spans="1:4" x14ac:dyDescent="0.35">
      <c r="D88" s="52"/>
    </row>
  </sheetData>
  <mergeCells count="10">
    <mergeCell ref="A81:B81"/>
    <mergeCell ref="A9:B9"/>
    <mergeCell ref="A10:B10"/>
    <mergeCell ref="A80:B80"/>
    <mergeCell ref="B2:D2"/>
    <mergeCell ref="A7:D7"/>
    <mergeCell ref="B13:C13"/>
    <mergeCell ref="B14:C14"/>
    <mergeCell ref="A77:B77"/>
    <mergeCell ref="A78:B78"/>
  </mergeCells>
  <pageMargins left="0.83240740740740737" right="0.70866141732283472" top="0.55118110236220474" bottom="0.55118110236220474" header="0.31496062992125984" footer="0.31496062992125984"/>
  <pageSetup paperSize="9" scale="62" orientation="portrait" r:id="rId1"/>
  <headerFooter>
    <oddFooter>&amp;F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8"/>
  <sheetViews>
    <sheetView view="pageLayout" topLeftCell="A49" zoomScale="90" zoomScaleNormal="100" zoomScalePageLayoutView="90" workbookViewId="0">
      <selection activeCell="B15" sqref="B15"/>
    </sheetView>
  </sheetViews>
  <sheetFormatPr defaultColWidth="9.1796875" defaultRowHeight="15.5" x14ac:dyDescent="0.35"/>
  <cols>
    <col min="1" max="1" width="19.26953125" style="12" customWidth="1"/>
    <col min="2" max="2" width="83.54296875" style="12" customWidth="1"/>
    <col min="3" max="3" width="10" style="12" hidden="1" customWidth="1"/>
    <col min="4" max="4" width="25.81640625" style="12" customWidth="1"/>
    <col min="5" max="5" width="12.26953125" style="12" customWidth="1"/>
    <col min="6" max="16384" width="9.1796875" style="12"/>
  </cols>
  <sheetData>
    <row r="1" spans="1:4" ht="15.75" customHeight="1" x14ac:dyDescent="0.35">
      <c r="B1" s="10"/>
      <c r="C1" s="10"/>
      <c r="D1" s="49" t="s">
        <v>50</v>
      </c>
    </row>
    <row r="2" spans="1:4" x14ac:dyDescent="0.35">
      <c r="B2" s="212" t="s">
        <v>54</v>
      </c>
      <c r="C2" s="212"/>
      <c r="D2" s="229"/>
    </row>
    <row r="3" spans="1:4" x14ac:dyDescent="0.35">
      <c r="B3" s="11"/>
      <c r="C3" s="11"/>
      <c r="D3" s="46" t="s">
        <v>76</v>
      </c>
    </row>
    <row r="4" spans="1:4" x14ac:dyDescent="0.35">
      <c r="B4" s="10"/>
      <c r="C4" s="10"/>
      <c r="D4" s="37"/>
    </row>
    <row r="5" spans="1:4" x14ac:dyDescent="0.35">
      <c r="B5" s="51"/>
      <c r="C5" s="51"/>
      <c r="D5" s="37" t="s">
        <v>193</v>
      </c>
    </row>
    <row r="6" spans="1:4" x14ac:dyDescent="0.35">
      <c r="D6" s="20"/>
    </row>
    <row r="7" spans="1:4" x14ac:dyDescent="0.35">
      <c r="A7" s="209" t="s">
        <v>10</v>
      </c>
      <c r="B7" s="209"/>
      <c r="C7" s="209"/>
      <c r="D7" s="209"/>
    </row>
    <row r="8" spans="1:4" x14ac:dyDescent="0.35">
      <c r="B8" s="53"/>
      <c r="C8" s="53"/>
      <c r="D8" s="20"/>
    </row>
    <row r="9" spans="1:4" x14ac:dyDescent="0.35">
      <c r="A9" s="210" t="s">
        <v>1</v>
      </c>
      <c r="B9" s="210"/>
      <c r="C9" s="9"/>
      <c r="D9" s="20"/>
    </row>
    <row r="10" spans="1:4" x14ac:dyDescent="0.35">
      <c r="A10" s="210" t="s">
        <v>0</v>
      </c>
      <c r="B10" s="210"/>
      <c r="C10" s="9"/>
      <c r="D10" s="20"/>
    </row>
    <row r="11" spans="1:4" x14ac:dyDescent="0.35">
      <c r="A11" s="9"/>
      <c r="B11" s="9" t="s">
        <v>47</v>
      </c>
      <c r="C11" s="9"/>
      <c r="D11" s="20"/>
    </row>
    <row r="12" spans="1:4" x14ac:dyDescent="0.35">
      <c r="A12" s="9"/>
      <c r="B12" s="9" t="s">
        <v>83</v>
      </c>
      <c r="C12" s="9"/>
      <c r="D12" s="20"/>
    </row>
    <row r="13" spans="1:4" x14ac:dyDescent="0.35">
      <c r="A13" s="9"/>
      <c r="B13" s="210" t="s">
        <v>84</v>
      </c>
      <c r="C13" s="210"/>
      <c r="D13" s="20"/>
    </row>
    <row r="14" spans="1:4" x14ac:dyDescent="0.35">
      <c r="A14" s="9"/>
      <c r="B14" s="210" t="s">
        <v>183</v>
      </c>
      <c r="C14" s="210"/>
      <c r="D14" s="210"/>
    </row>
    <row r="15" spans="1:4" x14ac:dyDescent="0.35">
      <c r="A15" s="9" t="s">
        <v>2</v>
      </c>
      <c r="B15" s="9" t="s">
        <v>191</v>
      </c>
      <c r="C15" s="9"/>
      <c r="D15" s="20"/>
    </row>
    <row r="16" spans="1:4" ht="69.75" customHeight="1" x14ac:dyDescent="0.35">
      <c r="A16" s="43" t="s">
        <v>3</v>
      </c>
      <c r="B16" s="43" t="s">
        <v>4</v>
      </c>
      <c r="C16" s="43"/>
      <c r="D16" s="43" t="s">
        <v>5</v>
      </c>
    </row>
    <row r="17" spans="1:8" x14ac:dyDescent="0.35">
      <c r="A17" s="22">
        <v>1</v>
      </c>
      <c r="B17" s="23">
        <v>2</v>
      </c>
      <c r="C17" s="23"/>
      <c r="D17" s="23">
        <v>3</v>
      </c>
    </row>
    <row r="18" spans="1:8" x14ac:dyDescent="0.35">
      <c r="A18" s="22"/>
      <c r="B18" s="54" t="s">
        <v>6</v>
      </c>
      <c r="C18" s="54"/>
      <c r="D18" s="55"/>
    </row>
    <row r="19" spans="1:8" x14ac:dyDescent="0.35">
      <c r="A19" s="27">
        <v>1100</v>
      </c>
      <c r="B19" s="27" t="s">
        <v>134</v>
      </c>
      <c r="C19" s="27"/>
      <c r="D19" s="28">
        <v>535.85</v>
      </c>
      <c r="E19" s="52"/>
      <c r="F19" s="52"/>
      <c r="G19" s="52"/>
      <c r="H19" s="52"/>
    </row>
    <row r="20" spans="1:8" x14ac:dyDescent="0.35">
      <c r="A20" s="27">
        <v>1200</v>
      </c>
      <c r="B20" s="55" t="s">
        <v>135</v>
      </c>
      <c r="C20" s="55"/>
      <c r="D20" s="28">
        <v>126.41</v>
      </c>
      <c r="E20" s="52"/>
      <c r="F20" s="52"/>
    </row>
    <row r="21" spans="1:8" x14ac:dyDescent="0.35">
      <c r="A21" s="27">
        <v>2222</v>
      </c>
      <c r="B21" s="56" t="s">
        <v>139</v>
      </c>
      <c r="C21" s="55"/>
      <c r="D21" s="28">
        <v>30.54</v>
      </c>
      <c r="E21" s="52"/>
    </row>
    <row r="22" spans="1:8" x14ac:dyDescent="0.35">
      <c r="A22" s="27">
        <v>2223</v>
      </c>
      <c r="B22" s="56" t="s">
        <v>140</v>
      </c>
      <c r="C22" s="55"/>
      <c r="D22" s="28">
        <v>22.05</v>
      </c>
    </row>
    <row r="23" spans="1:8" hidden="1" x14ac:dyDescent="0.35">
      <c r="A23" s="27">
        <v>2243</v>
      </c>
      <c r="B23" s="54" t="s">
        <v>147</v>
      </c>
      <c r="C23" s="55"/>
      <c r="D23" s="28">
        <v>0</v>
      </c>
    </row>
    <row r="24" spans="1:8" x14ac:dyDescent="0.35">
      <c r="A24" s="27">
        <v>2244</v>
      </c>
      <c r="B24" s="54" t="s">
        <v>148</v>
      </c>
      <c r="C24" s="55"/>
      <c r="D24" s="28">
        <v>37.1</v>
      </c>
    </row>
    <row r="25" spans="1:8" x14ac:dyDescent="0.35">
      <c r="A25" s="27">
        <v>2312</v>
      </c>
      <c r="B25" s="54" t="s">
        <v>156</v>
      </c>
      <c r="C25" s="55"/>
      <c r="D25" s="28">
        <v>7.1</v>
      </c>
    </row>
    <row r="26" spans="1:8" x14ac:dyDescent="0.35">
      <c r="A26" s="27">
        <v>2321</v>
      </c>
      <c r="B26" s="56" t="s">
        <v>158</v>
      </c>
      <c r="C26" s="55"/>
      <c r="D26" s="28">
        <v>34.71</v>
      </c>
    </row>
    <row r="27" spans="1:8" x14ac:dyDescent="0.35">
      <c r="A27" s="27">
        <v>2341</v>
      </c>
      <c r="B27" s="56" t="s">
        <v>136</v>
      </c>
      <c r="C27" s="55"/>
      <c r="D27" s="28">
        <v>57.18</v>
      </c>
    </row>
    <row r="28" spans="1:8" x14ac:dyDescent="0.35">
      <c r="A28" s="27">
        <v>2361</v>
      </c>
      <c r="B28" s="56" t="s">
        <v>170</v>
      </c>
      <c r="C28" s="55"/>
      <c r="D28" s="28">
        <v>56.25</v>
      </c>
    </row>
    <row r="29" spans="1:8" x14ac:dyDescent="0.35">
      <c r="A29" s="27">
        <v>2363</v>
      </c>
      <c r="B29" s="56" t="s">
        <v>172</v>
      </c>
      <c r="C29" s="55"/>
      <c r="D29" s="28">
        <v>203</v>
      </c>
    </row>
    <row r="30" spans="1:8" x14ac:dyDescent="0.35">
      <c r="A30" s="27">
        <v>5239</v>
      </c>
      <c r="B30" s="55" t="s">
        <v>165</v>
      </c>
      <c r="C30" s="55"/>
      <c r="D30" s="28">
        <v>8.42</v>
      </c>
    </row>
    <row r="31" spans="1:8" x14ac:dyDescent="0.35">
      <c r="A31" s="27"/>
      <c r="B31" s="57" t="s">
        <v>7</v>
      </c>
      <c r="C31" s="57"/>
      <c r="D31" s="31">
        <f>SUM(D19:D30)</f>
        <v>1118.6100000000001</v>
      </c>
      <c r="F31" s="52"/>
    </row>
    <row r="32" spans="1:8" x14ac:dyDescent="0.35">
      <c r="A32" s="32"/>
      <c r="B32" s="57" t="s">
        <v>8</v>
      </c>
      <c r="C32" s="57"/>
      <c r="D32" s="28"/>
      <c r="E32" s="52"/>
    </row>
    <row r="33" spans="1:4" x14ac:dyDescent="0.35">
      <c r="A33" s="27">
        <v>1100</v>
      </c>
      <c r="B33" s="54" t="s">
        <v>134</v>
      </c>
      <c r="C33" s="55">
        <f>0.388+0.024</f>
        <v>0.41200000000000003</v>
      </c>
      <c r="D33" s="28">
        <v>279.47000000000003</v>
      </c>
    </row>
    <row r="34" spans="1:4" ht="16.5" customHeight="1" x14ac:dyDescent="0.35">
      <c r="A34" s="27">
        <v>1200</v>
      </c>
      <c r="B34" s="54" t="s">
        <v>135</v>
      </c>
      <c r="C34" s="55">
        <f>C33*0.2359</f>
        <v>9.7190800000000008E-2</v>
      </c>
      <c r="D34" s="28">
        <v>65.930000000000007</v>
      </c>
    </row>
    <row r="35" spans="1:4" ht="16.5" customHeight="1" x14ac:dyDescent="0.35">
      <c r="A35" s="27">
        <v>2100</v>
      </c>
      <c r="B35" s="33" t="s">
        <v>44</v>
      </c>
      <c r="C35" s="55">
        <v>1.1659999999999999E-3</v>
      </c>
      <c r="D35" s="28">
        <v>0.79</v>
      </c>
    </row>
    <row r="36" spans="1:4" x14ac:dyDescent="0.35">
      <c r="A36" s="34">
        <v>2210</v>
      </c>
      <c r="B36" s="56" t="s">
        <v>138</v>
      </c>
      <c r="C36" s="55">
        <v>7.6E-3</v>
      </c>
      <c r="D36" s="28">
        <v>5.16</v>
      </c>
    </row>
    <row r="37" spans="1:4" x14ac:dyDescent="0.35">
      <c r="A37" s="27">
        <v>2222</v>
      </c>
      <c r="B37" s="56" t="s">
        <v>139</v>
      </c>
      <c r="C37" s="55">
        <v>9.4999999999999998E-3</v>
      </c>
      <c r="D37" s="28">
        <v>6.44</v>
      </c>
    </row>
    <row r="38" spans="1:4" x14ac:dyDescent="0.35">
      <c r="A38" s="27">
        <v>2223</v>
      </c>
      <c r="B38" s="56" t="s">
        <v>140</v>
      </c>
      <c r="C38" s="55">
        <v>1.9019999999999999E-2</v>
      </c>
      <c r="D38" s="28">
        <v>12.9</v>
      </c>
    </row>
    <row r="39" spans="1:4" ht="31" x14ac:dyDescent="0.35">
      <c r="A39" s="27">
        <v>2224</v>
      </c>
      <c r="B39" s="56" t="s">
        <v>141</v>
      </c>
      <c r="C39" s="55">
        <v>4.9500000000000004E-3</v>
      </c>
      <c r="D39" s="28">
        <v>3.36</v>
      </c>
    </row>
    <row r="40" spans="1:4" ht="15.75" customHeight="1" x14ac:dyDescent="0.35">
      <c r="A40" s="27">
        <v>2231</v>
      </c>
      <c r="B40" s="54" t="s">
        <v>142</v>
      </c>
      <c r="C40" s="55">
        <v>1.5499999999999999E-3</v>
      </c>
      <c r="D40" s="28">
        <v>1.05</v>
      </c>
    </row>
    <row r="41" spans="1:4" ht="15.75" customHeight="1" x14ac:dyDescent="0.35">
      <c r="A41" s="27">
        <v>2235</v>
      </c>
      <c r="B41" s="58" t="s">
        <v>143</v>
      </c>
      <c r="C41" s="55">
        <v>1.65E-3</v>
      </c>
      <c r="D41" s="28">
        <v>1.1200000000000001</v>
      </c>
    </row>
    <row r="42" spans="1:4" x14ac:dyDescent="0.35">
      <c r="A42" s="27">
        <v>2239</v>
      </c>
      <c r="B42" s="54" t="s">
        <v>144</v>
      </c>
      <c r="C42" s="55">
        <v>4.4099999999999999E-3</v>
      </c>
      <c r="D42" s="28">
        <v>2.99</v>
      </c>
    </row>
    <row r="43" spans="1:4" x14ac:dyDescent="0.35">
      <c r="A43" s="27">
        <v>2241</v>
      </c>
      <c r="B43" s="54" t="s">
        <v>145</v>
      </c>
      <c r="C43" s="55">
        <v>1.6500000000000001E-2</v>
      </c>
      <c r="D43" s="28">
        <v>11.19</v>
      </c>
    </row>
    <row r="44" spans="1:4" x14ac:dyDescent="0.35">
      <c r="A44" s="27">
        <v>2242</v>
      </c>
      <c r="B44" s="56" t="s">
        <v>146</v>
      </c>
      <c r="C44" s="55">
        <v>2.2599999999999999E-3</v>
      </c>
      <c r="D44" s="28">
        <v>1.53</v>
      </c>
    </row>
    <row r="45" spans="1:4" ht="15.75" customHeight="1" x14ac:dyDescent="0.35">
      <c r="A45" s="27">
        <v>2243</v>
      </c>
      <c r="B45" s="54" t="s">
        <v>147</v>
      </c>
      <c r="C45" s="55">
        <v>3.2599999999999997E-2</v>
      </c>
      <c r="D45" s="28">
        <v>22.11</v>
      </c>
    </row>
    <row r="46" spans="1:4" x14ac:dyDescent="0.35">
      <c r="A46" s="27">
        <v>2244</v>
      </c>
      <c r="B46" s="54" t="s">
        <v>148</v>
      </c>
      <c r="C46" s="55">
        <v>0.20397000000000001</v>
      </c>
      <c r="D46" s="28">
        <v>138.36000000000001</v>
      </c>
    </row>
    <row r="47" spans="1:4" x14ac:dyDescent="0.35">
      <c r="A47" s="27">
        <v>2247</v>
      </c>
      <c r="B47" s="54" t="s">
        <v>149</v>
      </c>
      <c r="C47" s="55">
        <v>7.1900000000000002E-4</v>
      </c>
      <c r="D47" s="28">
        <v>0.49</v>
      </c>
    </row>
    <row r="48" spans="1:4" x14ac:dyDescent="0.35">
      <c r="A48" s="27">
        <v>2249</v>
      </c>
      <c r="B48" s="54" t="s">
        <v>150</v>
      </c>
      <c r="C48" s="55">
        <v>2.32E-4</v>
      </c>
      <c r="D48" s="28">
        <v>0.16</v>
      </c>
    </row>
    <row r="49" spans="1:4" x14ac:dyDescent="0.35">
      <c r="A49" s="27">
        <v>2250</v>
      </c>
      <c r="B49" s="54" t="s">
        <v>151</v>
      </c>
      <c r="C49" s="55">
        <v>2.4025999999999999E-2</v>
      </c>
      <c r="D49" s="28">
        <v>16.3</v>
      </c>
    </row>
    <row r="50" spans="1:4" hidden="1" x14ac:dyDescent="0.35">
      <c r="A50" s="27">
        <v>2261</v>
      </c>
      <c r="B50" s="56" t="s">
        <v>169</v>
      </c>
      <c r="C50" s="55">
        <v>0</v>
      </c>
      <c r="D50" s="28">
        <f>C50*678.33</f>
        <v>0</v>
      </c>
    </row>
    <row r="51" spans="1:4" x14ac:dyDescent="0.35">
      <c r="A51" s="27">
        <v>2262</v>
      </c>
      <c r="B51" s="56" t="s">
        <v>152</v>
      </c>
      <c r="C51" s="55">
        <v>6.2599999999999999E-3</v>
      </c>
      <c r="D51" s="28">
        <v>4.25</v>
      </c>
    </row>
    <row r="52" spans="1:4" x14ac:dyDescent="0.35">
      <c r="A52" s="27">
        <v>2263</v>
      </c>
      <c r="B52" s="56" t="s">
        <v>153</v>
      </c>
      <c r="C52" s="55">
        <v>4.58E-2</v>
      </c>
      <c r="D52" s="28">
        <v>31.07</v>
      </c>
    </row>
    <row r="53" spans="1:4" x14ac:dyDescent="0.35">
      <c r="A53" s="27">
        <v>2264</v>
      </c>
      <c r="B53" s="54" t="s">
        <v>154</v>
      </c>
      <c r="C53" s="55">
        <v>1.49E-3</v>
      </c>
      <c r="D53" s="28">
        <v>1.01</v>
      </c>
    </row>
    <row r="54" spans="1:4" x14ac:dyDescent="0.35">
      <c r="A54" s="27">
        <v>2311</v>
      </c>
      <c r="B54" s="56" t="s">
        <v>155</v>
      </c>
      <c r="C54" s="55">
        <v>4.7699999999999999E-3</v>
      </c>
      <c r="D54" s="28">
        <v>3.24</v>
      </c>
    </row>
    <row r="55" spans="1:4" x14ac:dyDescent="0.35">
      <c r="A55" s="27">
        <v>2312</v>
      </c>
      <c r="B55" s="56" t="s">
        <v>156</v>
      </c>
      <c r="C55" s="55">
        <v>5.79E-3</v>
      </c>
      <c r="D55" s="28">
        <v>3.93</v>
      </c>
    </row>
    <row r="56" spans="1:4" x14ac:dyDescent="0.35">
      <c r="A56" s="27">
        <v>2314</v>
      </c>
      <c r="B56" s="58" t="s">
        <v>157</v>
      </c>
      <c r="C56" s="55">
        <v>2.2200000000000002E-3</v>
      </c>
      <c r="D56" s="28">
        <v>1.51</v>
      </c>
    </row>
    <row r="57" spans="1:4" x14ac:dyDescent="0.35">
      <c r="A57" s="27">
        <v>2321</v>
      </c>
      <c r="B57" s="56" t="s">
        <v>158</v>
      </c>
      <c r="C57" s="55">
        <v>1.9800000000000002E-2</v>
      </c>
      <c r="D57" s="28">
        <v>13.43</v>
      </c>
    </row>
    <row r="58" spans="1:4" x14ac:dyDescent="0.35">
      <c r="A58" s="27">
        <v>2322</v>
      </c>
      <c r="B58" s="56" t="s">
        <v>159</v>
      </c>
      <c r="C58" s="55">
        <v>3.5000000000000001E-3</v>
      </c>
      <c r="D58" s="28">
        <v>2.37</v>
      </c>
    </row>
    <row r="59" spans="1:4" hidden="1" x14ac:dyDescent="0.35">
      <c r="A59" s="27">
        <v>2341</v>
      </c>
      <c r="B59" s="56" t="s">
        <v>136</v>
      </c>
      <c r="C59" s="55"/>
      <c r="D59" s="28">
        <f>C59*678.33</f>
        <v>0</v>
      </c>
    </row>
    <row r="60" spans="1:4" x14ac:dyDescent="0.35">
      <c r="A60" s="27">
        <v>2350</v>
      </c>
      <c r="B60" s="55" t="s">
        <v>137</v>
      </c>
      <c r="C60" s="55">
        <v>8.5000000000000006E-3</v>
      </c>
      <c r="D60" s="28">
        <v>5.77</v>
      </c>
    </row>
    <row r="61" spans="1:4" hidden="1" x14ac:dyDescent="0.35">
      <c r="A61" s="27">
        <v>2361</v>
      </c>
      <c r="B61" s="56" t="s">
        <v>170</v>
      </c>
      <c r="C61" s="55">
        <v>0</v>
      </c>
      <c r="D61" s="28">
        <f t="shared" ref="D61:D66" si="0">C61*678.33</f>
        <v>0</v>
      </c>
    </row>
    <row r="62" spans="1:4" hidden="1" x14ac:dyDescent="0.35">
      <c r="A62" s="27">
        <v>2362</v>
      </c>
      <c r="B62" s="56" t="s">
        <v>171</v>
      </c>
      <c r="C62" s="55">
        <v>0</v>
      </c>
      <c r="D62" s="28">
        <f t="shared" si="0"/>
        <v>0</v>
      </c>
    </row>
    <row r="63" spans="1:4" hidden="1" x14ac:dyDescent="0.35">
      <c r="A63" s="27">
        <v>2363</v>
      </c>
      <c r="B63" s="56" t="s">
        <v>172</v>
      </c>
      <c r="C63" s="55">
        <v>0</v>
      </c>
      <c r="D63" s="28">
        <f t="shared" si="0"/>
        <v>0</v>
      </c>
    </row>
    <row r="64" spans="1:4" hidden="1" x14ac:dyDescent="0.35">
      <c r="A64" s="27">
        <v>2370</v>
      </c>
      <c r="B64" s="56" t="s">
        <v>173</v>
      </c>
      <c r="C64" s="55">
        <v>0</v>
      </c>
      <c r="D64" s="28">
        <f t="shared" si="0"/>
        <v>0</v>
      </c>
    </row>
    <row r="65" spans="1:7" hidden="1" x14ac:dyDescent="0.35">
      <c r="A65" s="27">
        <v>2400</v>
      </c>
      <c r="B65" s="56" t="s">
        <v>174</v>
      </c>
      <c r="C65" s="55">
        <v>0</v>
      </c>
      <c r="D65" s="28">
        <f t="shared" si="0"/>
        <v>0</v>
      </c>
    </row>
    <row r="66" spans="1:7" hidden="1" x14ac:dyDescent="0.35">
      <c r="A66" s="27">
        <v>2512</v>
      </c>
      <c r="B66" s="56" t="s">
        <v>175</v>
      </c>
      <c r="C66" s="55">
        <v>0</v>
      </c>
      <c r="D66" s="28">
        <f t="shared" si="0"/>
        <v>0</v>
      </c>
    </row>
    <row r="67" spans="1:7" ht="15.75" customHeight="1" x14ac:dyDescent="0.35">
      <c r="A67" s="27">
        <v>2513</v>
      </c>
      <c r="B67" s="55" t="s">
        <v>160</v>
      </c>
      <c r="C67" s="55">
        <v>1.4599999999999999E-3</v>
      </c>
      <c r="D67" s="28">
        <v>0.99</v>
      </c>
    </row>
    <row r="68" spans="1:7" x14ac:dyDescent="0.35">
      <c r="A68" s="27">
        <v>2515</v>
      </c>
      <c r="B68" s="56" t="s">
        <v>161</v>
      </c>
      <c r="C68" s="55">
        <v>1.9E-3</v>
      </c>
      <c r="D68" s="28">
        <v>1.29</v>
      </c>
    </row>
    <row r="69" spans="1:7" x14ac:dyDescent="0.35">
      <c r="A69" s="27">
        <v>2519</v>
      </c>
      <c r="B69" s="56" t="s">
        <v>162</v>
      </c>
      <c r="C69" s="55">
        <v>2E-3</v>
      </c>
      <c r="D69" s="28">
        <v>1.36</v>
      </c>
    </row>
    <row r="70" spans="1:7" x14ac:dyDescent="0.35">
      <c r="A70" s="27">
        <v>5220</v>
      </c>
      <c r="B70" s="56" t="s">
        <v>163</v>
      </c>
      <c r="C70" s="55">
        <v>1.06E-2</v>
      </c>
      <c r="D70" s="28">
        <v>7.19</v>
      </c>
    </row>
    <row r="71" spans="1:7" x14ac:dyDescent="0.35">
      <c r="A71" s="27">
        <v>5238</v>
      </c>
      <c r="B71" s="55" t="s">
        <v>164</v>
      </c>
      <c r="C71" s="55">
        <v>1.65E-3</v>
      </c>
      <c r="D71" s="28">
        <v>1.18</v>
      </c>
    </row>
    <row r="72" spans="1:7" x14ac:dyDescent="0.35">
      <c r="A72" s="27">
        <v>5239</v>
      </c>
      <c r="B72" s="55" t="s">
        <v>165</v>
      </c>
      <c r="C72" s="55">
        <v>1.9800000000000002E-2</v>
      </c>
      <c r="D72" s="28">
        <v>10.43</v>
      </c>
    </row>
    <row r="73" spans="1:7" x14ac:dyDescent="0.35">
      <c r="A73" s="27">
        <v>5250</v>
      </c>
      <c r="B73" s="56" t="s">
        <v>166</v>
      </c>
      <c r="C73" s="55">
        <v>2.5000000000000001E-2</v>
      </c>
      <c r="D73" s="28">
        <v>15.52</v>
      </c>
    </row>
    <row r="74" spans="1:7" x14ac:dyDescent="0.35">
      <c r="A74" s="32"/>
      <c r="B74" s="59" t="s">
        <v>167</v>
      </c>
      <c r="C74" s="55">
        <f>SUM(C33:C73)</f>
        <v>0.99988380000000032</v>
      </c>
      <c r="D74" s="31">
        <f>SUM(D33:D73)</f>
        <v>673.88999999999987</v>
      </c>
    </row>
    <row r="75" spans="1:7" x14ac:dyDescent="0.35">
      <c r="A75" s="32"/>
      <c r="B75" s="59" t="s">
        <v>168</v>
      </c>
      <c r="C75" s="59"/>
      <c r="D75" s="31">
        <f>D31+D74</f>
        <v>1792.5</v>
      </c>
      <c r="E75" s="52"/>
    </row>
    <row r="76" spans="1:7" ht="12.75" customHeight="1" x14ac:dyDescent="0.35">
      <c r="A76" s="37"/>
      <c r="B76" s="20"/>
      <c r="C76" s="20"/>
      <c r="D76" s="60"/>
    </row>
    <row r="77" spans="1:7" ht="15.75" customHeight="1" x14ac:dyDescent="0.35">
      <c r="A77" s="211" t="s">
        <v>51</v>
      </c>
      <c r="B77" s="211"/>
      <c r="C77" s="61"/>
      <c r="D77" s="44">
        <v>5</v>
      </c>
    </row>
    <row r="78" spans="1:7" ht="15.75" customHeight="1" x14ac:dyDescent="0.35">
      <c r="A78" s="211" t="s">
        <v>58</v>
      </c>
      <c r="B78" s="211"/>
      <c r="C78" s="61"/>
      <c r="D78" s="45">
        <f>D75/D77</f>
        <v>358.5</v>
      </c>
      <c r="E78" s="52"/>
      <c r="G78" s="52"/>
    </row>
    <row r="79" spans="1:7" ht="9.75" customHeight="1" x14ac:dyDescent="0.35">
      <c r="A79" s="41"/>
      <c r="B79" s="42"/>
      <c r="C79" s="42"/>
    </row>
    <row r="80" spans="1:7" ht="15.75" customHeight="1" x14ac:dyDescent="0.35">
      <c r="A80" s="208" t="s">
        <v>52</v>
      </c>
      <c r="B80" s="208"/>
      <c r="C80" s="62"/>
      <c r="D80" s="40"/>
    </row>
    <row r="81" spans="1:4" ht="15.75" customHeight="1" x14ac:dyDescent="0.35">
      <c r="A81" s="208" t="s">
        <v>74</v>
      </c>
      <c r="B81" s="208"/>
      <c r="C81" s="62"/>
      <c r="D81" s="40"/>
    </row>
    <row r="82" spans="1:4" ht="8.25" customHeight="1" x14ac:dyDescent="0.35">
      <c r="A82" s="17"/>
      <c r="B82" s="17"/>
      <c r="C82" s="17"/>
      <c r="D82" s="17"/>
    </row>
    <row r="83" spans="1:4" x14ac:dyDescent="0.35">
      <c r="A83" s="17" t="s">
        <v>53</v>
      </c>
      <c r="B83" s="17"/>
      <c r="C83" s="17"/>
      <c r="D83" s="48"/>
    </row>
    <row r="84" spans="1:4" x14ac:dyDescent="0.35">
      <c r="A84" s="17"/>
      <c r="B84" s="17"/>
      <c r="C84" s="17"/>
      <c r="D84" s="48"/>
    </row>
    <row r="85" spans="1:4" x14ac:dyDescent="0.35">
      <c r="A85" s="17" t="s">
        <v>68</v>
      </c>
      <c r="B85" s="18"/>
      <c r="C85" s="18"/>
      <c r="D85" s="17"/>
    </row>
    <row r="86" spans="1:4" x14ac:dyDescent="0.35">
      <c r="B86" s="63"/>
      <c r="C86" s="63"/>
      <c r="D86" s="64"/>
    </row>
    <row r="88" spans="1:4" x14ac:dyDescent="0.35">
      <c r="D88" s="52"/>
    </row>
  </sheetData>
  <mergeCells count="10">
    <mergeCell ref="A80:B80"/>
    <mergeCell ref="A78:B78"/>
    <mergeCell ref="A81:B81"/>
    <mergeCell ref="B2:D2"/>
    <mergeCell ref="A7:D7"/>
    <mergeCell ref="B13:C13"/>
    <mergeCell ref="B14:D14"/>
    <mergeCell ref="A77:B77"/>
    <mergeCell ref="A9:B9"/>
    <mergeCell ref="A10:B10"/>
  </mergeCells>
  <pageMargins left="0.91851851851851851" right="0.70866141732283472" top="0.55118110236220474" bottom="0.55118110236220474" header="0.31496062992125984" footer="0.31496062992125984"/>
  <pageSetup paperSize="9" scale="62" orientation="portrait" r:id="rId1"/>
  <headerFooter>
    <oddFooter>&amp;F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8"/>
  <sheetViews>
    <sheetView view="pageLayout" topLeftCell="A52" zoomScale="90" zoomScaleNormal="100" zoomScalePageLayoutView="90" workbookViewId="0">
      <selection activeCell="B15" sqref="B15"/>
    </sheetView>
  </sheetViews>
  <sheetFormatPr defaultColWidth="9.1796875" defaultRowHeight="15.5" x14ac:dyDescent="0.35"/>
  <cols>
    <col min="1" max="1" width="18.453125" style="12" customWidth="1"/>
    <col min="2" max="2" width="86" style="12" customWidth="1"/>
    <col min="3" max="3" width="10" style="12" hidden="1" customWidth="1"/>
    <col min="4" max="4" width="25.7265625" style="12" customWidth="1"/>
    <col min="5" max="5" width="12.26953125" style="12" customWidth="1"/>
    <col min="6" max="16384" width="9.1796875" style="12"/>
  </cols>
  <sheetData>
    <row r="1" spans="1:4" ht="15.75" customHeight="1" x14ac:dyDescent="0.35">
      <c r="B1" s="10"/>
      <c r="C1" s="10"/>
      <c r="D1" s="49" t="s">
        <v>50</v>
      </c>
    </row>
    <row r="2" spans="1:4" x14ac:dyDescent="0.35">
      <c r="B2" s="212" t="s">
        <v>54</v>
      </c>
      <c r="C2" s="212"/>
      <c r="D2" s="229"/>
    </row>
    <row r="3" spans="1:4" x14ac:dyDescent="0.35">
      <c r="B3" s="11"/>
      <c r="C3" s="11"/>
      <c r="D3" s="46" t="s">
        <v>76</v>
      </c>
    </row>
    <row r="4" spans="1:4" x14ac:dyDescent="0.35">
      <c r="B4" s="10"/>
      <c r="C4" s="10"/>
      <c r="D4" s="37"/>
    </row>
    <row r="5" spans="1:4" x14ac:dyDescent="0.35">
      <c r="B5" s="51"/>
      <c r="C5" s="51"/>
      <c r="D5" s="37" t="s">
        <v>193</v>
      </c>
    </row>
    <row r="6" spans="1:4" x14ac:dyDescent="0.35">
      <c r="D6" s="20"/>
    </row>
    <row r="7" spans="1:4" x14ac:dyDescent="0.35">
      <c r="A7" s="209" t="s">
        <v>10</v>
      </c>
      <c r="B7" s="209"/>
      <c r="C7" s="209"/>
      <c r="D7" s="209"/>
    </row>
    <row r="8" spans="1:4" x14ac:dyDescent="0.35">
      <c r="B8" s="53"/>
      <c r="C8" s="53"/>
      <c r="D8" s="20"/>
    </row>
    <row r="9" spans="1:4" x14ac:dyDescent="0.35">
      <c r="A9" s="210" t="s">
        <v>1</v>
      </c>
      <c r="B9" s="210"/>
      <c r="C9" s="9"/>
      <c r="D9" s="20"/>
    </row>
    <row r="10" spans="1:4" x14ac:dyDescent="0.35">
      <c r="A10" s="210" t="s">
        <v>0</v>
      </c>
      <c r="B10" s="210"/>
      <c r="C10" s="9"/>
      <c r="D10" s="20"/>
    </row>
    <row r="11" spans="1:4" x14ac:dyDescent="0.35">
      <c r="A11" s="9"/>
      <c r="B11" s="9" t="s">
        <v>47</v>
      </c>
      <c r="C11" s="9"/>
      <c r="D11" s="20"/>
    </row>
    <row r="12" spans="1:4" x14ac:dyDescent="0.35">
      <c r="A12" s="9"/>
      <c r="B12" s="9" t="s">
        <v>83</v>
      </c>
      <c r="C12" s="9"/>
      <c r="D12" s="20"/>
    </row>
    <row r="13" spans="1:4" x14ac:dyDescent="0.35">
      <c r="A13" s="9"/>
      <c r="B13" s="210" t="s">
        <v>84</v>
      </c>
      <c r="C13" s="210"/>
      <c r="D13" s="20"/>
    </row>
    <row r="14" spans="1:4" ht="15.75" customHeight="1" x14ac:dyDescent="0.35">
      <c r="A14" s="9"/>
      <c r="B14" s="210" t="s">
        <v>184</v>
      </c>
      <c r="C14" s="210"/>
      <c r="D14" s="210"/>
    </row>
    <row r="15" spans="1:4" x14ac:dyDescent="0.35">
      <c r="A15" s="9" t="s">
        <v>2</v>
      </c>
      <c r="B15" s="9" t="s">
        <v>191</v>
      </c>
      <c r="C15" s="9"/>
      <c r="D15" s="20"/>
    </row>
    <row r="16" spans="1:4" ht="69.75" customHeight="1" x14ac:dyDescent="0.35">
      <c r="A16" s="43" t="s">
        <v>3</v>
      </c>
      <c r="B16" s="43" t="s">
        <v>4</v>
      </c>
      <c r="C16" s="43"/>
      <c r="D16" s="43" t="s">
        <v>5</v>
      </c>
    </row>
    <row r="17" spans="1:8" x14ac:dyDescent="0.35">
      <c r="A17" s="22">
        <v>1</v>
      </c>
      <c r="B17" s="23">
        <v>2</v>
      </c>
      <c r="C17" s="23"/>
      <c r="D17" s="23">
        <v>3</v>
      </c>
    </row>
    <row r="18" spans="1:8" x14ac:dyDescent="0.35">
      <c r="A18" s="22"/>
      <c r="B18" s="54" t="s">
        <v>6</v>
      </c>
      <c r="C18" s="54"/>
      <c r="D18" s="55"/>
    </row>
    <row r="19" spans="1:8" x14ac:dyDescent="0.35">
      <c r="A19" s="27">
        <v>1100</v>
      </c>
      <c r="B19" s="27" t="s">
        <v>134</v>
      </c>
      <c r="C19" s="27"/>
      <c r="D19" s="28">
        <v>535.85</v>
      </c>
      <c r="E19" s="52"/>
      <c r="F19" s="52"/>
      <c r="G19" s="52"/>
      <c r="H19" s="52"/>
    </row>
    <row r="20" spans="1:8" x14ac:dyDescent="0.35">
      <c r="A20" s="27">
        <v>1200</v>
      </c>
      <c r="B20" s="55" t="s">
        <v>135</v>
      </c>
      <c r="C20" s="55"/>
      <c r="D20" s="28">
        <v>126.41</v>
      </c>
      <c r="F20" s="52"/>
    </row>
    <row r="21" spans="1:8" x14ac:dyDescent="0.35">
      <c r="A21" s="27">
        <v>2222</v>
      </c>
      <c r="B21" s="56" t="s">
        <v>139</v>
      </c>
      <c r="C21" s="55"/>
      <c r="D21" s="28">
        <v>29.12</v>
      </c>
    </row>
    <row r="22" spans="1:8" x14ac:dyDescent="0.35">
      <c r="A22" s="27">
        <v>2223</v>
      </c>
      <c r="B22" s="56" t="s">
        <v>140</v>
      </c>
      <c r="C22" s="55"/>
      <c r="D22" s="28">
        <v>20.99</v>
      </c>
    </row>
    <row r="23" spans="1:8" hidden="1" x14ac:dyDescent="0.35">
      <c r="A23" s="27">
        <v>2243</v>
      </c>
      <c r="B23" s="54" t="s">
        <v>147</v>
      </c>
      <c r="C23" s="55"/>
      <c r="D23" s="28">
        <v>0</v>
      </c>
    </row>
    <row r="24" spans="1:8" x14ac:dyDescent="0.35">
      <c r="A24" s="27">
        <v>2244</v>
      </c>
      <c r="B24" s="54" t="s">
        <v>148</v>
      </c>
      <c r="C24" s="55"/>
      <c r="D24" s="28">
        <v>21.2</v>
      </c>
    </row>
    <row r="25" spans="1:8" x14ac:dyDescent="0.35">
      <c r="A25" s="27">
        <v>2312</v>
      </c>
      <c r="B25" s="54" t="s">
        <v>156</v>
      </c>
      <c r="C25" s="55"/>
      <c r="D25" s="28">
        <v>6.74</v>
      </c>
    </row>
    <row r="26" spans="1:8" x14ac:dyDescent="0.35">
      <c r="A26" s="27">
        <v>2321</v>
      </c>
      <c r="B26" s="56" t="s">
        <v>158</v>
      </c>
      <c r="C26" s="55"/>
      <c r="D26" s="28">
        <v>33.07</v>
      </c>
    </row>
    <row r="27" spans="1:8" x14ac:dyDescent="0.35">
      <c r="A27" s="27">
        <v>2341</v>
      </c>
      <c r="B27" s="56" t="s">
        <v>136</v>
      </c>
      <c r="C27" s="55"/>
      <c r="D27" s="28">
        <v>57.12</v>
      </c>
    </row>
    <row r="28" spans="1:8" x14ac:dyDescent="0.35">
      <c r="A28" s="27">
        <v>2361</v>
      </c>
      <c r="B28" s="56" t="s">
        <v>170</v>
      </c>
      <c r="C28" s="55"/>
      <c r="D28" s="28">
        <v>56.25</v>
      </c>
    </row>
    <row r="29" spans="1:8" x14ac:dyDescent="0.35">
      <c r="A29" s="27">
        <v>2363</v>
      </c>
      <c r="B29" s="56" t="s">
        <v>172</v>
      </c>
      <c r="C29" s="55"/>
      <c r="D29" s="28">
        <v>203</v>
      </c>
    </row>
    <row r="30" spans="1:8" x14ac:dyDescent="0.35">
      <c r="A30" s="27">
        <v>5239</v>
      </c>
      <c r="B30" s="55" t="s">
        <v>165</v>
      </c>
      <c r="C30" s="55"/>
      <c r="D30" s="28">
        <v>8.02</v>
      </c>
    </row>
    <row r="31" spans="1:8" x14ac:dyDescent="0.35">
      <c r="A31" s="27"/>
      <c r="B31" s="57" t="s">
        <v>7</v>
      </c>
      <c r="C31" s="57"/>
      <c r="D31" s="31">
        <f>SUM(D19:D30)</f>
        <v>1097.77</v>
      </c>
      <c r="F31" s="52"/>
    </row>
    <row r="32" spans="1:8" x14ac:dyDescent="0.35">
      <c r="A32" s="32"/>
      <c r="B32" s="57" t="s">
        <v>8</v>
      </c>
      <c r="C32" s="57"/>
      <c r="D32" s="28"/>
      <c r="E32" s="52"/>
    </row>
    <row r="33" spans="1:4" x14ac:dyDescent="0.35">
      <c r="A33" s="27">
        <v>1100</v>
      </c>
      <c r="B33" s="54" t="s">
        <v>134</v>
      </c>
      <c r="C33" s="55">
        <f>0.388+0.024</f>
        <v>0.41200000000000003</v>
      </c>
      <c r="D33" s="28">
        <v>254.59</v>
      </c>
    </row>
    <row r="34" spans="1:4" ht="16.5" customHeight="1" x14ac:dyDescent="0.35">
      <c r="A34" s="27">
        <v>1200</v>
      </c>
      <c r="B34" s="54" t="s">
        <v>135</v>
      </c>
      <c r="C34" s="55">
        <f>C33*0.2359</f>
        <v>9.7190800000000008E-2</v>
      </c>
      <c r="D34" s="28">
        <v>60.06</v>
      </c>
    </row>
    <row r="35" spans="1:4" ht="16.5" customHeight="1" x14ac:dyDescent="0.35">
      <c r="A35" s="27">
        <v>2100</v>
      </c>
      <c r="B35" s="33" t="s">
        <v>44</v>
      </c>
      <c r="C35" s="55">
        <v>1.1659999999999999E-3</v>
      </c>
      <c r="D35" s="28">
        <v>0.72</v>
      </c>
    </row>
    <row r="36" spans="1:4" x14ac:dyDescent="0.35">
      <c r="A36" s="34">
        <v>2210</v>
      </c>
      <c r="B36" s="56" t="s">
        <v>138</v>
      </c>
      <c r="C36" s="55">
        <v>7.6E-3</v>
      </c>
      <c r="D36" s="28">
        <v>4.7</v>
      </c>
    </row>
    <row r="37" spans="1:4" x14ac:dyDescent="0.35">
      <c r="A37" s="27">
        <v>2222</v>
      </c>
      <c r="B37" s="56" t="s">
        <v>139</v>
      </c>
      <c r="C37" s="55">
        <v>9.4999999999999998E-3</v>
      </c>
      <c r="D37" s="28">
        <v>5.87</v>
      </c>
    </row>
    <row r="38" spans="1:4" x14ac:dyDescent="0.35">
      <c r="A38" s="27">
        <v>2223</v>
      </c>
      <c r="B38" s="56" t="s">
        <v>140</v>
      </c>
      <c r="C38" s="55">
        <v>1.9019999999999999E-2</v>
      </c>
      <c r="D38" s="28">
        <v>11.75</v>
      </c>
    </row>
    <row r="39" spans="1:4" ht="31" x14ac:dyDescent="0.35">
      <c r="A39" s="27">
        <v>2224</v>
      </c>
      <c r="B39" s="56" t="s">
        <v>141</v>
      </c>
      <c r="C39" s="55">
        <v>4.9500000000000004E-3</v>
      </c>
      <c r="D39" s="28">
        <v>3.06</v>
      </c>
    </row>
    <row r="40" spans="1:4" ht="15.75" customHeight="1" x14ac:dyDescent="0.35">
      <c r="A40" s="27">
        <v>2231</v>
      </c>
      <c r="B40" s="54" t="s">
        <v>142</v>
      </c>
      <c r="C40" s="55">
        <v>1.5499999999999999E-3</v>
      </c>
      <c r="D40" s="28">
        <v>0.96</v>
      </c>
    </row>
    <row r="41" spans="1:4" ht="15.75" customHeight="1" x14ac:dyDescent="0.35">
      <c r="A41" s="27">
        <v>2235</v>
      </c>
      <c r="B41" s="58" t="s">
        <v>143</v>
      </c>
      <c r="C41" s="55">
        <v>1.65E-3</v>
      </c>
      <c r="D41" s="28">
        <v>1.02</v>
      </c>
    </row>
    <row r="42" spans="1:4" x14ac:dyDescent="0.35">
      <c r="A42" s="27">
        <v>2239</v>
      </c>
      <c r="B42" s="54" t="s">
        <v>144</v>
      </c>
      <c r="C42" s="55">
        <v>4.4099999999999999E-3</v>
      </c>
      <c r="D42" s="28">
        <v>2.73</v>
      </c>
    </row>
    <row r="43" spans="1:4" x14ac:dyDescent="0.35">
      <c r="A43" s="27">
        <v>2241</v>
      </c>
      <c r="B43" s="54" t="s">
        <v>145</v>
      </c>
      <c r="C43" s="55">
        <v>1.6500000000000001E-2</v>
      </c>
      <c r="D43" s="28">
        <v>10.199999999999999</v>
      </c>
    </row>
    <row r="44" spans="1:4" x14ac:dyDescent="0.35">
      <c r="A44" s="27">
        <v>2242</v>
      </c>
      <c r="B44" s="56" t="s">
        <v>146</v>
      </c>
      <c r="C44" s="55">
        <v>2.2599999999999999E-3</v>
      </c>
      <c r="D44" s="28">
        <v>1.4</v>
      </c>
    </row>
    <row r="45" spans="1:4" ht="15.75" customHeight="1" x14ac:dyDescent="0.35">
      <c r="A45" s="27">
        <v>2243</v>
      </c>
      <c r="B45" s="54" t="s">
        <v>147</v>
      </c>
      <c r="C45" s="55">
        <v>3.2599999999999997E-2</v>
      </c>
      <c r="D45" s="28">
        <v>21.44</v>
      </c>
    </row>
    <row r="46" spans="1:4" x14ac:dyDescent="0.35">
      <c r="A46" s="27">
        <v>2244</v>
      </c>
      <c r="B46" s="54" t="s">
        <v>148</v>
      </c>
      <c r="C46" s="55">
        <v>0.20397000000000001</v>
      </c>
      <c r="D46" s="28">
        <v>126.04</v>
      </c>
    </row>
    <row r="47" spans="1:4" x14ac:dyDescent="0.35">
      <c r="A47" s="27">
        <v>2247</v>
      </c>
      <c r="B47" s="54" t="s">
        <v>149</v>
      </c>
      <c r="C47" s="55">
        <v>7.1900000000000002E-4</v>
      </c>
      <c r="D47" s="28">
        <v>0.44</v>
      </c>
    </row>
    <row r="48" spans="1:4" x14ac:dyDescent="0.35">
      <c r="A48" s="27">
        <v>2249</v>
      </c>
      <c r="B48" s="54" t="s">
        <v>150</v>
      </c>
      <c r="C48" s="55">
        <v>2.32E-4</v>
      </c>
      <c r="D48" s="28">
        <v>0.14000000000000001</v>
      </c>
    </row>
    <row r="49" spans="1:4" x14ac:dyDescent="0.35">
      <c r="A49" s="27">
        <v>2250</v>
      </c>
      <c r="B49" s="54" t="s">
        <v>151</v>
      </c>
      <c r="C49" s="55">
        <v>2.4025999999999999E-2</v>
      </c>
      <c r="D49" s="28">
        <v>14.85</v>
      </c>
    </row>
    <row r="50" spans="1:4" hidden="1" x14ac:dyDescent="0.35">
      <c r="A50" s="27">
        <v>2261</v>
      </c>
      <c r="B50" s="56" t="s">
        <v>169</v>
      </c>
      <c r="C50" s="55">
        <v>0</v>
      </c>
      <c r="D50" s="28">
        <f>C50*617.93</f>
        <v>0</v>
      </c>
    </row>
    <row r="51" spans="1:4" x14ac:dyDescent="0.35">
      <c r="A51" s="27">
        <v>2262</v>
      </c>
      <c r="B51" s="56" t="s">
        <v>152</v>
      </c>
      <c r="C51" s="55">
        <v>6.2599999999999999E-3</v>
      </c>
      <c r="D51" s="28">
        <v>3.87</v>
      </c>
    </row>
    <row r="52" spans="1:4" x14ac:dyDescent="0.35">
      <c r="A52" s="27">
        <v>2263</v>
      </c>
      <c r="B52" s="56" t="s">
        <v>153</v>
      </c>
      <c r="C52" s="55">
        <v>4.58E-2</v>
      </c>
      <c r="D52" s="28">
        <v>28.3</v>
      </c>
    </row>
    <row r="53" spans="1:4" x14ac:dyDescent="0.35">
      <c r="A53" s="27">
        <v>2264</v>
      </c>
      <c r="B53" s="54" t="s">
        <v>154</v>
      </c>
      <c r="C53" s="55">
        <v>1.49E-3</v>
      </c>
      <c r="D53" s="28">
        <v>0.92</v>
      </c>
    </row>
    <row r="54" spans="1:4" x14ac:dyDescent="0.35">
      <c r="A54" s="27">
        <v>2311</v>
      </c>
      <c r="B54" s="56" t="s">
        <v>155</v>
      </c>
      <c r="C54" s="55">
        <v>4.7699999999999999E-3</v>
      </c>
      <c r="D54" s="28">
        <v>2.95</v>
      </c>
    </row>
    <row r="55" spans="1:4" x14ac:dyDescent="0.35">
      <c r="A55" s="27">
        <v>2312</v>
      </c>
      <c r="B55" s="56" t="s">
        <v>156</v>
      </c>
      <c r="C55" s="55">
        <v>5.79E-3</v>
      </c>
      <c r="D55" s="28">
        <v>3.58</v>
      </c>
    </row>
    <row r="56" spans="1:4" x14ac:dyDescent="0.35">
      <c r="A56" s="27">
        <v>2314</v>
      </c>
      <c r="B56" s="58" t="s">
        <v>157</v>
      </c>
      <c r="C56" s="55">
        <v>2.2200000000000002E-3</v>
      </c>
      <c r="D56" s="28">
        <v>1.37</v>
      </c>
    </row>
    <row r="57" spans="1:4" x14ac:dyDescent="0.35">
      <c r="A57" s="27">
        <v>2321</v>
      </c>
      <c r="B57" s="56" t="s">
        <v>158</v>
      </c>
      <c r="C57" s="55">
        <v>1.9800000000000002E-2</v>
      </c>
      <c r="D57" s="28">
        <v>13.24</v>
      </c>
    </row>
    <row r="58" spans="1:4" x14ac:dyDescent="0.35">
      <c r="A58" s="27">
        <v>2322</v>
      </c>
      <c r="B58" s="56" t="s">
        <v>159</v>
      </c>
      <c r="C58" s="55">
        <v>3.5000000000000001E-3</v>
      </c>
      <c r="D58" s="28">
        <v>2.16</v>
      </c>
    </row>
    <row r="59" spans="1:4" hidden="1" x14ac:dyDescent="0.35">
      <c r="A59" s="27">
        <v>2341</v>
      </c>
      <c r="B59" s="56" t="s">
        <v>136</v>
      </c>
      <c r="C59" s="55"/>
      <c r="D59" s="28">
        <f>C59*617.93</f>
        <v>0</v>
      </c>
    </row>
    <row r="60" spans="1:4" x14ac:dyDescent="0.35">
      <c r="A60" s="27">
        <v>2350</v>
      </c>
      <c r="B60" s="55" t="s">
        <v>137</v>
      </c>
      <c r="C60" s="55">
        <v>8.5000000000000006E-3</v>
      </c>
      <c r="D60" s="28">
        <v>6.25</v>
      </c>
    </row>
    <row r="61" spans="1:4" hidden="1" x14ac:dyDescent="0.35">
      <c r="A61" s="27">
        <v>2361</v>
      </c>
      <c r="B61" s="56" t="s">
        <v>170</v>
      </c>
      <c r="C61" s="55">
        <v>0</v>
      </c>
      <c r="D61" s="28">
        <f t="shared" ref="D61:D66" si="0">C61*617.93</f>
        <v>0</v>
      </c>
    </row>
    <row r="62" spans="1:4" hidden="1" x14ac:dyDescent="0.35">
      <c r="A62" s="27">
        <v>2362</v>
      </c>
      <c r="B62" s="56" t="s">
        <v>171</v>
      </c>
      <c r="C62" s="55">
        <v>0</v>
      </c>
      <c r="D62" s="28">
        <f t="shared" si="0"/>
        <v>0</v>
      </c>
    </row>
    <row r="63" spans="1:4" hidden="1" x14ac:dyDescent="0.35">
      <c r="A63" s="27">
        <v>2363</v>
      </c>
      <c r="B63" s="56" t="s">
        <v>172</v>
      </c>
      <c r="C63" s="55">
        <v>0</v>
      </c>
      <c r="D63" s="28">
        <f t="shared" si="0"/>
        <v>0</v>
      </c>
    </row>
    <row r="64" spans="1:4" hidden="1" x14ac:dyDescent="0.35">
      <c r="A64" s="27">
        <v>2370</v>
      </c>
      <c r="B64" s="56" t="s">
        <v>173</v>
      </c>
      <c r="C64" s="55">
        <v>0</v>
      </c>
      <c r="D64" s="28">
        <f t="shared" si="0"/>
        <v>0</v>
      </c>
    </row>
    <row r="65" spans="1:7" hidden="1" x14ac:dyDescent="0.35">
      <c r="A65" s="27">
        <v>2400</v>
      </c>
      <c r="B65" s="56" t="s">
        <v>174</v>
      </c>
      <c r="C65" s="55">
        <v>0</v>
      </c>
      <c r="D65" s="28">
        <f t="shared" si="0"/>
        <v>0</v>
      </c>
    </row>
    <row r="66" spans="1:7" hidden="1" x14ac:dyDescent="0.35">
      <c r="A66" s="27">
        <v>2512</v>
      </c>
      <c r="B66" s="56" t="s">
        <v>175</v>
      </c>
      <c r="C66" s="55">
        <v>0</v>
      </c>
      <c r="D66" s="28">
        <f t="shared" si="0"/>
        <v>0</v>
      </c>
    </row>
    <row r="67" spans="1:7" ht="15.75" customHeight="1" x14ac:dyDescent="0.35">
      <c r="A67" s="27">
        <v>2513</v>
      </c>
      <c r="B67" s="55" t="s">
        <v>160</v>
      </c>
      <c r="C67" s="55">
        <v>1.4599999999999999E-3</v>
      </c>
      <c r="D67" s="28">
        <v>0.9</v>
      </c>
    </row>
    <row r="68" spans="1:7" x14ac:dyDescent="0.35">
      <c r="A68" s="27">
        <v>2515</v>
      </c>
      <c r="B68" s="56" t="s">
        <v>161</v>
      </c>
      <c r="C68" s="55">
        <v>1.9E-3</v>
      </c>
      <c r="D68" s="28">
        <v>1.17</v>
      </c>
    </row>
    <row r="69" spans="1:7" x14ac:dyDescent="0.35">
      <c r="A69" s="27">
        <v>2519</v>
      </c>
      <c r="B69" s="56" t="s">
        <v>162</v>
      </c>
      <c r="C69" s="55">
        <v>2E-3</v>
      </c>
      <c r="D69" s="28">
        <v>1.24</v>
      </c>
    </row>
    <row r="70" spans="1:7" x14ac:dyDescent="0.35">
      <c r="A70" s="27">
        <v>5220</v>
      </c>
      <c r="B70" s="56" t="s">
        <v>163</v>
      </c>
      <c r="C70" s="55">
        <v>1.06E-2</v>
      </c>
      <c r="D70" s="28">
        <v>6.55</v>
      </c>
    </row>
    <row r="71" spans="1:7" x14ac:dyDescent="0.35">
      <c r="A71" s="27">
        <v>5238</v>
      </c>
      <c r="B71" s="55" t="s">
        <v>164</v>
      </c>
      <c r="C71" s="55">
        <v>1.65E-3</v>
      </c>
      <c r="D71" s="28">
        <v>3.07</v>
      </c>
    </row>
    <row r="72" spans="1:7" x14ac:dyDescent="0.35">
      <c r="A72" s="27">
        <v>5239</v>
      </c>
      <c r="B72" s="55" t="s">
        <v>165</v>
      </c>
      <c r="C72" s="55">
        <v>1.9800000000000002E-2</v>
      </c>
      <c r="D72" s="28">
        <v>12.24</v>
      </c>
    </row>
    <row r="73" spans="1:7" x14ac:dyDescent="0.35">
      <c r="A73" s="27">
        <v>5250</v>
      </c>
      <c r="B73" s="56" t="s">
        <v>166</v>
      </c>
      <c r="C73" s="55">
        <v>2.5000000000000001E-2</v>
      </c>
      <c r="D73" s="28">
        <v>15.45</v>
      </c>
    </row>
    <row r="74" spans="1:7" x14ac:dyDescent="0.35">
      <c r="A74" s="32"/>
      <c r="B74" s="59" t="s">
        <v>167</v>
      </c>
      <c r="C74" s="55">
        <f>SUM(C33:C73)</f>
        <v>0.99988380000000032</v>
      </c>
      <c r="D74" s="31">
        <f>SUM(D33:D73)</f>
        <v>623.2299999999999</v>
      </c>
    </row>
    <row r="75" spans="1:7" x14ac:dyDescent="0.35">
      <c r="A75" s="32"/>
      <c r="B75" s="59" t="s">
        <v>168</v>
      </c>
      <c r="C75" s="59"/>
      <c r="D75" s="31">
        <f>D31+D74</f>
        <v>1721</v>
      </c>
      <c r="E75" s="52"/>
    </row>
    <row r="76" spans="1:7" ht="12.75" customHeight="1" x14ac:dyDescent="0.35">
      <c r="A76" s="37"/>
      <c r="B76" s="20"/>
      <c r="C76" s="20"/>
      <c r="D76" s="60"/>
    </row>
    <row r="77" spans="1:7" ht="15.75" customHeight="1" x14ac:dyDescent="0.35">
      <c r="A77" s="211" t="s">
        <v>51</v>
      </c>
      <c r="B77" s="211"/>
      <c r="C77" s="61"/>
      <c r="D77" s="44">
        <v>5</v>
      </c>
    </row>
    <row r="78" spans="1:7" ht="15.75" customHeight="1" x14ac:dyDescent="0.35">
      <c r="A78" s="211" t="s">
        <v>58</v>
      </c>
      <c r="B78" s="211"/>
      <c r="C78" s="61"/>
      <c r="D78" s="45">
        <f>D75/D77</f>
        <v>344.2</v>
      </c>
      <c r="E78" s="52"/>
      <c r="G78" s="52"/>
    </row>
    <row r="79" spans="1:7" ht="9.75" customHeight="1" x14ac:dyDescent="0.35">
      <c r="A79" s="41"/>
      <c r="B79" s="42"/>
      <c r="C79" s="42"/>
    </row>
    <row r="80" spans="1:7" ht="15.75" customHeight="1" x14ac:dyDescent="0.35">
      <c r="A80" s="208" t="s">
        <v>52</v>
      </c>
      <c r="B80" s="208"/>
      <c r="C80" s="62"/>
      <c r="D80" s="40"/>
    </row>
    <row r="81" spans="1:4" ht="15.75" customHeight="1" x14ac:dyDescent="0.35">
      <c r="A81" s="208" t="s">
        <v>74</v>
      </c>
      <c r="B81" s="208"/>
      <c r="C81" s="62"/>
      <c r="D81" s="40"/>
    </row>
    <row r="82" spans="1:4" ht="8.25" customHeight="1" x14ac:dyDescent="0.35">
      <c r="A82" s="17"/>
      <c r="B82" s="17"/>
      <c r="C82" s="17"/>
      <c r="D82" s="17"/>
    </row>
    <row r="83" spans="1:4" x14ac:dyDescent="0.35">
      <c r="A83" s="17" t="s">
        <v>53</v>
      </c>
      <c r="B83" s="17"/>
      <c r="C83" s="17"/>
      <c r="D83" s="48"/>
    </row>
    <row r="84" spans="1:4" x14ac:dyDescent="0.35">
      <c r="A84" s="17"/>
      <c r="B84" s="17"/>
      <c r="C84" s="17"/>
      <c r="D84" s="48"/>
    </row>
    <row r="85" spans="1:4" x14ac:dyDescent="0.35">
      <c r="A85" s="17" t="s">
        <v>68</v>
      </c>
      <c r="B85" s="18"/>
      <c r="C85" s="18"/>
      <c r="D85" s="17"/>
    </row>
    <row r="86" spans="1:4" x14ac:dyDescent="0.35">
      <c r="B86" s="63"/>
      <c r="C86" s="63"/>
      <c r="D86" s="64"/>
    </row>
    <row r="88" spans="1:4" x14ac:dyDescent="0.35">
      <c r="D88" s="52"/>
    </row>
  </sheetData>
  <mergeCells count="10">
    <mergeCell ref="A81:B81"/>
    <mergeCell ref="A9:B9"/>
    <mergeCell ref="A10:B10"/>
    <mergeCell ref="A80:B80"/>
    <mergeCell ref="B2:D2"/>
    <mergeCell ref="A7:D7"/>
    <mergeCell ref="B13:C13"/>
    <mergeCell ref="B14:D14"/>
    <mergeCell ref="A77:B77"/>
    <mergeCell ref="A78:B78"/>
  </mergeCells>
  <pageMargins left="0.88263888888888886" right="0.70866141732283472" top="0.55118110236220474" bottom="0.55118110236220474" header="0.31496062992125984" footer="0.31496062992125984"/>
  <pageSetup paperSize="9" scale="62" orientation="portrait" r:id="rId1"/>
  <headerFooter>
    <oddFooter>&amp;F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8"/>
  <sheetViews>
    <sheetView view="pageLayout" zoomScale="90" zoomScaleNormal="100" zoomScalePageLayoutView="90" workbookViewId="0">
      <selection activeCell="B15" sqref="B15"/>
    </sheetView>
  </sheetViews>
  <sheetFormatPr defaultColWidth="9.1796875" defaultRowHeight="15.5" x14ac:dyDescent="0.35"/>
  <cols>
    <col min="1" max="1" width="20.81640625" style="12" customWidth="1"/>
    <col min="2" max="2" width="83.54296875" style="12" customWidth="1"/>
    <col min="3" max="3" width="10" style="12" hidden="1" customWidth="1"/>
    <col min="4" max="4" width="25" style="12" customWidth="1"/>
    <col min="5" max="5" width="12.26953125" style="12" customWidth="1"/>
    <col min="6" max="16384" width="9.1796875" style="12"/>
  </cols>
  <sheetData>
    <row r="1" spans="1:4" ht="15.75" customHeight="1" x14ac:dyDescent="0.35">
      <c r="B1" s="10"/>
      <c r="C1" s="10"/>
      <c r="D1" s="49" t="s">
        <v>50</v>
      </c>
    </row>
    <row r="2" spans="1:4" x14ac:dyDescent="0.35">
      <c r="B2" s="212" t="s">
        <v>54</v>
      </c>
      <c r="C2" s="212"/>
      <c r="D2" s="229"/>
    </row>
    <row r="3" spans="1:4" x14ac:dyDescent="0.35">
      <c r="B3" s="11"/>
      <c r="C3" s="11"/>
      <c r="D3" s="46" t="s">
        <v>76</v>
      </c>
    </row>
    <row r="4" spans="1:4" x14ac:dyDescent="0.35">
      <c r="B4" s="10"/>
      <c r="C4" s="10"/>
      <c r="D4" s="37"/>
    </row>
    <row r="5" spans="1:4" x14ac:dyDescent="0.35">
      <c r="B5" s="51"/>
      <c r="C5" s="51"/>
      <c r="D5" s="37" t="s">
        <v>193</v>
      </c>
    </row>
    <row r="6" spans="1:4" x14ac:dyDescent="0.35">
      <c r="D6" s="20"/>
    </row>
    <row r="7" spans="1:4" x14ac:dyDescent="0.35">
      <c r="A7" s="209" t="s">
        <v>10</v>
      </c>
      <c r="B7" s="209"/>
      <c r="C7" s="209"/>
      <c r="D7" s="209"/>
    </row>
    <row r="8" spans="1:4" x14ac:dyDescent="0.35">
      <c r="B8" s="53"/>
      <c r="C8" s="53"/>
      <c r="D8" s="20"/>
    </row>
    <row r="9" spans="1:4" x14ac:dyDescent="0.35">
      <c r="A9" s="210" t="s">
        <v>1</v>
      </c>
      <c r="B9" s="210"/>
      <c r="C9" s="9"/>
      <c r="D9" s="20"/>
    </row>
    <row r="10" spans="1:4" x14ac:dyDescent="0.35">
      <c r="A10" s="210" t="s">
        <v>0</v>
      </c>
      <c r="B10" s="210"/>
      <c r="C10" s="9"/>
      <c r="D10" s="20"/>
    </row>
    <row r="11" spans="1:4" x14ac:dyDescent="0.35">
      <c r="A11" s="9"/>
      <c r="B11" s="9" t="s">
        <v>47</v>
      </c>
      <c r="C11" s="9"/>
      <c r="D11" s="20"/>
    </row>
    <row r="12" spans="1:4" x14ac:dyDescent="0.35">
      <c r="A12" s="9"/>
      <c r="B12" s="9" t="s">
        <v>83</v>
      </c>
      <c r="C12" s="9"/>
      <c r="D12" s="20"/>
    </row>
    <row r="13" spans="1:4" x14ac:dyDescent="0.35">
      <c r="A13" s="9"/>
      <c r="B13" s="210" t="s">
        <v>84</v>
      </c>
      <c r="C13" s="210"/>
      <c r="D13" s="20"/>
    </row>
    <row r="14" spans="1:4" x14ac:dyDescent="0.35">
      <c r="A14" s="9"/>
      <c r="B14" s="210" t="s">
        <v>188</v>
      </c>
      <c r="C14" s="210"/>
      <c r="D14" s="210"/>
    </row>
    <row r="15" spans="1:4" x14ac:dyDescent="0.35">
      <c r="A15" s="9" t="s">
        <v>2</v>
      </c>
      <c r="B15" s="9" t="s">
        <v>191</v>
      </c>
      <c r="C15" s="9"/>
      <c r="D15" s="20"/>
    </row>
    <row r="16" spans="1:4" ht="69.75" customHeight="1" x14ac:dyDescent="0.35">
      <c r="A16" s="43" t="s">
        <v>3</v>
      </c>
      <c r="B16" s="43" t="s">
        <v>4</v>
      </c>
      <c r="C16" s="43"/>
      <c r="D16" s="43" t="s">
        <v>5</v>
      </c>
    </row>
    <row r="17" spans="1:8" x14ac:dyDescent="0.35">
      <c r="A17" s="22">
        <v>1</v>
      </c>
      <c r="B17" s="23">
        <v>2</v>
      </c>
      <c r="C17" s="23"/>
      <c r="D17" s="23">
        <v>3</v>
      </c>
    </row>
    <row r="18" spans="1:8" x14ac:dyDescent="0.35">
      <c r="A18" s="22"/>
      <c r="B18" s="54" t="s">
        <v>6</v>
      </c>
      <c r="C18" s="54"/>
      <c r="D18" s="55"/>
    </row>
    <row r="19" spans="1:8" x14ac:dyDescent="0.35">
      <c r="A19" s="27">
        <v>1100</v>
      </c>
      <c r="B19" s="27" t="s">
        <v>134</v>
      </c>
      <c r="C19" s="27"/>
      <c r="D19" s="28">
        <v>1009.32</v>
      </c>
      <c r="E19" s="52"/>
      <c r="F19" s="52"/>
      <c r="G19" s="52"/>
      <c r="H19" s="52"/>
    </row>
    <row r="20" spans="1:8" x14ac:dyDescent="0.35">
      <c r="A20" s="27">
        <v>1200</v>
      </c>
      <c r="B20" s="55" t="s">
        <v>135</v>
      </c>
      <c r="C20" s="55"/>
      <c r="D20" s="28">
        <v>238.1</v>
      </c>
      <c r="F20" s="52"/>
    </row>
    <row r="21" spans="1:8" x14ac:dyDescent="0.35">
      <c r="A21" s="27">
        <v>2222</v>
      </c>
      <c r="B21" s="56" t="s">
        <v>139</v>
      </c>
      <c r="C21" s="55"/>
      <c r="D21" s="28">
        <v>57.3</v>
      </c>
      <c r="E21" s="52"/>
    </row>
    <row r="22" spans="1:8" x14ac:dyDescent="0.35">
      <c r="A22" s="27">
        <v>2223</v>
      </c>
      <c r="B22" s="56" t="s">
        <v>140</v>
      </c>
      <c r="C22" s="55"/>
      <c r="D22" s="28">
        <v>62.21</v>
      </c>
    </row>
    <row r="23" spans="1:8" hidden="1" x14ac:dyDescent="0.35">
      <c r="A23" s="27">
        <v>2243</v>
      </c>
      <c r="B23" s="54" t="s">
        <v>147</v>
      </c>
      <c r="C23" s="55"/>
      <c r="D23" s="28">
        <v>0</v>
      </c>
    </row>
    <row r="24" spans="1:8" x14ac:dyDescent="0.35">
      <c r="A24" s="27">
        <v>2244</v>
      </c>
      <c r="B24" s="54" t="s">
        <v>148</v>
      </c>
      <c r="C24" s="55"/>
      <c r="D24" s="28">
        <f>74.2/20*14</f>
        <v>51.94</v>
      </c>
    </row>
    <row r="25" spans="1:8" x14ac:dyDescent="0.35">
      <c r="A25" s="27">
        <v>2312</v>
      </c>
      <c r="B25" s="54" t="s">
        <v>156</v>
      </c>
      <c r="C25" s="55"/>
      <c r="D25" s="28">
        <v>10.09</v>
      </c>
    </row>
    <row r="26" spans="1:8" x14ac:dyDescent="0.35">
      <c r="A26" s="27">
        <v>2321</v>
      </c>
      <c r="B26" s="56" t="s">
        <v>158</v>
      </c>
      <c r="C26" s="55"/>
      <c r="D26" s="28">
        <v>74.48</v>
      </c>
    </row>
    <row r="27" spans="1:8" x14ac:dyDescent="0.35">
      <c r="A27" s="27">
        <v>2341</v>
      </c>
      <c r="B27" s="56" t="s">
        <v>136</v>
      </c>
      <c r="C27" s="55"/>
      <c r="D27" s="28">
        <v>110.81</v>
      </c>
    </row>
    <row r="28" spans="1:8" x14ac:dyDescent="0.35">
      <c r="A28" s="27">
        <v>2361</v>
      </c>
      <c r="B28" s="56" t="s">
        <v>170</v>
      </c>
      <c r="C28" s="55"/>
      <c r="D28" s="28">
        <f>56.25/5/5*7*5</f>
        <v>78.75</v>
      </c>
    </row>
    <row r="29" spans="1:8" x14ac:dyDescent="0.35">
      <c r="A29" s="27">
        <v>2363</v>
      </c>
      <c r="B29" s="56" t="s">
        <v>172</v>
      </c>
      <c r="C29" s="55"/>
      <c r="D29" s="28">
        <f>8.12*7*5</f>
        <v>284.2</v>
      </c>
    </row>
    <row r="30" spans="1:8" x14ac:dyDescent="0.35">
      <c r="A30" s="27">
        <v>5239</v>
      </c>
      <c r="B30" s="55" t="s">
        <v>165</v>
      </c>
      <c r="C30" s="55"/>
      <c r="D30" s="28">
        <v>16.47</v>
      </c>
    </row>
    <row r="31" spans="1:8" x14ac:dyDescent="0.35">
      <c r="A31" s="27"/>
      <c r="B31" s="57" t="s">
        <v>7</v>
      </c>
      <c r="C31" s="57"/>
      <c r="D31" s="31">
        <f>SUM(D19:D30)</f>
        <v>1993.67</v>
      </c>
      <c r="F31" s="52"/>
    </row>
    <row r="32" spans="1:8" x14ac:dyDescent="0.35">
      <c r="A32" s="32"/>
      <c r="B32" s="57" t="s">
        <v>8</v>
      </c>
      <c r="C32" s="57"/>
      <c r="D32" s="28"/>
      <c r="E32" s="52"/>
    </row>
    <row r="33" spans="1:4" x14ac:dyDescent="0.35">
      <c r="A33" s="27">
        <v>1100</v>
      </c>
      <c r="B33" s="54" t="s">
        <v>134</v>
      </c>
      <c r="C33" s="55">
        <f>0.388+0.024</f>
        <v>0.41200000000000003</v>
      </c>
      <c r="D33" s="28">
        <v>573.74</v>
      </c>
    </row>
    <row r="34" spans="1:4" ht="16.5" customHeight="1" x14ac:dyDescent="0.35">
      <c r="A34" s="27">
        <v>1200</v>
      </c>
      <c r="B34" s="54" t="s">
        <v>135</v>
      </c>
      <c r="C34" s="55">
        <f>C33*0.2359</f>
        <v>9.7190800000000008E-2</v>
      </c>
      <c r="D34" s="28">
        <v>135.35</v>
      </c>
    </row>
    <row r="35" spans="1:4" ht="16.5" customHeight="1" x14ac:dyDescent="0.35">
      <c r="A35" s="27">
        <v>2100</v>
      </c>
      <c r="B35" s="33" t="s">
        <v>44</v>
      </c>
      <c r="C35" s="55">
        <v>1.1659999999999999E-3</v>
      </c>
      <c r="D35" s="28">
        <v>1.62</v>
      </c>
    </row>
    <row r="36" spans="1:4" x14ac:dyDescent="0.35">
      <c r="A36" s="34">
        <v>2210</v>
      </c>
      <c r="B36" s="56" t="s">
        <v>138</v>
      </c>
      <c r="C36" s="55">
        <v>7.6E-3</v>
      </c>
      <c r="D36" s="28">
        <v>10.58</v>
      </c>
    </row>
    <row r="37" spans="1:4" x14ac:dyDescent="0.35">
      <c r="A37" s="27">
        <v>2222</v>
      </c>
      <c r="B37" s="56" t="s">
        <v>139</v>
      </c>
      <c r="C37" s="55">
        <v>9.4999999999999998E-3</v>
      </c>
      <c r="D37" s="28">
        <v>13.23</v>
      </c>
    </row>
    <row r="38" spans="1:4" x14ac:dyDescent="0.35">
      <c r="A38" s="27">
        <v>2223</v>
      </c>
      <c r="B38" s="56" t="s">
        <v>140</v>
      </c>
      <c r="C38" s="55">
        <v>1.9019999999999999E-2</v>
      </c>
      <c r="D38" s="28">
        <v>26.49</v>
      </c>
    </row>
    <row r="39" spans="1:4" ht="31" x14ac:dyDescent="0.35">
      <c r="A39" s="27">
        <v>2224</v>
      </c>
      <c r="B39" s="56" t="s">
        <v>141</v>
      </c>
      <c r="C39" s="55">
        <v>4.9500000000000004E-3</v>
      </c>
      <c r="D39" s="28">
        <v>6.89</v>
      </c>
    </row>
    <row r="40" spans="1:4" ht="15.75" customHeight="1" x14ac:dyDescent="0.35">
      <c r="A40" s="27">
        <v>2231</v>
      </c>
      <c r="B40" s="54" t="s">
        <v>142</v>
      </c>
      <c r="C40" s="55">
        <v>1.5499999999999999E-3</v>
      </c>
      <c r="D40" s="28">
        <v>2.16</v>
      </c>
    </row>
    <row r="41" spans="1:4" ht="15.75" customHeight="1" x14ac:dyDescent="0.35">
      <c r="A41" s="27">
        <v>2235</v>
      </c>
      <c r="B41" s="58" t="s">
        <v>143</v>
      </c>
      <c r="C41" s="55">
        <v>1.65E-3</v>
      </c>
      <c r="D41" s="28">
        <v>2.2999999999999998</v>
      </c>
    </row>
    <row r="42" spans="1:4" x14ac:dyDescent="0.35">
      <c r="A42" s="27">
        <v>2239</v>
      </c>
      <c r="B42" s="54" t="s">
        <v>144</v>
      </c>
      <c r="C42" s="55">
        <v>4.4099999999999999E-3</v>
      </c>
      <c r="D42" s="28">
        <v>6.14</v>
      </c>
    </row>
    <row r="43" spans="1:4" x14ac:dyDescent="0.35">
      <c r="A43" s="27">
        <v>2241</v>
      </c>
      <c r="B43" s="54" t="s">
        <v>145</v>
      </c>
      <c r="C43" s="55">
        <v>1.6500000000000001E-2</v>
      </c>
      <c r="D43" s="28">
        <v>22.98</v>
      </c>
    </row>
    <row r="44" spans="1:4" x14ac:dyDescent="0.35">
      <c r="A44" s="27">
        <v>2242</v>
      </c>
      <c r="B44" s="56" t="s">
        <v>146</v>
      </c>
      <c r="C44" s="55">
        <v>2.2599999999999999E-3</v>
      </c>
      <c r="D44" s="28">
        <v>3.15</v>
      </c>
    </row>
    <row r="45" spans="1:4" ht="15.75" customHeight="1" x14ac:dyDescent="0.35">
      <c r="A45" s="27">
        <v>2243</v>
      </c>
      <c r="B45" s="54" t="s">
        <v>147</v>
      </c>
      <c r="C45" s="55">
        <v>3.2599999999999997E-2</v>
      </c>
      <c r="D45" s="28">
        <v>45.4</v>
      </c>
    </row>
    <row r="46" spans="1:4" x14ac:dyDescent="0.35">
      <c r="A46" s="27">
        <v>2244</v>
      </c>
      <c r="B46" s="54" t="s">
        <v>148</v>
      </c>
      <c r="C46" s="55">
        <v>0.20397000000000001</v>
      </c>
      <c r="D46" s="28">
        <v>284.04000000000002</v>
      </c>
    </row>
    <row r="47" spans="1:4" x14ac:dyDescent="0.35">
      <c r="A47" s="27">
        <v>2247</v>
      </c>
      <c r="B47" s="54" t="s">
        <v>149</v>
      </c>
      <c r="C47" s="55">
        <v>7.1900000000000002E-4</v>
      </c>
      <c r="D47" s="28">
        <v>1</v>
      </c>
    </row>
    <row r="48" spans="1:4" x14ac:dyDescent="0.35">
      <c r="A48" s="27">
        <v>2249</v>
      </c>
      <c r="B48" s="54" t="s">
        <v>150</v>
      </c>
      <c r="C48" s="55">
        <v>2.32E-4</v>
      </c>
      <c r="D48" s="28">
        <v>0.32</v>
      </c>
    </row>
    <row r="49" spans="1:4" x14ac:dyDescent="0.35">
      <c r="A49" s="27">
        <v>2250</v>
      </c>
      <c r="B49" s="54" t="s">
        <v>151</v>
      </c>
      <c r="C49" s="55">
        <v>2.4025999999999999E-2</v>
      </c>
      <c r="D49" s="28">
        <v>33.46</v>
      </c>
    </row>
    <row r="50" spans="1:4" hidden="1" x14ac:dyDescent="0.35">
      <c r="A50" s="27">
        <v>2261</v>
      </c>
      <c r="B50" s="56" t="s">
        <v>169</v>
      </c>
      <c r="C50" s="55">
        <v>0</v>
      </c>
      <c r="D50" s="28">
        <f>C50*1392.58</f>
        <v>0</v>
      </c>
    </row>
    <row r="51" spans="1:4" x14ac:dyDescent="0.35">
      <c r="A51" s="27">
        <v>2262</v>
      </c>
      <c r="B51" s="56" t="s">
        <v>152</v>
      </c>
      <c r="C51" s="55">
        <v>6.2599999999999999E-3</v>
      </c>
      <c r="D51" s="28">
        <v>8.7200000000000006</v>
      </c>
    </row>
    <row r="52" spans="1:4" x14ac:dyDescent="0.35">
      <c r="A52" s="27">
        <v>2263</v>
      </c>
      <c r="B52" s="56" t="s">
        <v>153</v>
      </c>
      <c r="C52" s="55">
        <v>4.58E-2</v>
      </c>
      <c r="D52" s="28">
        <v>63.78</v>
      </c>
    </row>
    <row r="53" spans="1:4" x14ac:dyDescent="0.35">
      <c r="A53" s="27">
        <v>2264</v>
      </c>
      <c r="B53" s="54" t="s">
        <v>154</v>
      </c>
      <c r="C53" s="55">
        <v>1.49E-3</v>
      </c>
      <c r="D53" s="28">
        <v>2.0699999999999998</v>
      </c>
    </row>
    <row r="54" spans="1:4" x14ac:dyDescent="0.35">
      <c r="A54" s="27">
        <v>2311</v>
      </c>
      <c r="B54" s="56" t="s">
        <v>155</v>
      </c>
      <c r="C54" s="55">
        <v>4.7699999999999999E-3</v>
      </c>
      <c r="D54" s="28">
        <v>6.64</v>
      </c>
    </row>
    <row r="55" spans="1:4" x14ac:dyDescent="0.35">
      <c r="A55" s="27">
        <v>2312</v>
      </c>
      <c r="B55" s="56" t="s">
        <v>156</v>
      </c>
      <c r="C55" s="55">
        <v>5.79E-3</v>
      </c>
      <c r="D55" s="28">
        <v>8.06</v>
      </c>
    </row>
    <row r="56" spans="1:4" x14ac:dyDescent="0.35">
      <c r="A56" s="27">
        <v>2314</v>
      </c>
      <c r="B56" s="58" t="s">
        <v>157</v>
      </c>
      <c r="C56" s="55">
        <v>2.2200000000000002E-3</v>
      </c>
      <c r="D56" s="28">
        <v>3.09</v>
      </c>
    </row>
    <row r="57" spans="1:4" x14ac:dyDescent="0.35">
      <c r="A57" s="27">
        <v>2321</v>
      </c>
      <c r="B57" s="56" t="s">
        <v>158</v>
      </c>
      <c r="C57" s="55">
        <v>1.9800000000000002E-2</v>
      </c>
      <c r="D57" s="28">
        <v>27.57</v>
      </c>
    </row>
    <row r="58" spans="1:4" x14ac:dyDescent="0.35">
      <c r="A58" s="27">
        <v>2322</v>
      </c>
      <c r="B58" s="56" t="s">
        <v>159</v>
      </c>
      <c r="C58" s="55">
        <v>3.5000000000000001E-3</v>
      </c>
      <c r="D58" s="28">
        <v>4.87</v>
      </c>
    </row>
    <row r="59" spans="1:4" hidden="1" x14ac:dyDescent="0.35">
      <c r="A59" s="27">
        <v>2341</v>
      </c>
      <c r="B59" s="56" t="s">
        <v>136</v>
      </c>
      <c r="C59" s="55"/>
      <c r="D59" s="28">
        <f>C59*1392.58</f>
        <v>0</v>
      </c>
    </row>
    <row r="60" spans="1:4" x14ac:dyDescent="0.35">
      <c r="A60" s="27">
        <v>2350</v>
      </c>
      <c r="B60" s="55" t="s">
        <v>137</v>
      </c>
      <c r="C60" s="55">
        <v>8.5000000000000006E-3</v>
      </c>
      <c r="D60" s="28">
        <v>11.84</v>
      </c>
    </row>
    <row r="61" spans="1:4" hidden="1" x14ac:dyDescent="0.35">
      <c r="A61" s="27">
        <v>2361</v>
      </c>
      <c r="B61" s="56" t="s">
        <v>170</v>
      </c>
      <c r="C61" s="55">
        <v>0</v>
      </c>
      <c r="D61" s="28">
        <f t="shared" ref="D61:D66" si="0">C61*1392.58</f>
        <v>0</v>
      </c>
    </row>
    <row r="62" spans="1:4" hidden="1" x14ac:dyDescent="0.35">
      <c r="A62" s="27">
        <v>2362</v>
      </c>
      <c r="B62" s="56" t="s">
        <v>171</v>
      </c>
      <c r="C62" s="55">
        <v>0</v>
      </c>
      <c r="D62" s="28">
        <f t="shared" si="0"/>
        <v>0</v>
      </c>
    </row>
    <row r="63" spans="1:4" hidden="1" x14ac:dyDescent="0.35">
      <c r="A63" s="27">
        <v>2363</v>
      </c>
      <c r="B63" s="56" t="s">
        <v>172</v>
      </c>
      <c r="C63" s="55">
        <v>0</v>
      </c>
      <c r="D63" s="28">
        <f t="shared" si="0"/>
        <v>0</v>
      </c>
    </row>
    <row r="64" spans="1:4" hidden="1" x14ac:dyDescent="0.35">
      <c r="A64" s="27">
        <v>2370</v>
      </c>
      <c r="B64" s="56" t="s">
        <v>173</v>
      </c>
      <c r="C64" s="55">
        <v>0</v>
      </c>
      <c r="D64" s="28">
        <f t="shared" si="0"/>
        <v>0</v>
      </c>
    </row>
    <row r="65" spans="1:7" hidden="1" x14ac:dyDescent="0.35">
      <c r="A65" s="27">
        <v>2400</v>
      </c>
      <c r="B65" s="56" t="s">
        <v>174</v>
      </c>
      <c r="C65" s="55">
        <v>0</v>
      </c>
      <c r="D65" s="28">
        <f t="shared" si="0"/>
        <v>0</v>
      </c>
    </row>
    <row r="66" spans="1:7" hidden="1" x14ac:dyDescent="0.35">
      <c r="A66" s="27">
        <v>2512</v>
      </c>
      <c r="B66" s="56" t="s">
        <v>175</v>
      </c>
      <c r="C66" s="55">
        <v>0</v>
      </c>
      <c r="D66" s="28">
        <f t="shared" si="0"/>
        <v>0</v>
      </c>
    </row>
    <row r="67" spans="1:7" ht="15.75" customHeight="1" x14ac:dyDescent="0.35">
      <c r="A67" s="27">
        <v>2513</v>
      </c>
      <c r="B67" s="55" t="s">
        <v>160</v>
      </c>
      <c r="C67" s="55">
        <v>1.4599999999999999E-3</v>
      </c>
      <c r="D67" s="28">
        <v>2.0299999999999998</v>
      </c>
    </row>
    <row r="68" spans="1:7" x14ac:dyDescent="0.35">
      <c r="A68" s="27">
        <v>2515</v>
      </c>
      <c r="B68" s="56" t="s">
        <v>161</v>
      </c>
      <c r="C68" s="55">
        <v>1.9E-3</v>
      </c>
      <c r="D68" s="28">
        <v>2.65</v>
      </c>
    </row>
    <row r="69" spans="1:7" x14ac:dyDescent="0.35">
      <c r="A69" s="27">
        <v>2519</v>
      </c>
      <c r="B69" s="56" t="s">
        <v>162</v>
      </c>
      <c r="C69" s="55">
        <v>2E-3</v>
      </c>
      <c r="D69" s="28">
        <v>2.79</v>
      </c>
    </row>
    <row r="70" spans="1:7" x14ac:dyDescent="0.35">
      <c r="A70" s="27">
        <v>5220</v>
      </c>
      <c r="B70" s="56" t="s">
        <v>163</v>
      </c>
      <c r="C70" s="55">
        <v>1.06E-2</v>
      </c>
      <c r="D70" s="28">
        <v>14.76</v>
      </c>
    </row>
    <row r="71" spans="1:7" x14ac:dyDescent="0.35">
      <c r="A71" s="27">
        <v>5238</v>
      </c>
      <c r="B71" s="55" t="s">
        <v>164</v>
      </c>
      <c r="C71" s="55">
        <v>1.65E-3</v>
      </c>
      <c r="D71" s="28">
        <v>2.48</v>
      </c>
    </row>
    <row r="72" spans="1:7" x14ac:dyDescent="0.35">
      <c r="A72" s="27">
        <v>5239</v>
      </c>
      <c r="B72" s="55" t="s">
        <v>165</v>
      </c>
      <c r="C72" s="55">
        <v>1.9800000000000002E-2</v>
      </c>
      <c r="D72" s="28">
        <v>27.57</v>
      </c>
    </row>
    <row r="73" spans="1:7" x14ac:dyDescent="0.35">
      <c r="A73" s="27">
        <v>5250</v>
      </c>
      <c r="B73" s="56" t="s">
        <v>166</v>
      </c>
      <c r="C73" s="55">
        <v>2.5000000000000001E-2</v>
      </c>
      <c r="D73" s="28">
        <v>34.81</v>
      </c>
    </row>
    <row r="74" spans="1:7" x14ac:dyDescent="0.35">
      <c r="A74" s="32"/>
      <c r="B74" s="59" t="s">
        <v>167</v>
      </c>
      <c r="C74" s="55">
        <f>SUM(C33:C73)</f>
        <v>0.99988380000000032</v>
      </c>
      <c r="D74" s="31">
        <f>SUM(D33:D73)</f>
        <v>1392.5799999999995</v>
      </c>
    </row>
    <row r="75" spans="1:7" x14ac:dyDescent="0.35">
      <c r="A75" s="32"/>
      <c r="B75" s="59" t="s">
        <v>168</v>
      </c>
      <c r="C75" s="59"/>
      <c r="D75" s="31">
        <f>D31+D74</f>
        <v>3386.2499999999995</v>
      </c>
      <c r="E75" s="52"/>
    </row>
    <row r="76" spans="1:7" ht="12.75" customHeight="1" x14ac:dyDescent="0.35">
      <c r="A76" s="37"/>
      <c r="B76" s="20"/>
      <c r="C76" s="20"/>
      <c r="D76" s="60"/>
    </row>
    <row r="77" spans="1:7" ht="15.75" customHeight="1" x14ac:dyDescent="0.35">
      <c r="A77" s="211" t="s">
        <v>51</v>
      </c>
      <c r="B77" s="211"/>
      <c r="C77" s="61"/>
      <c r="D77" s="44">
        <v>5</v>
      </c>
    </row>
    <row r="78" spans="1:7" ht="15.75" customHeight="1" x14ac:dyDescent="0.35">
      <c r="A78" s="211" t="s">
        <v>58</v>
      </c>
      <c r="B78" s="211"/>
      <c r="C78" s="61"/>
      <c r="D78" s="45">
        <f>D75/D77</f>
        <v>677.24999999999989</v>
      </c>
      <c r="E78" s="52"/>
      <c r="G78" s="52"/>
    </row>
    <row r="79" spans="1:7" ht="9.75" customHeight="1" x14ac:dyDescent="0.35">
      <c r="A79" s="41"/>
      <c r="B79" s="42"/>
      <c r="C79" s="42"/>
    </row>
    <row r="80" spans="1:7" ht="15.75" customHeight="1" x14ac:dyDescent="0.35">
      <c r="A80" s="208" t="s">
        <v>52</v>
      </c>
      <c r="B80" s="208"/>
      <c r="C80" s="62"/>
      <c r="D80" s="40"/>
    </row>
    <row r="81" spans="1:4" ht="15.75" customHeight="1" x14ac:dyDescent="0.35">
      <c r="A81" s="208" t="s">
        <v>74</v>
      </c>
      <c r="B81" s="208"/>
      <c r="C81" s="62"/>
      <c r="D81" s="40"/>
    </row>
    <row r="82" spans="1:4" ht="8.25" customHeight="1" x14ac:dyDescent="0.35">
      <c r="A82" s="17"/>
      <c r="B82" s="17"/>
      <c r="C82" s="17"/>
      <c r="D82" s="17"/>
    </row>
    <row r="83" spans="1:4" x14ac:dyDescent="0.35">
      <c r="A83" s="17" t="s">
        <v>53</v>
      </c>
      <c r="B83" s="17"/>
      <c r="C83" s="17"/>
      <c r="D83" s="48"/>
    </row>
    <row r="84" spans="1:4" x14ac:dyDescent="0.35">
      <c r="A84" s="17"/>
      <c r="B84" s="17"/>
      <c r="C84" s="17"/>
      <c r="D84" s="48"/>
    </row>
    <row r="85" spans="1:4" x14ac:dyDescent="0.35">
      <c r="A85" s="17" t="s">
        <v>68</v>
      </c>
      <c r="B85" s="18"/>
      <c r="C85" s="18"/>
      <c r="D85" s="17"/>
    </row>
    <row r="86" spans="1:4" x14ac:dyDescent="0.35">
      <c r="B86" s="63"/>
      <c r="C86" s="63"/>
      <c r="D86" s="64"/>
    </row>
    <row r="88" spans="1:4" x14ac:dyDescent="0.35">
      <c r="D88" s="52"/>
    </row>
  </sheetData>
  <mergeCells count="10">
    <mergeCell ref="A81:B81"/>
    <mergeCell ref="A9:B9"/>
    <mergeCell ref="A10:B10"/>
    <mergeCell ref="A80:B80"/>
    <mergeCell ref="B2:D2"/>
    <mergeCell ref="A7:D7"/>
    <mergeCell ref="B13:C13"/>
    <mergeCell ref="B14:D14"/>
    <mergeCell ref="A77:B77"/>
    <mergeCell ref="A78:B78"/>
  </mergeCells>
  <pageMargins left="0.91134259259259254" right="0.70866141732283472" top="0.55118110236220474" bottom="0.55118110236220474" header="0.31496062992125984" footer="0.31496062992125984"/>
  <pageSetup paperSize="9" scale="62" orientation="portrait" r:id="rId1"/>
  <headerFooter>
    <oddFooter>&amp;F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8"/>
  <sheetViews>
    <sheetView view="pageLayout" topLeftCell="A43" zoomScale="90" zoomScaleNormal="100" zoomScalePageLayoutView="90" workbookViewId="0">
      <selection activeCell="B15" sqref="B15"/>
    </sheetView>
  </sheetViews>
  <sheetFormatPr defaultColWidth="9.1796875" defaultRowHeight="15.5" x14ac:dyDescent="0.35"/>
  <cols>
    <col min="1" max="1" width="18" style="12" customWidth="1"/>
    <col min="2" max="2" width="83.54296875" style="12" customWidth="1"/>
    <col min="3" max="3" width="10" style="12" hidden="1" customWidth="1"/>
    <col min="4" max="4" width="26.453125" style="12" customWidth="1"/>
    <col min="5" max="5" width="12.26953125" style="12" customWidth="1"/>
    <col min="6" max="16384" width="9.1796875" style="12"/>
  </cols>
  <sheetData>
    <row r="1" spans="1:4" ht="15.75" customHeight="1" x14ac:dyDescent="0.35">
      <c r="B1" s="10"/>
      <c r="C1" s="10"/>
      <c r="D1" s="49" t="s">
        <v>50</v>
      </c>
    </row>
    <row r="2" spans="1:4" x14ac:dyDescent="0.35">
      <c r="B2" s="212" t="s">
        <v>54</v>
      </c>
      <c r="C2" s="212"/>
      <c r="D2" s="229"/>
    </row>
    <row r="3" spans="1:4" x14ac:dyDescent="0.35">
      <c r="B3" s="11"/>
      <c r="C3" s="11"/>
      <c r="D3" s="46" t="s">
        <v>76</v>
      </c>
    </row>
    <row r="4" spans="1:4" x14ac:dyDescent="0.35">
      <c r="B4" s="10"/>
      <c r="C4" s="10"/>
      <c r="D4" s="37"/>
    </row>
    <row r="5" spans="1:4" x14ac:dyDescent="0.35">
      <c r="B5" s="51"/>
      <c r="C5" s="51"/>
      <c r="D5" s="37" t="s">
        <v>193</v>
      </c>
    </row>
    <row r="6" spans="1:4" x14ac:dyDescent="0.35">
      <c r="D6" s="20"/>
    </row>
    <row r="7" spans="1:4" x14ac:dyDescent="0.35">
      <c r="A7" s="209" t="s">
        <v>10</v>
      </c>
      <c r="B7" s="209"/>
      <c r="C7" s="209"/>
      <c r="D7" s="209"/>
    </row>
    <row r="8" spans="1:4" x14ac:dyDescent="0.35">
      <c r="B8" s="53"/>
      <c r="C8" s="53"/>
      <c r="D8" s="20"/>
    </row>
    <row r="9" spans="1:4" x14ac:dyDescent="0.35">
      <c r="A9" s="210" t="s">
        <v>1</v>
      </c>
      <c r="B9" s="210"/>
      <c r="C9" s="9"/>
      <c r="D9" s="20"/>
    </row>
    <row r="10" spans="1:4" x14ac:dyDescent="0.35">
      <c r="A10" s="210" t="s">
        <v>0</v>
      </c>
      <c r="B10" s="210"/>
      <c r="C10" s="9"/>
      <c r="D10" s="20"/>
    </row>
    <row r="11" spans="1:4" x14ac:dyDescent="0.35">
      <c r="A11" s="9"/>
      <c r="B11" s="9" t="s">
        <v>47</v>
      </c>
      <c r="C11" s="9"/>
      <c r="D11" s="20"/>
    </row>
    <row r="12" spans="1:4" x14ac:dyDescent="0.35">
      <c r="A12" s="9"/>
      <c r="B12" s="9" t="s">
        <v>83</v>
      </c>
      <c r="C12" s="9"/>
      <c r="D12" s="20"/>
    </row>
    <row r="13" spans="1:4" x14ac:dyDescent="0.35">
      <c r="A13" s="9"/>
      <c r="B13" s="210" t="s">
        <v>84</v>
      </c>
      <c r="C13" s="210"/>
      <c r="D13" s="20"/>
    </row>
    <row r="14" spans="1:4" x14ac:dyDescent="0.35">
      <c r="A14" s="9"/>
      <c r="B14" s="210" t="s">
        <v>187</v>
      </c>
      <c r="C14" s="210"/>
      <c r="D14" s="210"/>
    </row>
    <row r="15" spans="1:4" x14ac:dyDescent="0.35">
      <c r="A15" s="9" t="s">
        <v>2</v>
      </c>
      <c r="B15" s="9" t="s">
        <v>191</v>
      </c>
      <c r="C15" s="9"/>
      <c r="D15" s="20"/>
    </row>
    <row r="16" spans="1:4" ht="69.75" customHeight="1" x14ac:dyDescent="0.35">
      <c r="A16" s="43" t="s">
        <v>3</v>
      </c>
      <c r="B16" s="43" t="s">
        <v>4</v>
      </c>
      <c r="C16" s="43"/>
      <c r="D16" s="43" t="s">
        <v>5</v>
      </c>
    </row>
    <row r="17" spans="1:8" x14ac:dyDescent="0.35">
      <c r="A17" s="22">
        <v>1</v>
      </c>
      <c r="B17" s="23">
        <v>2</v>
      </c>
      <c r="C17" s="23"/>
      <c r="D17" s="23">
        <v>3</v>
      </c>
    </row>
    <row r="18" spans="1:8" x14ac:dyDescent="0.35">
      <c r="A18" s="22"/>
      <c r="B18" s="54" t="s">
        <v>6</v>
      </c>
      <c r="C18" s="54"/>
      <c r="D18" s="55"/>
    </row>
    <row r="19" spans="1:8" x14ac:dyDescent="0.35">
      <c r="A19" s="27">
        <v>1100</v>
      </c>
      <c r="B19" s="27" t="s">
        <v>134</v>
      </c>
      <c r="C19" s="27"/>
      <c r="D19" s="28">
        <v>1009.32</v>
      </c>
      <c r="E19" s="52"/>
      <c r="F19" s="52"/>
      <c r="G19" s="52"/>
      <c r="H19" s="52"/>
    </row>
    <row r="20" spans="1:8" x14ac:dyDescent="0.35">
      <c r="A20" s="27">
        <v>1200</v>
      </c>
      <c r="B20" s="55" t="s">
        <v>135</v>
      </c>
      <c r="C20" s="55"/>
      <c r="D20" s="28">
        <v>238.1</v>
      </c>
      <c r="F20" s="52"/>
    </row>
    <row r="21" spans="1:8" x14ac:dyDescent="0.35">
      <c r="A21" s="27">
        <v>2222</v>
      </c>
      <c r="B21" s="56" t="s">
        <v>139</v>
      </c>
      <c r="C21" s="55"/>
      <c r="D21" s="28">
        <v>56.46</v>
      </c>
      <c r="E21" s="52"/>
    </row>
    <row r="22" spans="1:8" x14ac:dyDescent="0.35">
      <c r="A22" s="27">
        <v>2223</v>
      </c>
      <c r="B22" s="56" t="s">
        <v>140</v>
      </c>
      <c r="C22" s="55"/>
      <c r="D22" s="28">
        <v>39.340000000000003</v>
      </c>
    </row>
    <row r="23" spans="1:8" hidden="1" x14ac:dyDescent="0.35">
      <c r="A23" s="27">
        <v>2243</v>
      </c>
      <c r="B23" s="54" t="s">
        <v>147</v>
      </c>
      <c r="C23" s="55"/>
      <c r="D23" s="28">
        <v>0</v>
      </c>
    </row>
    <row r="24" spans="1:8" x14ac:dyDescent="0.35">
      <c r="A24" s="27">
        <v>2244</v>
      </c>
      <c r="B24" s="54" t="s">
        <v>148</v>
      </c>
      <c r="C24" s="55"/>
      <c r="D24" s="28">
        <v>29.68</v>
      </c>
    </row>
    <row r="25" spans="1:8" x14ac:dyDescent="0.35">
      <c r="A25" s="27">
        <v>2312</v>
      </c>
      <c r="B25" s="54" t="s">
        <v>156</v>
      </c>
      <c r="C25" s="55"/>
      <c r="D25" s="28">
        <v>10.94</v>
      </c>
    </row>
    <row r="26" spans="1:8" x14ac:dyDescent="0.35">
      <c r="A26" s="27">
        <v>2321</v>
      </c>
      <c r="B26" s="56" t="s">
        <v>158</v>
      </c>
      <c r="C26" s="55"/>
      <c r="D26" s="28">
        <v>61.05</v>
      </c>
    </row>
    <row r="27" spans="1:8" x14ac:dyDescent="0.35">
      <c r="A27" s="27">
        <v>2341</v>
      </c>
      <c r="B27" s="56" t="s">
        <v>136</v>
      </c>
      <c r="C27" s="55"/>
      <c r="D27" s="28">
        <v>114.65</v>
      </c>
    </row>
    <row r="28" spans="1:8" x14ac:dyDescent="0.35">
      <c r="A28" s="27">
        <v>2361</v>
      </c>
      <c r="B28" s="56" t="s">
        <v>170</v>
      </c>
      <c r="C28" s="55"/>
      <c r="D28" s="28">
        <f>56.25/5*7</f>
        <v>78.75</v>
      </c>
    </row>
    <row r="29" spans="1:8" x14ac:dyDescent="0.35">
      <c r="A29" s="27">
        <v>2363</v>
      </c>
      <c r="B29" s="56" t="s">
        <v>172</v>
      </c>
      <c r="C29" s="55"/>
      <c r="D29" s="28">
        <f>8.12*7*5</f>
        <v>284.2</v>
      </c>
    </row>
    <row r="30" spans="1:8" x14ac:dyDescent="0.35">
      <c r="A30" s="27">
        <v>5239</v>
      </c>
      <c r="B30" s="55" t="s">
        <v>165</v>
      </c>
      <c r="C30" s="55"/>
      <c r="D30" s="28">
        <v>15.11</v>
      </c>
    </row>
    <row r="31" spans="1:8" x14ac:dyDescent="0.35">
      <c r="A31" s="27"/>
      <c r="B31" s="57" t="s">
        <v>7</v>
      </c>
      <c r="C31" s="57"/>
      <c r="D31" s="31">
        <f>SUM(D19:D30)</f>
        <v>1937.6000000000001</v>
      </c>
      <c r="F31" s="52"/>
    </row>
    <row r="32" spans="1:8" x14ac:dyDescent="0.35">
      <c r="A32" s="32"/>
      <c r="B32" s="57" t="s">
        <v>8</v>
      </c>
      <c r="C32" s="57"/>
      <c r="D32" s="28"/>
      <c r="E32" s="52"/>
    </row>
    <row r="33" spans="1:4" x14ac:dyDescent="0.35">
      <c r="A33" s="27">
        <v>1100</v>
      </c>
      <c r="B33" s="54" t="s">
        <v>134</v>
      </c>
      <c r="C33" s="55">
        <f>0.388+0.024</f>
        <v>0.41200000000000003</v>
      </c>
      <c r="D33" s="28">
        <v>552.54999999999995</v>
      </c>
    </row>
    <row r="34" spans="1:4" ht="16.5" customHeight="1" x14ac:dyDescent="0.35">
      <c r="A34" s="27">
        <v>1200</v>
      </c>
      <c r="B34" s="54" t="s">
        <v>135</v>
      </c>
      <c r="C34" s="55">
        <f>C33*0.2359</f>
        <v>9.7190800000000008E-2</v>
      </c>
      <c r="D34" s="28">
        <v>130.35</v>
      </c>
    </row>
    <row r="35" spans="1:4" ht="16.5" customHeight="1" x14ac:dyDescent="0.35">
      <c r="A35" s="27">
        <v>2100</v>
      </c>
      <c r="B35" s="33" t="s">
        <v>44</v>
      </c>
      <c r="C35" s="55">
        <v>1.1659999999999999E-3</v>
      </c>
      <c r="D35" s="28">
        <v>1.56</v>
      </c>
    </row>
    <row r="36" spans="1:4" x14ac:dyDescent="0.35">
      <c r="A36" s="34">
        <v>2210</v>
      </c>
      <c r="B36" s="56" t="s">
        <v>138</v>
      </c>
      <c r="C36" s="55">
        <v>7.6E-3</v>
      </c>
      <c r="D36" s="28">
        <v>10.19</v>
      </c>
    </row>
    <row r="37" spans="1:4" x14ac:dyDescent="0.35">
      <c r="A37" s="27">
        <v>2222</v>
      </c>
      <c r="B37" s="56" t="s">
        <v>139</v>
      </c>
      <c r="C37" s="55">
        <v>9.4999999999999998E-3</v>
      </c>
      <c r="D37" s="28">
        <v>12.74</v>
      </c>
    </row>
    <row r="38" spans="1:4" x14ac:dyDescent="0.35">
      <c r="A38" s="27">
        <v>2223</v>
      </c>
      <c r="B38" s="56" t="s">
        <v>140</v>
      </c>
      <c r="C38" s="55">
        <v>1.9019999999999999E-2</v>
      </c>
      <c r="D38" s="28">
        <v>25.51</v>
      </c>
    </row>
    <row r="39" spans="1:4" ht="31" x14ac:dyDescent="0.35">
      <c r="A39" s="27">
        <v>2224</v>
      </c>
      <c r="B39" s="56" t="s">
        <v>141</v>
      </c>
      <c r="C39" s="55">
        <v>4.9500000000000004E-3</v>
      </c>
      <c r="D39" s="28">
        <v>6.64</v>
      </c>
    </row>
    <row r="40" spans="1:4" ht="15.75" customHeight="1" x14ac:dyDescent="0.35">
      <c r="A40" s="27">
        <v>2231</v>
      </c>
      <c r="B40" s="54" t="s">
        <v>142</v>
      </c>
      <c r="C40" s="55">
        <v>1.5499999999999999E-3</v>
      </c>
      <c r="D40" s="28">
        <v>2.08</v>
      </c>
    </row>
    <row r="41" spans="1:4" ht="15.75" customHeight="1" x14ac:dyDescent="0.35">
      <c r="A41" s="27">
        <v>2235</v>
      </c>
      <c r="B41" s="58" t="s">
        <v>143</v>
      </c>
      <c r="C41" s="55">
        <v>1.65E-3</v>
      </c>
      <c r="D41" s="28">
        <v>2.21</v>
      </c>
    </row>
    <row r="42" spans="1:4" x14ac:dyDescent="0.35">
      <c r="A42" s="27">
        <v>2239</v>
      </c>
      <c r="B42" s="54" t="s">
        <v>144</v>
      </c>
      <c r="C42" s="55">
        <v>4.4099999999999999E-3</v>
      </c>
      <c r="D42" s="28">
        <v>5.91</v>
      </c>
    </row>
    <row r="43" spans="1:4" x14ac:dyDescent="0.35">
      <c r="A43" s="27">
        <v>2241</v>
      </c>
      <c r="B43" s="54" t="s">
        <v>145</v>
      </c>
      <c r="C43" s="55">
        <v>1.6500000000000001E-2</v>
      </c>
      <c r="D43" s="28">
        <v>22.13</v>
      </c>
    </row>
    <row r="44" spans="1:4" x14ac:dyDescent="0.35">
      <c r="A44" s="27">
        <v>2242</v>
      </c>
      <c r="B44" s="56" t="s">
        <v>146</v>
      </c>
      <c r="C44" s="55">
        <v>2.2599999999999999E-3</v>
      </c>
      <c r="D44" s="28">
        <v>3.03</v>
      </c>
    </row>
    <row r="45" spans="1:4" ht="15.75" customHeight="1" x14ac:dyDescent="0.35">
      <c r="A45" s="27">
        <v>2243</v>
      </c>
      <c r="B45" s="54" t="s">
        <v>147</v>
      </c>
      <c r="C45" s="55">
        <v>3.2599999999999997E-2</v>
      </c>
      <c r="D45" s="28">
        <v>43.72</v>
      </c>
    </row>
    <row r="46" spans="1:4" x14ac:dyDescent="0.35">
      <c r="A46" s="27">
        <v>2244</v>
      </c>
      <c r="B46" s="54" t="s">
        <v>148</v>
      </c>
      <c r="C46" s="55">
        <v>0.20397000000000001</v>
      </c>
      <c r="D46" s="28">
        <v>273.55</v>
      </c>
    </row>
    <row r="47" spans="1:4" x14ac:dyDescent="0.35">
      <c r="A47" s="27">
        <v>2247</v>
      </c>
      <c r="B47" s="54" t="s">
        <v>149</v>
      </c>
      <c r="C47" s="55">
        <v>7.1900000000000002E-4</v>
      </c>
      <c r="D47" s="28">
        <v>0.96</v>
      </c>
    </row>
    <row r="48" spans="1:4" x14ac:dyDescent="0.35">
      <c r="A48" s="27">
        <v>2249</v>
      </c>
      <c r="B48" s="54" t="s">
        <v>150</v>
      </c>
      <c r="C48" s="55">
        <v>2.32E-4</v>
      </c>
      <c r="D48" s="28">
        <v>0.31</v>
      </c>
    </row>
    <row r="49" spans="1:4" x14ac:dyDescent="0.35">
      <c r="A49" s="27">
        <v>2250</v>
      </c>
      <c r="B49" s="54" t="s">
        <v>151</v>
      </c>
      <c r="C49" s="55">
        <v>2.4025999999999999E-2</v>
      </c>
      <c r="D49" s="28">
        <v>32.22</v>
      </c>
    </row>
    <row r="50" spans="1:4" hidden="1" x14ac:dyDescent="0.35">
      <c r="A50" s="27">
        <v>2261</v>
      </c>
      <c r="B50" s="56" t="s">
        <v>169</v>
      </c>
      <c r="C50" s="55">
        <v>0</v>
      </c>
      <c r="D50" s="28">
        <f>C50*1341.13</f>
        <v>0</v>
      </c>
    </row>
    <row r="51" spans="1:4" x14ac:dyDescent="0.35">
      <c r="A51" s="27">
        <v>2262</v>
      </c>
      <c r="B51" s="56" t="s">
        <v>152</v>
      </c>
      <c r="C51" s="55">
        <v>6.2599999999999999E-3</v>
      </c>
      <c r="D51" s="28">
        <v>8.4</v>
      </c>
    </row>
    <row r="52" spans="1:4" x14ac:dyDescent="0.35">
      <c r="A52" s="27">
        <v>2263</v>
      </c>
      <c r="B52" s="56" t="s">
        <v>153</v>
      </c>
      <c r="C52" s="55">
        <v>4.58E-2</v>
      </c>
      <c r="D52" s="28">
        <v>61.42</v>
      </c>
    </row>
    <row r="53" spans="1:4" x14ac:dyDescent="0.35">
      <c r="A53" s="27">
        <v>2264</v>
      </c>
      <c r="B53" s="54" t="s">
        <v>154</v>
      </c>
      <c r="C53" s="55">
        <v>1.49E-3</v>
      </c>
      <c r="D53" s="28">
        <v>2</v>
      </c>
    </row>
    <row r="54" spans="1:4" x14ac:dyDescent="0.35">
      <c r="A54" s="27">
        <v>2311</v>
      </c>
      <c r="B54" s="56" t="s">
        <v>155</v>
      </c>
      <c r="C54" s="55">
        <v>4.7699999999999999E-3</v>
      </c>
      <c r="D54" s="28">
        <v>6.4</v>
      </c>
    </row>
    <row r="55" spans="1:4" x14ac:dyDescent="0.35">
      <c r="A55" s="27">
        <v>2312</v>
      </c>
      <c r="B55" s="56" t="s">
        <v>156</v>
      </c>
      <c r="C55" s="55">
        <v>5.79E-3</v>
      </c>
      <c r="D55" s="28">
        <v>7.77</v>
      </c>
    </row>
    <row r="56" spans="1:4" x14ac:dyDescent="0.35">
      <c r="A56" s="27">
        <v>2314</v>
      </c>
      <c r="B56" s="58" t="s">
        <v>157</v>
      </c>
      <c r="C56" s="55">
        <v>2.2200000000000002E-3</v>
      </c>
      <c r="D56" s="28">
        <v>2.98</v>
      </c>
    </row>
    <row r="57" spans="1:4" x14ac:dyDescent="0.35">
      <c r="A57" s="27">
        <v>2321</v>
      </c>
      <c r="B57" s="56" t="s">
        <v>158</v>
      </c>
      <c r="C57" s="55">
        <v>1.9800000000000002E-2</v>
      </c>
      <c r="D57" s="28">
        <v>26.55</v>
      </c>
    </row>
    <row r="58" spans="1:4" x14ac:dyDescent="0.35">
      <c r="A58" s="27">
        <v>2322</v>
      </c>
      <c r="B58" s="56" t="s">
        <v>159</v>
      </c>
      <c r="C58" s="55">
        <v>3.5000000000000001E-3</v>
      </c>
      <c r="D58" s="28">
        <v>4.6900000000000004</v>
      </c>
    </row>
    <row r="59" spans="1:4" hidden="1" x14ac:dyDescent="0.35">
      <c r="A59" s="27">
        <v>2341</v>
      </c>
      <c r="B59" s="56" t="s">
        <v>136</v>
      </c>
      <c r="C59" s="55"/>
      <c r="D59" s="28">
        <f>C59*1341.13</f>
        <v>0</v>
      </c>
    </row>
    <row r="60" spans="1:4" x14ac:dyDescent="0.35">
      <c r="A60" s="27">
        <v>2350</v>
      </c>
      <c r="B60" s="55" t="s">
        <v>137</v>
      </c>
      <c r="C60" s="55">
        <v>8.5000000000000006E-3</v>
      </c>
      <c r="D60" s="28">
        <v>18.53</v>
      </c>
    </row>
    <row r="61" spans="1:4" hidden="1" x14ac:dyDescent="0.35">
      <c r="A61" s="27">
        <v>2361</v>
      </c>
      <c r="B61" s="56" t="s">
        <v>170</v>
      </c>
      <c r="C61" s="55">
        <v>0</v>
      </c>
      <c r="D61" s="28">
        <f t="shared" ref="D61:D66" si="0">C61*1341.13</f>
        <v>0</v>
      </c>
    </row>
    <row r="62" spans="1:4" hidden="1" x14ac:dyDescent="0.35">
      <c r="A62" s="27">
        <v>2362</v>
      </c>
      <c r="B62" s="56" t="s">
        <v>171</v>
      </c>
      <c r="C62" s="55">
        <v>0</v>
      </c>
      <c r="D62" s="28">
        <f t="shared" si="0"/>
        <v>0</v>
      </c>
    </row>
    <row r="63" spans="1:4" hidden="1" x14ac:dyDescent="0.35">
      <c r="A63" s="27">
        <v>2363</v>
      </c>
      <c r="B63" s="56" t="s">
        <v>172</v>
      </c>
      <c r="C63" s="55">
        <v>0</v>
      </c>
      <c r="D63" s="28">
        <f t="shared" si="0"/>
        <v>0</v>
      </c>
    </row>
    <row r="64" spans="1:4" hidden="1" x14ac:dyDescent="0.35">
      <c r="A64" s="27">
        <v>2370</v>
      </c>
      <c r="B64" s="56" t="s">
        <v>173</v>
      </c>
      <c r="C64" s="55">
        <v>0</v>
      </c>
      <c r="D64" s="28">
        <f t="shared" si="0"/>
        <v>0</v>
      </c>
    </row>
    <row r="65" spans="1:7" hidden="1" x14ac:dyDescent="0.35">
      <c r="A65" s="27">
        <v>2400</v>
      </c>
      <c r="B65" s="56" t="s">
        <v>174</v>
      </c>
      <c r="C65" s="55">
        <v>0</v>
      </c>
      <c r="D65" s="28">
        <f t="shared" si="0"/>
        <v>0</v>
      </c>
    </row>
    <row r="66" spans="1:7" hidden="1" x14ac:dyDescent="0.35">
      <c r="A66" s="27">
        <v>2512</v>
      </c>
      <c r="B66" s="56" t="s">
        <v>175</v>
      </c>
      <c r="C66" s="55">
        <v>0</v>
      </c>
      <c r="D66" s="28">
        <f t="shared" si="0"/>
        <v>0</v>
      </c>
    </row>
    <row r="67" spans="1:7" ht="15.75" customHeight="1" x14ac:dyDescent="0.35">
      <c r="A67" s="27">
        <v>2513</v>
      </c>
      <c r="B67" s="55" t="s">
        <v>160</v>
      </c>
      <c r="C67" s="55">
        <v>1.4599999999999999E-3</v>
      </c>
      <c r="D67" s="28">
        <v>1.96</v>
      </c>
    </row>
    <row r="68" spans="1:7" x14ac:dyDescent="0.35">
      <c r="A68" s="27">
        <v>2515</v>
      </c>
      <c r="B68" s="56" t="s">
        <v>161</v>
      </c>
      <c r="C68" s="55">
        <v>1.9E-3</v>
      </c>
      <c r="D68" s="28">
        <v>2.5499999999999998</v>
      </c>
    </row>
    <row r="69" spans="1:7" x14ac:dyDescent="0.35">
      <c r="A69" s="27">
        <v>2519</v>
      </c>
      <c r="B69" s="56" t="s">
        <v>162</v>
      </c>
      <c r="C69" s="55">
        <v>2E-3</v>
      </c>
      <c r="D69" s="28">
        <v>2.68</v>
      </c>
    </row>
    <row r="70" spans="1:7" x14ac:dyDescent="0.35">
      <c r="A70" s="27">
        <v>5220</v>
      </c>
      <c r="B70" s="56" t="s">
        <v>163</v>
      </c>
      <c r="C70" s="55">
        <v>1.06E-2</v>
      </c>
      <c r="D70" s="28">
        <v>14.22</v>
      </c>
    </row>
    <row r="71" spans="1:7" x14ac:dyDescent="0.35">
      <c r="A71" s="27">
        <v>5238</v>
      </c>
      <c r="B71" s="55" t="s">
        <v>164</v>
      </c>
      <c r="C71" s="55">
        <v>1.65E-3</v>
      </c>
      <c r="D71" s="28">
        <v>5.37</v>
      </c>
    </row>
    <row r="72" spans="1:7" x14ac:dyDescent="0.35">
      <c r="A72" s="27">
        <v>5239</v>
      </c>
      <c r="B72" s="55" t="s">
        <v>165</v>
      </c>
      <c r="C72" s="55">
        <v>1.9800000000000002E-2</v>
      </c>
      <c r="D72" s="28">
        <v>24.84</v>
      </c>
    </row>
    <row r="73" spans="1:7" x14ac:dyDescent="0.35">
      <c r="A73" s="27">
        <v>5250</v>
      </c>
      <c r="B73" s="56" t="s">
        <v>166</v>
      </c>
      <c r="C73" s="55">
        <v>2.5000000000000001E-2</v>
      </c>
      <c r="D73" s="28">
        <v>32.53</v>
      </c>
    </row>
    <row r="74" spans="1:7" x14ac:dyDescent="0.35">
      <c r="A74" s="32"/>
      <c r="B74" s="59" t="s">
        <v>167</v>
      </c>
      <c r="C74" s="55">
        <f>SUM(C33:C73)</f>
        <v>0.99988380000000032</v>
      </c>
      <c r="D74" s="31">
        <f>SUM(D33:D73)</f>
        <v>1348.5500000000002</v>
      </c>
    </row>
    <row r="75" spans="1:7" x14ac:dyDescent="0.35">
      <c r="A75" s="32"/>
      <c r="B75" s="59" t="s">
        <v>168</v>
      </c>
      <c r="C75" s="59"/>
      <c r="D75" s="31">
        <f>D31+D74</f>
        <v>3286.1500000000005</v>
      </c>
      <c r="E75" s="52"/>
    </row>
    <row r="76" spans="1:7" ht="12.75" customHeight="1" x14ac:dyDescent="0.35">
      <c r="A76" s="37"/>
      <c r="B76" s="20"/>
      <c r="C76" s="20"/>
      <c r="D76" s="60"/>
    </row>
    <row r="77" spans="1:7" ht="15.75" customHeight="1" x14ac:dyDescent="0.35">
      <c r="A77" s="211" t="s">
        <v>51</v>
      </c>
      <c r="B77" s="211"/>
      <c r="C77" s="61"/>
      <c r="D77" s="44">
        <v>5</v>
      </c>
    </row>
    <row r="78" spans="1:7" ht="15.75" customHeight="1" x14ac:dyDescent="0.35">
      <c r="A78" s="211" t="s">
        <v>58</v>
      </c>
      <c r="B78" s="211"/>
      <c r="C78" s="61"/>
      <c r="D78" s="45">
        <f>D75/D77</f>
        <v>657.23000000000013</v>
      </c>
      <c r="E78" s="52"/>
      <c r="G78" s="52"/>
    </row>
    <row r="79" spans="1:7" ht="9.75" customHeight="1" x14ac:dyDescent="0.35">
      <c r="A79" s="41"/>
      <c r="B79" s="42"/>
      <c r="C79" s="42"/>
    </row>
    <row r="80" spans="1:7" ht="15.75" customHeight="1" x14ac:dyDescent="0.35">
      <c r="A80" s="208" t="s">
        <v>52</v>
      </c>
      <c r="B80" s="208"/>
      <c r="C80" s="62"/>
      <c r="D80" s="40"/>
    </row>
    <row r="81" spans="1:4" ht="15.75" customHeight="1" x14ac:dyDescent="0.35">
      <c r="A81" s="208" t="s">
        <v>74</v>
      </c>
      <c r="B81" s="208"/>
      <c r="C81" s="62"/>
      <c r="D81" s="40"/>
    </row>
    <row r="82" spans="1:4" ht="8.25" customHeight="1" x14ac:dyDescent="0.35">
      <c r="A82" s="17"/>
      <c r="B82" s="17"/>
      <c r="C82" s="17"/>
      <c r="D82" s="17"/>
    </row>
    <row r="83" spans="1:4" x14ac:dyDescent="0.35">
      <c r="A83" s="17" t="s">
        <v>53</v>
      </c>
      <c r="B83" s="17"/>
      <c r="C83" s="17"/>
      <c r="D83" s="48"/>
    </row>
    <row r="84" spans="1:4" x14ac:dyDescent="0.35">
      <c r="A84" s="17"/>
      <c r="B84" s="17"/>
      <c r="C84" s="17"/>
      <c r="D84" s="48"/>
    </row>
    <row r="85" spans="1:4" x14ac:dyDescent="0.35">
      <c r="A85" s="17" t="s">
        <v>68</v>
      </c>
      <c r="B85" s="18"/>
      <c r="C85" s="18"/>
      <c r="D85" s="17"/>
    </row>
    <row r="86" spans="1:4" x14ac:dyDescent="0.35">
      <c r="B86" s="63"/>
      <c r="C86" s="63"/>
      <c r="D86" s="64"/>
    </row>
    <row r="88" spans="1:4" x14ac:dyDescent="0.35">
      <c r="D88" s="52"/>
    </row>
  </sheetData>
  <mergeCells count="10">
    <mergeCell ref="A81:B81"/>
    <mergeCell ref="A9:B9"/>
    <mergeCell ref="A10:B10"/>
    <mergeCell ref="A80:B80"/>
    <mergeCell ref="B2:D2"/>
    <mergeCell ref="A7:D7"/>
    <mergeCell ref="B13:C13"/>
    <mergeCell ref="B14:D14"/>
    <mergeCell ref="A77:B77"/>
    <mergeCell ref="A78:B78"/>
  </mergeCells>
  <pageMargins left="0.95439814814814816" right="0.70866141732283472" top="0.55118110236220474" bottom="0.55118110236220474" header="0.31496062992125984" footer="0.31496062992125984"/>
  <pageSetup paperSize="9" scale="62" orientation="portrait" r:id="rId1"/>
  <headerFooter>
    <oddFooter>&amp;F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view="pageLayout" topLeftCell="A43" zoomScale="90" zoomScaleNormal="100" zoomScalePageLayoutView="90" workbookViewId="0">
      <selection activeCell="B15" sqref="B15"/>
    </sheetView>
  </sheetViews>
  <sheetFormatPr defaultColWidth="9.1796875" defaultRowHeight="15.5" x14ac:dyDescent="0.35"/>
  <cols>
    <col min="1" max="1" width="21" style="12" customWidth="1"/>
    <col min="2" max="2" width="83.54296875" style="12" customWidth="1"/>
    <col min="3" max="3" width="10" style="12" hidden="1" customWidth="1"/>
    <col min="4" max="4" width="26.7265625" style="12" customWidth="1"/>
    <col min="5" max="5" width="12.26953125" style="12" customWidth="1"/>
    <col min="6" max="16384" width="9.1796875" style="12"/>
  </cols>
  <sheetData>
    <row r="1" spans="1:4" ht="15.75" customHeight="1" x14ac:dyDescent="0.35">
      <c r="B1" s="10"/>
      <c r="C1" s="10"/>
      <c r="D1" s="49" t="s">
        <v>50</v>
      </c>
    </row>
    <row r="2" spans="1:4" x14ac:dyDescent="0.35">
      <c r="B2" s="212" t="s">
        <v>54</v>
      </c>
      <c r="C2" s="212"/>
      <c r="D2" s="229"/>
    </row>
    <row r="3" spans="1:4" x14ac:dyDescent="0.35">
      <c r="B3" s="11"/>
      <c r="C3" s="11"/>
      <c r="D3" s="46" t="s">
        <v>76</v>
      </c>
    </row>
    <row r="4" spans="1:4" x14ac:dyDescent="0.35">
      <c r="B4" s="10"/>
      <c r="C4" s="10"/>
      <c r="D4" s="37"/>
    </row>
    <row r="5" spans="1:4" x14ac:dyDescent="0.35">
      <c r="B5" s="51"/>
      <c r="C5" s="51"/>
      <c r="D5" s="37" t="s">
        <v>193</v>
      </c>
    </row>
    <row r="6" spans="1:4" x14ac:dyDescent="0.35">
      <c r="D6" s="20"/>
    </row>
    <row r="7" spans="1:4" x14ac:dyDescent="0.35">
      <c r="A7" s="209" t="s">
        <v>10</v>
      </c>
      <c r="B7" s="209"/>
      <c r="C7" s="209"/>
      <c r="D7" s="209"/>
    </row>
    <row r="8" spans="1:4" x14ac:dyDescent="0.35">
      <c r="B8" s="53"/>
      <c r="C8" s="53"/>
      <c r="D8" s="20"/>
    </row>
    <row r="9" spans="1:4" x14ac:dyDescent="0.35">
      <c r="A9" s="210" t="s">
        <v>1</v>
      </c>
      <c r="B9" s="210"/>
      <c r="C9" s="9"/>
      <c r="D9" s="20"/>
    </row>
    <row r="10" spans="1:4" x14ac:dyDescent="0.35">
      <c r="A10" s="210" t="s">
        <v>0</v>
      </c>
      <c r="B10" s="210"/>
      <c r="C10" s="9"/>
      <c r="D10" s="20"/>
    </row>
    <row r="11" spans="1:4" x14ac:dyDescent="0.35">
      <c r="A11" s="9"/>
      <c r="B11" s="9" t="s">
        <v>47</v>
      </c>
      <c r="C11" s="9"/>
      <c r="D11" s="20"/>
    </row>
    <row r="12" spans="1:4" x14ac:dyDescent="0.35">
      <c r="A12" s="9"/>
      <c r="B12" s="9" t="s">
        <v>83</v>
      </c>
      <c r="C12" s="9"/>
      <c r="D12" s="20"/>
    </row>
    <row r="13" spans="1:4" x14ac:dyDescent="0.35">
      <c r="A13" s="9"/>
      <c r="B13" s="210" t="s">
        <v>84</v>
      </c>
      <c r="C13" s="210"/>
      <c r="D13" s="20"/>
    </row>
    <row r="14" spans="1:4" x14ac:dyDescent="0.35">
      <c r="A14" s="9"/>
      <c r="B14" s="210" t="s">
        <v>185</v>
      </c>
      <c r="C14" s="210"/>
      <c r="D14" s="210"/>
    </row>
    <row r="15" spans="1:4" x14ac:dyDescent="0.35">
      <c r="A15" s="9" t="s">
        <v>2</v>
      </c>
      <c r="B15" s="9" t="s">
        <v>191</v>
      </c>
      <c r="C15" s="9"/>
      <c r="D15" s="20"/>
    </row>
    <row r="16" spans="1:4" ht="69.75" customHeight="1" x14ac:dyDescent="0.35">
      <c r="A16" s="43" t="s">
        <v>3</v>
      </c>
      <c r="B16" s="43" t="s">
        <v>4</v>
      </c>
      <c r="C16" s="43"/>
      <c r="D16" s="43" t="s">
        <v>5</v>
      </c>
    </row>
    <row r="17" spans="1:8" x14ac:dyDescent="0.35">
      <c r="A17" s="22">
        <v>1</v>
      </c>
      <c r="B17" s="23">
        <v>2</v>
      </c>
      <c r="C17" s="23"/>
      <c r="D17" s="23">
        <v>3</v>
      </c>
    </row>
    <row r="18" spans="1:8" x14ac:dyDescent="0.35">
      <c r="A18" s="22"/>
      <c r="B18" s="54" t="s">
        <v>6</v>
      </c>
      <c r="C18" s="54"/>
      <c r="D18" s="55"/>
    </row>
    <row r="19" spans="1:8" x14ac:dyDescent="0.35">
      <c r="A19" s="27">
        <v>1100</v>
      </c>
      <c r="B19" s="27" t="s">
        <v>134</v>
      </c>
      <c r="C19" s="27"/>
      <c r="D19" s="28">
        <v>1139.1400000000001</v>
      </c>
      <c r="E19" s="52"/>
      <c r="F19" s="52"/>
      <c r="G19" s="52"/>
      <c r="H19" s="52"/>
    </row>
    <row r="20" spans="1:8" x14ac:dyDescent="0.35">
      <c r="A20" s="27">
        <v>1200</v>
      </c>
      <c r="B20" s="55" t="s">
        <v>135</v>
      </c>
      <c r="C20" s="55"/>
      <c r="D20" s="28">
        <v>268.72000000000003</v>
      </c>
      <c r="F20" s="52"/>
    </row>
    <row r="21" spans="1:8" x14ac:dyDescent="0.35">
      <c r="A21" s="27">
        <v>2222</v>
      </c>
      <c r="B21" s="56" t="s">
        <v>139</v>
      </c>
      <c r="C21" s="55"/>
      <c r="D21" s="28">
        <v>52.39</v>
      </c>
      <c r="E21" s="52"/>
    </row>
    <row r="22" spans="1:8" x14ac:dyDescent="0.35">
      <c r="A22" s="27">
        <v>2223</v>
      </c>
      <c r="B22" s="56" t="s">
        <v>140</v>
      </c>
      <c r="C22" s="55"/>
      <c r="D22" s="28">
        <v>37.25</v>
      </c>
    </row>
    <row r="23" spans="1:8" hidden="1" x14ac:dyDescent="0.35">
      <c r="A23" s="27">
        <v>2243</v>
      </c>
      <c r="B23" s="54" t="s">
        <v>147</v>
      </c>
      <c r="C23" s="55"/>
      <c r="D23" s="28">
        <v>0</v>
      </c>
    </row>
    <row r="24" spans="1:8" x14ac:dyDescent="0.35">
      <c r="A24" s="27">
        <v>2244</v>
      </c>
      <c r="B24" s="54" t="s">
        <v>148</v>
      </c>
      <c r="C24" s="55"/>
      <c r="D24" s="28">
        <v>74.2</v>
      </c>
    </row>
    <row r="25" spans="1:8" x14ac:dyDescent="0.35">
      <c r="A25" s="27">
        <v>2312</v>
      </c>
      <c r="B25" s="54" t="s">
        <v>156</v>
      </c>
      <c r="C25" s="55"/>
      <c r="D25" s="28">
        <v>8.9</v>
      </c>
    </row>
    <row r="26" spans="1:8" x14ac:dyDescent="0.35">
      <c r="A26" s="27">
        <v>2321</v>
      </c>
      <c r="B26" s="56" t="s">
        <v>158</v>
      </c>
      <c r="C26" s="55"/>
      <c r="D26" s="28">
        <v>60.33</v>
      </c>
    </row>
    <row r="27" spans="1:8" x14ac:dyDescent="0.35">
      <c r="A27" s="27">
        <v>2341</v>
      </c>
      <c r="B27" s="56" t="s">
        <v>136</v>
      </c>
      <c r="C27" s="55"/>
      <c r="D27" s="28">
        <v>101.32</v>
      </c>
    </row>
    <row r="28" spans="1:8" x14ac:dyDescent="0.35">
      <c r="A28" s="27">
        <v>2361</v>
      </c>
      <c r="B28" s="56" t="s">
        <v>170</v>
      </c>
      <c r="C28" s="55"/>
      <c r="D28" s="28">
        <f>56.25/5/5*10*4</f>
        <v>90</v>
      </c>
    </row>
    <row r="29" spans="1:8" x14ac:dyDescent="0.35">
      <c r="A29" s="27">
        <v>2363</v>
      </c>
      <c r="B29" s="56" t="s">
        <v>172</v>
      </c>
      <c r="C29" s="55"/>
      <c r="D29" s="28">
        <f>8.12*10*4</f>
        <v>324.79999999999995</v>
      </c>
    </row>
    <row r="30" spans="1:8" x14ac:dyDescent="0.35">
      <c r="A30" s="27">
        <v>5239</v>
      </c>
      <c r="B30" s="55" t="s">
        <v>165</v>
      </c>
      <c r="C30" s="55"/>
      <c r="D30" s="28">
        <v>14.93</v>
      </c>
    </row>
    <row r="31" spans="1:8" x14ac:dyDescent="0.35">
      <c r="A31" s="27"/>
      <c r="B31" s="57" t="s">
        <v>7</v>
      </c>
      <c r="C31" s="57"/>
      <c r="D31" s="31">
        <f>SUM(D19:D30)</f>
        <v>2171.98</v>
      </c>
      <c r="F31" s="52"/>
    </row>
    <row r="32" spans="1:8" x14ac:dyDescent="0.35">
      <c r="A32" s="32"/>
      <c r="B32" s="57" t="s">
        <v>8</v>
      </c>
      <c r="C32" s="57"/>
      <c r="D32" s="28"/>
      <c r="E32" s="52"/>
    </row>
    <row r="33" spans="1:5" x14ac:dyDescent="0.35">
      <c r="A33" s="27">
        <v>1100</v>
      </c>
      <c r="B33" s="54" t="s">
        <v>134</v>
      </c>
      <c r="C33" s="55">
        <f>0.388+0.024</f>
        <v>0.41200000000000003</v>
      </c>
      <c r="D33" s="28">
        <v>506.88</v>
      </c>
      <c r="E33" s="52"/>
    </row>
    <row r="34" spans="1:5" ht="16.5" customHeight="1" x14ac:dyDescent="0.35">
      <c r="A34" s="27">
        <v>1200</v>
      </c>
      <c r="B34" s="54" t="s">
        <v>135</v>
      </c>
      <c r="C34" s="55">
        <f>C33*0.2359</f>
        <v>9.7190800000000008E-2</v>
      </c>
      <c r="D34" s="28">
        <v>119.57</v>
      </c>
    </row>
    <row r="35" spans="1:5" ht="16.5" customHeight="1" x14ac:dyDescent="0.35">
      <c r="A35" s="27">
        <v>2100</v>
      </c>
      <c r="B35" s="33" t="s">
        <v>44</v>
      </c>
      <c r="C35" s="55">
        <v>1.1659999999999999E-3</v>
      </c>
      <c r="D35" s="28">
        <v>1.43</v>
      </c>
    </row>
    <row r="36" spans="1:5" x14ac:dyDescent="0.35">
      <c r="A36" s="34">
        <v>2210</v>
      </c>
      <c r="B36" s="56" t="s">
        <v>138</v>
      </c>
      <c r="C36" s="55">
        <v>7.6E-3</v>
      </c>
      <c r="D36" s="28">
        <v>9.35</v>
      </c>
    </row>
    <row r="37" spans="1:5" x14ac:dyDescent="0.35">
      <c r="A37" s="27">
        <v>2222</v>
      </c>
      <c r="B37" s="56" t="s">
        <v>139</v>
      </c>
      <c r="C37" s="55">
        <v>9.4999999999999998E-3</v>
      </c>
      <c r="D37" s="28">
        <v>11.69</v>
      </c>
    </row>
    <row r="38" spans="1:5" x14ac:dyDescent="0.35">
      <c r="A38" s="27">
        <v>2223</v>
      </c>
      <c r="B38" s="56" t="s">
        <v>140</v>
      </c>
      <c r="C38" s="55">
        <v>1.9019999999999999E-2</v>
      </c>
      <c r="D38" s="28">
        <v>23.4</v>
      </c>
    </row>
    <row r="39" spans="1:5" ht="31" x14ac:dyDescent="0.35">
      <c r="A39" s="27">
        <v>2224</v>
      </c>
      <c r="B39" s="56" t="s">
        <v>141</v>
      </c>
      <c r="C39" s="55">
        <v>4.9500000000000004E-3</v>
      </c>
      <c r="D39" s="28">
        <v>6.09</v>
      </c>
    </row>
    <row r="40" spans="1:5" ht="15.75" customHeight="1" x14ac:dyDescent="0.35">
      <c r="A40" s="27">
        <v>2231</v>
      </c>
      <c r="B40" s="54" t="s">
        <v>142</v>
      </c>
      <c r="C40" s="55">
        <v>1.5499999999999999E-3</v>
      </c>
      <c r="D40" s="28">
        <v>1.91</v>
      </c>
    </row>
    <row r="41" spans="1:5" ht="15.75" customHeight="1" x14ac:dyDescent="0.35">
      <c r="A41" s="27">
        <v>2235</v>
      </c>
      <c r="B41" s="58" t="s">
        <v>143</v>
      </c>
      <c r="C41" s="55">
        <v>1.65E-3</v>
      </c>
      <c r="D41" s="28">
        <v>2.0299999999999998</v>
      </c>
    </row>
    <row r="42" spans="1:5" x14ac:dyDescent="0.35">
      <c r="A42" s="27">
        <v>2239</v>
      </c>
      <c r="B42" s="54" t="s">
        <v>144</v>
      </c>
      <c r="C42" s="55">
        <v>4.4099999999999999E-3</v>
      </c>
      <c r="D42" s="28">
        <v>5.43</v>
      </c>
    </row>
    <row r="43" spans="1:5" x14ac:dyDescent="0.35">
      <c r="A43" s="27">
        <v>2241</v>
      </c>
      <c r="B43" s="54" t="s">
        <v>145</v>
      </c>
      <c r="C43" s="55">
        <v>1.6500000000000001E-2</v>
      </c>
      <c r="D43" s="28">
        <v>20.3</v>
      </c>
    </row>
    <row r="44" spans="1:5" x14ac:dyDescent="0.35">
      <c r="A44" s="27">
        <v>2242</v>
      </c>
      <c r="B44" s="56" t="s">
        <v>146</v>
      </c>
      <c r="C44" s="55">
        <v>2.2599999999999999E-3</v>
      </c>
      <c r="D44" s="28">
        <v>2.78</v>
      </c>
    </row>
    <row r="45" spans="1:5" ht="15.75" customHeight="1" x14ac:dyDescent="0.35">
      <c r="A45" s="27">
        <v>2243</v>
      </c>
      <c r="B45" s="54" t="s">
        <v>147</v>
      </c>
      <c r="C45" s="55">
        <v>3.2599999999999997E-2</v>
      </c>
      <c r="D45" s="28">
        <v>40.11</v>
      </c>
    </row>
    <row r="46" spans="1:5" x14ac:dyDescent="0.35">
      <c r="A46" s="27">
        <v>2244</v>
      </c>
      <c r="B46" s="54" t="s">
        <v>148</v>
      </c>
      <c r="C46" s="55">
        <v>0.20397000000000001</v>
      </c>
      <c r="D46" s="28">
        <v>250.94</v>
      </c>
    </row>
    <row r="47" spans="1:5" x14ac:dyDescent="0.35">
      <c r="A47" s="27">
        <v>2247</v>
      </c>
      <c r="B47" s="54" t="s">
        <v>149</v>
      </c>
      <c r="C47" s="55">
        <v>7.1900000000000002E-4</v>
      </c>
      <c r="D47" s="28">
        <v>0.88</v>
      </c>
    </row>
    <row r="48" spans="1:5" x14ac:dyDescent="0.35">
      <c r="A48" s="27">
        <v>2249</v>
      </c>
      <c r="B48" s="54" t="s">
        <v>150</v>
      </c>
      <c r="C48" s="55">
        <v>2.32E-4</v>
      </c>
      <c r="D48" s="28">
        <v>0.28999999999999998</v>
      </c>
    </row>
    <row r="49" spans="1:4" x14ac:dyDescent="0.35">
      <c r="A49" s="27">
        <v>2250</v>
      </c>
      <c r="B49" s="54" t="s">
        <v>151</v>
      </c>
      <c r="C49" s="55">
        <v>2.4025999999999999E-2</v>
      </c>
      <c r="D49" s="28">
        <v>29.56</v>
      </c>
    </row>
    <row r="50" spans="1:4" hidden="1" x14ac:dyDescent="0.35">
      <c r="A50" s="27">
        <v>2261</v>
      </c>
      <c r="B50" s="56" t="s">
        <v>169</v>
      </c>
      <c r="C50" s="55">
        <v>0</v>
      </c>
      <c r="D50" s="28">
        <f>C50*1230.3</f>
        <v>0</v>
      </c>
    </row>
    <row r="51" spans="1:4" x14ac:dyDescent="0.35">
      <c r="A51" s="27">
        <v>2262</v>
      </c>
      <c r="B51" s="56" t="s">
        <v>152</v>
      </c>
      <c r="C51" s="55">
        <v>6.2599999999999999E-3</v>
      </c>
      <c r="D51" s="28">
        <v>7.7</v>
      </c>
    </row>
    <row r="52" spans="1:4" x14ac:dyDescent="0.35">
      <c r="A52" s="27">
        <v>2263</v>
      </c>
      <c r="B52" s="56" t="s">
        <v>153</v>
      </c>
      <c r="C52" s="55">
        <v>4.58E-2</v>
      </c>
      <c r="D52" s="28">
        <v>56.35</v>
      </c>
    </row>
    <row r="53" spans="1:4" x14ac:dyDescent="0.35">
      <c r="A53" s="27">
        <v>2264</v>
      </c>
      <c r="B53" s="54" t="s">
        <v>154</v>
      </c>
      <c r="C53" s="55">
        <v>1.49E-3</v>
      </c>
      <c r="D53" s="28">
        <v>1.83</v>
      </c>
    </row>
    <row r="54" spans="1:4" x14ac:dyDescent="0.35">
      <c r="A54" s="27">
        <v>2311</v>
      </c>
      <c r="B54" s="56" t="s">
        <v>155</v>
      </c>
      <c r="C54" s="55">
        <v>4.7699999999999999E-3</v>
      </c>
      <c r="D54" s="28">
        <v>5.87</v>
      </c>
    </row>
    <row r="55" spans="1:4" x14ac:dyDescent="0.35">
      <c r="A55" s="27">
        <v>2312</v>
      </c>
      <c r="B55" s="56" t="s">
        <v>156</v>
      </c>
      <c r="C55" s="55">
        <v>5.79E-3</v>
      </c>
      <c r="D55" s="28">
        <v>7.12</v>
      </c>
    </row>
    <row r="56" spans="1:4" x14ac:dyDescent="0.35">
      <c r="A56" s="27">
        <v>2314</v>
      </c>
      <c r="B56" s="58" t="s">
        <v>157</v>
      </c>
      <c r="C56" s="55">
        <v>2.2200000000000002E-3</v>
      </c>
      <c r="D56" s="28">
        <v>2.73</v>
      </c>
    </row>
    <row r="57" spans="1:4" x14ac:dyDescent="0.35">
      <c r="A57" s="27">
        <v>2321</v>
      </c>
      <c r="B57" s="56" t="s">
        <v>158</v>
      </c>
      <c r="C57" s="55">
        <v>1.9800000000000002E-2</v>
      </c>
      <c r="D57" s="28">
        <v>24.36</v>
      </c>
    </row>
    <row r="58" spans="1:4" x14ac:dyDescent="0.35">
      <c r="A58" s="27">
        <v>2322</v>
      </c>
      <c r="B58" s="56" t="s">
        <v>159</v>
      </c>
      <c r="C58" s="55">
        <v>3.5000000000000001E-3</v>
      </c>
      <c r="D58" s="28">
        <v>4.3099999999999996</v>
      </c>
    </row>
    <row r="59" spans="1:4" hidden="1" x14ac:dyDescent="0.35">
      <c r="A59" s="27">
        <v>2341</v>
      </c>
      <c r="B59" s="56" t="s">
        <v>136</v>
      </c>
      <c r="C59" s="55"/>
      <c r="D59" s="28">
        <f>C59*1230.3</f>
        <v>0</v>
      </c>
    </row>
    <row r="60" spans="1:4" x14ac:dyDescent="0.35">
      <c r="A60" s="27">
        <v>2350</v>
      </c>
      <c r="B60" s="55" t="s">
        <v>137</v>
      </c>
      <c r="C60" s="55">
        <v>8.5000000000000006E-3</v>
      </c>
      <c r="D60" s="28">
        <v>10.46</v>
      </c>
    </row>
    <row r="61" spans="1:4" hidden="1" x14ac:dyDescent="0.35">
      <c r="A61" s="27">
        <v>2361</v>
      </c>
      <c r="B61" s="56" t="s">
        <v>170</v>
      </c>
      <c r="C61" s="55">
        <v>0</v>
      </c>
      <c r="D61" s="28">
        <f t="shared" ref="D61:D66" si="0">C61*1230.3</f>
        <v>0</v>
      </c>
    </row>
    <row r="62" spans="1:4" hidden="1" x14ac:dyDescent="0.35">
      <c r="A62" s="27">
        <v>2362</v>
      </c>
      <c r="B62" s="56" t="s">
        <v>171</v>
      </c>
      <c r="C62" s="55">
        <v>0</v>
      </c>
      <c r="D62" s="28">
        <f t="shared" si="0"/>
        <v>0</v>
      </c>
    </row>
    <row r="63" spans="1:4" hidden="1" x14ac:dyDescent="0.35">
      <c r="A63" s="27">
        <v>2363</v>
      </c>
      <c r="B63" s="56" t="s">
        <v>172</v>
      </c>
      <c r="C63" s="55">
        <v>0</v>
      </c>
      <c r="D63" s="28">
        <f t="shared" si="0"/>
        <v>0</v>
      </c>
    </row>
    <row r="64" spans="1:4" hidden="1" x14ac:dyDescent="0.35">
      <c r="A64" s="27">
        <v>2370</v>
      </c>
      <c r="B64" s="56" t="s">
        <v>173</v>
      </c>
      <c r="C64" s="55">
        <v>0</v>
      </c>
      <c r="D64" s="28">
        <f t="shared" si="0"/>
        <v>0</v>
      </c>
    </row>
    <row r="65" spans="1:7" hidden="1" x14ac:dyDescent="0.35">
      <c r="A65" s="27">
        <v>2400</v>
      </c>
      <c r="B65" s="56" t="s">
        <v>174</v>
      </c>
      <c r="C65" s="55">
        <v>0</v>
      </c>
      <c r="D65" s="28">
        <f t="shared" si="0"/>
        <v>0</v>
      </c>
    </row>
    <row r="66" spans="1:7" hidden="1" x14ac:dyDescent="0.35">
      <c r="A66" s="27">
        <v>2512</v>
      </c>
      <c r="B66" s="56" t="s">
        <v>175</v>
      </c>
      <c r="C66" s="55">
        <v>0</v>
      </c>
      <c r="D66" s="28">
        <f t="shared" si="0"/>
        <v>0</v>
      </c>
    </row>
    <row r="67" spans="1:7" ht="15.75" customHeight="1" x14ac:dyDescent="0.35">
      <c r="A67" s="27">
        <v>2513</v>
      </c>
      <c r="B67" s="55" t="s">
        <v>160</v>
      </c>
      <c r="C67" s="55">
        <v>1.4599999999999999E-3</v>
      </c>
      <c r="D67" s="28">
        <v>1.8</v>
      </c>
    </row>
    <row r="68" spans="1:7" x14ac:dyDescent="0.35">
      <c r="A68" s="27">
        <v>2515</v>
      </c>
      <c r="B68" s="56" t="s">
        <v>161</v>
      </c>
      <c r="C68" s="55">
        <v>1.9E-3</v>
      </c>
      <c r="D68" s="28">
        <v>2.34</v>
      </c>
    </row>
    <row r="69" spans="1:7" x14ac:dyDescent="0.35">
      <c r="A69" s="27">
        <v>2519</v>
      </c>
      <c r="B69" s="56" t="s">
        <v>162</v>
      </c>
      <c r="C69" s="55">
        <v>2E-3</v>
      </c>
      <c r="D69" s="28">
        <v>2.46</v>
      </c>
    </row>
    <row r="70" spans="1:7" x14ac:dyDescent="0.35">
      <c r="A70" s="27">
        <v>5220</v>
      </c>
      <c r="B70" s="56" t="s">
        <v>163</v>
      </c>
      <c r="C70" s="55">
        <v>1.06E-2</v>
      </c>
      <c r="D70" s="28">
        <v>13.04</v>
      </c>
    </row>
    <row r="71" spans="1:7" x14ac:dyDescent="0.35">
      <c r="A71" s="27">
        <v>5238</v>
      </c>
      <c r="B71" s="55" t="s">
        <v>164</v>
      </c>
      <c r="C71" s="55">
        <v>1.65E-3</v>
      </c>
      <c r="D71" s="28">
        <v>2.17</v>
      </c>
    </row>
    <row r="72" spans="1:7" x14ac:dyDescent="0.35">
      <c r="A72" s="27">
        <v>5239</v>
      </c>
      <c r="B72" s="55" t="s">
        <v>165</v>
      </c>
      <c r="C72" s="55">
        <v>1.9800000000000002E-2</v>
      </c>
      <c r="D72" s="28">
        <v>24.36</v>
      </c>
    </row>
    <row r="73" spans="1:7" x14ac:dyDescent="0.35">
      <c r="A73" s="27">
        <v>5250</v>
      </c>
      <c r="B73" s="56" t="s">
        <v>166</v>
      </c>
      <c r="C73" s="55">
        <v>2.5000000000000001E-2</v>
      </c>
      <c r="D73" s="28">
        <v>30.76</v>
      </c>
    </row>
    <row r="74" spans="1:7" x14ac:dyDescent="0.35">
      <c r="A74" s="32"/>
      <c r="B74" s="59" t="s">
        <v>167</v>
      </c>
      <c r="C74" s="55">
        <f>SUM(C33:C73)</f>
        <v>0.99988380000000032</v>
      </c>
      <c r="D74" s="31">
        <f>SUM(D33:D73)</f>
        <v>1230.2999999999993</v>
      </c>
    </row>
    <row r="75" spans="1:7" x14ac:dyDescent="0.35">
      <c r="A75" s="32"/>
      <c r="B75" s="59" t="s">
        <v>168</v>
      </c>
      <c r="C75" s="59"/>
      <c r="D75" s="31">
        <f>D31+D74</f>
        <v>3402.2799999999993</v>
      </c>
      <c r="E75" s="52"/>
    </row>
    <row r="76" spans="1:7" ht="12.75" customHeight="1" x14ac:dyDescent="0.35">
      <c r="A76" s="37"/>
      <c r="B76" s="20"/>
      <c r="C76" s="20"/>
      <c r="D76" s="60"/>
    </row>
    <row r="77" spans="1:7" ht="15.75" customHeight="1" x14ac:dyDescent="0.35">
      <c r="A77" s="211" t="s">
        <v>51</v>
      </c>
      <c r="B77" s="211"/>
      <c r="C77" s="61"/>
      <c r="D77" s="44">
        <v>4</v>
      </c>
    </row>
    <row r="78" spans="1:7" ht="15.75" customHeight="1" x14ac:dyDescent="0.35">
      <c r="A78" s="211" t="s">
        <v>58</v>
      </c>
      <c r="B78" s="211"/>
      <c r="C78" s="61"/>
      <c r="D78" s="45">
        <f>D75/D77</f>
        <v>850.56999999999982</v>
      </c>
      <c r="E78" s="52"/>
      <c r="G78" s="52"/>
    </row>
    <row r="79" spans="1:7" ht="9.75" customHeight="1" x14ac:dyDescent="0.35">
      <c r="A79" s="41"/>
      <c r="B79" s="42"/>
      <c r="C79" s="42"/>
    </row>
    <row r="80" spans="1:7" ht="15.75" customHeight="1" x14ac:dyDescent="0.35">
      <c r="A80" s="208" t="s">
        <v>52</v>
      </c>
      <c r="B80" s="208"/>
      <c r="C80" s="62"/>
      <c r="D80" s="40"/>
      <c r="E80" s="52"/>
    </row>
    <row r="81" spans="1:4" ht="15.75" customHeight="1" x14ac:dyDescent="0.35">
      <c r="A81" s="208" t="s">
        <v>74</v>
      </c>
      <c r="B81" s="208"/>
      <c r="C81" s="62"/>
      <c r="D81" s="40"/>
    </row>
    <row r="82" spans="1:4" ht="8.25" customHeight="1" x14ac:dyDescent="0.35">
      <c r="A82" s="17"/>
      <c r="B82" s="17"/>
      <c r="C82" s="17"/>
      <c r="D82" s="17"/>
    </row>
    <row r="83" spans="1:4" x14ac:dyDescent="0.35">
      <c r="A83" s="17" t="s">
        <v>53</v>
      </c>
      <c r="B83" s="17"/>
      <c r="C83" s="17"/>
      <c r="D83" s="48"/>
    </row>
    <row r="84" spans="1:4" x14ac:dyDescent="0.35">
      <c r="A84" s="17"/>
      <c r="B84" s="17"/>
      <c r="C84" s="17"/>
      <c r="D84" s="48"/>
    </row>
    <row r="85" spans="1:4" x14ac:dyDescent="0.35">
      <c r="A85" s="17" t="s">
        <v>68</v>
      </c>
      <c r="B85" s="18"/>
      <c r="C85" s="18"/>
      <c r="D85" s="17"/>
    </row>
    <row r="86" spans="1:4" x14ac:dyDescent="0.35">
      <c r="B86" s="63"/>
      <c r="C86" s="63"/>
      <c r="D86" s="64"/>
    </row>
    <row r="88" spans="1:4" x14ac:dyDescent="0.35">
      <c r="D88" s="52"/>
    </row>
  </sheetData>
  <mergeCells count="10">
    <mergeCell ref="A81:B81"/>
    <mergeCell ref="A9:B9"/>
    <mergeCell ref="A10:B10"/>
    <mergeCell ref="A80:B80"/>
    <mergeCell ref="B2:D2"/>
    <mergeCell ref="A7:D7"/>
    <mergeCell ref="B13:C13"/>
    <mergeCell ref="B14:D14"/>
    <mergeCell ref="A77:B77"/>
    <mergeCell ref="A78:B78"/>
  </mergeCells>
  <pageMargins left="0.97916666666666663" right="0.70866141732283472" top="0.74803149606299213" bottom="0.74803149606299213" header="0.31496062992125984" footer="0.31496062992125984"/>
  <pageSetup paperSize="9" scale="60" fitToHeight="0" orientation="portrait" r:id="rId1"/>
  <headerFooter>
    <oddFooter>&amp;F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8"/>
  <sheetViews>
    <sheetView view="pageLayout" topLeftCell="A43" zoomScale="90" zoomScaleNormal="100" zoomScalePageLayoutView="90" workbookViewId="0">
      <selection activeCell="B15" sqref="B15"/>
    </sheetView>
  </sheetViews>
  <sheetFormatPr defaultColWidth="9.1796875" defaultRowHeight="15.5" x14ac:dyDescent="0.35"/>
  <cols>
    <col min="1" max="1" width="19.453125" style="12" customWidth="1"/>
    <col min="2" max="2" width="84.453125" style="12" customWidth="1"/>
    <col min="3" max="3" width="10" style="12" hidden="1" customWidth="1"/>
    <col min="4" max="4" width="24.54296875" style="12" customWidth="1"/>
    <col min="5" max="5" width="12.26953125" style="12" customWidth="1"/>
    <col min="6" max="16384" width="9.1796875" style="12"/>
  </cols>
  <sheetData>
    <row r="1" spans="1:4" ht="15.75" customHeight="1" x14ac:dyDescent="0.35">
      <c r="B1" s="10"/>
      <c r="C1" s="10"/>
      <c r="D1" s="49" t="s">
        <v>50</v>
      </c>
    </row>
    <row r="2" spans="1:4" x14ac:dyDescent="0.35">
      <c r="B2" s="212" t="s">
        <v>54</v>
      </c>
      <c r="C2" s="212"/>
      <c r="D2" s="229"/>
    </row>
    <row r="3" spans="1:4" x14ac:dyDescent="0.35">
      <c r="B3" s="11"/>
      <c r="C3" s="11"/>
      <c r="D3" s="46" t="s">
        <v>76</v>
      </c>
    </row>
    <row r="4" spans="1:4" x14ac:dyDescent="0.35">
      <c r="B4" s="10"/>
      <c r="C4" s="10"/>
      <c r="D4" s="37"/>
    </row>
    <row r="5" spans="1:4" x14ac:dyDescent="0.35">
      <c r="B5" s="51"/>
      <c r="C5" s="51"/>
      <c r="D5" s="37" t="s">
        <v>193</v>
      </c>
    </row>
    <row r="6" spans="1:4" x14ac:dyDescent="0.35">
      <c r="D6" s="20"/>
    </row>
    <row r="7" spans="1:4" x14ac:dyDescent="0.35">
      <c r="A7" s="209" t="s">
        <v>10</v>
      </c>
      <c r="B7" s="209"/>
      <c r="C7" s="209"/>
      <c r="D7" s="209"/>
    </row>
    <row r="8" spans="1:4" x14ac:dyDescent="0.35">
      <c r="B8" s="53"/>
      <c r="C8" s="53"/>
      <c r="D8" s="20"/>
    </row>
    <row r="9" spans="1:4" x14ac:dyDescent="0.35">
      <c r="A9" s="210" t="s">
        <v>1</v>
      </c>
      <c r="B9" s="210"/>
      <c r="C9" s="9"/>
      <c r="D9" s="20"/>
    </row>
    <row r="10" spans="1:4" x14ac:dyDescent="0.35">
      <c r="A10" s="210" t="s">
        <v>0</v>
      </c>
      <c r="B10" s="210"/>
      <c r="C10" s="9"/>
      <c r="D10" s="20"/>
    </row>
    <row r="11" spans="1:4" x14ac:dyDescent="0.35">
      <c r="A11" s="9"/>
      <c r="B11" s="9" t="s">
        <v>47</v>
      </c>
      <c r="C11" s="9"/>
      <c r="D11" s="20"/>
    </row>
    <row r="12" spans="1:4" x14ac:dyDescent="0.35">
      <c r="A12" s="9"/>
      <c r="B12" s="9" t="s">
        <v>83</v>
      </c>
      <c r="C12" s="9"/>
      <c r="D12" s="20"/>
    </row>
    <row r="13" spans="1:4" x14ac:dyDescent="0.35">
      <c r="A13" s="9"/>
      <c r="B13" s="210" t="s">
        <v>84</v>
      </c>
      <c r="C13" s="210"/>
      <c r="D13" s="20"/>
    </row>
    <row r="14" spans="1:4" x14ac:dyDescent="0.35">
      <c r="A14" s="9"/>
      <c r="B14" s="210" t="s">
        <v>186</v>
      </c>
      <c r="C14" s="210"/>
      <c r="D14" s="210"/>
    </row>
    <row r="15" spans="1:4" x14ac:dyDescent="0.35">
      <c r="A15" s="9" t="s">
        <v>2</v>
      </c>
      <c r="B15" s="9" t="s">
        <v>191</v>
      </c>
      <c r="C15" s="9"/>
      <c r="D15" s="20"/>
    </row>
    <row r="16" spans="1:4" ht="69.75" customHeight="1" x14ac:dyDescent="0.35">
      <c r="A16" s="43" t="s">
        <v>3</v>
      </c>
      <c r="B16" s="43" t="s">
        <v>4</v>
      </c>
      <c r="C16" s="43"/>
      <c r="D16" s="43" t="s">
        <v>5</v>
      </c>
    </row>
    <row r="17" spans="1:8" x14ac:dyDescent="0.35">
      <c r="A17" s="22">
        <v>1</v>
      </c>
      <c r="B17" s="23">
        <v>2</v>
      </c>
      <c r="C17" s="23"/>
      <c r="D17" s="23">
        <v>3</v>
      </c>
    </row>
    <row r="18" spans="1:8" x14ac:dyDescent="0.35">
      <c r="A18" s="22"/>
      <c r="B18" s="54" t="s">
        <v>6</v>
      </c>
      <c r="C18" s="54"/>
      <c r="D18" s="55"/>
    </row>
    <row r="19" spans="1:8" x14ac:dyDescent="0.35">
      <c r="A19" s="27">
        <v>1100</v>
      </c>
      <c r="B19" s="27" t="s">
        <v>134</v>
      </c>
      <c r="C19" s="27"/>
      <c r="D19" s="28">
        <v>1139.1400000000001</v>
      </c>
      <c r="E19" s="52"/>
      <c r="F19" s="52"/>
      <c r="G19" s="52"/>
      <c r="H19" s="52"/>
    </row>
    <row r="20" spans="1:8" x14ac:dyDescent="0.35">
      <c r="A20" s="27">
        <v>1200</v>
      </c>
      <c r="B20" s="55" t="s">
        <v>135</v>
      </c>
      <c r="C20" s="55"/>
      <c r="D20" s="28">
        <v>268.72000000000003</v>
      </c>
      <c r="F20" s="52"/>
    </row>
    <row r="21" spans="1:8" x14ac:dyDescent="0.35">
      <c r="A21" s="27">
        <v>2222</v>
      </c>
      <c r="B21" s="56" t="s">
        <v>139</v>
      </c>
      <c r="C21" s="55"/>
      <c r="D21" s="28">
        <v>51.17</v>
      </c>
      <c r="E21" s="52"/>
    </row>
    <row r="22" spans="1:8" x14ac:dyDescent="0.35">
      <c r="A22" s="27">
        <v>2223</v>
      </c>
      <c r="B22" s="56" t="s">
        <v>140</v>
      </c>
      <c r="C22" s="55"/>
      <c r="D22" s="28">
        <v>37.25</v>
      </c>
    </row>
    <row r="23" spans="1:8" hidden="1" x14ac:dyDescent="0.35">
      <c r="A23" s="27">
        <v>2243</v>
      </c>
      <c r="B23" s="54" t="s">
        <v>147</v>
      </c>
      <c r="C23" s="55"/>
      <c r="D23" s="28">
        <v>0</v>
      </c>
    </row>
    <row r="24" spans="1:8" x14ac:dyDescent="0.35">
      <c r="A24" s="27">
        <v>2244</v>
      </c>
      <c r="B24" s="54" t="s">
        <v>148</v>
      </c>
      <c r="C24" s="55"/>
      <c r="D24" s="28">
        <v>42.4</v>
      </c>
    </row>
    <row r="25" spans="1:8" x14ac:dyDescent="0.35">
      <c r="A25" s="27">
        <v>2312</v>
      </c>
      <c r="B25" s="54" t="s">
        <v>156</v>
      </c>
      <c r="C25" s="55"/>
      <c r="D25" s="28">
        <v>12.51</v>
      </c>
    </row>
    <row r="26" spans="1:8" x14ac:dyDescent="0.35">
      <c r="A26" s="27">
        <v>2321</v>
      </c>
      <c r="B26" s="56" t="s">
        <v>158</v>
      </c>
      <c r="C26" s="55"/>
      <c r="D26" s="28">
        <v>57.81</v>
      </c>
    </row>
    <row r="27" spans="1:8" x14ac:dyDescent="0.35">
      <c r="A27" s="27">
        <v>2341</v>
      </c>
      <c r="B27" s="56" t="s">
        <v>136</v>
      </c>
      <c r="C27" s="55"/>
      <c r="D27" s="28">
        <v>103.95</v>
      </c>
    </row>
    <row r="28" spans="1:8" x14ac:dyDescent="0.35">
      <c r="A28" s="27">
        <v>2361</v>
      </c>
      <c r="B28" s="56" t="s">
        <v>170</v>
      </c>
      <c r="C28" s="55"/>
      <c r="D28" s="28">
        <f>56.25/5/5*10*4</f>
        <v>90</v>
      </c>
    </row>
    <row r="29" spans="1:8" x14ac:dyDescent="0.35">
      <c r="A29" s="27">
        <v>2363</v>
      </c>
      <c r="B29" s="56" t="s">
        <v>172</v>
      </c>
      <c r="C29" s="55"/>
      <c r="D29" s="28">
        <f>8.12*10*4</f>
        <v>324.79999999999995</v>
      </c>
    </row>
    <row r="30" spans="1:8" x14ac:dyDescent="0.35">
      <c r="A30" s="27">
        <v>5239</v>
      </c>
      <c r="B30" s="55" t="s">
        <v>165</v>
      </c>
      <c r="C30" s="55"/>
      <c r="D30" s="28">
        <v>14.31</v>
      </c>
    </row>
    <row r="31" spans="1:8" x14ac:dyDescent="0.35">
      <c r="A31" s="27"/>
      <c r="B31" s="57" t="s">
        <v>7</v>
      </c>
      <c r="C31" s="57"/>
      <c r="D31" s="31">
        <f>SUM(D19:D30)</f>
        <v>2142.06</v>
      </c>
      <c r="F31" s="52"/>
    </row>
    <row r="32" spans="1:8" x14ac:dyDescent="0.35">
      <c r="A32" s="32"/>
      <c r="B32" s="57" t="s">
        <v>8</v>
      </c>
      <c r="C32" s="57"/>
      <c r="D32" s="28"/>
      <c r="E32" s="52"/>
    </row>
    <row r="33" spans="1:5" x14ac:dyDescent="0.35">
      <c r="A33" s="27">
        <v>1100</v>
      </c>
      <c r="B33" s="54" t="s">
        <v>134</v>
      </c>
      <c r="C33" s="55">
        <f>0.388+0.024</f>
        <v>0.41200000000000003</v>
      </c>
      <c r="D33" s="28">
        <v>472.08</v>
      </c>
      <c r="E33" s="52"/>
    </row>
    <row r="34" spans="1:5" ht="16.5" customHeight="1" x14ac:dyDescent="0.35">
      <c r="A34" s="27">
        <v>1200</v>
      </c>
      <c r="B34" s="54" t="s">
        <v>135</v>
      </c>
      <c r="C34" s="55">
        <f>C33*0.2359</f>
        <v>9.7190800000000008E-2</v>
      </c>
      <c r="D34" s="28">
        <v>111.36</v>
      </c>
    </row>
    <row r="35" spans="1:5" ht="16.5" customHeight="1" x14ac:dyDescent="0.35">
      <c r="A35" s="27">
        <v>2100</v>
      </c>
      <c r="B35" s="33" t="s">
        <v>44</v>
      </c>
      <c r="C35" s="55">
        <v>1.1659999999999999E-3</v>
      </c>
      <c r="D35" s="28">
        <v>1.34</v>
      </c>
    </row>
    <row r="36" spans="1:5" x14ac:dyDescent="0.35">
      <c r="A36" s="34">
        <v>2210</v>
      </c>
      <c r="B36" s="56" t="s">
        <v>138</v>
      </c>
      <c r="C36" s="55">
        <v>7.6E-3</v>
      </c>
      <c r="D36" s="28">
        <v>8.7100000000000009</v>
      </c>
    </row>
    <row r="37" spans="1:5" x14ac:dyDescent="0.35">
      <c r="A37" s="27">
        <v>2222</v>
      </c>
      <c r="B37" s="56" t="s">
        <v>139</v>
      </c>
      <c r="C37" s="55">
        <v>9.4999999999999998E-3</v>
      </c>
      <c r="D37" s="28">
        <v>10.89</v>
      </c>
    </row>
    <row r="38" spans="1:5" x14ac:dyDescent="0.35">
      <c r="A38" s="27">
        <v>2223</v>
      </c>
      <c r="B38" s="56" t="s">
        <v>140</v>
      </c>
      <c r="C38" s="55">
        <v>1.9019999999999999E-2</v>
      </c>
      <c r="D38" s="28">
        <v>21.79</v>
      </c>
    </row>
    <row r="39" spans="1:5" ht="31" x14ac:dyDescent="0.35">
      <c r="A39" s="27">
        <v>2224</v>
      </c>
      <c r="B39" s="56" t="s">
        <v>141</v>
      </c>
      <c r="C39" s="55">
        <v>4.9500000000000004E-3</v>
      </c>
      <c r="D39" s="28">
        <v>5.67</v>
      </c>
    </row>
    <row r="40" spans="1:5" ht="15.75" customHeight="1" x14ac:dyDescent="0.35">
      <c r="A40" s="27">
        <v>2231</v>
      </c>
      <c r="B40" s="54" t="s">
        <v>142</v>
      </c>
      <c r="C40" s="55">
        <v>1.5499999999999999E-3</v>
      </c>
      <c r="D40" s="28">
        <v>1.78</v>
      </c>
    </row>
    <row r="41" spans="1:5" ht="15.75" customHeight="1" x14ac:dyDescent="0.35">
      <c r="A41" s="27">
        <v>2235</v>
      </c>
      <c r="B41" s="58" t="s">
        <v>143</v>
      </c>
      <c r="C41" s="55">
        <v>1.65E-3</v>
      </c>
      <c r="D41" s="28">
        <v>1.89</v>
      </c>
    </row>
    <row r="42" spans="1:5" x14ac:dyDescent="0.35">
      <c r="A42" s="27">
        <v>2239</v>
      </c>
      <c r="B42" s="54" t="s">
        <v>144</v>
      </c>
      <c r="C42" s="55">
        <v>4.4099999999999999E-3</v>
      </c>
      <c r="D42" s="28">
        <v>5.05</v>
      </c>
    </row>
    <row r="43" spans="1:5" x14ac:dyDescent="0.35">
      <c r="A43" s="27">
        <v>2241</v>
      </c>
      <c r="B43" s="54" t="s">
        <v>145</v>
      </c>
      <c r="C43" s="55">
        <v>1.6500000000000001E-2</v>
      </c>
      <c r="D43" s="28">
        <v>18.91</v>
      </c>
    </row>
    <row r="44" spans="1:5" x14ac:dyDescent="0.35">
      <c r="A44" s="27">
        <v>2242</v>
      </c>
      <c r="B44" s="56" t="s">
        <v>146</v>
      </c>
      <c r="C44" s="55">
        <v>2.2599999999999999E-3</v>
      </c>
      <c r="D44" s="28">
        <v>2.59</v>
      </c>
    </row>
    <row r="45" spans="1:5" ht="15.75" customHeight="1" x14ac:dyDescent="0.35">
      <c r="A45" s="27">
        <v>2243</v>
      </c>
      <c r="B45" s="54" t="s">
        <v>147</v>
      </c>
      <c r="C45" s="55">
        <v>3.2599999999999997E-2</v>
      </c>
      <c r="D45" s="28">
        <v>37.35</v>
      </c>
    </row>
    <row r="46" spans="1:5" x14ac:dyDescent="0.35">
      <c r="A46" s="27">
        <v>2244</v>
      </c>
      <c r="B46" s="54" t="s">
        <v>148</v>
      </c>
      <c r="C46" s="55">
        <v>0.20397000000000001</v>
      </c>
      <c r="D46" s="28">
        <v>233.71</v>
      </c>
    </row>
    <row r="47" spans="1:5" x14ac:dyDescent="0.35">
      <c r="A47" s="27">
        <v>2247</v>
      </c>
      <c r="B47" s="54" t="s">
        <v>149</v>
      </c>
      <c r="C47" s="55">
        <v>7.1900000000000002E-4</v>
      </c>
      <c r="D47" s="28">
        <v>0.82</v>
      </c>
    </row>
    <row r="48" spans="1:5" x14ac:dyDescent="0.35">
      <c r="A48" s="27">
        <v>2249</v>
      </c>
      <c r="B48" s="54" t="s">
        <v>150</v>
      </c>
      <c r="C48" s="55">
        <v>2.32E-4</v>
      </c>
      <c r="D48" s="28">
        <v>0.27</v>
      </c>
    </row>
    <row r="49" spans="1:4" x14ac:dyDescent="0.35">
      <c r="A49" s="27">
        <v>2250</v>
      </c>
      <c r="B49" s="54" t="s">
        <v>151</v>
      </c>
      <c r="C49" s="55">
        <v>2.4025999999999999E-2</v>
      </c>
      <c r="D49" s="28">
        <v>27.53</v>
      </c>
    </row>
    <row r="50" spans="1:4" hidden="1" x14ac:dyDescent="0.35">
      <c r="A50" s="27">
        <v>2261</v>
      </c>
      <c r="B50" s="56" t="s">
        <v>169</v>
      </c>
      <c r="C50" s="55">
        <v>0</v>
      </c>
      <c r="D50" s="28">
        <f>C50*1145.82</f>
        <v>0</v>
      </c>
    </row>
    <row r="51" spans="1:4" x14ac:dyDescent="0.35">
      <c r="A51" s="27">
        <v>2262</v>
      </c>
      <c r="B51" s="56" t="s">
        <v>152</v>
      </c>
      <c r="C51" s="55">
        <v>6.2599999999999999E-3</v>
      </c>
      <c r="D51" s="28">
        <v>7.17</v>
      </c>
    </row>
    <row r="52" spans="1:4" x14ac:dyDescent="0.35">
      <c r="A52" s="27">
        <v>2263</v>
      </c>
      <c r="B52" s="56" t="s">
        <v>153</v>
      </c>
      <c r="C52" s="55">
        <v>4.58E-2</v>
      </c>
      <c r="D52" s="28">
        <v>52.48</v>
      </c>
    </row>
    <row r="53" spans="1:4" x14ac:dyDescent="0.35">
      <c r="A53" s="27">
        <v>2264</v>
      </c>
      <c r="B53" s="54" t="s">
        <v>154</v>
      </c>
      <c r="C53" s="55">
        <v>1.49E-3</v>
      </c>
      <c r="D53" s="28">
        <v>1.71</v>
      </c>
    </row>
    <row r="54" spans="1:4" x14ac:dyDescent="0.35">
      <c r="A54" s="27">
        <v>2311</v>
      </c>
      <c r="B54" s="56" t="s">
        <v>155</v>
      </c>
      <c r="C54" s="55">
        <v>4.7699999999999999E-3</v>
      </c>
      <c r="D54" s="28">
        <v>5.47</v>
      </c>
    </row>
    <row r="55" spans="1:4" x14ac:dyDescent="0.35">
      <c r="A55" s="27">
        <v>2312</v>
      </c>
      <c r="B55" s="56" t="s">
        <v>156</v>
      </c>
      <c r="C55" s="55">
        <v>5.79E-3</v>
      </c>
      <c r="D55" s="28">
        <v>6.63</v>
      </c>
    </row>
    <row r="56" spans="1:4" x14ac:dyDescent="0.35">
      <c r="A56" s="27">
        <v>2314</v>
      </c>
      <c r="B56" s="58" t="s">
        <v>157</v>
      </c>
      <c r="C56" s="55">
        <v>2.2200000000000002E-3</v>
      </c>
      <c r="D56" s="28">
        <v>2.54</v>
      </c>
    </row>
    <row r="57" spans="1:4" x14ac:dyDescent="0.35">
      <c r="A57" s="27">
        <v>2321</v>
      </c>
      <c r="B57" s="56" t="s">
        <v>158</v>
      </c>
      <c r="C57" s="55">
        <v>1.9800000000000002E-2</v>
      </c>
      <c r="D57" s="28">
        <v>22.69</v>
      </c>
    </row>
    <row r="58" spans="1:4" x14ac:dyDescent="0.35">
      <c r="A58" s="27">
        <v>2322</v>
      </c>
      <c r="B58" s="56" t="s">
        <v>159</v>
      </c>
      <c r="C58" s="55">
        <v>3.5000000000000001E-3</v>
      </c>
      <c r="D58" s="28">
        <v>4.01</v>
      </c>
    </row>
    <row r="59" spans="1:4" hidden="1" x14ac:dyDescent="0.35">
      <c r="A59" s="27">
        <v>2341</v>
      </c>
      <c r="B59" s="56" t="s">
        <v>136</v>
      </c>
      <c r="C59" s="55"/>
      <c r="D59" s="28">
        <f>C59*1145.82</f>
        <v>0</v>
      </c>
    </row>
    <row r="60" spans="1:4" x14ac:dyDescent="0.35">
      <c r="A60" s="27">
        <v>2350</v>
      </c>
      <c r="B60" s="55" t="s">
        <v>137</v>
      </c>
      <c r="C60" s="55">
        <v>8.5000000000000006E-3</v>
      </c>
      <c r="D60" s="28">
        <v>9.74</v>
      </c>
    </row>
    <row r="61" spans="1:4" hidden="1" x14ac:dyDescent="0.35">
      <c r="A61" s="27">
        <v>2361</v>
      </c>
      <c r="B61" s="56" t="s">
        <v>170</v>
      </c>
      <c r="C61" s="55">
        <v>0</v>
      </c>
      <c r="D61" s="28">
        <f t="shared" ref="D61:D66" si="0">C61*1145.82</f>
        <v>0</v>
      </c>
    </row>
    <row r="62" spans="1:4" hidden="1" x14ac:dyDescent="0.35">
      <c r="A62" s="27">
        <v>2362</v>
      </c>
      <c r="B62" s="56" t="s">
        <v>171</v>
      </c>
      <c r="C62" s="55">
        <v>0</v>
      </c>
      <c r="D62" s="28">
        <f t="shared" si="0"/>
        <v>0</v>
      </c>
    </row>
    <row r="63" spans="1:4" hidden="1" x14ac:dyDescent="0.35">
      <c r="A63" s="27">
        <v>2363</v>
      </c>
      <c r="B63" s="56" t="s">
        <v>172</v>
      </c>
      <c r="C63" s="55">
        <v>0</v>
      </c>
      <c r="D63" s="28">
        <f t="shared" si="0"/>
        <v>0</v>
      </c>
    </row>
    <row r="64" spans="1:4" hidden="1" x14ac:dyDescent="0.35">
      <c r="A64" s="27">
        <v>2370</v>
      </c>
      <c r="B64" s="56" t="s">
        <v>173</v>
      </c>
      <c r="C64" s="55">
        <v>0</v>
      </c>
      <c r="D64" s="28">
        <f t="shared" si="0"/>
        <v>0</v>
      </c>
    </row>
    <row r="65" spans="1:7" hidden="1" x14ac:dyDescent="0.35">
      <c r="A65" s="27">
        <v>2400</v>
      </c>
      <c r="B65" s="56" t="s">
        <v>174</v>
      </c>
      <c r="C65" s="55">
        <v>0</v>
      </c>
      <c r="D65" s="28">
        <f t="shared" si="0"/>
        <v>0</v>
      </c>
    </row>
    <row r="66" spans="1:7" hidden="1" x14ac:dyDescent="0.35">
      <c r="A66" s="27">
        <v>2512</v>
      </c>
      <c r="B66" s="56" t="s">
        <v>175</v>
      </c>
      <c r="C66" s="55">
        <v>0</v>
      </c>
      <c r="D66" s="28">
        <f t="shared" si="0"/>
        <v>0</v>
      </c>
    </row>
    <row r="67" spans="1:7" ht="15.75" customHeight="1" x14ac:dyDescent="0.35">
      <c r="A67" s="27">
        <v>2513</v>
      </c>
      <c r="B67" s="55" t="s">
        <v>160</v>
      </c>
      <c r="C67" s="55">
        <v>1.4599999999999999E-3</v>
      </c>
      <c r="D67" s="28">
        <v>1.67</v>
      </c>
    </row>
    <row r="68" spans="1:7" x14ac:dyDescent="0.35">
      <c r="A68" s="27">
        <v>2515</v>
      </c>
      <c r="B68" s="56" t="s">
        <v>161</v>
      </c>
      <c r="C68" s="55">
        <v>1.9E-3</v>
      </c>
      <c r="D68" s="28">
        <v>2.1800000000000002</v>
      </c>
    </row>
    <row r="69" spans="1:7" x14ac:dyDescent="0.35">
      <c r="A69" s="27">
        <v>2519</v>
      </c>
      <c r="B69" s="56" t="s">
        <v>162</v>
      </c>
      <c r="C69" s="55">
        <v>2E-3</v>
      </c>
      <c r="D69" s="28">
        <v>2.29</v>
      </c>
    </row>
    <row r="70" spans="1:7" x14ac:dyDescent="0.35">
      <c r="A70" s="27">
        <v>5220</v>
      </c>
      <c r="B70" s="56" t="s">
        <v>163</v>
      </c>
      <c r="C70" s="55">
        <v>1.06E-2</v>
      </c>
      <c r="D70" s="28">
        <v>12.15</v>
      </c>
    </row>
    <row r="71" spans="1:7" x14ac:dyDescent="0.35">
      <c r="A71" s="27">
        <v>5238</v>
      </c>
      <c r="B71" s="55" t="s">
        <v>164</v>
      </c>
      <c r="C71" s="55">
        <v>1.65E-3</v>
      </c>
      <c r="D71" s="28">
        <v>2.0099999999999998</v>
      </c>
    </row>
    <row r="72" spans="1:7" x14ac:dyDescent="0.35">
      <c r="A72" s="27">
        <v>5239</v>
      </c>
      <c r="B72" s="55" t="s">
        <v>165</v>
      </c>
      <c r="C72" s="55">
        <v>1.9800000000000002E-2</v>
      </c>
      <c r="D72" s="28">
        <v>22.69</v>
      </c>
    </row>
    <row r="73" spans="1:7" x14ac:dyDescent="0.35">
      <c r="A73" s="27">
        <v>5250</v>
      </c>
      <c r="B73" s="56" t="s">
        <v>166</v>
      </c>
      <c r="C73" s="55">
        <v>2.5000000000000001E-2</v>
      </c>
      <c r="D73" s="28">
        <v>28.65</v>
      </c>
    </row>
    <row r="74" spans="1:7" x14ac:dyDescent="0.35">
      <c r="A74" s="32"/>
      <c r="B74" s="59" t="s">
        <v>167</v>
      </c>
      <c r="C74" s="55">
        <f>SUM(C33:C73)</f>
        <v>0.99988380000000032</v>
      </c>
      <c r="D74" s="31">
        <f>SUM(D33:D73)</f>
        <v>1145.8200000000004</v>
      </c>
    </row>
    <row r="75" spans="1:7" x14ac:dyDescent="0.35">
      <c r="A75" s="32"/>
      <c r="B75" s="59" t="s">
        <v>168</v>
      </c>
      <c r="C75" s="59"/>
      <c r="D75" s="31">
        <f>D31+D74</f>
        <v>3287.88</v>
      </c>
      <c r="E75" s="52"/>
    </row>
    <row r="76" spans="1:7" ht="12.75" customHeight="1" x14ac:dyDescent="0.35">
      <c r="A76" s="37"/>
      <c r="B76" s="20"/>
      <c r="C76" s="20"/>
      <c r="D76" s="60"/>
    </row>
    <row r="77" spans="1:7" ht="15.75" customHeight="1" x14ac:dyDescent="0.35">
      <c r="A77" s="211" t="s">
        <v>51</v>
      </c>
      <c r="B77" s="211"/>
      <c r="C77" s="61"/>
      <c r="D77" s="44">
        <v>4</v>
      </c>
    </row>
    <row r="78" spans="1:7" ht="15.75" customHeight="1" x14ac:dyDescent="0.35">
      <c r="A78" s="211" t="s">
        <v>58</v>
      </c>
      <c r="B78" s="211"/>
      <c r="C78" s="61"/>
      <c r="D78" s="45">
        <f>D75/D77</f>
        <v>821.97</v>
      </c>
      <c r="E78" s="52"/>
      <c r="G78" s="52"/>
    </row>
    <row r="79" spans="1:7" ht="9.75" customHeight="1" x14ac:dyDescent="0.35">
      <c r="A79" s="41"/>
      <c r="B79" s="42"/>
      <c r="C79" s="42"/>
    </row>
    <row r="80" spans="1:7" ht="15.75" customHeight="1" x14ac:dyDescent="0.35">
      <c r="A80" s="208" t="s">
        <v>52</v>
      </c>
      <c r="B80" s="208"/>
      <c r="C80" s="62"/>
      <c r="D80" s="40"/>
      <c r="E80" s="52"/>
    </row>
    <row r="81" spans="1:4" ht="15.75" customHeight="1" x14ac:dyDescent="0.35">
      <c r="A81" s="208" t="s">
        <v>74</v>
      </c>
      <c r="B81" s="208"/>
      <c r="C81" s="62"/>
      <c r="D81" s="40"/>
    </row>
    <row r="82" spans="1:4" ht="8.25" customHeight="1" x14ac:dyDescent="0.35">
      <c r="A82" s="17"/>
      <c r="B82" s="17"/>
      <c r="C82" s="17"/>
      <c r="D82" s="17"/>
    </row>
    <row r="83" spans="1:4" x14ac:dyDescent="0.35">
      <c r="A83" s="17" t="s">
        <v>53</v>
      </c>
      <c r="B83" s="17"/>
      <c r="C83" s="17"/>
      <c r="D83" s="48"/>
    </row>
    <row r="84" spans="1:4" x14ac:dyDescent="0.35">
      <c r="A84" s="17"/>
      <c r="B84" s="17"/>
      <c r="C84" s="17"/>
      <c r="D84" s="48"/>
    </row>
    <row r="85" spans="1:4" x14ac:dyDescent="0.35">
      <c r="A85" s="17" t="s">
        <v>68</v>
      </c>
      <c r="B85" s="18"/>
      <c r="C85" s="18"/>
      <c r="D85" s="17"/>
    </row>
    <row r="86" spans="1:4" x14ac:dyDescent="0.35">
      <c r="B86" s="63"/>
      <c r="C86" s="63"/>
      <c r="D86" s="64"/>
    </row>
    <row r="88" spans="1:4" x14ac:dyDescent="0.35">
      <c r="D88" s="52"/>
    </row>
  </sheetData>
  <mergeCells count="10">
    <mergeCell ref="A81:B81"/>
    <mergeCell ref="A9:B9"/>
    <mergeCell ref="A10:B10"/>
    <mergeCell ref="A80:B80"/>
    <mergeCell ref="B2:D2"/>
    <mergeCell ref="A7:D7"/>
    <mergeCell ref="B13:C13"/>
    <mergeCell ref="B14:D14"/>
    <mergeCell ref="A77:B77"/>
    <mergeCell ref="A78:B78"/>
  </mergeCells>
  <pageMargins left="0.98136574074074079" right="0.70866141732283472" top="0.74803149606299213" bottom="0.55118110236220474" header="0.31496062992125984" footer="0.31496062992125984"/>
  <pageSetup paperSize="9" scale="61" orientation="portrait" r:id="rId1"/>
  <headerFooter>
    <oddFooter>&amp;F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8"/>
  <sheetViews>
    <sheetView view="pageLayout" zoomScale="90" zoomScaleNormal="100" zoomScalePageLayoutView="90" workbookViewId="0">
      <selection activeCell="A9" sqref="A9:B9"/>
    </sheetView>
  </sheetViews>
  <sheetFormatPr defaultColWidth="9.1796875" defaultRowHeight="15.5" x14ac:dyDescent="0.35"/>
  <cols>
    <col min="1" max="1" width="17.1796875" style="12" customWidth="1"/>
    <col min="2" max="2" width="83.54296875" style="12" customWidth="1"/>
    <col min="3" max="3" width="10" style="12" hidden="1" customWidth="1"/>
    <col min="4" max="4" width="25.54296875" style="12" customWidth="1"/>
    <col min="5" max="5" width="12.26953125" style="12" customWidth="1"/>
    <col min="6" max="16384" width="9.1796875" style="12"/>
  </cols>
  <sheetData>
    <row r="1" spans="1:4" ht="15.75" customHeight="1" x14ac:dyDescent="0.35">
      <c r="B1" s="10"/>
      <c r="C1" s="10"/>
      <c r="D1" s="49" t="s">
        <v>50</v>
      </c>
    </row>
    <row r="2" spans="1:4" x14ac:dyDescent="0.35">
      <c r="B2" s="212" t="s">
        <v>54</v>
      </c>
      <c r="C2" s="212"/>
      <c r="D2" s="229"/>
    </row>
    <row r="3" spans="1:4" x14ac:dyDescent="0.35">
      <c r="B3" s="11"/>
      <c r="C3" s="11"/>
      <c r="D3" s="46" t="s">
        <v>76</v>
      </c>
    </row>
    <row r="4" spans="1:4" x14ac:dyDescent="0.35">
      <c r="B4" s="10"/>
      <c r="C4" s="10"/>
      <c r="D4" s="37"/>
    </row>
    <row r="5" spans="1:4" x14ac:dyDescent="0.35">
      <c r="B5" s="51"/>
      <c r="C5" s="51"/>
      <c r="D5" s="37" t="s">
        <v>193</v>
      </c>
    </row>
    <row r="6" spans="1:4" x14ac:dyDescent="0.35">
      <c r="D6" s="20"/>
    </row>
    <row r="7" spans="1:4" x14ac:dyDescent="0.35">
      <c r="A7" s="209" t="s">
        <v>10</v>
      </c>
      <c r="B7" s="209"/>
      <c r="C7" s="209"/>
      <c r="D7" s="209"/>
    </row>
    <row r="8" spans="1:4" x14ac:dyDescent="0.35">
      <c r="B8" s="53"/>
      <c r="C8" s="53"/>
      <c r="D8" s="20"/>
    </row>
    <row r="9" spans="1:4" x14ac:dyDescent="0.35">
      <c r="A9" s="210" t="s">
        <v>1</v>
      </c>
      <c r="B9" s="210"/>
      <c r="C9" s="9"/>
      <c r="D9" s="20"/>
    </row>
    <row r="10" spans="1:4" x14ac:dyDescent="0.35">
      <c r="A10" s="210" t="s">
        <v>0</v>
      </c>
      <c r="B10" s="210"/>
      <c r="C10" s="9"/>
      <c r="D10" s="20"/>
    </row>
    <row r="11" spans="1:4" x14ac:dyDescent="0.35">
      <c r="A11" s="9"/>
      <c r="B11" s="9" t="s">
        <v>47</v>
      </c>
      <c r="C11" s="9"/>
      <c r="D11" s="20"/>
    </row>
    <row r="12" spans="1:4" x14ac:dyDescent="0.35">
      <c r="A12" s="9"/>
      <c r="B12" s="9" t="s">
        <v>83</v>
      </c>
      <c r="C12" s="9"/>
      <c r="D12" s="20"/>
    </row>
    <row r="13" spans="1:4" x14ac:dyDescent="0.35">
      <c r="A13" s="9"/>
      <c r="B13" s="210" t="s">
        <v>84</v>
      </c>
      <c r="C13" s="210"/>
      <c r="D13" s="20"/>
    </row>
    <row r="14" spans="1:4" x14ac:dyDescent="0.35">
      <c r="A14" s="9"/>
      <c r="B14" s="210" t="s">
        <v>189</v>
      </c>
      <c r="C14" s="210"/>
      <c r="D14" s="210"/>
    </row>
    <row r="15" spans="1:4" x14ac:dyDescent="0.35">
      <c r="A15" s="9" t="s">
        <v>2</v>
      </c>
      <c r="B15" s="9" t="s">
        <v>191</v>
      </c>
      <c r="C15" s="9"/>
      <c r="D15" s="20"/>
    </row>
    <row r="16" spans="1:4" ht="69.75" customHeight="1" x14ac:dyDescent="0.35">
      <c r="A16" s="43" t="s">
        <v>3</v>
      </c>
      <c r="B16" s="43" t="s">
        <v>4</v>
      </c>
      <c r="C16" s="43"/>
      <c r="D16" s="43" t="s">
        <v>5</v>
      </c>
    </row>
    <row r="17" spans="1:8" x14ac:dyDescent="0.35">
      <c r="A17" s="22">
        <v>1</v>
      </c>
      <c r="B17" s="23">
        <v>2</v>
      </c>
      <c r="C17" s="23"/>
      <c r="D17" s="23">
        <v>3</v>
      </c>
    </row>
    <row r="18" spans="1:8" x14ac:dyDescent="0.35">
      <c r="A18" s="22"/>
      <c r="B18" s="54" t="s">
        <v>6</v>
      </c>
      <c r="C18" s="54"/>
      <c r="D18" s="55"/>
    </row>
    <row r="19" spans="1:8" x14ac:dyDescent="0.35">
      <c r="A19" s="27">
        <v>1100</v>
      </c>
      <c r="B19" s="27" t="s">
        <v>134</v>
      </c>
      <c r="C19" s="27"/>
      <c r="D19" s="28">
        <v>461.78</v>
      </c>
      <c r="E19" s="52"/>
      <c r="F19" s="52"/>
      <c r="G19" s="52"/>
      <c r="H19" s="52"/>
    </row>
    <row r="20" spans="1:8" x14ac:dyDescent="0.35">
      <c r="A20" s="27">
        <v>1200</v>
      </c>
      <c r="B20" s="55" t="s">
        <v>135</v>
      </c>
      <c r="C20" s="55"/>
      <c r="D20" s="28">
        <v>108.93</v>
      </c>
      <c r="F20" s="52"/>
    </row>
    <row r="21" spans="1:8" x14ac:dyDescent="0.35">
      <c r="A21" s="27">
        <v>2222</v>
      </c>
      <c r="B21" s="56" t="s">
        <v>139</v>
      </c>
      <c r="C21" s="55"/>
      <c r="D21" s="28">
        <v>27.3</v>
      </c>
      <c r="E21" s="52"/>
    </row>
    <row r="22" spans="1:8" x14ac:dyDescent="0.35">
      <c r="A22" s="27">
        <v>2223</v>
      </c>
      <c r="B22" s="56" t="s">
        <v>140</v>
      </c>
      <c r="C22" s="55"/>
      <c r="D22" s="28">
        <v>17.37</v>
      </c>
    </row>
    <row r="23" spans="1:8" hidden="1" x14ac:dyDescent="0.35">
      <c r="A23" s="27">
        <v>2243</v>
      </c>
      <c r="B23" s="54" t="s">
        <v>147</v>
      </c>
      <c r="C23" s="55"/>
      <c r="D23" s="28">
        <v>0</v>
      </c>
    </row>
    <row r="24" spans="1:8" x14ac:dyDescent="0.35">
      <c r="A24" s="27">
        <v>2244</v>
      </c>
      <c r="B24" s="54" t="s">
        <v>148</v>
      </c>
      <c r="C24" s="55"/>
      <c r="D24" s="28">
        <v>22.26</v>
      </c>
    </row>
    <row r="25" spans="1:8" x14ac:dyDescent="0.35">
      <c r="A25" s="27">
        <v>2312</v>
      </c>
      <c r="B25" s="54" t="s">
        <v>156</v>
      </c>
      <c r="C25" s="55"/>
      <c r="D25" s="28">
        <v>5.54</v>
      </c>
    </row>
    <row r="26" spans="1:8" x14ac:dyDescent="0.35">
      <c r="A26" s="27">
        <v>2321</v>
      </c>
      <c r="B26" s="56" t="s">
        <v>158</v>
      </c>
      <c r="C26" s="55"/>
      <c r="D26" s="28">
        <v>26.96</v>
      </c>
    </row>
    <row r="27" spans="1:8" x14ac:dyDescent="0.35">
      <c r="A27" s="27">
        <v>2341</v>
      </c>
      <c r="B27" s="56" t="s">
        <v>136</v>
      </c>
      <c r="C27" s="55"/>
      <c r="D27" s="28">
        <v>44.1</v>
      </c>
    </row>
    <row r="28" spans="1:8" x14ac:dyDescent="0.35">
      <c r="A28" s="27">
        <v>2361</v>
      </c>
      <c r="B28" s="56" t="s">
        <v>170</v>
      </c>
      <c r="C28" s="55"/>
      <c r="D28" s="28">
        <f>56.25/5/5*3*5</f>
        <v>33.75</v>
      </c>
    </row>
    <row r="29" spans="1:8" x14ac:dyDescent="0.35">
      <c r="A29" s="27">
        <v>2363</v>
      </c>
      <c r="B29" s="56" t="s">
        <v>172</v>
      </c>
      <c r="C29" s="55"/>
      <c r="D29" s="28">
        <f>8.12*3*5</f>
        <v>121.8</v>
      </c>
    </row>
    <row r="30" spans="1:8" x14ac:dyDescent="0.35">
      <c r="A30" s="27">
        <v>5239</v>
      </c>
      <c r="B30" s="55" t="s">
        <v>165</v>
      </c>
      <c r="C30" s="55"/>
      <c r="D30" s="28">
        <v>6.67</v>
      </c>
    </row>
    <row r="31" spans="1:8" x14ac:dyDescent="0.35">
      <c r="A31" s="27"/>
      <c r="B31" s="57" t="s">
        <v>7</v>
      </c>
      <c r="C31" s="57"/>
      <c r="D31" s="31">
        <f>SUM(D19:D30)</f>
        <v>876.45999999999992</v>
      </c>
      <c r="F31" s="52"/>
    </row>
    <row r="32" spans="1:8" x14ac:dyDescent="0.35">
      <c r="A32" s="32"/>
      <c r="B32" s="57" t="s">
        <v>8</v>
      </c>
      <c r="C32" s="70"/>
      <c r="D32" s="28"/>
      <c r="E32" s="52"/>
    </row>
    <row r="33" spans="1:5" x14ac:dyDescent="0.35">
      <c r="A33" s="27">
        <v>1100</v>
      </c>
      <c r="B33" s="54" t="s">
        <v>134</v>
      </c>
      <c r="C33" s="55">
        <f>0.388+0.024</f>
        <v>0.41200000000000003</v>
      </c>
      <c r="D33" s="28">
        <v>248.82</v>
      </c>
      <c r="E33" s="52"/>
    </row>
    <row r="34" spans="1:5" ht="16.5" customHeight="1" x14ac:dyDescent="0.35">
      <c r="A34" s="27">
        <v>1200</v>
      </c>
      <c r="B34" s="54" t="s">
        <v>135</v>
      </c>
      <c r="C34" s="55">
        <f>C33*0.2359</f>
        <v>9.7190800000000008E-2</v>
      </c>
      <c r="D34" s="28">
        <v>58.7</v>
      </c>
    </row>
    <row r="35" spans="1:5" ht="16.5" customHeight="1" x14ac:dyDescent="0.35">
      <c r="A35" s="27">
        <v>2100</v>
      </c>
      <c r="B35" s="33" t="s">
        <v>44</v>
      </c>
      <c r="C35" s="55">
        <v>1.1659999999999999E-3</v>
      </c>
      <c r="D35" s="28">
        <v>0.7</v>
      </c>
    </row>
    <row r="36" spans="1:5" x14ac:dyDescent="0.35">
      <c r="A36" s="34">
        <v>2210</v>
      </c>
      <c r="B36" s="56" t="s">
        <v>138</v>
      </c>
      <c r="C36" s="55">
        <v>7.6E-3</v>
      </c>
      <c r="D36" s="28">
        <v>4.59</v>
      </c>
    </row>
    <row r="37" spans="1:5" x14ac:dyDescent="0.35">
      <c r="A37" s="27">
        <v>2222</v>
      </c>
      <c r="B37" s="56" t="s">
        <v>139</v>
      </c>
      <c r="C37" s="55">
        <v>9.4999999999999998E-3</v>
      </c>
      <c r="D37" s="28">
        <v>5.74</v>
      </c>
    </row>
    <row r="38" spans="1:5" x14ac:dyDescent="0.35">
      <c r="A38" s="27">
        <v>2223</v>
      </c>
      <c r="B38" s="56" t="s">
        <v>140</v>
      </c>
      <c r="C38" s="55">
        <v>1.9019999999999999E-2</v>
      </c>
      <c r="D38" s="28">
        <v>11.49</v>
      </c>
    </row>
    <row r="39" spans="1:5" ht="31" x14ac:dyDescent="0.35">
      <c r="A39" s="27">
        <v>2224</v>
      </c>
      <c r="B39" s="56" t="s">
        <v>141</v>
      </c>
      <c r="C39" s="55">
        <v>4.9500000000000004E-3</v>
      </c>
      <c r="D39" s="28">
        <v>2.99</v>
      </c>
    </row>
    <row r="40" spans="1:5" ht="15.75" customHeight="1" x14ac:dyDescent="0.35">
      <c r="A40" s="27">
        <v>2231</v>
      </c>
      <c r="B40" s="54" t="s">
        <v>142</v>
      </c>
      <c r="C40" s="55">
        <v>1.5499999999999999E-3</v>
      </c>
      <c r="D40" s="28">
        <v>0.94</v>
      </c>
    </row>
    <row r="41" spans="1:5" ht="15.75" customHeight="1" x14ac:dyDescent="0.35">
      <c r="A41" s="27">
        <v>2235</v>
      </c>
      <c r="B41" s="58" t="s">
        <v>143</v>
      </c>
      <c r="C41" s="55">
        <v>1.65E-3</v>
      </c>
      <c r="D41" s="28">
        <v>1</v>
      </c>
    </row>
    <row r="42" spans="1:5" x14ac:dyDescent="0.35">
      <c r="A42" s="27">
        <v>2239</v>
      </c>
      <c r="B42" s="54" t="s">
        <v>144</v>
      </c>
      <c r="C42" s="55">
        <v>4.4099999999999999E-3</v>
      </c>
      <c r="D42" s="28">
        <v>2.66</v>
      </c>
    </row>
    <row r="43" spans="1:5" x14ac:dyDescent="0.35">
      <c r="A43" s="27">
        <v>2241</v>
      </c>
      <c r="B43" s="54" t="s">
        <v>145</v>
      </c>
      <c r="C43" s="55">
        <v>1.6500000000000001E-2</v>
      </c>
      <c r="D43" s="28">
        <v>9.9700000000000006</v>
      </c>
    </row>
    <row r="44" spans="1:5" x14ac:dyDescent="0.35">
      <c r="A44" s="27">
        <v>2242</v>
      </c>
      <c r="B44" s="56" t="s">
        <v>146</v>
      </c>
      <c r="C44" s="55">
        <v>2.2599999999999999E-3</v>
      </c>
      <c r="D44" s="28">
        <v>1.36</v>
      </c>
    </row>
    <row r="45" spans="1:5" ht="15.75" customHeight="1" x14ac:dyDescent="0.35">
      <c r="A45" s="27">
        <v>2243</v>
      </c>
      <c r="B45" s="54" t="s">
        <v>147</v>
      </c>
      <c r="C45" s="55">
        <v>3.2599999999999997E-2</v>
      </c>
      <c r="D45" s="28">
        <v>19.690000000000001</v>
      </c>
    </row>
    <row r="46" spans="1:5" x14ac:dyDescent="0.35">
      <c r="A46" s="27">
        <v>2244</v>
      </c>
      <c r="B46" s="54" t="s">
        <v>148</v>
      </c>
      <c r="C46" s="55">
        <v>0.20397000000000001</v>
      </c>
      <c r="D46" s="28">
        <v>123.19</v>
      </c>
    </row>
    <row r="47" spans="1:5" x14ac:dyDescent="0.35">
      <c r="A47" s="27">
        <v>2247</v>
      </c>
      <c r="B47" s="54" t="s">
        <v>149</v>
      </c>
      <c r="C47" s="55">
        <v>7.1900000000000002E-4</v>
      </c>
      <c r="D47" s="28">
        <v>0.43</v>
      </c>
    </row>
    <row r="48" spans="1:5" x14ac:dyDescent="0.35">
      <c r="A48" s="27">
        <v>2249</v>
      </c>
      <c r="B48" s="54" t="s">
        <v>150</v>
      </c>
      <c r="C48" s="55">
        <v>2.32E-4</v>
      </c>
      <c r="D48" s="28">
        <v>0.14000000000000001</v>
      </c>
    </row>
    <row r="49" spans="1:4" x14ac:dyDescent="0.35">
      <c r="A49" s="27">
        <v>2250</v>
      </c>
      <c r="B49" s="54" t="s">
        <v>151</v>
      </c>
      <c r="C49" s="55">
        <v>2.4025999999999999E-2</v>
      </c>
      <c r="D49" s="28">
        <v>14.51</v>
      </c>
    </row>
    <row r="50" spans="1:4" hidden="1" x14ac:dyDescent="0.35">
      <c r="A50" s="27">
        <v>2261</v>
      </c>
      <c r="B50" s="56" t="s">
        <v>169</v>
      </c>
      <c r="C50" s="55">
        <v>0</v>
      </c>
      <c r="D50" s="28">
        <f t="shared" ref="D50:D66" si="0">C50*603.94</f>
        <v>0</v>
      </c>
    </row>
    <row r="51" spans="1:4" x14ac:dyDescent="0.35">
      <c r="A51" s="27">
        <v>2262</v>
      </c>
      <c r="B51" s="56" t="s">
        <v>152</v>
      </c>
      <c r="C51" s="55">
        <v>6.2599999999999999E-3</v>
      </c>
      <c r="D51" s="28">
        <v>3.78</v>
      </c>
    </row>
    <row r="52" spans="1:4" x14ac:dyDescent="0.35">
      <c r="A52" s="27">
        <v>2263</v>
      </c>
      <c r="B52" s="56" t="s">
        <v>153</v>
      </c>
      <c r="C52" s="55">
        <v>4.58E-2</v>
      </c>
      <c r="D52" s="28">
        <v>27.66</v>
      </c>
    </row>
    <row r="53" spans="1:4" x14ac:dyDescent="0.35">
      <c r="A53" s="27">
        <v>2264</v>
      </c>
      <c r="B53" s="54" t="s">
        <v>154</v>
      </c>
      <c r="C53" s="55">
        <v>1.49E-3</v>
      </c>
      <c r="D53" s="28">
        <v>0.9</v>
      </c>
    </row>
    <row r="54" spans="1:4" x14ac:dyDescent="0.35">
      <c r="A54" s="27">
        <v>2311</v>
      </c>
      <c r="B54" s="56" t="s">
        <v>155</v>
      </c>
      <c r="C54" s="55">
        <v>4.7699999999999999E-3</v>
      </c>
      <c r="D54" s="28">
        <v>2.88</v>
      </c>
    </row>
    <row r="55" spans="1:4" x14ac:dyDescent="0.35">
      <c r="A55" s="27">
        <v>2312</v>
      </c>
      <c r="B55" s="56" t="s">
        <v>156</v>
      </c>
      <c r="C55" s="55">
        <v>5.79E-3</v>
      </c>
      <c r="D55" s="28">
        <v>3.5</v>
      </c>
    </row>
    <row r="56" spans="1:4" x14ac:dyDescent="0.35">
      <c r="A56" s="27">
        <v>2314</v>
      </c>
      <c r="B56" s="58" t="s">
        <v>157</v>
      </c>
      <c r="C56" s="55">
        <v>2.2200000000000002E-3</v>
      </c>
      <c r="D56" s="28">
        <v>1.34</v>
      </c>
    </row>
    <row r="57" spans="1:4" x14ac:dyDescent="0.35">
      <c r="A57" s="27">
        <v>2321</v>
      </c>
      <c r="B57" s="56" t="s">
        <v>158</v>
      </c>
      <c r="C57" s="55">
        <v>1.9800000000000002E-2</v>
      </c>
      <c r="D57" s="28">
        <v>11.96</v>
      </c>
    </row>
    <row r="58" spans="1:4" x14ac:dyDescent="0.35">
      <c r="A58" s="27">
        <v>2322</v>
      </c>
      <c r="B58" s="56" t="s">
        <v>159</v>
      </c>
      <c r="C58" s="55">
        <v>3.5000000000000001E-3</v>
      </c>
      <c r="D58" s="28">
        <v>2.11</v>
      </c>
    </row>
    <row r="59" spans="1:4" hidden="1" x14ac:dyDescent="0.35">
      <c r="A59" s="27">
        <v>2341</v>
      </c>
      <c r="B59" s="56" t="s">
        <v>136</v>
      </c>
      <c r="C59" s="55"/>
      <c r="D59" s="28">
        <f t="shared" si="0"/>
        <v>0</v>
      </c>
    </row>
    <row r="60" spans="1:4" x14ac:dyDescent="0.35">
      <c r="A60" s="27">
        <v>2350</v>
      </c>
      <c r="B60" s="55" t="s">
        <v>137</v>
      </c>
      <c r="C60" s="55">
        <v>8.5000000000000006E-3</v>
      </c>
      <c r="D60" s="28">
        <v>5.13</v>
      </c>
    </row>
    <row r="61" spans="1:4" hidden="1" x14ac:dyDescent="0.35">
      <c r="A61" s="27">
        <v>2361</v>
      </c>
      <c r="B61" s="56" t="s">
        <v>170</v>
      </c>
      <c r="C61" s="55">
        <v>0</v>
      </c>
      <c r="D61" s="28">
        <f t="shared" si="0"/>
        <v>0</v>
      </c>
    </row>
    <row r="62" spans="1:4" hidden="1" x14ac:dyDescent="0.35">
      <c r="A62" s="27">
        <v>2362</v>
      </c>
      <c r="B62" s="56" t="s">
        <v>171</v>
      </c>
      <c r="C62" s="55">
        <v>0</v>
      </c>
      <c r="D62" s="28">
        <f t="shared" si="0"/>
        <v>0</v>
      </c>
    </row>
    <row r="63" spans="1:4" hidden="1" x14ac:dyDescent="0.35">
      <c r="A63" s="27">
        <v>2363</v>
      </c>
      <c r="B63" s="56" t="s">
        <v>172</v>
      </c>
      <c r="C63" s="55">
        <v>0</v>
      </c>
      <c r="D63" s="28">
        <f t="shared" si="0"/>
        <v>0</v>
      </c>
    </row>
    <row r="64" spans="1:4" hidden="1" x14ac:dyDescent="0.35">
      <c r="A64" s="27">
        <v>2370</v>
      </c>
      <c r="B64" s="56" t="s">
        <v>173</v>
      </c>
      <c r="C64" s="55">
        <v>0</v>
      </c>
      <c r="D64" s="28">
        <f t="shared" si="0"/>
        <v>0</v>
      </c>
    </row>
    <row r="65" spans="1:7" hidden="1" x14ac:dyDescent="0.35">
      <c r="A65" s="27">
        <v>2400</v>
      </c>
      <c r="B65" s="56" t="s">
        <v>174</v>
      </c>
      <c r="C65" s="55">
        <v>0</v>
      </c>
      <c r="D65" s="28">
        <f t="shared" si="0"/>
        <v>0</v>
      </c>
    </row>
    <row r="66" spans="1:7" hidden="1" x14ac:dyDescent="0.35">
      <c r="A66" s="27">
        <v>2512</v>
      </c>
      <c r="B66" s="56" t="s">
        <v>175</v>
      </c>
      <c r="C66" s="55">
        <v>0</v>
      </c>
      <c r="D66" s="28">
        <f t="shared" si="0"/>
        <v>0</v>
      </c>
    </row>
    <row r="67" spans="1:7" ht="15.75" customHeight="1" x14ac:dyDescent="0.35">
      <c r="A67" s="27">
        <v>2513</v>
      </c>
      <c r="B67" s="55" t="s">
        <v>160</v>
      </c>
      <c r="C67" s="55">
        <v>1.4599999999999999E-3</v>
      </c>
      <c r="D67" s="28">
        <v>0.88</v>
      </c>
    </row>
    <row r="68" spans="1:7" x14ac:dyDescent="0.35">
      <c r="A68" s="27">
        <v>2515</v>
      </c>
      <c r="B68" s="56" t="s">
        <v>161</v>
      </c>
      <c r="C68" s="55">
        <v>1.9E-3</v>
      </c>
      <c r="D68" s="28">
        <v>1.1499999999999999</v>
      </c>
    </row>
    <row r="69" spans="1:7" x14ac:dyDescent="0.35">
      <c r="A69" s="27">
        <v>2519</v>
      </c>
      <c r="B69" s="56" t="s">
        <v>162</v>
      </c>
      <c r="C69" s="55">
        <v>2E-3</v>
      </c>
      <c r="D69" s="28">
        <v>1.21</v>
      </c>
    </row>
    <row r="70" spans="1:7" x14ac:dyDescent="0.35">
      <c r="A70" s="27">
        <v>5220</v>
      </c>
      <c r="B70" s="56" t="s">
        <v>163</v>
      </c>
      <c r="C70" s="55">
        <v>1.06E-2</v>
      </c>
      <c r="D70" s="28">
        <v>6.4</v>
      </c>
    </row>
    <row r="71" spans="1:7" x14ac:dyDescent="0.35">
      <c r="A71" s="27">
        <v>5238</v>
      </c>
      <c r="B71" s="55" t="s">
        <v>164</v>
      </c>
      <c r="C71" s="55">
        <v>1.65E-3</v>
      </c>
      <c r="D71" s="28">
        <v>1.06</v>
      </c>
    </row>
    <row r="72" spans="1:7" x14ac:dyDescent="0.35">
      <c r="A72" s="27">
        <v>5239</v>
      </c>
      <c r="B72" s="55" t="s">
        <v>165</v>
      </c>
      <c r="C72" s="55">
        <v>1.9800000000000002E-2</v>
      </c>
      <c r="D72" s="28">
        <v>11.96</v>
      </c>
    </row>
    <row r="73" spans="1:7" x14ac:dyDescent="0.35">
      <c r="A73" s="27">
        <v>5250</v>
      </c>
      <c r="B73" s="56" t="s">
        <v>166</v>
      </c>
      <c r="C73" s="55">
        <v>2.5000000000000001E-2</v>
      </c>
      <c r="D73" s="28">
        <v>15.1</v>
      </c>
    </row>
    <row r="74" spans="1:7" x14ac:dyDescent="0.35">
      <c r="A74" s="32"/>
      <c r="B74" s="59" t="s">
        <v>167</v>
      </c>
      <c r="C74" s="55">
        <f>SUM(C33:C73)</f>
        <v>0.99988380000000032</v>
      </c>
      <c r="D74" s="31">
        <f>SUM(D33:D73)</f>
        <v>603.94000000000005</v>
      </c>
    </row>
    <row r="75" spans="1:7" x14ac:dyDescent="0.35">
      <c r="A75" s="32"/>
      <c r="B75" s="59" t="s">
        <v>168</v>
      </c>
      <c r="C75" s="59"/>
      <c r="D75" s="31">
        <f>D31+D74</f>
        <v>1480.4</v>
      </c>
      <c r="E75" s="52"/>
    </row>
    <row r="76" spans="1:7" ht="12.75" customHeight="1" x14ac:dyDescent="0.35">
      <c r="A76" s="37"/>
      <c r="B76" s="20"/>
      <c r="C76" s="20"/>
      <c r="D76" s="60"/>
    </row>
    <row r="77" spans="1:7" ht="15.75" customHeight="1" x14ac:dyDescent="0.35">
      <c r="A77" s="211" t="s">
        <v>51</v>
      </c>
      <c r="B77" s="211"/>
      <c r="C77" s="61"/>
      <c r="D77" s="44">
        <v>5</v>
      </c>
    </row>
    <row r="78" spans="1:7" ht="15.75" customHeight="1" x14ac:dyDescent="0.35">
      <c r="A78" s="211" t="s">
        <v>58</v>
      </c>
      <c r="B78" s="211"/>
      <c r="C78" s="61"/>
      <c r="D78" s="45">
        <f>D75/D77</f>
        <v>296.08000000000004</v>
      </c>
      <c r="E78" s="52"/>
      <c r="G78" s="52"/>
    </row>
    <row r="79" spans="1:7" ht="9.75" customHeight="1" x14ac:dyDescent="0.35">
      <c r="A79" s="41"/>
      <c r="B79" s="42"/>
      <c r="C79" s="42"/>
    </row>
    <row r="80" spans="1:7" ht="15.75" customHeight="1" x14ac:dyDescent="0.35">
      <c r="A80" s="208" t="s">
        <v>52</v>
      </c>
      <c r="B80" s="208"/>
      <c r="C80" s="62"/>
      <c r="D80" s="40"/>
      <c r="E80" s="52"/>
    </row>
    <row r="81" spans="1:4" ht="15.75" customHeight="1" x14ac:dyDescent="0.35">
      <c r="A81" s="208" t="s">
        <v>74</v>
      </c>
      <c r="B81" s="208"/>
      <c r="C81" s="62"/>
      <c r="D81" s="40"/>
    </row>
    <row r="82" spans="1:4" ht="8.25" customHeight="1" x14ac:dyDescent="0.35">
      <c r="A82" s="17"/>
      <c r="B82" s="17"/>
      <c r="C82" s="17"/>
      <c r="D82" s="17"/>
    </row>
    <row r="83" spans="1:4" x14ac:dyDescent="0.35">
      <c r="A83" s="17" t="s">
        <v>53</v>
      </c>
      <c r="B83" s="17"/>
      <c r="C83" s="17"/>
      <c r="D83" s="48"/>
    </row>
    <row r="84" spans="1:4" x14ac:dyDescent="0.35">
      <c r="A84" s="17"/>
      <c r="B84" s="17"/>
      <c r="C84" s="17"/>
      <c r="D84" s="48"/>
    </row>
    <row r="85" spans="1:4" x14ac:dyDescent="0.35">
      <c r="A85" s="17" t="s">
        <v>68</v>
      </c>
      <c r="B85" s="18"/>
      <c r="C85" s="18"/>
      <c r="D85" s="17"/>
    </row>
    <row r="86" spans="1:4" x14ac:dyDescent="0.35">
      <c r="B86" s="63"/>
      <c r="C86" s="63"/>
      <c r="D86" s="64"/>
    </row>
    <row r="88" spans="1:4" x14ac:dyDescent="0.35">
      <c r="D88" s="52"/>
    </row>
  </sheetData>
  <mergeCells count="10">
    <mergeCell ref="A81:B81"/>
    <mergeCell ref="A9:B9"/>
    <mergeCell ref="A10:B10"/>
    <mergeCell ref="A80:B80"/>
    <mergeCell ref="B2:D2"/>
    <mergeCell ref="A7:D7"/>
    <mergeCell ref="B13:C13"/>
    <mergeCell ref="B14:D14"/>
    <mergeCell ref="A77:B77"/>
    <mergeCell ref="A78:B78"/>
  </mergeCells>
  <pageMargins left="0.97592592592592597" right="0.70866141732283472" top="0.55118110236220474" bottom="0.55118110236220474" header="0.31496062992125984" footer="0.31496062992125984"/>
  <pageSetup paperSize="9" scale="62" orientation="portrait" r:id="rId1"/>
  <headerFooter>
    <oddFooter>&amp;F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8"/>
  <sheetViews>
    <sheetView view="pageLayout" topLeftCell="A13" zoomScale="90" zoomScaleNormal="100" zoomScalePageLayoutView="90" workbookViewId="0">
      <selection activeCell="B14" sqref="B14:D14"/>
    </sheetView>
  </sheetViews>
  <sheetFormatPr defaultColWidth="9.1796875" defaultRowHeight="15.5" x14ac:dyDescent="0.35"/>
  <cols>
    <col min="1" max="1" width="17.26953125" style="12" customWidth="1"/>
    <col min="2" max="2" width="84.81640625" style="12" customWidth="1"/>
    <col min="3" max="3" width="10" style="12" hidden="1" customWidth="1"/>
    <col min="4" max="4" width="25.453125" style="12" customWidth="1"/>
    <col min="5" max="5" width="12.26953125" style="12" customWidth="1"/>
    <col min="6" max="16384" width="9.1796875" style="12"/>
  </cols>
  <sheetData>
    <row r="1" spans="1:4" ht="15.75" customHeight="1" x14ac:dyDescent="0.35">
      <c r="B1" s="10"/>
      <c r="C1" s="10"/>
      <c r="D1" s="49" t="s">
        <v>50</v>
      </c>
    </row>
    <row r="2" spans="1:4" x14ac:dyDescent="0.35">
      <c r="B2" s="212" t="s">
        <v>54</v>
      </c>
      <c r="C2" s="212"/>
      <c r="D2" s="229"/>
    </row>
    <row r="3" spans="1:4" x14ac:dyDescent="0.35">
      <c r="B3" s="11"/>
      <c r="C3" s="11"/>
      <c r="D3" s="46" t="s">
        <v>76</v>
      </c>
    </row>
    <row r="4" spans="1:4" x14ac:dyDescent="0.35">
      <c r="B4" s="10"/>
      <c r="C4" s="10"/>
      <c r="D4" s="37"/>
    </row>
    <row r="5" spans="1:4" x14ac:dyDescent="0.35">
      <c r="B5" s="51"/>
      <c r="C5" s="51"/>
      <c r="D5" s="37" t="s">
        <v>193</v>
      </c>
    </row>
    <row r="6" spans="1:4" x14ac:dyDescent="0.35">
      <c r="D6" s="20"/>
    </row>
    <row r="7" spans="1:4" x14ac:dyDescent="0.35">
      <c r="A7" s="209" t="s">
        <v>10</v>
      </c>
      <c r="B7" s="209"/>
      <c r="C7" s="209"/>
      <c r="D7" s="209"/>
    </row>
    <row r="8" spans="1:4" x14ac:dyDescent="0.35">
      <c r="B8" s="53"/>
      <c r="C8" s="53"/>
      <c r="D8" s="20"/>
    </row>
    <row r="9" spans="1:4" x14ac:dyDescent="0.35">
      <c r="A9" s="210" t="s">
        <v>1</v>
      </c>
      <c r="B9" s="210"/>
      <c r="C9" s="9"/>
      <c r="D9" s="20"/>
    </row>
    <row r="10" spans="1:4" x14ac:dyDescent="0.35">
      <c r="A10" s="210" t="s">
        <v>0</v>
      </c>
      <c r="B10" s="210"/>
      <c r="C10" s="9"/>
      <c r="D10" s="20"/>
    </row>
    <row r="11" spans="1:4" x14ac:dyDescent="0.35">
      <c r="A11" s="9"/>
      <c r="B11" s="9" t="s">
        <v>47</v>
      </c>
      <c r="C11" s="9"/>
      <c r="D11" s="20"/>
    </row>
    <row r="12" spans="1:4" x14ac:dyDescent="0.35">
      <c r="A12" s="9"/>
      <c r="B12" s="9" t="s">
        <v>83</v>
      </c>
      <c r="C12" s="9"/>
      <c r="D12" s="20"/>
    </row>
    <row r="13" spans="1:4" x14ac:dyDescent="0.35">
      <c r="A13" s="9"/>
      <c r="B13" s="210" t="s">
        <v>84</v>
      </c>
      <c r="C13" s="210"/>
      <c r="D13" s="20"/>
    </row>
    <row r="14" spans="1:4" x14ac:dyDescent="0.35">
      <c r="A14" s="9"/>
      <c r="B14" s="210" t="s">
        <v>190</v>
      </c>
      <c r="C14" s="210"/>
      <c r="D14" s="210"/>
    </row>
    <row r="15" spans="1:4" x14ac:dyDescent="0.35">
      <c r="A15" s="9" t="s">
        <v>2</v>
      </c>
      <c r="B15" s="9" t="s">
        <v>191</v>
      </c>
      <c r="C15" s="9"/>
      <c r="D15" s="20"/>
    </row>
    <row r="16" spans="1:4" ht="69.75" customHeight="1" x14ac:dyDescent="0.35">
      <c r="A16" s="43" t="s">
        <v>3</v>
      </c>
      <c r="B16" s="43" t="s">
        <v>4</v>
      </c>
      <c r="C16" s="43"/>
      <c r="D16" s="43" t="s">
        <v>5</v>
      </c>
    </row>
    <row r="17" spans="1:8" x14ac:dyDescent="0.35">
      <c r="A17" s="22">
        <v>1</v>
      </c>
      <c r="B17" s="23">
        <v>2</v>
      </c>
      <c r="C17" s="23"/>
      <c r="D17" s="23">
        <v>3</v>
      </c>
    </row>
    <row r="18" spans="1:8" x14ac:dyDescent="0.35">
      <c r="A18" s="22"/>
      <c r="B18" s="54" t="s">
        <v>6</v>
      </c>
      <c r="C18" s="54"/>
      <c r="D18" s="55"/>
    </row>
    <row r="19" spans="1:8" x14ac:dyDescent="0.35">
      <c r="A19" s="27">
        <v>1100</v>
      </c>
      <c r="B19" s="27" t="s">
        <v>134</v>
      </c>
      <c r="C19" s="27"/>
      <c r="D19" s="28">
        <v>461.78</v>
      </c>
      <c r="E19" s="52"/>
      <c r="F19" s="52"/>
      <c r="G19" s="52"/>
      <c r="H19" s="52"/>
    </row>
    <row r="20" spans="1:8" x14ac:dyDescent="0.35">
      <c r="A20" s="27">
        <v>1200</v>
      </c>
      <c r="B20" s="55" t="s">
        <v>135</v>
      </c>
      <c r="C20" s="55"/>
      <c r="D20" s="28">
        <v>108.93</v>
      </c>
      <c r="F20" s="52"/>
    </row>
    <row r="21" spans="1:8" x14ac:dyDescent="0.35">
      <c r="A21" s="27">
        <v>2222</v>
      </c>
      <c r="B21" s="56" t="s">
        <v>139</v>
      </c>
      <c r="C21" s="55"/>
      <c r="D21" s="28">
        <v>27.3</v>
      </c>
      <c r="E21" s="52"/>
    </row>
    <row r="22" spans="1:8" x14ac:dyDescent="0.35">
      <c r="A22" s="27">
        <v>2223</v>
      </c>
      <c r="B22" s="56" t="s">
        <v>140</v>
      </c>
      <c r="C22" s="55"/>
      <c r="D22" s="28">
        <v>16.920000000000002</v>
      </c>
    </row>
    <row r="23" spans="1:8" hidden="1" x14ac:dyDescent="0.35">
      <c r="A23" s="27">
        <v>2243</v>
      </c>
      <c r="B23" s="54" t="s">
        <v>147</v>
      </c>
      <c r="C23" s="55"/>
      <c r="D23" s="28">
        <v>0</v>
      </c>
    </row>
    <row r="24" spans="1:8" x14ac:dyDescent="0.35">
      <c r="A24" s="27">
        <v>2244</v>
      </c>
      <c r="B24" s="54" t="s">
        <v>148</v>
      </c>
      <c r="C24" s="55"/>
      <c r="D24" s="28">
        <v>12.72</v>
      </c>
    </row>
    <row r="25" spans="1:8" x14ac:dyDescent="0.35">
      <c r="A25" s="27">
        <v>2312</v>
      </c>
      <c r="B25" s="54" t="s">
        <v>156</v>
      </c>
      <c r="C25" s="55"/>
      <c r="D25" s="28">
        <v>5.54</v>
      </c>
    </row>
    <row r="26" spans="1:8" x14ac:dyDescent="0.35">
      <c r="A26" s="27">
        <v>2321</v>
      </c>
      <c r="B26" s="56" t="s">
        <v>158</v>
      </c>
      <c r="C26" s="55"/>
      <c r="D26" s="28">
        <v>23.71</v>
      </c>
    </row>
    <row r="27" spans="1:8" x14ac:dyDescent="0.35">
      <c r="A27" s="27">
        <v>2341</v>
      </c>
      <c r="B27" s="56" t="s">
        <v>136</v>
      </c>
      <c r="C27" s="55"/>
      <c r="D27" s="28">
        <v>44.1</v>
      </c>
    </row>
    <row r="28" spans="1:8" x14ac:dyDescent="0.35">
      <c r="A28" s="27">
        <v>2361</v>
      </c>
      <c r="B28" s="56" t="s">
        <v>170</v>
      </c>
      <c r="C28" s="55"/>
      <c r="D28" s="28">
        <f>56.25/5/5*3*5</f>
        <v>33.75</v>
      </c>
    </row>
    <row r="29" spans="1:8" x14ac:dyDescent="0.35">
      <c r="A29" s="27">
        <v>2363</v>
      </c>
      <c r="B29" s="56" t="s">
        <v>172</v>
      </c>
      <c r="C29" s="55"/>
      <c r="D29" s="28">
        <f>8.12*3*5</f>
        <v>121.8</v>
      </c>
    </row>
    <row r="30" spans="1:8" x14ac:dyDescent="0.35">
      <c r="A30" s="27">
        <v>5239</v>
      </c>
      <c r="B30" s="55" t="s">
        <v>165</v>
      </c>
      <c r="C30" s="55"/>
      <c r="D30" s="28">
        <v>6.5</v>
      </c>
    </row>
    <row r="31" spans="1:8" x14ac:dyDescent="0.35">
      <c r="A31" s="27"/>
      <c r="B31" s="57" t="s">
        <v>7</v>
      </c>
      <c r="C31" s="57"/>
      <c r="D31" s="31">
        <f>SUM(D19:D30)</f>
        <v>863.05</v>
      </c>
      <c r="F31" s="52"/>
    </row>
    <row r="32" spans="1:8" x14ac:dyDescent="0.35">
      <c r="A32" s="32"/>
      <c r="B32" s="57" t="s">
        <v>8</v>
      </c>
      <c r="C32" s="70"/>
      <c r="D32" s="28"/>
      <c r="E32" s="52"/>
    </row>
    <row r="33" spans="1:5" x14ac:dyDescent="0.35">
      <c r="A33" s="27">
        <v>1100</v>
      </c>
      <c r="B33" s="54" t="s">
        <v>134</v>
      </c>
      <c r="C33" s="55">
        <f>0.388+0.024</f>
        <v>0.41200000000000003</v>
      </c>
      <c r="D33" s="28">
        <v>236.67</v>
      </c>
      <c r="E33" s="52"/>
    </row>
    <row r="34" spans="1:5" ht="16.5" customHeight="1" x14ac:dyDescent="0.35">
      <c r="A34" s="27">
        <v>1200</v>
      </c>
      <c r="B34" s="54" t="s">
        <v>135</v>
      </c>
      <c r="C34" s="55">
        <f>C33*0.2359</f>
        <v>9.7190800000000008E-2</v>
      </c>
      <c r="D34" s="28">
        <v>55.83</v>
      </c>
    </row>
    <row r="35" spans="1:5" ht="16.5" customHeight="1" x14ac:dyDescent="0.35">
      <c r="A35" s="27">
        <v>2100</v>
      </c>
      <c r="B35" s="33" t="s">
        <v>44</v>
      </c>
      <c r="C35" s="55">
        <v>1.1659999999999999E-3</v>
      </c>
      <c r="D35" s="28">
        <v>0.67</v>
      </c>
    </row>
    <row r="36" spans="1:5" x14ac:dyDescent="0.35">
      <c r="A36" s="34">
        <v>2210</v>
      </c>
      <c r="B36" s="56" t="s">
        <v>138</v>
      </c>
      <c r="C36" s="55">
        <v>7.6E-3</v>
      </c>
      <c r="D36" s="28">
        <v>4.37</v>
      </c>
    </row>
    <row r="37" spans="1:5" x14ac:dyDescent="0.35">
      <c r="A37" s="27">
        <v>2222</v>
      </c>
      <c r="B37" s="56" t="s">
        <v>139</v>
      </c>
      <c r="C37" s="55">
        <v>9.4999999999999998E-3</v>
      </c>
      <c r="D37" s="28">
        <v>5.46</v>
      </c>
    </row>
    <row r="38" spans="1:5" x14ac:dyDescent="0.35">
      <c r="A38" s="27">
        <v>2223</v>
      </c>
      <c r="B38" s="56" t="s">
        <v>140</v>
      </c>
      <c r="C38" s="55">
        <v>1.9019999999999999E-2</v>
      </c>
      <c r="D38" s="28">
        <v>10.93</v>
      </c>
    </row>
    <row r="39" spans="1:5" ht="31" x14ac:dyDescent="0.35">
      <c r="A39" s="27">
        <v>2224</v>
      </c>
      <c r="B39" s="56" t="s">
        <v>141</v>
      </c>
      <c r="C39" s="55">
        <v>4.9500000000000004E-3</v>
      </c>
      <c r="D39" s="28">
        <v>2.84</v>
      </c>
    </row>
    <row r="40" spans="1:5" ht="15.75" customHeight="1" x14ac:dyDescent="0.35">
      <c r="A40" s="27">
        <v>2231</v>
      </c>
      <c r="B40" s="54" t="s">
        <v>142</v>
      </c>
      <c r="C40" s="55">
        <v>1.5499999999999999E-3</v>
      </c>
      <c r="D40" s="28">
        <v>0.89</v>
      </c>
    </row>
    <row r="41" spans="1:5" ht="15.75" customHeight="1" x14ac:dyDescent="0.35">
      <c r="A41" s="27">
        <v>2235</v>
      </c>
      <c r="B41" s="58" t="s">
        <v>143</v>
      </c>
      <c r="C41" s="55">
        <v>1.65E-3</v>
      </c>
      <c r="D41" s="28">
        <v>0.95</v>
      </c>
    </row>
    <row r="42" spans="1:5" x14ac:dyDescent="0.35">
      <c r="A42" s="27">
        <v>2239</v>
      </c>
      <c r="B42" s="54" t="s">
        <v>144</v>
      </c>
      <c r="C42" s="55">
        <v>4.4099999999999999E-3</v>
      </c>
      <c r="D42" s="28">
        <v>2.5299999999999998</v>
      </c>
    </row>
    <row r="43" spans="1:5" x14ac:dyDescent="0.35">
      <c r="A43" s="27">
        <v>2241</v>
      </c>
      <c r="B43" s="54" t="s">
        <v>145</v>
      </c>
      <c r="C43" s="55">
        <v>1.6500000000000001E-2</v>
      </c>
      <c r="D43" s="28">
        <v>9.48</v>
      </c>
    </row>
    <row r="44" spans="1:5" x14ac:dyDescent="0.35">
      <c r="A44" s="27">
        <v>2242</v>
      </c>
      <c r="B44" s="56" t="s">
        <v>146</v>
      </c>
      <c r="C44" s="55">
        <v>2.2599999999999999E-3</v>
      </c>
      <c r="D44" s="28">
        <v>1.3</v>
      </c>
    </row>
    <row r="45" spans="1:5" ht="15.75" customHeight="1" x14ac:dyDescent="0.35">
      <c r="A45" s="27">
        <v>2243</v>
      </c>
      <c r="B45" s="54" t="s">
        <v>147</v>
      </c>
      <c r="C45" s="55">
        <v>3.2599999999999997E-2</v>
      </c>
      <c r="D45" s="28">
        <v>18.73</v>
      </c>
    </row>
    <row r="46" spans="1:5" x14ac:dyDescent="0.35">
      <c r="A46" s="27">
        <v>2244</v>
      </c>
      <c r="B46" s="54" t="s">
        <v>148</v>
      </c>
      <c r="C46" s="55">
        <v>0.20397000000000001</v>
      </c>
      <c r="D46" s="28">
        <v>117.17</v>
      </c>
    </row>
    <row r="47" spans="1:5" x14ac:dyDescent="0.35">
      <c r="A47" s="27">
        <v>2247</v>
      </c>
      <c r="B47" s="54" t="s">
        <v>149</v>
      </c>
      <c r="C47" s="55">
        <v>7.1900000000000002E-4</v>
      </c>
      <c r="D47" s="28">
        <v>0.41</v>
      </c>
    </row>
    <row r="48" spans="1:5" x14ac:dyDescent="0.35">
      <c r="A48" s="27">
        <v>2249</v>
      </c>
      <c r="B48" s="54" t="s">
        <v>150</v>
      </c>
      <c r="C48" s="55">
        <v>2.32E-4</v>
      </c>
      <c r="D48" s="28">
        <v>0.13</v>
      </c>
    </row>
    <row r="49" spans="1:4" x14ac:dyDescent="0.35">
      <c r="A49" s="27">
        <v>2250</v>
      </c>
      <c r="B49" s="54" t="s">
        <v>151</v>
      </c>
      <c r="C49" s="55">
        <v>2.4025999999999999E-2</v>
      </c>
      <c r="D49" s="28">
        <v>13.8</v>
      </c>
    </row>
    <row r="50" spans="1:4" hidden="1" x14ac:dyDescent="0.35">
      <c r="A50" s="27">
        <v>2261</v>
      </c>
      <c r="B50" s="56" t="s">
        <v>169</v>
      </c>
      <c r="C50" s="55">
        <v>0</v>
      </c>
      <c r="D50" s="28">
        <f t="shared" ref="D50:D66" si="0">C50*574.45</f>
        <v>0</v>
      </c>
    </row>
    <row r="51" spans="1:4" x14ac:dyDescent="0.35">
      <c r="A51" s="27">
        <v>2262</v>
      </c>
      <c r="B51" s="56" t="s">
        <v>152</v>
      </c>
      <c r="C51" s="55">
        <v>6.2599999999999999E-3</v>
      </c>
      <c r="D51" s="28">
        <v>3.6</v>
      </c>
    </row>
    <row r="52" spans="1:4" x14ac:dyDescent="0.35">
      <c r="A52" s="27">
        <v>2263</v>
      </c>
      <c r="B52" s="56" t="s">
        <v>153</v>
      </c>
      <c r="C52" s="55">
        <v>4.58E-2</v>
      </c>
      <c r="D52" s="28">
        <v>26.31</v>
      </c>
    </row>
    <row r="53" spans="1:4" x14ac:dyDescent="0.35">
      <c r="A53" s="27">
        <v>2264</v>
      </c>
      <c r="B53" s="54" t="s">
        <v>154</v>
      </c>
      <c r="C53" s="55">
        <v>1.49E-3</v>
      </c>
      <c r="D53" s="28">
        <v>0.86</v>
      </c>
    </row>
    <row r="54" spans="1:4" x14ac:dyDescent="0.35">
      <c r="A54" s="27">
        <v>2311</v>
      </c>
      <c r="B54" s="56" t="s">
        <v>155</v>
      </c>
      <c r="C54" s="55">
        <v>4.7699999999999999E-3</v>
      </c>
      <c r="D54" s="28">
        <v>2.74</v>
      </c>
    </row>
    <row r="55" spans="1:4" x14ac:dyDescent="0.35">
      <c r="A55" s="27">
        <v>2312</v>
      </c>
      <c r="B55" s="56" t="s">
        <v>156</v>
      </c>
      <c r="C55" s="55">
        <v>5.79E-3</v>
      </c>
      <c r="D55" s="28">
        <v>3.33</v>
      </c>
    </row>
    <row r="56" spans="1:4" x14ac:dyDescent="0.35">
      <c r="A56" s="27">
        <v>2314</v>
      </c>
      <c r="B56" s="58" t="s">
        <v>157</v>
      </c>
      <c r="C56" s="55">
        <v>2.2200000000000002E-3</v>
      </c>
      <c r="D56" s="28">
        <v>1.28</v>
      </c>
    </row>
    <row r="57" spans="1:4" x14ac:dyDescent="0.35">
      <c r="A57" s="27">
        <v>2321</v>
      </c>
      <c r="B57" s="56" t="s">
        <v>158</v>
      </c>
      <c r="C57" s="55">
        <v>1.9800000000000002E-2</v>
      </c>
      <c r="D57" s="28">
        <v>11.37</v>
      </c>
    </row>
    <row r="58" spans="1:4" x14ac:dyDescent="0.35">
      <c r="A58" s="27">
        <v>2322</v>
      </c>
      <c r="B58" s="56" t="s">
        <v>159</v>
      </c>
      <c r="C58" s="55">
        <v>3.5000000000000001E-3</v>
      </c>
      <c r="D58" s="28">
        <v>2.0099999999999998</v>
      </c>
    </row>
    <row r="59" spans="1:4" hidden="1" x14ac:dyDescent="0.35">
      <c r="A59" s="27">
        <v>2341</v>
      </c>
      <c r="B59" s="56" t="s">
        <v>136</v>
      </c>
      <c r="C59" s="55"/>
      <c r="D59" s="28">
        <f t="shared" si="0"/>
        <v>0</v>
      </c>
    </row>
    <row r="60" spans="1:4" x14ac:dyDescent="0.35">
      <c r="A60" s="27">
        <v>2350</v>
      </c>
      <c r="B60" s="55" t="s">
        <v>137</v>
      </c>
      <c r="C60" s="55">
        <v>8.5000000000000006E-3</v>
      </c>
      <c r="D60" s="28">
        <v>4.88</v>
      </c>
    </row>
    <row r="61" spans="1:4" hidden="1" x14ac:dyDescent="0.35">
      <c r="A61" s="27">
        <v>2361</v>
      </c>
      <c r="B61" s="56" t="s">
        <v>170</v>
      </c>
      <c r="C61" s="55">
        <v>0</v>
      </c>
      <c r="D61" s="28">
        <f t="shared" si="0"/>
        <v>0</v>
      </c>
    </row>
    <row r="62" spans="1:4" hidden="1" x14ac:dyDescent="0.35">
      <c r="A62" s="27">
        <v>2362</v>
      </c>
      <c r="B62" s="56" t="s">
        <v>171</v>
      </c>
      <c r="C62" s="55">
        <v>0</v>
      </c>
      <c r="D62" s="28">
        <f t="shared" si="0"/>
        <v>0</v>
      </c>
    </row>
    <row r="63" spans="1:4" hidden="1" x14ac:dyDescent="0.35">
      <c r="A63" s="27">
        <v>2363</v>
      </c>
      <c r="B63" s="56" t="s">
        <v>172</v>
      </c>
      <c r="C63" s="55">
        <v>0</v>
      </c>
      <c r="D63" s="28">
        <f t="shared" si="0"/>
        <v>0</v>
      </c>
    </row>
    <row r="64" spans="1:4" hidden="1" x14ac:dyDescent="0.35">
      <c r="A64" s="27">
        <v>2370</v>
      </c>
      <c r="B64" s="56" t="s">
        <v>173</v>
      </c>
      <c r="C64" s="55">
        <v>0</v>
      </c>
      <c r="D64" s="28">
        <f t="shared" si="0"/>
        <v>0</v>
      </c>
    </row>
    <row r="65" spans="1:7" hidden="1" x14ac:dyDescent="0.35">
      <c r="A65" s="27">
        <v>2400</v>
      </c>
      <c r="B65" s="56" t="s">
        <v>174</v>
      </c>
      <c r="C65" s="55">
        <v>0</v>
      </c>
      <c r="D65" s="28">
        <f t="shared" si="0"/>
        <v>0</v>
      </c>
    </row>
    <row r="66" spans="1:7" hidden="1" x14ac:dyDescent="0.35">
      <c r="A66" s="27">
        <v>2512</v>
      </c>
      <c r="B66" s="56" t="s">
        <v>175</v>
      </c>
      <c r="C66" s="55">
        <v>0</v>
      </c>
      <c r="D66" s="28">
        <f t="shared" si="0"/>
        <v>0</v>
      </c>
    </row>
    <row r="67" spans="1:7" ht="15.75" customHeight="1" x14ac:dyDescent="0.35">
      <c r="A67" s="27">
        <v>2513</v>
      </c>
      <c r="B67" s="55" t="s">
        <v>160</v>
      </c>
      <c r="C67" s="55">
        <v>1.4599999999999999E-3</v>
      </c>
      <c r="D67" s="28">
        <v>0.84</v>
      </c>
    </row>
    <row r="68" spans="1:7" x14ac:dyDescent="0.35">
      <c r="A68" s="27">
        <v>2515</v>
      </c>
      <c r="B68" s="56" t="s">
        <v>161</v>
      </c>
      <c r="C68" s="55">
        <v>1.9E-3</v>
      </c>
      <c r="D68" s="28">
        <v>1.0900000000000001</v>
      </c>
    </row>
    <row r="69" spans="1:7" x14ac:dyDescent="0.35">
      <c r="A69" s="27">
        <v>2519</v>
      </c>
      <c r="B69" s="56" t="s">
        <v>162</v>
      </c>
      <c r="C69" s="55">
        <v>2E-3</v>
      </c>
      <c r="D69" s="28">
        <v>1.1499999999999999</v>
      </c>
    </row>
    <row r="70" spans="1:7" x14ac:dyDescent="0.35">
      <c r="A70" s="27">
        <v>5220</v>
      </c>
      <c r="B70" s="56" t="s">
        <v>163</v>
      </c>
      <c r="C70" s="55">
        <v>1.06E-2</v>
      </c>
      <c r="D70" s="28">
        <v>6.09</v>
      </c>
    </row>
    <row r="71" spans="1:7" x14ac:dyDescent="0.35">
      <c r="A71" s="27">
        <v>5238</v>
      </c>
      <c r="B71" s="55" t="s">
        <v>164</v>
      </c>
      <c r="C71" s="55">
        <v>1.65E-3</v>
      </c>
      <c r="D71" s="28">
        <v>1.01</v>
      </c>
    </row>
    <row r="72" spans="1:7" x14ac:dyDescent="0.35">
      <c r="A72" s="27">
        <v>5239</v>
      </c>
      <c r="B72" s="55" t="s">
        <v>165</v>
      </c>
      <c r="C72" s="55">
        <v>1.9800000000000002E-2</v>
      </c>
      <c r="D72" s="28">
        <v>11.37</v>
      </c>
    </row>
    <row r="73" spans="1:7" x14ac:dyDescent="0.35">
      <c r="A73" s="27">
        <v>5250</v>
      </c>
      <c r="B73" s="56" t="s">
        <v>166</v>
      </c>
      <c r="C73" s="55">
        <v>2.5000000000000001E-2</v>
      </c>
      <c r="D73" s="28">
        <v>14.36</v>
      </c>
    </row>
    <row r="74" spans="1:7" x14ac:dyDescent="0.35">
      <c r="A74" s="32"/>
      <c r="B74" s="59" t="s">
        <v>167</v>
      </c>
      <c r="C74" s="55">
        <f>SUM(C33:C73)</f>
        <v>0.99988380000000032</v>
      </c>
      <c r="D74" s="31">
        <f>SUM(D33:D73)</f>
        <v>574.45000000000016</v>
      </c>
    </row>
    <row r="75" spans="1:7" x14ac:dyDescent="0.35">
      <c r="A75" s="32"/>
      <c r="B75" s="59" t="s">
        <v>168</v>
      </c>
      <c r="C75" s="59"/>
      <c r="D75" s="31">
        <f>D31+D74</f>
        <v>1437.5</v>
      </c>
      <c r="E75" s="52"/>
    </row>
    <row r="76" spans="1:7" ht="12.75" customHeight="1" x14ac:dyDescent="0.35">
      <c r="A76" s="37"/>
      <c r="B76" s="20"/>
      <c r="C76" s="20"/>
      <c r="D76" s="60"/>
    </row>
    <row r="77" spans="1:7" ht="15.75" customHeight="1" x14ac:dyDescent="0.35">
      <c r="A77" s="211" t="s">
        <v>51</v>
      </c>
      <c r="B77" s="211"/>
      <c r="C77" s="61"/>
      <c r="D77" s="44">
        <v>5</v>
      </c>
    </row>
    <row r="78" spans="1:7" ht="15.75" customHeight="1" x14ac:dyDescent="0.35">
      <c r="A78" s="211" t="s">
        <v>58</v>
      </c>
      <c r="B78" s="211"/>
      <c r="C78" s="61"/>
      <c r="D78" s="45">
        <f>D75/D77</f>
        <v>287.5</v>
      </c>
      <c r="E78" s="52"/>
      <c r="G78" s="52"/>
    </row>
    <row r="79" spans="1:7" ht="9.75" customHeight="1" x14ac:dyDescent="0.35">
      <c r="A79" s="41"/>
      <c r="B79" s="42"/>
      <c r="C79" s="42"/>
    </row>
    <row r="80" spans="1:7" ht="15.75" customHeight="1" x14ac:dyDescent="0.35">
      <c r="A80" s="208" t="s">
        <v>52</v>
      </c>
      <c r="B80" s="208"/>
      <c r="C80" s="62"/>
      <c r="D80" s="40"/>
      <c r="E80" s="52"/>
    </row>
    <row r="81" spans="1:4" ht="15.75" customHeight="1" x14ac:dyDescent="0.35">
      <c r="A81" s="208" t="s">
        <v>74</v>
      </c>
      <c r="B81" s="208"/>
      <c r="C81" s="62"/>
      <c r="D81" s="40"/>
    </row>
    <row r="82" spans="1:4" ht="8.25" customHeight="1" x14ac:dyDescent="0.35">
      <c r="A82" s="17"/>
      <c r="B82" s="17"/>
      <c r="C82" s="17"/>
      <c r="D82" s="17"/>
    </row>
    <row r="83" spans="1:4" x14ac:dyDescent="0.35">
      <c r="A83" s="17" t="s">
        <v>53</v>
      </c>
      <c r="B83" s="17"/>
      <c r="C83" s="17"/>
      <c r="D83" s="48"/>
    </row>
    <row r="84" spans="1:4" x14ac:dyDescent="0.35">
      <c r="A84" s="17"/>
      <c r="B84" s="17"/>
      <c r="C84" s="17"/>
      <c r="D84" s="48"/>
    </row>
    <row r="85" spans="1:4" x14ac:dyDescent="0.35">
      <c r="A85" s="17" t="s">
        <v>68</v>
      </c>
      <c r="B85" s="18"/>
      <c r="C85" s="18"/>
      <c r="D85" s="17"/>
    </row>
    <row r="86" spans="1:4" x14ac:dyDescent="0.35">
      <c r="B86" s="63"/>
      <c r="C86" s="63"/>
      <c r="D86" s="64"/>
    </row>
    <row r="88" spans="1:4" x14ac:dyDescent="0.35">
      <c r="D88" s="52"/>
    </row>
  </sheetData>
  <mergeCells count="10">
    <mergeCell ref="A81:B81"/>
    <mergeCell ref="A9:B9"/>
    <mergeCell ref="A10:B10"/>
    <mergeCell ref="A80:B80"/>
    <mergeCell ref="B2:D2"/>
    <mergeCell ref="A7:D7"/>
    <mergeCell ref="B13:C13"/>
    <mergeCell ref="B14:D14"/>
    <mergeCell ref="A77:B77"/>
    <mergeCell ref="A78:B78"/>
  </mergeCells>
  <pageMargins left="0.8969907407407407" right="0.82523148148148151" top="0.55118110236220474" bottom="0.55118110236220474" header="0.31496062992125984" footer="0.31496062992125984"/>
  <pageSetup paperSize="9" scale="62" orientation="portrait" r:id="rId1"/>
  <headerFooter>
    <oddFooter>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37</vt:i4>
      </vt:variant>
    </vt:vector>
  </HeadingPairs>
  <TitlesOfParts>
    <vt:vector size="37" baseType="lpstr">
      <vt:lpstr>Saturs</vt:lpstr>
      <vt:lpstr>1.1.1.1.</vt:lpstr>
      <vt:lpstr>1.1.1.2.1.</vt:lpstr>
      <vt:lpstr>1.1.1.2.2.</vt:lpstr>
      <vt:lpstr>1.1.1.3.</vt:lpstr>
      <vt:lpstr>1.1.1.4.</vt:lpstr>
      <vt:lpstr>4.1.1.5.</vt:lpstr>
      <vt:lpstr>1.1.1.5.</vt:lpstr>
      <vt:lpstr>4.1.2.1.</vt:lpstr>
      <vt:lpstr>4.1.2.2.</vt:lpstr>
      <vt:lpstr>4.1.2.3.</vt:lpstr>
      <vt:lpstr>4.1.2.4.</vt:lpstr>
      <vt:lpstr>4.1.2.5.</vt:lpstr>
      <vt:lpstr>1.2.1.</vt:lpstr>
      <vt:lpstr>1.3.1.1.</vt:lpstr>
      <vt:lpstr>1.3.1.2.</vt:lpstr>
      <vt:lpstr>1.3.1.3.</vt:lpstr>
      <vt:lpstr>1.3.1.4.</vt:lpstr>
      <vt:lpstr>1.3.1.5.</vt:lpstr>
      <vt:lpstr>1.3.1.6.</vt:lpstr>
      <vt:lpstr>1.3.1.7.</vt:lpstr>
      <vt:lpstr>1.3.1.8.</vt:lpstr>
      <vt:lpstr>1.3.1.9.</vt:lpstr>
      <vt:lpstr>1.3.1.10.</vt:lpstr>
      <vt:lpstr>1.3.1.11.</vt:lpstr>
      <vt:lpstr>1.3.1.12.</vt:lpstr>
      <vt:lpstr>Sheet1</vt:lpstr>
      <vt:lpstr>4.3.2.1.</vt:lpstr>
      <vt:lpstr>4.3.2.2.</vt:lpstr>
      <vt:lpstr>4.3.2.3.</vt:lpstr>
      <vt:lpstr>4.3.2.4.</vt:lpstr>
      <vt:lpstr>4.3.2.5.</vt:lpstr>
      <vt:lpstr>4.3.2.6.</vt:lpstr>
      <vt:lpstr>4.3.2.7.</vt:lpstr>
      <vt:lpstr>4.3.2.8.</vt:lpstr>
      <vt:lpstr>4.3.2.9.</vt:lpstr>
      <vt:lpstr>4.3.2.10.</vt:lpstr>
    </vt:vector>
  </TitlesOfParts>
  <Company>Labklājības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Grozījumi Ministru kabineta 2013.gada 24.septembra noteikumos Nr.1002 „Sociālās integrācijas valsts aģentūras sniegto maksas pakalpojumu cenrādis”</dc:title>
  <dc:subject>Pielikums anotācijai</dc:subject>
  <dc:creator>Installer;Līga Juste</dc:creator>
  <dc:description>Inese Ķīse, 67021651, Inese.Kise@lm.gov.lv, fakss 67021678</dc:description>
  <cp:lastModifiedBy>Inese Veinberga</cp:lastModifiedBy>
  <cp:lastPrinted>2023-03-28T09:08:22Z</cp:lastPrinted>
  <dcterms:created xsi:type="dcterms:W3CDTF">2008-09-26T08:09:16Z</dcterms:created>
  <dcterms:modified xsi:type="dcterms:W3CDTF">2023-06-19T08:57:34Z</dcterms:modified>
</cp:coreProperties>
</file>