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FAD17535-89BE-493B-BF3B-4F8EC1940C92}" xr6:coauthVersionLast="36" xr6:coauthVersionMax="36" xr10:uidLastSave="{00000000-0000-0000-0000-000000000000}"/>
  <bookViews>
    <workbookView xWindow="32770" yWindow="32770" windowWidth="19200" windowHeight="6350" tabRatio="783" firstSheet="1" activeTab="41"/>
  </bookViews>
  <sheets>
    <sheet name="Saturs" sheetId="75" state="hidden" r:id="rId1"/>
    <sheet name="Satura rādītājs" sheetId="119" r:id="rId2"/>
    <sheet name="1.1." sheetId="79" state="hidden" r:id="rId3"/>
    <sheet name="1.2." sheetId="78" state="hidden" r:id="rId4"/>
    <sheet name="1.3.(N)" sheetId="77" state="hidden" r:id="rId5"/>
    <sheet name="1.3." sheetId="94" state="hidden" r:id="rId6"/>
    <sheet name="1.4." sheetId="76" state="hidden" r:id="rId7"/>
    <sheet name="1.6." sheetId="121" state="hidden" r:id="rId8"/>
    <sheet name="1.7." sheetId="122" state="hidden" r:id="rId9"/>
    <sheet name="1.8." sheetId="123" state="hidden" r:id="rId10"/>
    <sheet name="1.5." sheetId="93" state="hidden" r:id="rId11"/>
    <sheet name="1.6.1." sheetId="99" state="hidden" r:id="rId12"/>
    <sheet name="1.9." sheetId="120" state="hidden" r:id="rId13"/>
    <sheet name="1.10." sheetId="101" state="hidden" r:id="rId14"/>
    <sheet name="1.6.4." sheetId="102" state="hidden" r:id="rId15"/>
    <sheet name="1.6.5." sheetId="103" state="hidden" r:id="rId16"/>
    <sheet name="1.6.6." sheetId="104" state="hidden" r:id="rId17"/>
    <sheet name="5.5.1.1." sheetId="106" state="hidden" r:id="rId18"/>
    <sheet name="5.5.1.2." sheetId="107" state="hidden" r:id="rId19"/>
    <sheet name="5.5.1.3." sheetId="108" state="hidden" r:id="rId20"/>
    <sheet name="5.5.3." sheetId="111" state="hidden" r:id="rId21"/>
    <sheet name="5.5.5." sheetId="109" state="hidden" r:id="rId22"/>
    <sheet name="5.5.8.2." sheetId="112" state="hidden" r:id="rId23"/>
    <sheet name="7.6.2." sheetId="124" state="hidden" r:id="rId24"/>
    <sheet name="7.7.2." sheetId="125" state="hidden" r:id="rId25"/>
    <sheet name="7.8.2." sheetId="126" state="hidden" r:id="rId26"/>
    <sheet name="7.12." sheetId="127" state="hidden" r:id="rId27"/>
    <sheet name="8.9." sheetId="113" state="hidden" r:id="rId28"/>
    <sheet name="8.10." sheetId="114" state="hidden" r:id="rId29"/>
    <sheet name="9.1.1.2." sheetId="129" state="hidden" r:id="rId30"/>
    <sheet name="9.1.2.2.(1.korpuss)" sheetId="130" state="hidden" r:id="rId31"/>
    <sheet name="9.1.3.2." sheetId="131" state="hidden" r:id="rId32"/>
    <sheet name="6.1.1." sheetId="141" r:id="rId33"/>
    <sheet name="6.1.2." sheetId="142" r:id="rId34"/>
    <sheet name="6.1.3." sheetId="144" r:id="rId35"/>
    <sheet name="6.1.4." sheetId="145" r:id="rId36"/>
    <sheet name="6.1.5." sheetId="140" r:id="rId37"/>
    <sheet name="6.2." sheetId="132" r:id="rId38"/>
    <sheet name="9.4." sheetId="134" state="hidden" r:id="rId39"/>
    <sheet name="6.3." sheetId="143" r:id="rId40"/>
    <sheet name="6.4." sheetId="116" r:id="rId41"/>
    <sheet name="6.5." sheetId="115" r:id="rId42"/>
    <sheet name="11.9.1." sheetId="137" state="hidden" r:id="rId43"/>
    <sheet name="11.9.2." sheetId="138" state="hidden" r:id="rId44"/>
    <sheet name="11.9.3." sheetId="139" state="hidden" r:id="rId45"/>
    <sheet name="11.11.2." sheetId="117" state="hidden" r:id="rId46"/>
    <sheet name="11.13." sheetId="118" state="hidden" r:id="rId47"/>
    <sheet name="11.13._ppn" sheetId="105" state="hidden" r:id="rId48"/>
    <sheet name="1.6.2." sheetId="98" state="hidden" r:id="rId49"/>
    <sheet name="2.1." sheetId="95" state="hidden" r:id="rId50"/>
    <sheet name="2.2." sheetId="96" state="hidden" r:id="rId51"/>
    <sheet name="2.3." sheetId="81" state="hidden" r:id="rId52"/>
    <sheet name="2.4." sheetId="80" state="hidden" r:id="rId53"/>
    <sheet name="2.5." sheetId="97" state="hidden" r:id="rId54"/>
    <sheet name="3.1.1." sheetId="88" state="hidden" r:id="rId55"/>
    <sheet name="3.1.2." sheetId="87" state="hidden" r:id="rId56"/>
    <sheet name="3.1.3." sheetId="90" state="hidden" r:id="rId57"/>
    <sheet name="3.2.1." sheetId="91" state="hidden" r:id="rId58"/>
    <sheet name="3.2.2." sheetId="92" state="hidden" r:id="rId59"/>
    <sheet name="3.2.3." sheetId="89" state="hidden" r:id="rId60"/>
  </sheets>
  <externalReferences>
    <externalReference r:id="rId61"/>
    <externalReference r:id="rId62"/>
    <externalReference r:id="rId63"/>
    <externalReference r:id="rId64"/>
  </externalReferences>
  <calcPr calcId="191029"/>
</workbook>
</file>

<file path=xl/calcChain.xml><?xml version="1.0" encoding="utf-8"?>
<calcChain xmlns="http://schemas.openxmlformats.org/spreadsheetml/2006/main">
  <c r="D19" i="116" l="1"/>
  <c r="D32" i="116"/>
  <c r="E31" i="143"/>
  <c r="E34" i="116"/>
  <c r="D60" i="115"/>
  <c r="E60" i="115"/>
  <c r="C18" i="134"/>
  <c r="D29" i="132"/>
  <c r="D30" i="132"/>
  <c r="C26" i="132"/>
  <c r="C25" i="132"/>
  <c r="C23" i="132"/>
  <c r="C21" i="132"/>
  <c r="C20" i="132"/>
  <c r="C22" i="132"/>
  <c r="C18" i="132"/>
  <c r="C19" i="132"/>
  <c r="C27" i="132"/>
  <c r="E36" i="145"/>
  <c r="E36" i="142"/>
  <c r="D19" i="142"/>
  <c r="E36" i="141"/>
  <c r="D30" i="145"/>
  <c r="D31" i="145"/>
  <c r="C19" i="145"/>
  <c r="C20" i="145"/>
  <c r="C28" i="145"/>
  <c r="E36" i="144"/>
  <c r="D27" i="143"/>
  <c r="D28" i="143"/>
  <c r="D27" i="134"/>
  <c r="D28" i="134"/>
  <c r="D30" i="144"/>
  <c r="D31" i="144"/>
  <c r="C30" i="142"/>
  <c r="C31" i="142"/>
  <c r="C30" i="141"/>
  <c r="C31" i="141"/>
  <c r="C30" i="129"/>
  <c r="C31" i="129"/>
  <c r="D30" i="140"/>
  <c r="E36" i="129"/>
  <c r="E36" i="140"/>
  <c r="D31" i="140"/>
  <c r="D39" i="140"/>
  <c r="D19" i="129"/>
  <c r="D20" i="142"/>
  <c r="D28" i="142"/>
  <c r="D20" i="141"/>
  <c r="D28" i="141"/>
  <c r="C23" i="140"/>
  <c r="E36" i="143"/>
  <c r="C18" i="143"/>
  <c r="C19" i="134"/>
  <c r="E38" i="132"/>
  <c r="E39" i="141"/>
  <c r="E39" i="144"/>
  <c r="C19" i="144"/>
  <c r="E39" i="129"/>
  <c r="D20" i="129"/>
  <c r="E39" i="140"/>
  <c r="C19" i="140"/>
  <c r="C25" i="115"/>
  <c r="C26" i="115"/>
  <c r="C27" i="115"/>
  <c r="C28" i="115"/>
  <c r="C29" i="115"/>
  <c r="C63" i="115"/>
  <c r="C21" i="115"/>
  <c r="C22" i="115"/>
  <c r="C30" i="115"/>
  <c r="C64" i="115"/>
  <c r="C23" i="115"/>
  <c r="E33" i="115"/>
  <c r="E35" i="115"/>
  <c r="E39" i="115"/>
  <c r="E40" i="115"/>
  <c r="E41" i="115"/>
  <c r="E42" i="115"/>
  <c r="E43" i="115"/>
  <c r="E45" i="115"/>
  <c r="E46" i="115"/>
  <c r="E47" i="115"/>
  <c r="E48" i="115"/>
  <c r="E49" i="115"/>
  <c r="E50" i="115"/>
  <c r="E52" i="115"/>
  <c r="E53" i="115"/>
  <c r="E58" i="115"/>
  <c r="E59" i="115"/>
  <c r="E61" i="115"/>
  <c r="E62" i="115"/>
  <c r="E32" i="115"/>
  <c r="E20" i="115"/>
  <c r="E23" i="115"/>
  <c r="E24" i="115"/>
  <c r="E25" i="115"/>
  <c r="E27" i="115"/>
  <c r="E28" i="115"/>
  <c r="E29" i="115"/>
  <c r="D55" i="115"/>
  <c r="E55" i="115"/>
  <c r="D54" i="115"/>
  <c r="E54" i="115"/>
  <c r="D38" i="115"/>
  <c r="E38" i="115"/>
  <c r="D37" i="115"/>
  <c r="E37" i="115"/>
  <c r="D26" i="115"/>
  <c r="E26" i="115"/>
  <c r="D22" i="115"/>
  <c r="E22" i="115"/>
  <c r="D21" i="115"/>
  <c r="E21" i="115"/>
  <c r="C54" i="116"/>
  <c r="D54" i="116"/>
  <c r="D64" i="116"/>
  <c r="C53" i="116"/>
  <c r="D53" i="116"/>
  <c r="C38" i="116"/>
  <c r="C64" i="116"/>
  <c r="C37" i="116"/>
  <c r="C26" i="116"/>
  <c r="D26" i="116"/>
  <c r="C22" i="116"/>
  <c r="D22" i="116"/>
  <c r="C21" i="116"/>
  <c r="D21" i="116"/>
  <c r="E71" i="137"/>
  <c r="D70" i="137"/>
  <c r="D69" i="137"/>
  <c r="D68" i="137"/>
  <c r="D67" i="137"/>
  <c r="D66" i="137"/>
  <c r="D65" i="137"/>
  <c r="D64" i="137"/>
  <c r="D63" i="137"/>
  <c r="D62" i="137"/>
  <c r="D61" i="137"/>
  <c r="D60" i="137"/>
  <c r="D59" i="137"/>
  <c r="D58" i="137"/>
  <c r="D57" i="137"/>
  <c r="D56" i="137"/>
  <c r="D55" i="137"/>
  <c r="D54" i="137"/>
  <c r="D53" i="137"/>
  <c r="D51" i="137"/>
  <c r="D50" i="137"/>
  <c r="D49" i="137"/>
  <c r="D48" i="137"/>
  <c r="D47" i="137"/>
  <c r="D46" i="137"/>
  <c r="D45" i="137"/>
  <c r="D44" i="137"/>
  <c r="D43" i="137"/>
  <c r="D42" i="137"/>
  <c r="D41" i="137"/>
  <c r="D40" i="137"/>
  <c r="D39" i="137"/>
  <c r="D38" i="137"/>
  <c r="D37" i="137"/>
  <c r="D36" i="137"/>
  <c r="D35" i="137"/>
  <c r="D34" i="137"/>
  <c r="D33" i="137"/>
  <c r="D32" i="137"/>
  <c r="D31" i="137"/>
  <c r="C30" i="137"/>
  <c r="C29" i="137"/>
  <c r="C71" i="137"/>
  <c r="D27" i="137"/>
  <c r="E26" i="137"/>
  <c r="E24" i="137"/>
  <c r="E25" i="137"/>
  <c r="E23" i="137"/>
  <c r="E22" i="137"/>
  <c r="E21" i="137"/>
  <c r="E19" i="137"/>
  <c r="D71" i="138"/>
  <c r="D70" i="138"/>
  <c r="D69" i="138"/>
  <c r="D68" i="138"/>
  <c r="D67" i="138"/>
  <c r="D66" i="138"/>
  <c r="D65" i="138"/>
  <c r="D64" i="138"/>
  <c r="D63" i="138"/>
  <c r="D62" i="138"/>
  <c r="D61" i="138"/>
  <c r="D60" i="138"/>
  <c r="D59" i="138"/>
  <c r="D58" i="138"/>
  <c r="D57" i="138"/>
  <c r="D56" i="138"/>
  <c r="D55" i="138"/>
  <c r="D54" i="138"/>
  <c r="D52" i="138"/>
  <c r="D51" i="138"/>
  <c r="D50" i="138"/>
  <c r="D49" i="138"/>
  <c r="D48" i="138"/>
  <c r="D47" i="138"/>
  <c r="D46" i="138"/>
  <c r="D45" i="138"/>
  <c r="D44" i="138"/>
  <c r="E43" i="138"/>
  <c r="E72" i="138"/>
  <c r="D43" i="138"/>
  <c r="D42" i="138"/>
  <c r="D41" i="138"/>
  <c r="D40" i="138"/>
  <c r="D39" i="138"/>
  <c r="D38" i="138"/>
  <c r="D37" i="138"/>
  <c r="D36" i="138"/>
  <c r="D35" i="138"/>
  <c r="D34" i="138"/>
  <c r="D33" i="138"/>
  <c r="D32" i="138"/>
  <c r="C31" i="138"/>
  <c r="C72" i="138"/>
  <c r="C30" i="138"/>
  <c r="D30" i="138"/>
  <c r="D28" i="138"/>
  <c r="E27" i="138"/>
  <c r="E26" i="138"/>
  <c r="E25" i="138"/>
  <c r="E24" i="138"/>
  <c r="E23" i="138"/>
  <c r="E28" i="138"/>
  <c r="E73" i="138"/>
  <c r="E76" i="138"/>
  <c r="E22" i="138"/>
  <c r="E21" i="138"/>
  <c r="E19" i="138"/>
  <c r="E72" i="139"/>
  <c r="D71" i="139"/>
  <c r="D70" i="139"/>
  <c r="D69" i="139"/>
  <c r="D68" i="139"/>
  <c r="D67" i="139"/>
  <c r="D66" i="139"/>
  <c r="D65" i="139"/>
  <c r="D64" i="139"/>
  <c r="D63" i="139"/>
  <c r="D62" i="139"/>
  <c r="D61" i="139"/>
  <c r="D60" i="139"/>
  <c r="D59" i="139"/>
  <c r="D58" i="139"/>
  <c r="D57" i="139"/>
  <c r="D56" i="139"/>
  <c r="D55" i="139"/>
  <c r="D54" i="139"/>
  <c r="D52" i="139"/>
  <c r="D51" i="139"/>
  <c r="D50" i="139"/>
  <c r="D49" i="139"/>
  <c r="D48" i="139"/>
  <c r="D47" i="139"/>
  <c r="D46" i="139"/>
  <c r="D45" i="139"/>
  <c r="D44" i="139"/>
  <c r="D43" i="139"/>
  <c r="D42" i="139"/>
  <c r="D41" i="139"/>
  <c r="D40" i="139"/>
  <c r="D39" i="139"/>
  <c r="D38" i="139"/>
  <c r="D37" i="139"/>
  <c r="D36" i="139"/>
  <c r="D35" i="139"/>
  <c r="D34" i="139"/>
  <c r="D33" i="139"/>
  <c r="D32" i="139"/>
  <c r="C30" i="139"/>
  <c r="D30" i="139"/>
  <c r="C31" i="139"/>
  <c r="D28" i="139"/>
  <c r="E27" i="139"/>
  <c r="E26" i="139"/>
  <c r="E25" i="139"/>
  <c r="E24" i="139"/>
  <c r="E23" i="139"/>
  <c r="E22" i="139"/>
  <c r="E28" i="139"/>
  <c r="E73" i="139"/>
  <c r="E76" i="139"/>
  <c r="E21" i="139"/>
  <c r="E19" i="139"/>
  <c r="D36" i="118"/>
  <c r="D37" i="118"/>
  <c r="D38" i="118"/>
  <c r="D39" i="118"/>
  <c r="D40" i="118"/>
  <c r="D41" i="118"/>
  <c r="D42" i="118"/>
  <c r="D43" i="118"/>
  <c r="D44" i="118"/>
  <c r="D45" i="118"/>
  <c r="D46" i="118"/>
  <c r="D47" i="118"/>
  <c r="D48" i="118"/>
  <c r="D49" i="118"/>
  <c r="D50" i="118"/>
  <c r="D51" i="118"/>
  <c r="D52" i="118"/>
  <c r="D53" i="118"/>
  <c r="D54" i="118"/>
  <c r="D55" i="118"/>
  <c r="D56" i="118"/>
  <c r="D57" i="118"/>
  <c r="D58" i="118"/>
  <c r="D59" i="118"/>
  <c r="D60" i="118"/>
  <c r="D61" i="118"/>
  <c r="D62" i="118"/>
  <c r="D63" i="118"/>
  <c r="D64" i="118"/>
  <c r="D65" i="118"/>
  <c r="D66" i="118"/>
  <c r="D67" i="118"/>
  <c r="D68" i="118"/>
  <c r="D69" i="118"/>
  <c r="D70" i="118"/>
  <c r="D71" i="118"/>
  <c r="D72" i="118"/>
  <c r="D73" i="118"/>
  <c r="D74" i="118"/>
  <c r="D75" i="118"/>
  <c r="D19" i="118"/>
  <c r="D20" i="118"/>
  <c r="D21" i="118"/>
  <c r="D22" i="118"/>
  <c r="D23" i="118"/>
  <c r="D24" i="118"/>
  <c r="D25" i="118"/>
  <c r="D26" i="118"/>
  <c r="D27" i="118"/>
  <c r="D28" i="118"/>
  <c r="D29" i="118"/>
  <c r="D30" i="118"/>
  <c r="D31" i="118"/>
  <c r="D32" i="118"/>
  <c r="D33" i="131"/>
  <c r="D38" i="131"/>
  <c r="C38" i="131"/>
  <c r="C39" i="131"/>
  <c r="C42" i="131"/>
  <c r="D26" i="131"/>
  <c r="C26" i="131"/>
  <c r="D25" i="130"/>
  <c r="D36" i="130"/>
  <c r="D37" i="130"/>
  <c r="D40" i="130"/>
  <c r="C36" i="130"/>
  <c r="C37" i="130"/>
  <c r="C40" i="130"/>
  <c r="C25" i="130"/>
  <c r="D39" i="131"/>
  <c r="D42" i="131"/>
  <c r="D35" i="127"/>
  <c r="D19" i="126"/>
  <c r="D36" i="126"/>
  <c r="D63" i="126"/>
  <c r="D66" i="126"/>
  <c r="D62" i="126"/>
  <c r="D36" i="125"/>
  <c r="D58" i="125"/>
  <c r="D62" i="125"/>
  <c r="D51" i="124"/>
  <c r="D62" i="124"/>
  <c r="D63" i="124"/>
  <c r="D66" i="124"/>
  <c r="D61" i="127"/>
  <c r="C61" i="127"/>
  <c r="C62" i="127"/>
  <c r="C65" i="127"/>
  <c r="C35" i="127"/>
  <c r="C62" i="126"/>
  <c r="C63" i="126"/>
  <c r="C66" i="126"/>
  <c r="C36" i="126"/>
  <c r="C62" i="125"/>
  <c r="C63" i="125"/>
  <c r="C66" i="125"/>
  <c r="C36" i="125"/>
  <c r="D36" i="124"/>
  <c r="C62" i="124"/>
  <c r="C36" i="124"/>
  <c r="C52" i="105"/>
  <c r="D44" i="115"/>
  <c r="E44" i="115"/>
  <c r="C52" i="101"/>
  <c r="D52" i="101"/>
  <c r="D35" i="112"/>
  <c r="D36" i="112"/>
  <c r="D37" i="112"/>
  <c r="D38" i="112"/>
  <c r="D39" i="112"/>
  <c r="D40" i="112"/>
  <c r="D41" i="112"/>
  <c r="D42" i="112"/>
  <c r="D43" i="112"/>
  <c r="D44" i="112"/>
  <c r="D45" i="112"/>
  <c r="D46" i="112"/>
  <c r="D47" i="112"/>
  <c r="D48" i="112"/>
  <c r="D49" i="112"/>
  <c r="D50" i="112"/>
  <c r="D51" i="112"/>
  <c r="D52" i="112"/>
  <c r="D53" i="112"/>
  <c r="D54" i="112"/>
  <c r="D55" i="112"/>
  <c r="D56" i="112"/>
  <c r="D57" i="112"/>
  <c r="D58" i="112"/>
  <c r="D59" i="112"/>
  <c r="D60" i="112"/>
  <c r="D61" i="112"/>
  <c r="D62" i="112"/>
  <c r="D63" i="112"/>
  <c r="D64" i="112"/>
  <c r="D65" i="112"/>
  <c r="D66" i="112"/>
  <c r="D67" i="112"/>
  <c r="D68" i="112"/>
  <c r="D34" i="112"/>
  <c r="D77" i="112"/>
  <c r="D21" i="112"/>
  <c r="D22" i="112"/>
  <c r="D23" i="112"/>
  <c r="D24" i="112"/>
  <c r="D25" i="112"/>
  <c r="D26" i="112"/>
  <c r="D27" i="112"/>
  <c r="D28" i="112"/>
  <c r="D29" i="112"/>
  <c r="D30" i="112"/>
  <c r="D31" i="112"/>
  <c r="D20" i="112"/>
  <c r="D32" i="112"/>
  <c r="C66" i="123"/>
  <c r="D51" i="123"/>
  <c r="D20" i="123"/>
  <c r="D23" i="123"/>
  <c r="D25" i="123"/>
  <c r="D31" i="123"/>
  <c r="D36" i="123"/>
  <c r="D32" i="123"/>
  <c r="C48" i="123"/>
  <c r="D48" i="123"/>
  <c r="C50" i="123"/>
  <c r="D50" i="123"/>
  <c r="D59" i="123"/>
  <c r="C51" i="123"/>
  <c r="C35" i="123"/>
  <c r="C36" i="123"/>
  <c r="D51" i="122"/>
  <c r="D20" i="122"/>
  <c r="D23" i="122"/>
  <c r="D25" i="122"/>
  <c r="D32" i="122"/>
  <c r="D36" i="122"/>
  <c r="C27" i="122"/>
  <c r="C34" i="122"/>
  <c r="C18" i="122"/>
  <c r="C26" i="122"/>
  <c r="C36" i="122"/>
  <c r="C60" i="122"/>
  <c r="C63" i="122"/>
  <c r="C51" i="122"/>
  <c r="C48" i="122"/>
  <c r="D48" i="122"/>
  <c r="D20" i="121"/>
  <c r="D23" i="121"/>
  <c r="D25" i="121"/>
  <c r="D31" i="121"/>
  <c r="D32" i="121"/>
  <c r="C19" i="121"/>
  <c r="C18" i="121"/>
  <c r="C48" i="121"/>
  <c r="D48" i="121"/>
  <c r="C50" i="121"/>
  <c r="D50" i="121"/>
  <c r="C51" i="121"/>
  <c r="D51" i="121"/>
  <c r="C50" i="122"/>
  <c r="D50" i="122"/>
  <c r="C59" i="121"/>
  <c r="C36" i="121"/>
  <c r="C60" i="121"/>
  <c r="C63" i="121"/>
  <c r="E19" i="115"/>
  <c r="E30" i="115"/>
  <c r="D33" i="116"/>
  <c r="D35" i="116"/>
  <c r="D39" i="116"/>
  <c r="D40" i="116"/>
  <c r="D41" i="116"/>
  <c r="D42" i="116"/>
  <c r="D43" i="116"/>
  <c r="D44" i="116"/>
  <c r="D45" i="116"/>
  <c r="D46" i="116"/>
  <c r="D47" i="116"/>
  <c r="D48" i="116"/>
  <c r="D49" i="116"/>
  <c r="D51" i="116"/>
  <c r="D52" i="116"/>
  <c r="D57" i="116"/>
  <c r="D59" i="116"/>
  <c r="D60" i="116"/>
  <c r="D62" i="116"/>
  <c r="D63" i="116"/>
  <c r="E63" i="116"/>
  <c r="D20" i="116"/>
  <c r="D30" i="116"/>
  <c r="D65" i="116"/>
  <c r="D68" i="116"/>
  <c r="D23" i="116"/>
  <c r="D24" i="116"/>
  <c r="D25" i="116"/>
  <c r="D27" i="116"/>
  <c r="D28" i="116"/>
  <c r="D29" i="116"/>
  <c r="D35" i="118"/>
  <c r="D18" i="118"/>
  <c r="D41" i="105"/>
  <c r="D42" i="105"/>
  <c r="D43" i="105"/>
  <c r="D44" i="105"/>
  <c r="D45" i="105"/>
  <c r="D46" i="105"/>
  <c r="D47" i="105"/>
  <c r="D48" i="105"/>
  <c r="D49" i="105"/>
  <c r="D50" i="105"/>
  <c r="D51" i="105"/>
  <c r="D52" i="105"/>
  <c r="D53" i="105"/>
  <c r="D54" i="105"/>
  <c r="D55" i="105"/>
  <c r="D56" i="105"/>
  <c r="D57" i="105"/>
  <c r="D58" i="105"/>
  <c r="D59" i="105"/>
  <c r="D60" i="105"/>
  <c r="D61" i="105"/>
  <c r="D62" i="105"/>
  <c r="D63" i="105"/>
  <c r="D64" i="105"/>
  <c r="D65" i="105"/>
  <c r="D66" i="105"/>
  <c r="D67" i="105"/>
  <c r="D40" i="105"/>
  <c r="D19" i="105"/>
  <c r="D20" i="105"/>
  <c r="D21" i="105"/>
  <c r="D22" i="105"/>
  <c r="D23" i="105"/>
  <c r="D24" i="105"/>
  <c r="D25" i="105"/>
  <c r="D26" i="105"/>
  <c r="D27" i="105"/>
  <c r="D28" i="105"/>
  <c r="D29" i="105"/>
  <c r="D30" i="105"/>
  <c r="D31" i="105"/>
  <c r="D32" i="105"/>
  <c r="D33" i="105"/>
  <c r="D34" i="105"/>
  <c r="D35" i="105"/>
  <c r="D36" i="105"/>
  <c r="D37" i="105"/>
  <c r="D18" i="105"/>
  <c r="D42" i="120"/>
  <c r="D43" i="120"/>
  <c r="D44" i="120"/>
  <c r="D45" i="120"/>
  <c r="D46" i="120"/>
  <c r="D47" i="120"/>
  <c r="D48" i="120"/>
  <c r="D49" i="120"/>
  <c r="D50" i="120"/>
  <c r="D51" i="120"/>
  <c r="D52" i="120"/>
  <c r="D53" i="120"/>
  <c r="D54" i="120"/>
  <c r="D55" i="120"/>
  <c r="D56" i="120"/>
  <c r="D57" i="120"/>
  <c r="D58" i="120"/>
  <c r="D59" i="120"/>
  <c r="D60" i="120"/>
  <c r="D61" i="120"/>
  <c r="D62" i="120"/>
  <c r="D63" i="120"/>
  <c r="D64" i="120"/>
  <c r="D65" i="120"/>
  <c r="D66" i="120"/>
  <c r="D67" i="120"/>
  <c r="D41" i="120"/>
  <c r="D70" i="120"/>
  <c r="D19" i="120"/>
  <c r="D20" i="120"/>
  <c r="D21" i="120"/>
  <c r="D22" i="120"/>
  <c r="D23" i="120"/>
  <c r="D24" i="120"/>
  <c r="D25" i="120"/>
  <c r="D26" i="120"/>
  <c r="D27" i="120"/>
  <c r="D28" i="120"/>
  <c r="D29" i="120"/>
  <c r="D30" i="120"/>
  <c r="D31" i="120"/>
  <c r="D32" i="120"/>
  <c r="D33" i="120"/>
  <c r="D34" i="120"/>
  <c r="D35" i="120"/>
  <c r="D36" i="120"/>
  <c r="D37" i="120"/>
  <c r="D18" i="120"/>
  <c r="C70" i="120"/>
  <c r="D69" i="120"/>
  <c r="D68" i="120"/>
  <c r="C39" i="120"/>
  <c r="C76" i="118"/>
  <c r="C33" i="118"/>
  <c r="D37" i="117"/>
  <c r="D38" i="117"/>
  <c r="D39" i="117"/>
  <c r="D40" i="117"/>
  <c r="D41" i="117"/>
  <c r="D42" i="117"/>
  <c r="D43" i="117"/>
  <c r="D44" i="117"/>
  <c r="D45" i="117"/>
  <c r="D46" i="117"/>
  <c r="D47" i="117"/>
  <c r="D48" i="117"/>
  <c r="D49" i="117"/>
  <c r="D50" i="117"/>
  <c r="D51" i="117"/>
  <c r="D52" i="117"/>
  <c r="D53" i="117"/>
  <c r="D54" i="117"/>
  <c r="D55" i="117"/>
  <c r="D56" i="117"/>
  <c r="D57" i="117"/>
  <c r="D58" i="117"/>
  <c r="D59" i="117"/>
  <c r="D60" i="117"/>
  <c r="D61" i="117"/>
  <c r="D62" i="117"/>
  <c r="D63" i="117"/>
  <c r="D64" i="117"/>
  <c r="D65" i="117"/>
  <c r="D66" i="117"/>
  <c r="D67" i="117"/>
  <c r="D68" i="117"/>
  <c r="D69" i="117"/>
  <c r="D70" i="117"/>
  <c r="D71" i="117"/>
  <c r="D72" i="117"/>
  <c r="D36" i="117"/>
  <c r="D81" i="117"/>
  <c r="D82" i="117"/>
  <c r="D85" i="117"/>
  <c r="D21" i="117"/>
  <c r="D34" i="117"/>
  <c r="D22" i="117"/>
  <c r="D23" i="117"/>
  <c r="D24" i="117"/>
  <c r="D25" i="117"/>
  <c r="D26" i="117"/>
  <c r="D27" i="117"/>
  <c r="D28" i="117"/>
  <c r="D29" i="117"/>
  <c r="D30" i="117"/>
  <c r="D31" i="117"/>
  <c r="D32" i="117"/>
  <c r="D33" i="117"/>
  <c r="D20" i="117"/>
  <c r="C34" i="117"/>
  <c r="C81" i="117"/>
  <c r="C82" i="117"/>
  <c r="C85" i="117"/>
  <c r="D80" i="117"/>
  <c r="D77" i="117"/>
  <c r="D76" i="117"/>
  <c r="D75" i="117"/>
  <c r="D74" i="117"/>
  <c r="D73" i="117"/>
  <c r="D35" i="109"/>
  <c r="D77" i="109"/>
  <c r="D36" i="109"/>
  <c r="D37" i="109"/>
  <c r="D38" i="109"/>
  <c r="D39" i="109"/>
  <c r="D40" i="109"/>
  <c r="D41" i="109"/>
  <c r="D42" i="109"/>
  <c r="D43" i="109"/>
  <c r="D44" i="109"/>
  <c r="D45" i="109"/>
  <c r="D46" i="109"/>
  <c r="D47" i="109"/>
  <c r="D48" i="109"/>
  <c r="D49" i="109"/>
  <c r="D50" i="109"/>
  <c r="D51" i="109"/>
  <c r="D52" i="109"/>
  <c r="D53" i="109"/>
  <c r="D54" i="109"/>
  <c r="D55" i="109"/>
  <c r="D56" i="109"/>
  <c r="D57" i="109"/>
  <c r="D58" i="109"/>
  <c r="D59" i="109"/>
  <c r="D60" i="109"/>
  <c r="D61" i="109"/>
  <c r="D62" i="109"/>
  <c r="D63" i="109"/>
  <c r="D64" i="109"/>
  <c r="D65" i="109"/>
  <c r="D66" i="109"/>
  <c r="D67" i="109"/>
  <c r="D68" i="109"/>
  <c r="D34" i="109"/>
  <c r="D21" i="109"/>
  <c r="D22" i="109"/>
  <c r="D23" i="109"/>
  <c r="D24" i="109"/>
  <c r="D25" i="109"/>
  <c r="D26" i="109"/>
  <c r="D27" i="109"/>
  <c r="D28" i="109"/>
  <c r="D30" i="109"/>
  <c r="D31" i="109"/>
  <c r="D20" i="109"/>
  <c r="D34" i="111"/>
  <c r="D35" i="111"/>
  <c r="D36" i="111"/>
  <c r="D37" i="111"/>
  <c r="D38" i="111"/>
  <c r="D39" i="111"/>
  <c r="D40" i="111"/>
  <c r="D41" i="111"/>
  <c r="D42" i="111"/>
  <c r="D43" i="111"/>
  <c r="D44" i="111"/>
  <c r="D45" i="111"/>
  <c r="D46" i="111"/>
  <c r="D47" i="111"/>
  <c r="D48" i="111"/>
  <c r="D49" i="111"/>
  <c r="D50" i="111"/>
  <c r="D51" i="111"/>
  <c r="D52" i="111"/>
  <c r="D53" i="111"/>
  <c r="D54" i="111"/>
  <c r="D55" i="111"/>
  <c r="D56" i="111"/>
  <c r="D57" i="111"/>
  <c r="D58" i="111"/>
  <c r="D59" i="111"/>
  <c r="D60" i="111"/>
  <c r="D61" i="111"/>
  <c r="D62" i="111"/>
  <c r="D63" i="111"/>
  <c r="D64" i="111"/>
  <c r="D65" i="111"/>
  <c r="D66" i="111"/>
  <c r="D67" i="111"/>
  <c r="D33" i="111"/>
  <c r="D74" i="111"/>
  <c r="D20" i="111"/>
  <c r="D21" i="111"/>
  <c r="D22" i="111"/>
  <c r="D23" i="111"/>
  <c r="D24" i="111"/>
  <c r="D25" i="111"/>
  <c r="D26" i="111"/>
  <c r="D27" i="111"/>
  <c r="D29" i="111"/>
  <c r="D30" i="111"/>
  <c r="D19" i="111"/>
  <c r="D35" i="108"/>
  <c r="D36" i="108"/>
  <c r="D37" i="108"/>
  <c r="D38" i="108"/>
  <c r="D77" i="108"/>
  <c r="D39" i="108"/>
  <c r="D40" i="108"/>
  <c r="D41" i="108"/>
  <c r="D42" i="108"/>
  <c r="D43" i="108"/>
  <c r="D44" i="108"/>
  <c r="D45" i="108"/>
  <c r="D46" i="108"/>
  <c r="D47" i="108"/>
  <c r="D48" i="108"/>
  <c r="D49" i="108"/>
  <c r="D50" i="108"/>
  <c r="D51" i="108"/>
  <c r="D52" i="108"/>
  <c r="D53" i="108"/>
  <c r="D54" i="108"/>
  <c r="D55" i="108"/>
  <c r="D56" i="108"/>
  <c r="D57" i="108"/>
  <c r="D58" i="108"/>
  <c r="D59" i="108"/>
  <c r="D60" i="108"/>
  <c r="D61" i="108"/>
  <c r="D62" i="108"/>
  <c r="D63" i="108"/>
  <c r="D64" i="108"/>
  <c r="D65" i="108"/>
  <c r="D66" i="108"/>
  <c r="D67" i="108"/>
  <c r="D68" i="108"/>
  <c r="D34" i="108"/>
  <c r="D21" i="108"/>
  <c r="D22" i="108"/>
  <c r="D32" i="108"/>
  <c r="D78" i="108"/>
  <c r="D81" i="108"/>
  <c r="D23" i="108"/>
  <c r="D24" i="108"/>
  <c r="D25" i="108"/>
  <c r="D26" i="108"/>
  <c r="D27" i="108"/>
  <c r="D28" i="108"/>
  <c r="D29" i="108"/>
  <c r="D30" i="108"/>
  <c r="D31" i="108"/>
  <c r="D20" i="108"/>
  <c r="D35" i="107"/>
  <c r="D36" i="107"/>
  <c r="D37" i="107"/>
  <c r="D38" i="107"/>
  <c r="D39" i="107"/>
  <c r="D40" i="107"/>
  <c r="D41" i="107"/>
  <c r="D42" i="107"/>
  <c r="D43" i="107"/>
  <c r="D44" i="107"/>
  <c r="D45" i="107"/>
  <c r="D46" i="107"/>
  <c r="D47" i="107"/>
  <c r="D48" i="107"/>
  <c r="D49" i="107"/>
  <c r="D79" i="107"/>
  <c r="D50" i="107"/>
  <c r="D51" i="107"/>
  <c r="D52" i="107"/>
  <c r="D53" i="107"/>
  <c r="D54" i="107"/>
  <c r="D55" i="107"/>
  <c r="D56" i="107"/>
  <c r="D57" i="107"/>
  <c r="D58" i="107"/>
  <c r="D59" i="107"/>
  <c r="D60" i="107"/>
  <c r="D61" i="107"/>
  <c r="D62" i="107"/>
  <c r="D63" i="107"/>
  <c r="D64" i="107"/>
  <c r="D65" i="107"/>
  <c r="D66" i="107"/>
  <c r="D67" i="107"/>
  <c r="D68" i="107"/>
  <c r="D69" i="107"/>
  <c r="D70" i="107"/>
  <c r="D34" i="107"/>
  <c r="D21" i="107"/>
  <c r="D22" i="107"/>
  <c r="D32" i="107"/>
  <c r="D23" i="107"/>
  <c r="D24" i="107"/>
  <c r="D25" i="107"/>
  <c r="D26" i="107"/>
  <c r="D27" i="107"/>
  <c r="D28" i="107"/>
  <c r="D29" i="107"/>
  <c r="D30" i="107"/>
  <c r="D31" i="107"/>
  <c r="D20" i="107"/>
  <c r="C30" i="116"/>
  <c r="C65" i="116"/>
  <c r="C68" i="116"/>
  <c r="D34" i="115"/>
  <c r="E34" i="115"/>
  <c r="D36" i="115"/>
  <c r="E36" i="115"/>
  <c r="D51" i="115"/>
  <c r="E51" i="115"/>
  <c r="D56" i="115"/>
  <c r="E56" i="115"/>
  <c r="D57" i="115"/>
  <c r="E57" i="115"/>
  <c r="D35" i="114"/>
  <c r="D36" i="114"/>
  <c r="D37" i="114"/>
  <c r="D38" i="114"/>
  <c r="D39" i="114"/>
  <c r="D40" i="114"/>
  <c r="D41" i="114"/>
  <c r="D42" i="114"/>
  <c r="D43" i="114"/>
  <c r="D44" i="114"/>
  <c r="D45" i="114"/>
  <c r="D46" i="114"/>
  <c r="D47" i="114"/>
  <c r="D48" i="114"/>
  <c r="D49" i="114"/>
  <c r="D50" i="114"/>
  <c r="D51" i="114"/>
  <c r="D52" i="114"/>
  <c r="D53" i="114"/>
  <c r="D54" i="114"/>
  <c r="D34" i="114"/>
  <c r="D28" i="114"/>
  <c r="C35" i="114"/>
  <c r="C60" i="114"/>
  <c r="C32" i="114"/>
  <c r="C61" i="114"/>
  <c r="C64" i="114"/>
  <c r="D31" i="114"/>
  <c r="D30" i="114"/>
  <c r="D29" i="114"/>
  <c r="D27" i="114"/>
  <c r="D26" i="114"/>
  <c r="D25" i="114"/>
  <c r="D24" i="114"/>
  <c r="D23" i="114"/>
  <c r="D22" i="114"/>
  <c r="D32" i="114"/>
  <c r="D21" i="114"/>
  <c r="D20" i="114"/>
  <c r="D19" i="114"/>
  <c r="D60" i="114"/>
  <c r="D35" i="113"/>
  <c r="D36" i="113"/>
  <c r="D37" i="113"/>
  <c r="D38" i="113"/>
  <c r="D39" i="113"/>
  <c r="D40" i="113"/>
  <c r="D41" i="113"/>
  <c r="D42" i="113"/>
  <c r="D43" i="113"/>
  <c r="D44" i="113"/>
  <c r="D45" i="113"/>
  <c r="D46" i="113"/>
  <c r="D47" i="113"/>
  <c r="D48" i="113"/>
  <c r="D49" i="113"/>
  <c r="D50" i="113"/>
  <c r="D51" i="113"/>
  <c r="D52" i="113"/>
  <c r="D53" i="113"/>
  <c r="D34" i="113"/>
  <c r="D60" i="113"/>
  <c r="D61" i="113"/>
  <c r="D64" i="113"/>
  <c r="D20" i="113"/>
  <c r="D21" i="113"/>
  <c r="D22" i="113"/>
  <c r="D23" i="113"/>
  <c r="D24" i="113"/>
  <c r="D25" i="113"/>
  <c r="D26" i="113"/>
  <c r="D27" i="113"/>
  <c r="D28" i="113"/>
  <c r="D29" i="113"/>
  <c r="D30" i="113"/>
  <c r="D31" i="113"/>
  <c r="D19" i="113"/>
  <c r="C60" i="113"/>
  <c r="C61" i="113"/>
  <c r="C64" i="113"/>
  <c r="C32" i="113"/>
  <c r="C77" i="112"/>
  <c r="C78" i="112"/>
  <c r="C81" i="112"/>
  <c r="D76" i="112"/>
  <c r="D73" i="112"/>
  <c r="D72" i="112"/>
  <c r="D71" i="112"/>
  <c r="D70" i="112"/>
  <c r="D69" i="112"/>
  <c r="C32" i="112"/>
  <c r="C74" i="111"/>
  <c r="C28" i="111"/>
  <c r="C31" i="111"/>
  <c r="C78" i="111"/>
  <c r="D71" i="111"/>
  <c r="D68" i="111"/>
  <c r="D69" i="111"/>
  <c r="D72" i="111"/>
  <c r="D73" i="111"/>
  <c r="D70" i="111"/>
  <c r="C29" i="109"/>
  <c r="D29" i="109"/>
  <c r="C32" i="109"/>
  <c r="D35" i="106"/>
  <c r="D75" i="106"/>
  <c r="D36" i="106"/>
  <c r="D37" i="106"/>
  <c r="D38" i="106"/>
  <c r="D39" i="106"/>
  <c r="D40" i="106"/>
  <c r="D41" i="106"/>
  <c r="D42" i="106"/>
  <c r="D43" i="106"/>
  <c r="D44" i="106"/>
  <c r="D45" i="106"/>
  <c r="D46" i="106"/>
  <c r="D47" i="106"/>
  <c r="D48" i="106"/>
  <c r="D49" i="106"/>
  <c r="D50" i="106"/>
  <c r="D51" i="106"/>
  <c r="D52" i="106"/>
  <c r="D53" i="106"/>
  <c r="D54" i="106"/>
  <c r="D55" i="106"/>
  <c r="D56" i="106"/>
  <c r="D57" i="106"/>
  <c r="D58" i="106"/>
  <c r="D59" i="106"/>
  <c r="D60" i="106"/>
  <c r="D61" i="106"/>
  <c r="D62" i="106"/>
  <c r="D63" i="106"/>
  <c r="D64" i="106"/>
  <c r="D65" i="106"/>
  <c r="D66" i="106"/>
  <c r="D67" i="106"/>
  <c r="D34" i="106"/>
  <c r="D21" i="106"/>
  <c r="D22" i="106"/>
  <c r="D23" i="106"/>
  <c r="D24" i="106"/>
  <c r="D25" i="106"/>
  <c r="D26" i="106"/>
  <c r="D27" i="106"/>
  <c r="D28" i="106"/>
  <c r="D29" i="106"/>
  <c r="D30" i="106"/>
  <c r="D31" i="106"/>
  <c r="D20" i="106"/>
  <c r="D32" i="106"/>
  <c r="D76" i="106"/>
  <c r="D79" i="106"/>
  <c r="G68" i="106"/>
  <c r="G69" i="106"/>
  <c r="G70" i="106"/>
  <c r="G71" i="106"/>
  <c r="G72" i="106"/>
  <c r="G73" i="106"/>
  <c r="G74" i="106"/>
  <c r="C75" i="106"/>
  <c r="C32" i="106"/>
  <c r="C76" i="106"/>
  <c r="C79" i="106"/>
  <c r="C77" i="109"/>
  <c r="C78" i="109"/>
  <c r="C81" i="109"/>
  <c r="D76" i="109"/>
  <c r="D73" i="109"/>
  <c r="D72" i="109"/>
  <c r="D71" i="109"/>
  <c r="D70" i="109"/>
  <c r="D69" i="109"/>
  <c r="D76" i="108"/>
  <c r="C32" i="108"/>
  <c r="C79" i="107"/>
  <c r="D71" i="107"/>
  <c r="D72" i="107"/>
  <c r="D73" i="107"/>
  <c r="D74" i="107"/>
  <c r="D75" i="107"/>
  <c r="C32" i="107"/>
  <c r="D78" i="107"/>
  <c r="D69" i="105"/>
  <c r="D68" i="105"/>
  <c r="C38" i="105"/>
  <c r="C38" i="104"/>
  <c r="C70" i="104"/>
  <c r="C73" i="104"/>
  <c r="C69" i="104"/>
  <c r="D68" i="104"/>
  <c r="D67" i="104"/>
  <c r="D66" i="104"/>
  <c r="D65" i="104"/>
  <c r="D64" i="104"/>
  <c r="D63" i="104"/>
  <c r="D62" i="104"/>
  <c r="D61" i="104"/>
  <c r="D60" i="104"/>
  <c r="D59" i="104"/>
  <c r="D58" i="104"/>
  <c r="D57" i="104"/>
  <c r="D56" i="104"/>
  <c r="D55" i="104"/>
  <c r="D54" i="104"/>
  <c r="D53" i="104"/>
  <c r="D52" i="104"/>
  <c r="D51" i="104"/>
  <c r="D50" i="104"/>
  <c r="D49" i="104"/>
  <c r="D48" i="104"/>
  <c r="D47" i="104"/>
  <c r="D46" i="104"/>
  <c r="D45" i="104"/>
  <c r="D44" i="104"/>
  <c r="D43" i="104"/>
  <c r="D42" i="104"/>
  <c r="D41" i="104"/>
  <c r="D69" i="104"/>
  <c r="D40" i="104"/>
  <c r="D37" i="104"/>
  <c r="D36" i="104"/>
  <c r="D35" i="104"/>
  <c r="D34" i="104"/>
  <c r="D33" i="104"/>
  <c r="D32" i="104"/>
  <c r="D31" i="104"/>
  <c r="D30" i="104"/>
  <c r="D29" i="104"/>
  <c r="D28" i="104"/>
  <c r="D27" i="104"/>
  <c r="D26" i="104"/>
  <c r="D25" i="104"/>
  <c r="D24" i="104"/>
  <c r="D23" i="104"/>
  <c r="D22" i="104"/>
  <c r="D21" i="104"/>
  <c r="D20" i="104"/>
  <c r="D18" i="104"/>
  <c r="C69" i="103"/>
  <c r="D68" i="103"/>
  <c r="D67" i="103"/>
  <c r="D66" i="103"/>
  <c r="D65" i="103"/>
  <c r="D64" i="103"/>
  <c r="D63" i="103"/>
  <c r="D62" i="103"/>
  <c r="D61" i="103"/>
  <c r="D60" i="103"/>
  <c r="D59" i="103"/>
  <c r="D58" i="103"/>
  <c r="D57" i="103"/>
  <c r="D56" i="103"/>
  <c r="D55" i="103"/>
  <c r="D54" i="103"/>
  <c r="D53" i="103"/>
  <c r="D52" i="103"/>
  <c r="D51" i="103"/>
  <c r="D50" i="103"/>
  <c r="D49" i="103"/>
  <c r="D48" i="103"/>
  <c r="D47" i="103"/>
  <c r="D46" i="103"/>
  <c r="D45" i="103"/>
  <c r="D44" i="103"/>
  <c r="D43" i="103"/>
  <c r="D42" i="103"/>
  <c r="D69" i="103"/>
  <c r="D41" i="103"/>
  <c r="D40" i="103"/>
  <c r="C38" i="103"/>
  <c r="C70" i="103"/>
  <c r="C73" i="103"/>
  <c r="D37" i="103"/>
  <c r="D36" i="103"/>
  <c r="D35" i="103"/>
  <c r="D34" i="103"/>
  <c r="D33" i="103"/>
  <c r="D32" i="103"/>
  <c r="D31" i="103"/>
  <c r="D30" i="103"/>
  <c r="D29" i="103"/>
  <c r="D28" i="103"/>
  <c r="D27" i="103"/>
  <c r="D26" i="103"/>
  <c r="D25" i="103"/>
  <c r="D24" i="103"/>
  <c r="D23" i="103"/>
  <c r="D22" i="103"/>
  <c r="D21" i="103"/>
  <c r="D20" i="103"/>
  <c r="D19" i="103"/>
  <c r="D38" i="103"/>
  <c r="D18" i="103"/>
  <c r="D18" i="102"/>
  <c r="D66" i="102"/>
  <c r="D19" i="104"/>
  <c r="D38" i="104"/>
  <c r="C69" i="102"/>
  <c r="D68" i="102"/>
  <c r="D67" i="102"/>
  <c r="D65" i="102"/>
  <c r="D64" i="102"/>
  <c r="D63" i="102"/>
  <c r="D62" i="102"/>
  <c r="D61" i="102"/>
  <c r="D60" i="102"/>
  <c r="D59" i="102"/>
  <c r="D58" i="102"/>
  <c r="D57" i="102"/>
  <c r="D56" i="102"/>
  <c r="D55" i="102"/>
  <c r="D54" i="102"/>
  <c r="D53" i="102"/>
  <c r="D52" i="102"/>
  <c r="D51" i="102"/>
  <c r="D50" i="102"/>
  <c r="D49" i="102"/>
  <c r="D48" i="102"/>
  <c r="D47" i="102"/>
  <c r="D46" i="102"/>
  <c r="D45" i="102"/>
  <c r="D44" i="102"/>
  <c r="D43" i="102"/>
  <c r="D42" i="102"/>
  <c r="D41" i="102"/>
  <c r="D40" i="102"/>
  <c r="C38" i="102"/>
  <c r="D37" i="102"/>
  <c r="D36" i="102"/>
  <c r="D35" i="102"/>
  <c r="D34" i="102"/>
  <c r="D33" i="102"/>
  <c r="D32" i="102"/>
  <c r="D31" i="102"/>
  <c r="D30" i="102"/>
  <c r="D29" i="102"/>
  <c r="D28" i="102"/>
  <c r="D27" i="102"/>
  <c r="D26" i="102"/>
  <c r="D25" i="102"/>
  <c r="D24" i="102"/>
  <c r="D23" i="102"/>
  <c r="D22" i="102"/>
  <c r="D21" i="102"/>
  <c r="D20" i="102"/>
  <c r="D19" i="102"/>
  <c r="D19" i="101"/>
  <c r="D20" i="101"/>
  <c r="D21" i="101"/>
  <c r="D22" i="101"/>
  <c r="D23" i="101"/>
  <c r="D24" i="101"/>
  <c r="D25" i="101"/>
  <c r="D26" i="101"/>
  <c r="D27" i="101"/>
  <c r="D28" i="101"/>
  <c r="D29" i="101"/>
  <c r="D30" i="101"/>
  <c r="D31" i="101"/>
  <c r="D32" i="101"/>
  <c r="D33" i="101"/>
  <c r="D34" i="101"/>
  <c r="D35" i="101"/>
  <c r="D36" i="101"/>
  <c r="D37" i="101"/>
  <c r="D40" i="101"/>
  <c r="D68" i="101"/>
  <c r="D41" i="101"/>
  <c r="D42" i="101"/>
  <c r="D43" i="101"/>
  <c r="D44" i="101"/>
  <c r="D45" i="101"/>
  <c r="D46" i="101"/>
  <c r="D47" i="101"/>
  <c r="D48" i="101"/>
  <c r="D49" i="101"/>
  <c r="D50" i="101"/>
  <c r="D51" i="101"/>
  <c r="D53" i="101"/>
  <c r="D54" i="101"/>
  <c r="D55" i="101"/>
  <c r="D56" i="101"/>
  <c r="D57" i="101"/>
  <c r="D58" i="101"/>
  <c r="D59" i="101"/>
  <c r="D60" i="101"/>
  <c r="D61" i="101"/>
  <c r="D62" i="101"/>
  <c r="D63" i="101"/>
  <c r="D64" i="101"/>
  <c r="D65" i="101"/>
  <c r="D66" i="101"/>
  <c r="D67" i="101"/>
  <c r="D18" i="101"/>
  <c r="D38" i="101"/>
  <c r="D69" i="101"/>
  <c r="D72" i="101"/>
  <c r="C38" i="101"/>
  <c r="C69" i="101"/>
  <c r="C72" i="101"/>
  <c r="C68" i="101"/>
  <c r="A76" i="80"/>
  <c r="C29" i="89"/>
  <c r="C28" i="89"/>
  <c r="C27" i="89"/>
  <c r="C21" i="89"/>
  <c r="C20" i="89"/>
  <c r="C19" i="89"/>
  <c r="F22" i="94"/>
  <c r="F23" i="94"/>
  <c r="F43" i="94"/>
  <c r="F44" i="94"/>
  <c r="E5" i="92"/>
  <c r="B5" i="89"/>
  <c r="C34" i="88"/>
  <c r="F64" i="94"/>
  <c r="F62" i="94"/>
  <c r="F61" i="94"/>
  <c r="F60" i="94"/>
  <c r="F59" i="94"/>
  <c r="F58" i="94"/>
  <c r="F57" i="94"/>
  <c r="F56" i="94"/>
  <c r="F55" i="94"/>
  <c r="F54" i="94"/>
  <c r="F53" i="94"/>
  <c r="F52" i="94"/>
  <c r="F51" i="94"/>
  <c r="F50" i="94"/>
  <c r="F49" i="94"/>
  <c r="F48" i="94"/>
  <c r="F47" i="94"/>
  <c r="F46" i="94"/>
  <c r="F45" i="94"/>
  <c r="F42" i="94"/>
  <c r="F41" i="94"/>
  <c r="F65" i="94"/>
  <c r="F40" i="94"/>
  <c r="F39" i="94"/>
  <c r="F38" i="94"/>
  <c r="F37" i="94"/>
  <c r="F34" i="94"/>
  <c r="F32" i="94"/>
  <c r="F30" i="94"/>
  <c r="F29" i="94"/>
  <c r="F28" i="94"/>
  <c r="F27" i="94"/>
  <c r="F21" i="94"/>
  <c r="F20" i="94"/>
  <c r="F18" i="94"/>
  <c r="F35" i="94"/>
  <c r="F66" i="94"/>
  <c r="F69" i="94"/>
  <c r="F17" i="94"/>
  <c r="C32" i="88"/>
  <c r="C27" i="88"/>
  <c r="C28" i="88"/>
  <c r="C21" i="88"/>
  <c r="C23" i="88"/>
  <c r="C19" i="88"/>
  <c r="C35" i="88"/>
  <c r="C67" i="88"/>
  <c r="C70" i="88"/>
  <c r="C73" i="88"/>
  <c r="B5" i="88"/>
  <c r="B5" i="87"/>
  <c r="B5" i="90"/>
  <c r="B5" i="91"/>
  <c r="B12" i="88"/>
  <c r="B12" i="87"/>
  <c r="B14" i="90"/>
  <c r="B12" i="91"/>
  <c r="B12" i="92"/>
  <c r="B12" i="89"/>
  <c r="F32" i="97"/>
  <c r="F29" i="97"/>
  <c r="F23" i="97"/>
  <c r="F21" i="97"/>
  <c r="F20" i="97"/>
  <c r="F18" i="97"/>
  <c r="F17" i="97"/>
  <c r="F35" i="97"/>
  <c r="F66" i="97"/>
  <c r="F69" i="97"/>
  <c r="F5" i="97"/>
  <c r="B13" i="97"/>
  <c r="B11" i="94"/>
  <c r="F5" i="94"/>
  <c r="B13" i="94"/>
  <c r="F28" i="97"/>
  <c r="F34" i="97"/>
  <c r="F5" i="96"/>
  <c r="F5" i="81"/>
  <c r="F5" i="80"/>
  <c r="B13" i="96"/>
  <c r="B13" i="81"/>
  <c r="B13" i="80"/>
  <c r="D5" i="99"/>
  <c r="D5" i="98"/>
  <c r="F5" i="95"/>
  <c r="B14" i="99"/>
  <c r="B14" i="98"/>
  <c r="B13" i="95"/>
  <c r="C5" i="93"/>
  <c r="B13" i="93"/>
  <c r="F5" i="76"/>
  <c r="B13" i="76"/>
  <c r="F5" i="77"/>
  <c r="B13" i="77"/>
  <c r="F32" i="76"/>
  <c r="F27" i="76"/>
  <c r="F29" i="76"/>
  <c r="F23" i="76"/>
  <c r="F21" i="76"/>
  <c r="F20" i="76"/>
  <c r="F17" i="76"/>
  <c r="F35" i="76"/>
  <c r="F60" i="76"/>
  <c r="F63" i="76"/>
  <c r="D28" i="98"/>
  <c r="F28" i="76"/>
  <c r="D62" i="98"/>
  <c r="D61" i="98"/>
  <c r="D60" i="98"/>
  <c r="D59" i="98"/>
  <c r="D58" i="98"/>
  <c r="D57" i="98"/>
  <c r="D56" i="98"/>
  <c r="D55" i="98"/>
  <c r="D54" i="98"/>
  <c r="D53" i="98"/>
  <c r="D52" i="98"/>
  <c r="D51" i="98"/>
  <c r="D48" i="98"/>
  <c r="D47" i="98"/>
  <c r="D46" i="98"/>
  <c r="D45" i="98"/>
  <c r="D44" i="98"/>
  <c r="D66" i="98"/>
  <c r="D43" i="98"/>
  <c r="D35" i="98"/>
  <c r="D34" i="98"/>
  <c r="D33" i="98"/>
  <c r="D32" i="98"/>
  <c r="D31" i="98"/>
  <c r="D30" i="98"/>
  <c r="D29" i="98"/>
  <c r="D27" i="98"/>
  <c r="D26" i="98"/>
  <c r="D25" i="98"/>
  <c r="D24" i="98"/>
  <c r="D23" i="98"/>
  <c r="D22" i="98"/>
  <c r="D21" i="98"/>
  <c r="D36" i="98"/>
  <c r="D67" i="98"/>
  <c r="D70" i="98"/>
  <c r="D20" i="98"/>
  <c r="D65" i="98"/>
  <c r="D64" i="98"/>
  <c r="C66" i="98"/>
  <c r="C36" i="98"/>
  <c r="C67" i="98"/>
  <c r="C70" i="98"/>
  <c r="D65" i="99"/>
  <c r="D64" i="99"/>
  <c r="D62" i="99"/>
  <c r="D61" i="99"/>
  <c r="D60" i="99"/>
  <c r="D59" i="99"/>
  <c r="D58" i="99"/>
  <c r="D57" i="99"/>
  <c r="D56" i="99"/>
  <c r="D55" i="99"/>
  <c r="D54" i="99"/>
  <c r="D53" i="99"/>
  <c r="D52" i="99"/>
  <c r="D51" i="99"/>
  <c r="D49" i="99"/>
  <c r="D48" i="99"/>
  <c r="D47" i="99"/>
  <c r="D46" i="99"/>
  <c r="D45" i="99"/>
  <c r="D44" i="99"/>
  <c r="D43" i="99"/>
  <c r="D42" i="99"/>
  <c r="D41" i="99"/>
  <c r="D40" i="99"/>
  <c r="D39" i="99"/>
  <c r="D38" i="99"/>
  <c r="D35" i="99"/>
  <c r="D34" i="99"/>
  <c r="D33" i="99"/>
  <c r="D32" i="99"/>
  <c r="D31" i="99"/>
  <c r="D30" i="99"/>
  <c r="D29" i="99"/>
  <c r="D28" i="99"/>
  <c r="D27" i="99"/>
  <c r="D26" i="99"/>
  <c r="D25" i="99"/>
  <c r="D24" i="99"/>
  <c r="D23" i="99"/>
  <c r="D22" i="99"/>
  <c r="D21" i="99"/>
  <c r="D36" i="99"/>
  <c r="D67" i="99"/>
  <c r="D70" i="99"/>
  <c r="D20" i="99"/>
  <c r="C66" i="99"/>
  <c r="C36" i="99"/>
  <c r="C67" i="99"/>
  <c r="C70" i="99"/>
  <c r="E38" i="87"/>
  <c r="E66" i="97"/>
  <c r="E69" i="97"/>
  <c r="D66" i="97"/>
  <c r="C66" i="97"/>
  <c r="C69" i="97"/>
  <c r="F65" i="97"/>
  <c r="D65" i="97"/>
  <c r="C65" i="97"/>
  <c r="E55" i="97"/>
  <c r="E54" i="97"/>
  <c r="E53" i="97"/>
  <c r="E52" i="97"/>
  <c r="E51" i="97"/>
  <c r="E50" i="97"/>
  <c r="E49" i="97"/>
  <c r="E47" i="97"/>
  <c r="E46" i="97"/>
  <c r="E45" i="97"/>
  <c r="E43" i="97"/>
  <c r="E42" i="97"/>
  <c r="E41" i="97"/>
  <c r="E40" i="97"/>
  <c r="E39" i="97"/>
  <c r="E38" i="97"/>
  <c r="E37" i="97"/>
  <c r="E65" i="97"/>
  <c r="D35" i="97"/>
  <c r="C35" i="97"/>
  <c r="E34" i="97"/>
  <c r="E30" i="97"/>
  <c r="E29" i="97"/>
  <c r="E35" i="97"/>
  <c r="E22" i="97"/>
  <c r="E21" i="97"/>
  <c r="E20" i="97"/>
  <c r="E68" i="96"/>
  <c r="C68" i="96"/>
  <c r="E65" i="96"/>
  <c r="D65" i="96"/>
  <c r="C65" i="96"/>
  <c r="F64" i="96"/>
  <c r="D64" i="96"/>
  <c r="C64" i="96"/>
  <c r="E55" i="96"/>
  <c r="E54" i="96"/>
  <c r="E53" i="96"/>
  <c r="E52" i="96"/>
  <c r="E51" i="96"/>
  <c r="E50" i="96"/>
  <c r="E49" i="96"/>
  <c r="E47" i="96"/>
  <c r="E46" i="96"/>
  <c r="E45" i="96"/>
  <c r="E43" i="96"/>
  <c r="E42" i="96"/>
  <c r="E41" i="96"/>
  <c r="E40" i="96"/>
  <c r="E39" i="96"/>
  <c r="E38" i="96"/>
  <c r="E37" i="96"/>
  <c r="E64" i="96"/>
  <c r="D35" i="96"/>
  <c r="C35" i="96"/>
  <c r="E34" i="96"/>
  <c r="E30" i="96"/>
  <c r="E29" i="96"/>
  <c r="E22" i="96"/>
  <c r="E21" i="96"/>
  <c r="E20" i="96"/>
  <c r="E35" i="96"/>
  <c r="F35" i="96"/>
  <c r="F65" i="96"/>
  <c r="F68" i="96"/>
  <c r="E68" i="95"/>
  <c r="C68" i="95"/>
  <c r="E65" i="95"/>
  <c r="D65" i="95"/>
  <c r="C65" i="95"/>
  <c r="D64" i="95"/>
  <c r="C64" i="95"/>
  <c r="E55" i="95"/>
  <c r="E54" i="95"/>
  <c r="E53" i="95"/>
  <c r="E52" i="95"/>
  <c r="E51" i="95"/>
  <c r="E50" i="95"/>
  <c r="E49" i="95"/>
  <c r="E47" i="95"/>
  <c r="E46" i="95"/>
  <c r="E45" i="95"/>
  <c r="E43" i="95"/>
  <c r="E42" i="95"/>
  <c r="E41" i="95"/>
  <c r="E40" i="95"/>
  <c r="E39" i="95"/>
  <c r="E38" i="95"/>
  <c r="E37" i="95"/>
  <c r="E64" i="95"/>
  <c r="D35" i="95"/>
  <c r="C35" i="95"/>
  <c r="E34" i="95"/>
  <c r="E30" i="95"/>
  <c r="E29" i="95"/>
  <c r="E22" i="95"/>
  <c r="E21" i="95"/>
  <c r="E20" i="95"/>
  <c r="E35" i="95"/>
  <c r="E66" i="94"/>
  <c r="E69" i="94"/>
  <c r="D66" i="94"/>
  <c r="C66" i="94"/>
  <c r="C69" i="94"/>
  <c r="D65" i="94"/>
  <c r="C65" i="94"/>
  <c r="E55" i="94"/>
  <c r="E54" i="94"/>
  <c r="E53" i="94"/>
  <c r="E52" i="94"/>
  <c r="E51" i="94"/>
  <c r="E50" i="94"/>
  <c r="E49" i="94"/>
  <c r="E47" i="94"/>
  <c r="E46" i="94"/>
  <c r="E45" i="94"/>
  <c r="E43" i="94"/>
  <c r="E42" i="94"/>
  <c r="E41" i="94"/>
  <c r="E40" i="94"/>
  <c r="E39" i="94"/>
  <c r="E38" i="94"/>
  <c r="E37" i="94"/>
  <c r="E65" i="94"/>
  <c r="D35" i="94"/>
  <c r="C35" i="94"/>
  <c r="E34" i="94"/>
  <c r="E30" i="94"/>
  <c r="E29" i="94"/>
  <c r="E22" i="94"/>
  <c r="E21" i="94"/>
  <c r="E20" i="94"/>
  <c r="E35" i="94"/>
  <c r="C59" i="93"/>
  <c r="C35" i="93"/>
  <c r="C60" i="93"/>
  <c r="C63" i="93"/>
  <c r="C64" i="78"/>
  <c r="C65" i="78"/>
  <c r="C34" i="78"/>
  <c r="C66" i="92"/>
  <c r="E66" i="92"/>
  <c r="C35" i="92"/>
  <c r="C67" i="92"/>
  <c r="E35" i="92"/>
  <c r="E67" i="92"/>
  <c r="E73" i="92"/>
  <c r="E56" i="89"/>
  <c r="E53" i="89"/>
  <c r="E52" i="89"/>
  <c r="E50" i="89"/>
  <c r="E48" i="89"/>
  <c r="E46" i="89"/>
  <c r="E43" i="89"/>
  <c r="E41" i="89"/>
  <c r="C66" i="89"/>
  <c r="C66" i="91"/>
  <c r="C35" i="91"/>
  <c r="C67" i="91"/>
  <c r="C70" i="91"/>
  <c r="C73" i="91"/>
  <c r="C37" i="90"/>
  <c r="C69" i="90"/>
  <c r="C72" i="90"/>
  <c r="C75" i="90"/>
  <c r="E55" i="87"/>
  <c r="E54" i="87"/>
  <c r="E52" i="87"/>
  <c r="E51" i="87"/>
  <c r="E48" i="87"/>
  <c r="E47" i="87"/>
  <c r="E43" i="87"/>
  <c r="C66" i="87"/>
  <c r="C35" i="87"/>
  <c r="C67" i="87"/>
  <c r="C70" i="87"/>
  <c r="C73" i="87"/>
  <c r="C66" i="88"/>
  <c r="D29" i="92"/>
  <c r="D70" i="92"/>
  <c r="D73" i="92"/>
  <c r="C70" i="92"/>
  <c r="C73" i="92"/>
  <c r="D68" i="92"/>
  <c r="D56" i="92"/>
  <c r="D55" i="92"/>
  <c r="D54" i="92"/>
  <c r="D53" i="92"/>
  <c r="D52" i="92"/>
  <c r="D51" i="92"/>
  <c r="D50" i="92"/>
  <c r="D48" i="92"/>
  <c r="D47" i="92"/>
  <c r="D46" i="92"/>
  <c r="D44" i="92"/>
  <c r="D43" i="92"/>
  <c r="D42" i="92"/>
  <c r="D41" i="92"/>
  <c r="D30" i="92"/>
  <c r="D21" i="92"/>
  <c r="D20" i="92"/>
  <c r="D19" i="92"/>
  <c r="D35" i="92"/>
  <c r="D67" i="92"/>
  <c r="D39" i="92"/>
  <c r="E70" i="89"/>
  <c r="E73" i="89"/>
  <c r="D70" i="89"/>
  <c r="E68" i="89"/>
  <c r="E67" i="89"/>
  <c r="D67" i="89"/>
  <c r="D66" i="89"/>
  <c r="E55" i="89"/>
  <c r="E54" i="89"/>
  <c r="E51" i="89"/>
  <c r="E44" i="89"/>
  <c r="E42" i="89"/>
  <c r="E39" i="89"/>
  <c r="D35" i="89"/>
  <c r="E34" i="89"/>
  <c r="E30" i="89"/>
  <c r="E21" i="89"/>
  <c r="E19" i="89"/>
  <c r="E70" i="87"/>
  <c r="E73" i="87"/>
  <c r="D70" i="87"/>
  <c r="E68" i="87"/>
  <c r="E67" i="87"/>
  <c r="D67" i="87"/>
  <c r="D66" i="87"/>
  <c r="E56" i="87"/>
  <c r="E53" i="87"/>
  <c r="E50" i="87"/>
  <c r="E46" i="87"/>
  <c r="E44" i="87"/>
  <c r="E42" i="87"/>
  <c r="E41" i="87"/>
  <c r="D35" i="87"/>
  <c r="E30" i="87"/>
  <c r="E21" i="87"/>
  <c r="E20" i="87"/>
  <c r="E19" i="87"/>
  <c r="E35" i="87"/>
  <c r="E29" i="87"/>
  <c r="E34" i="87"/>
  <c r="F65" i="80"/>
  <c r="D65" i="80"/>
  <c r="C65" i="80"/>
  <c r="E55" i="80"/>
  <c r="E54" i="80"/>
  <c r="E53" i="80"/>
  <c r="E52" i="80"/>
  <c r="E51" i="80"/>
  <c r="E50" i="80"/>
  <c r="E49" i="80"/>
  <c r="E47" i="80"/>
  <c r="E46" i="80"/>
  <c r="E45" i="80"/>
  <c r="E43" i="80"/>
  <c r="E42" i="80"/>
  <c r="E41" i="80"/>
  <c r="E40" i="80"/>
  <c r="E39" i="80"/>
  <c r="E38" i="80"/>
  <c r="E37" i="80"/>
  <c r="E65" i="80"/>
  <c r="F35" i="80"/>
  <c r="D35" i="80"/>
  <c r="C35" i="80"/>
  <c r="E34" i="80"/>
  <c r="E30" i="80"/>
  <c r="E29" i="80"/>
  <c r="E22" i="80"/>
  <c r="E21" i="80"/>
  <c r="E20" i="80"/>
  <c r="E35" i="80"/>
  <c r="E65" i="81"/>
  <c r="D65" i="81"/>
  <c r="C65" i="81"/>
  <c r="D64" i="81"/>
  <c r="C64" i="81"/>
  <c r="E55" i="81"/>
  <c r="E54" i="81"/>
  <c r="E53" i="81"/>
  <c r="E52" i="81"/>
  <c r="E51" i="81"/>
  <c r="E50" i="81"/>
  <c r="E49" i="81"/>
  <c r="E47" i="81"/>
  <c r="E46" i="81"/>
  <c r="E45" i="81"/>
  <c r="E43" i="81"/>
  <c r="E42" i="81"/>
  <c r="E41" i="81"/>
  <c r="E40" i="81"/>
  <c r="E39" i="81"/>
  <c r="E38" i="81"/>
  <c r="E37" i="81"/>
  <c r="E64" i="81"/>
  <c r="D35" i="81"/>
  <c r="C35" i="81"/>
  <c r="E34" i="81"/>
  <c r="E30" i="81"/>
  <c r="E29" i="81"/>
  <c r="E35" i="81"/>
  <c r="E22" i="81"/>
  <c r="E21" i="81"/>
  <c r="E20" i="81"/>
  <c r="E60" i="76"/>
  <c r="D60" i="76"/>
  <c r="C60" i="76"/>
  <c r="D59" i="76"/>
  <c r="C59" i="76"/>
  <c r="E54" i="76"/>
  <c r="E53" i="76"/>
  <c r="E52" i="76"/>
  <c r="E51" i="76"/>
  <c r="E50" i="76"/>
  <c r="E49" i="76"/>
  <c r="E48" i="76"/>
  <c r="E47" i="76"/>
  <c r="E46" i="76"/>
  <c r="E45" i="76"/>
  <c r="E43" i="76"/>
  <c r="E42" i="76"/>
  <c r="E41" i="76"/>
  <c r="E40" i="76"/>
  <c r="E39" i="76"/>
  <c r="E38" i="76"/>
  <c r="E59" i="76"/>
  <c r="E37" i="76"/>
  <c r="D35" i="76"/>
  <c r="C35" i="76"/>
  <c r="E34" i="76"/>
  <c r="E30" i="76"/>
  <c r="E29" i="76"/>
  <c r="E22" i="76"/>
  <c r="E21" i="76"/>
  <c r="E20" i="76"/>
  <c r="E35" i="76"/>
  <c r="F61" i="77"/>
  <c r="F62" i="77"/>
  <c r="F65" i="77"/>
  <c r="D61" i="77"/>
  <c r="C61" i="77"/>
  <c r="E60" i="77"/>
  <c r="E59" i="77"/>
  <c r="E57" i="77"/>
  <c r="E56" i="77"/>
  <c r="E55" i="77"/>
  <c r="E54" i="77"/>
  <c r="E53" i="77"/>
  <c r="E52" i="77"/>
  <c r="E51" i="77"/>
  <c r="E50" i="77"/>
  <c r="E49" i="77"/>
  <c r="E48" i="77"/>
  <c r="E47" i="77"/>
  <c r="E46" i="77"/>
  <c r="E45" i="77"/>
  <c r="E44" i="77"/>
  <c r="E43" i="77"/>
  <c r="E42" i="77"/>
  <c r="E41" i="77"/>
  <c r="E40" i="77"/>
  <c r="E39" i="77"/>
  <c r="E38" i="77"/>
  <c r="E37" i="77"/>
  <c r="E61" i="77"/>
  <c r="D35" i="77"/>
  <c r="C35" i="77"/>
  <c r="E34" i="77"/>
  <c r="E30" i="77"/>
  <c r="E29" i="77"/>
  <c r="E22" i="77"/>
  <c r="E21" i="77"/>
  <c r="E20" i="77"/>
  <c r="E35" i="77"/>
  <c r="E62" i="77"/>
  <c r="E65" i="77"/>
  <c r="E55" i="78"/>
  <c r="D61" i="78"/>
  <c r="E60" i="78"/>
  <c r="E59" i="78"/>
  <c r="E57" i="78"/>
  <c r="E56" i="78"/>
  <c r="E54" i="78"/>
  <c r="E53" i="78"/>
  <c r="E52" i="78"/>
  <c r="E51" i="78"/>
  <c r="E50" i="78"/>
  <c r="E49" i="78"/>
  <c r="E48" i="78"/>
  <c r="E47" i="78"/>
  <c r="E46" i="78"/>
  <c r="E45" i="78"/>
  <c r="E44" i="78"/>
  <c r="E42" i="78"/>
  <c r="E41" i="78"/>
  <c r="E40" i="78"/>
  <c r="E39" i="78"/>
  <c r="E38" i="78"/>
  <c r="E37" i="78"/>
  <c r="E36" i="78"/>
  <c r="E61" i="78"/>
  <c r="D34" i="78"/>
  <c r="D62" i="78"/>
  <c r="E33" i="78"/>
  <c r="E29" i="78"/>
  <c r="E28" i="78"/>
  <c r="E22" i="78"/>
  <c r="E21" i="78"/>
  <c r="E20" i="78"/>
  <c r="E34" i="78"/>
  <c r="D66" i="80"/>
  <c r="C66" i="80"/>
  <c r="C69" i="80"/>
  <c r="C68" i="81"/>
  <c r="C63" i="76"/>
  <c r="C67" i="78"/>
  <c r="E64" i="78"/>
  <c r="E63" i="78"/>
  <c r="D62" i="77"/>
  <c r="C62" i="77"/>
  <c r="C65" i="77"/>
  <c r="E67" i="78"/>
  <c r="E68" i="81"/>
  <c r="E63" i="76"/>
  <c r="E66" i="80"/>
  <c r="E69" i="80"/>
  <c r="E37" i="87"/>
  <c r="E66" i="87"/>
  <c r="E29" i="89"/>
  <c r="E20" i="89"/>
  <c r="E39" i="87"/>
  <c r="C68" i="90"/>
  <c r="E37" i="89"/>
  <c r="E66" i="89"/>
  <c r="E47" i="89"/>
  <c r="D37" i="92"/>
  <c r="D66" i="92"/>
  <c r="D38" i="92"/>
  <c r="D34" i="92"/>
  <c r="E35" i="89"/>
  <c r="F34" i="78"/>
  <c r="C34" i="79"/>
  <c r="C64" i="79"/>
  <c r="C65" i="79"/>
  <c r="C68" i="79"/>
  <c r="F64" i="78"/>
  <c r="F65" i="78"/>
  <c r="F67" i="78"/>
  <c r="F35" i="77"/>
  <c r="F59" i="76"/>
  <c r="F35" i="81"/>
  <c r="F64" i="81"/>
  <c r="F65" i="81"/>
  <c r="F68" i="81"/>
  <c r="F35" i="95"/>
  <c r="F65" i="95"/>
  <c r="F68" i="95"/>
  <c r="F64" i="95"/>
  <c r="E38" i="89"/>
  <c r="D66" i="99"/>
  <c r="F66" i="80"/>
  <c r="F69" i="80"/>
  <c r="C70" i="102"/>
  <c r="C73" i="102"/>
  <c r="D69" i="102"/>
  <c r="D38" i="102"/>
  <c r="D70" i="102"/>
  <c r="D73" i="102"/>
  <c r="C70" i="105"/>
  <c r="C71" i="105"/>
  <c r="C74" i="105"/>
  <c r="D72" i="108"/>
  <c r="D71" i="108"/>
  <c r="C77" i="108"/>
  <c r="C78" i="108"/>
  <c r="C81" i="108"/>
  <c r="D70" i="108"/>
  <c r="D73" i="108"/>
  <c r="D69" i="108"/>
  <c r="D32" i="113"/>
  <c r="C80" i="107"/>
  <c r="C83" i="107"/>
  <c r="D38" i="105"/>
  <c r="C71" i="120"/>
  <c r="C74" i="120"/>
  <c r="D39" i="120"/>
  <c r="D71" i="120"/>
  <c r="D74" i="120"/>
  <c r="D36" i="121"/>
  <c r="C59" i="122"/>
  <c r="C59" i="123"/>
  <c r="C60" i="123"/>
  <c r="C63" i="123"/>
  <c r="D70" i="105"/>
  <c r="D71" i="105"/>
  <c r="D74" i="105"/>
  <c r="C63" i="124"/>
  <c r="C66" i="124"/>
  <c r="D62" i="127"/>
  <c r="D65" i="127"/>
  <c r="C77" i="118"/>
  <c r="C80" i="118"/>
  <c r="D76" i="118"/>
  <c r="D33" i="118"/>
  <c r="D77" i="118"/>
  <c r="D80" i="118"/>
  <c r="D29" i="137"/>
  <c r="D31" i="138"/>
  <c r="D72" i="138"/>
  <c r="D73" i="138"/>
  <c r="D30" i="137"/>
  <c r="D71" i="137"/>
  <c r="D72" i="137"/>
  <c r="C35" i="89"/>
  <c r="C67" i="89"/>
  <c r="C70" i="89"/>
  <c r="C73" i="89"/>
  <c r="E28" i="141"/>
  <c r="C20" i="144"/>
  <c r="E28" i="144"/>
  <c r="E40" i="144"/>
  <c r="E43" i="144"/>
  <c r="C25" i="134"/>
  <c r="E25" i="134"/>
  <c r="E37" i="134"/>
  <c r="E40" i="134"/>
  <c r="E39" i="142"/>
  <c r="E28" i="142"/>
  <c r="E39" i="145"/>
  <c r="E28" i="145"/>
  <c r="C19" i="143"/>
  <c r="C25" i="143"/>
  <c r="E25" i="143"/>
  <c r="E37" i="143"/>
  <c r="E40" i="143"/>
  <c r="C20" i="140"/>
  <c r="C28" i="140"/>
  <c r="E28" i="140"/>
  <c r="E40" i="140"/>
  <c r="E43" i="140"/>
  <c r="E28" i="129"/>
  <c r="E40" i="129"/>
  <c r="E43" i="129"/>
  <c r="D28" i="129"/>
  <c r="E36" i="134"/>
  <c r="E27" i="132"/>
  <c r="C28" i="144"/>
  <c r="D30" i="115"/>
  <c r="D64" i="115"/>
  <c r="D67" i="115"/>
  <c r="D63" i="115"/>
  <c r="F18" i="76"/>
  <c r="D38" i="116"/>
  <c r="F30" i="115"/>
  <c r="F64" i="115"/>
  <c r="F67" i="115"/>
  <c r="E30" i="116"/>
  <c r="E65" i="116"/>
  <c r="E68" i="116"/>
  <c r="F63" i="115"/>
  <c r="E64" i="116"/>
  <c r="E39" i="132"/>
  <c r="E42" i="132"/>
  <c r="E40" i="145"/>
  <c r="E43" i="145"/>
  <c r="E40" i="142"/>
  <c r="E43" i="142"/>
  <c r="E40" i="141"/>
  <c r="E43" i="141"/>
  <c r="D37" i="116"/>
  <c r="D32" i="109"/>
  <c r="D78" i="109"/>
  <c r="D81" i="109"/>
  <c r="D63" i="125"/>
  <c r="D66" i="125"/>
  <c r="D31" i="139"/>
  <c r="D72" i="139"/>
  <c r="D73" i="139"/>
  <c r="D70" i="104"/>
  <c r="D73" i="104"/>
  <c r="D61" i="114"/>
  <c r="D64" i="114"/>
  <c r="D60" i="122"/>
  <c r="D63" i="122"/>
  <c r="D80" i="107"/>
  <c r="D83" i="107"/>
  <c r="D59" i="121"/>
  <c r="D60" i="121"/>
  <c r="D63" i="121"/>
  <c r="D59" i="122"/>
  <c r="D78" i="112"/>
  <c r="D81" i="112"/>
  <c r="E63" i="115"/>
  <c r="E64" i="115"/>
  <c r="E67" i="115"/>
  <c r="E62" i="78"/>
  <c r="D70" i="103"/>
  <c r="D73" i="103"/>
  <c r="D60" i="123"/>
  <c r="D63" i="123"/>
  <c r="E27" i="137"/>
  <c r="E72" i="137"/>
  <c r="E75" i="137"/>
  <c r="D28" i="111"/>
  <c r="D31" i="111"/>
  <c r="D75" i="111"/>
  <c r="D78" i="111"/>
  <c r="C72" i="139"/>
</calcChain>
</file>

<file path=xl/comments1.xml><?xml version="1.0" encoding="utf-8"?>
<comments xmlns="http://schemas.openxmlformats.org/spreadsheetml/2006/main">
  <authors>
    <author>Erna Lipina</author>
  </authors>
  <commentList>
    <comment ref="C31" authorId="0" shapeId="0">
      <text>
        <r>
          <rPr>
            <b/>
            <sz val="9"/>
            <color indexed="81"/>
            <rFont val="Tahoma"/>
            <family val="2"/>
            <charset val="186"/>
          </rPr>
          <t>Erna Lipina:</t>
        </r>
        <r>
          <rPr>
            <sz val="9"/>
            <color indexed="81"/>
            <rFont val="Tahoma"/>
            <family val="2"/>
            <charset val="186"/>
          </rPr>
          <t xml:space="preserve">
Melba 18.74</t>
        </r>
      </text>
    </comment>
  </commentList>
</comments>
</file>

<file path=xl/sharedStrings.xml><?xml version="1.0" encoding="utf-8"?>
<sst xmlns="http://schemas.openxmlformats.org/spreadsheetml/2006/main" count="3967" uniqueCount="366">
  <si>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</si>
  <si>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</si>
  <si>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</si>
  <si>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</si>
  <si>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</si>
  <si>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>Maksas pakalpojuma izcenojuma aprēķins</t>
  </si>
  <si>
    <t>Informācijas sistēmas uzturēšana</t>
  </si>
  <si>
    <t> Ēku, būvju un telpu kārtējais remonts</t>
  </si>
  <si>
    <t> Transportlīdzekļu uzturēšana un remonts</t>
  </si>
  <si>
    <t> Iekārtas, inventāra un aparatūras remonts, tehniskā apkalpošana</t>
  </si>
  <si>
    <t> Ēku, būvju un telpu uzturēšana</t>
  </si>
  <si>
    <t> Ēku, telpu īre un noma</t>
  </si>
  <si>
    <t> Transportlīdzekļu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</si>
  <si>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</si>
  <si>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</si>
  <si>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</si>
  <si>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</si>
  <si>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</si>
  <si>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</si>
  <si>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Kārtējā remonta un iestāžu uzturēšanas materiāli</t>
  </si>
  <si>
    <t> Mīkstais inventārs</t>
  </si>
  <si>
    <t> Mācību līdzekļi un materiāli</t>
  </si>
  <si>
    <t> Budžeta iestāžu nekustamā īpašuma nodokļa (t.sk. zemes nodokļa parāda) maksājumi budžetā</t>
  </si>
  <si>
    <t xml:space="preserve"> Saimniecības pamatlīdzekļi</t>
  </si>
  <si>
    <t> Pārējie budžeta iestāžu pārskaitītie nodokļi un nodevas</t>
  </si>
  <si>
    <t> Pamatlīdzekļu izveidošana un nepabeigtā būvniecība</t>
  </si>
  <si>
    <t> Kapitālais remonts un rekonstrukcija</t>
  </si>
  <si>
    <t> Pasta, telefona un citu sakaru pakalpojumi</t>
  </si>
  <si>
    <t> Izdevumi par ūdeni un kanalizāciju</t>
  </si>
  <si>
    <t> Izdevumi par elektroenerģiju</t>
  </si>
  <si>
    <t> Iestādes administratīvie izdevumi un ar iestādes darbības nodrošināšanu saistītie izdevumi</t>
  </si>
  <si>
    <t> Izdevumi periodikas iegādei</t>
  </si>
  <si>
    <t>Pakalpojumu izmaksas kopā</t>
  </si>
  <si>
    <t xml:space="preserve">Bezdarbnieku stipendijas </t>
  </si>
  <si>
    <t>Stipendijas</t>
  </si>
  <si>
    <t>SASKAŅOTS</t>
  </si>
  <si>
    <t xml:space="preserve">                                                                   (amats)    (vārds, uzvārds)    (paraksts)</t>
  </si>
  <si>
    <t>Prognozētais maksas pakalpojumu skaits gadā (gab.)*</t>
  </si>
  <si>
    <t>Piezīme. *Ailes neaizpilda, ja izvēlētais laikposms ir viens gads.</t>
  </si>
  <si>
    <t>Sociālās integrācijas valsts aģentūras</t>
  </si>
  <si>
    <t>sākotnējās ietekmes novērtējuma ziņojumam (anotācijai)</t>
  </si>
  <si>
    <t>Satura rādītājs</t>
  </si>
  <si>
    <t>Izmaksu apjoms noteiktā laikposmā viena maksas pakalpojuma veida nodrošināšanai (2014)</t>
  </si>
  <si>
    <t>Izmaksu apjoms noteiktā laikposmā viena maksas pakalpojuma veida nodrošināšanai (2014.gada I.pusgads)</t>
  </si>
  <si>
    <t>Izmaksu apjoms noteiktā laikposmā viena maksas pakalpojuma veida nodrošināšanai (2014.gada II.pusgads)</t>
  </si>
  <si>
    <t xml:space="preserve">Maksas pakalpojuma vienību skaits noteiktā laikposmā </t>
  </si>
  <si>
    <t>Maksas pakalpojuma izcenojums (euro)</t>
  </si>
  <si>
    <t>Aprēķinu sastādīja: SIVA Finanšu nodaļas vecākā finanšu ekonomiste Anita Ozoliņa</t>
  </si>
  <si>
    <t>1.pielikums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</si>
  <si>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</si>
  <si>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</si>
  <si>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</si>
  <si>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>Izmaksu apjoms noteiktā laikposmā viena maksas pakalpojuma veida nodrošināšanai (2014.gada)</t>
  </si>
  <si>
    <t xml:space="preserve">Izmaksu apjoms noteiktā laikposmā viena maksas pakalpojuma veida nodrošināšanai </t>
  </si>
  <si>
    <t>Prognozētie ieņēmumi gadā (euro)*</t>
  </si>
  <si>
    <t xml:space="preserve">Prognozētie ieņēmumi gadā (euro)* </t>
  </si>
  <si>
    <t>direktore I.Jurševska</t>
  </si>
  <si>
    <t xml:space="preserve"> Pārējie pamatlīdzekļi</t>
  </si>
  <si>
    <t xml:space="preserve"> Budžeta iestāžu dabas resursu nodokļa maksājumi</t>
  </si>
  <si>
    <t xml:space="preserve"> Apdrošināšanas izdevumi</t>
  </si>
  <si>
    <t xml:space="preserve"> Informācijas sistēmas uzturēšana</t>
  </si>
  <si>
    <t xml:space="preserve"> Pārējie informācijas tehnoloģiju pakalpojumi</t>
  </si>
  <si>
    <t xml:space="preserve"> Darba devēja valsts sociālās apdrošināšanas obligātās iemaksas, sociāla rakstura pabalsti un kompensācijas</t>
  </si>
  <si>
    <t xml:space="preserve"> Atalgojums</t>
  </si>
  <si>
    <t xml:space="preserve"> Netiešās izmaksas </t>
  </si>
  <si>
    <t xml:space="preserve"> Tiešās izmaksas kopā</t>
  </si>
  <si>
    <t xml:space="preserve"> Netiešās izmaksas kopā</t>
  </si>
  <si>
    <t xml:space="preserve"> Pakalpojumu izmaksas kopā</t>
  </si>
  <si>
    <t xml:space="preserve"> Tiešās izmaksas </t>
  </si>
  <si>
    <t xml:space="preserve"> Mācību līdzekļi un materiāli</t>
  </si>
  <si>
    <t>1.1.</t>
  </si>
  <si>
    <t>1.2.</t>
  </si>
  <si>
    <t xml:space="preserve"> Biroja preces</t>
  </si>
  <si>
    <t>1.3.</t>
  </si>
  <si>
    <t>1.4.</t>
  </si>
  <si>
    <t>1.3. 640 stundu programma</t>
  </si>
  <si>
    <t>1.4. 960 stundu programma</t>
  </si>
  <si>
    <t>2.3.</t>
  </si>
  <si>
    <t>2.4.</t>
  </si>
  <si>
    <t xml:space="preserve"> Profesionālās pilnveides un tālākizglītības programmas, 480 stundu programma</t>
  </si>
  <si>
    <t xml:space="preserve"> Profesionālās pilnveides un tālākizglītības programmas, 570 stundu programma</t>
  </si>
  <si>
    <t xml:space="preserve"> Profesionālās pilnveides un tālākizglītības programmas, 640 stundu programma</t>
  </si>
  <si>
    <t xml:space="preserve"> Profesionālās pilnveides un tālākizglītības programmas, 960 stundu programma</t>
  </si>
  <si>
    <t>3.1.3.</t>
  </si>
  <si>
    <t>3.2.3.</t>
  </si>
  <si>
    <t>Sadzīves akritumu savākšana, izvešana</t>
  </si>
  <si>
    <t xml:space="preserve"> </t>
  </si>
  <si>
    <t>3. Pirmā līmeņa profesionālās augstākās izglītības (koledžas izglītības) programmas</t>
  </si>
  <si>
    <t>3.1.1. Studiju virzienu "Ekonomika", "Vadība, administrēšana un nekustamo īpašumu pārvaldība"studiju programmas</t>
  </si>
  <si>
    <t>3.1. Studiju programmas pilna laika studijām</t>
  </si>
  <si>
    <t>3.1.2.Studiju virziena "Informācijas tehnoloģija, datortehnika, elektronika, telekomunikācijas, datorvadība un datorzinātne"studiju programmas</t>
  </si>
  <si>
    <t>3.1.3.  Studiju virziena 'Viesnīcu un restorānu serviss, tūrisma un atpūtas organizācija" studiju programmas</t>
  </si>
  <si>
    <t>3.2.1. Studiju virzienu "Ekonomika", "Vadība, administrēšana un nekustamo īpašumu pārvaldība"studiju programmas</t>
  </si>
  <si>
    <t>3.2. Studiju programmas nepilna laika studijām</t>
  </si>
  <si>
    <t>3.2.2. Studiju virziena 'Viesnīcu un restorānu serviss, tūrisma un atpūtas organizācija" studiju programmas</t>
  </si>
  <si>
    <t>3.2.3.Studiju virziena "Informācijas tehnoloģija, datortehnika, elektronika, telekomunikācijas, datorvadība un datorzinātne"studiju programmas</t>
  </si>
  <si>
    <t>1.5.</t>
  </si>
  <si>
    <t xml:space="preserve"> Profesionālās pilnveides un tālākizglītības programmas, 720 stundu programma</t>
  </si>
  <si>
    <t>2.5.</t>
  </si>
  <si>
    <t>2.1.</t>
  </si>
  <si>
    <t>2.2.</t>
  </si>
  <si>
    <t>2.1. Ēdināšanas pakalpojumi</t>
  </si>
  <si>
    <t>2.3. Datoru lietošana</t>
  </si>
  <si>
    <t>2.4. Šūto izstrādājumu ražošanas tehnoloģija</t>
  </si>
  <si>
    <t>3.1.1.</t>
  </si>
  <si>
    <t xml:space="preserve">Pirmā līmeņa profesionālās augstākās izglītības (koledžas izglītības) programmas, Studiju programmas pilna laika studijām, Studiju virzienu "Ekonomika" un "Vadība, administrēšana un nekustamo īpašumu pārvaldība" studiju programmas </t>
  </si>
  <si>
    <t xml:space="preserve"> Profesionālās pamatizglītības programmas, arodizglītības programmas un profesionālās vidējās izglītības programmas,  Ēdināšanas pakalpojumi</t>
  </si>
  <si>
    <t>Profesionālās pamatizglītības programmas, arodizglītības programmas un profesionālās vidējās izglītības programmas, Datorsistēmas</t>
  </si>
  <si>
    <t xml:space="preserve"> Profesionālās pamatizglītības programmas, arodizglītības programmas un profesionālās vidējās izglītības programmas, Datoru lietošana</t>
  </si>
  <si>
    <t xml:space="preserve"> Profesionālās pamatizglītības programmas, arodizglītības programmas un profesionālās vidējās izglītības programmas, Šūto izstrādājumu ražošanas tehnoloģija</t>
  </si>
  <si>
    <t>Profesionālās pamatizglītības programmas, arodizglītības programmas un profesionālās vidējās izglītības programmas, Elektronika un elektrotehnika</t>
  </si>
  <si>
    <t>Pirmā līmeņa profesionālās augstākās izglītības (koledžas izglītības) programmas, Studiju programmas pilna laika studijām, Studiju virziena "Viesnīcu un restorānu serviss, tūrisma un atpūtas organizācija" studiju programmas</t>
  </si>
  <si>
    <t>3.1.2.</t>
  </si>
  <si>
    <t xml:space="preserve">Pirmā līmeņa profesionālās augstākās izglītības (koledžas izglītības) programmas, Studiju programmas pilna laika studijām, Studiju virziena "Informācijas tehnoloģija, datortehnika, elektronika, telekomunikācijas un datorzinātne" studiju programmas </t>
  </si>
  <si>
    <t xml:space="preserve">Pirmā līmeņa profesionālās augstākās izglītības (koledžas izglītības) programmas, Studiju programmas nepilna laika studijām, Studiju virzienu "Ekonomika" un "Vadība, administrēšana un nekustamo īpašumu pārvaldība" studiju programmas </t>
  </si>
  <si>
    <t>3.2.1.</t>
  </si>
  <si>
    <t>3.2.2.</t>
  </si>
  <si>
    <t xml:space="preserve">Pirmā līmeņa profesionālās augstākās izglītības (koledžas izglītības) programmas, Studiju programmas nepilna laika studijām, Studiju virziena "Informācijas tehnoloģija, datortehnika, elektronika, telekomunikācijas un datorzinātne" studiju programmas </t>
  </si>
  <si>
    <t>Pirmā līmeņa profesionālās augstākās izglītības (koledžas izglītības) programmas, Studiju programmas nepilna laika studijām, Studiju virziena "Viesnīcu un restorānu serviss, tūrisma un atpūtas organizācija" studiju programmas</t>
  </si>
  <si>
    <t>2.6.</t>
  </si>
  <si>
    <t>Profesionālās pamatizglītības programmas, arodizglītības programmas un profesionālās vidējās izglītības programmas, Metālapstrāde</t>
  </si>
  <si>
    <t>1.5. 720 stundu programma</t>
  </si>
  <si>
    <t xml:space="preserve"> Datortehnika, sakaru un cita biroja tehnika</t>
  </si>
  <si>
    <t>1.6. Tālākizglītības kursi, semināri, lekcijas</t>
  </si>
  <si>
    <t>1.6.1.  vienai personai grupā līdz 24 personām (1 stunda)</t>
  </si>
  <si>
    <t>1.6.2.  vienai personai grupā vairāk par 24 personām (1 stunda)</t>
  </si>
  <si>
    <t>1. Profesionālās pilnveides izglītības programmas un profesionālās tālākizglītības programmas</t>
  </si>
  <si>
    <t>2. Profesionālās pamatizglītības programmas, arodizglītības programmas un profesionālās vidējās izglītības programmas</t>
  </si>
  <si>
    <t>2019.gadā un turpmāk</t>
  </si>
  <si>
    <t>1.1. 684 stundu programma</t>
  </si>
  <si>
    <t>1.2. 570 stundu programma</t>
  </si>
  <si>
    <t>2.5. Metālapstrāde</t>
  </si>
  <si>
    <t>1.3.  1040 stundu programma</t>
  </si>
  <si>
    <t>2.2. Datorsistēmas, datubāzes un datortīkli</t>
  </si>
  <si>
    <t>2019. gada  15.martā</t>
  </si>
  <si>
    <t>direktores p.i.  G.Apele</t>
  </si>
  <si>
    <t>direktores p.i. G.Apele</t>
  </si>
  <si>
    <t xml:space="preserve">2020.gada 07.aprīlī </t>
  </si>
  <si>
    <t>2020.gadā un turpmāk</t>
  </si>
  <si>
    <t xml:space="preserve">Budžeta iestāžu nekustamā īpašuma nodokļa maksājumi </t>
  </si>
  <si>
    <t xml:space="preserve">Izdevumi par atkritumu savākšanu, izvešanu un atkritumu utilizāciju </t>
  </si>
  <si>
    <t xml:space="preserve">Mācību, darba un dienesta komandējumi, darba braucieni </t>
  </si>
  <si>
    <t> Izdevumi par sakaru pakalpojumiem</t>
  </si>
  <si>
    <t>Izdevumi iestādes sabiedrisko aktivitāšu īstenošanai</t>
  </si>
  <si>
    <t xml:space="preserve">Izdevumi par saņemtajiem mācību pakalpojumiem </t>
  </si>
  <si>
    <t xml:space="preserve"> Pārējie neklasificētie pakalpojumi</t>
  </si>
  <si>
    <t xml:space="preserve">Izdevumi par precēm iestādes sabiedrisko aktiv itāšu īstenošanai </t>
  </si>
  <si>
    <t>Pārējie pamatlīdzekļi</t>
  </si>
  <si>
    <t>2020.gada .aprīlī</t>
  </si>
  <si>
    <t>1.6.6.  Profesionālās pilnveides programma vienai personai grupā (līdz 15 personām),  32 stundas</t>
  </si>
  <si>
    <t>1.6.4.  Profesionālās pilnveides programma vienai personai grupā (līdz 15 personām), 16 stundas</t>
  </si>
  <si>
    <t>1.6.5.  Profesionālās pilnveides programma vienai personai grupā (līdz 15 personām), 24 stundas</t>
  </si>
  <si>
    <t>1.6. Tālākizglītības kursi, semināri, lekcijas, profesionālās pilnveides programmas un profesionālās piemērotības noteikšana</t>
  </si>
  <si>
    <t>5. Ārstniecības pakalpojumi</t>
  </si>
  <si>
    <t>5.5. Nodarbības funkcionālā speciālista vadībā</t>
  </si>
  <si>
    <t>Izmaksu apjoms noteiktā laikposmā viena maksas pakalpojuma veida nodrošināšanai</t>
  </si>
  <si>
    <t xml:space="preserve">Tiešās izmaksas </t>
  </si>
  <si>
    <t>Atalgojums</t>
  </si>
  <si>
    <t>Darba devēja valsts sociālās apdrošināšanas obligātās iemaksas, sociāla rakstura pabalsti un kompensācijas</t>
  </si>
  <si>
    <t> Zāles, ķimikālijas, laboratorijas preces</t>
  </si>
  <si>
    <t> Pārējie remonta darbu un iestāžu uzturēšanas pakalpojumi</t>
  </si>
  <si>
    <t>Tiešās izmaksas kopā</t>
  </si>
  <si>
    <t xml:space="preserve">Netiešās izmaksas </t>
  </si>
  <si>
    <t>Mācību, darba un dienesta komandējumi, dienesta, darba braucieni</t>
  </si>
  <si>
    <t>Apdrošināšanas izdevumi</t>
  </si>
  <si>
    <t>Informācijas sistēmas licenču nomas izdevumi</t>
  </si>
  <si>
    <t>Pārējie informācijas tehnoloģiju pakalpojumi</t>
  </si>
  <si>
    <t> Zemes noma</t>
  </si>
  <si>
    <t> Medicīnas instrumenti, laboratorijas dzīvnieki un to uzturēšana</t>
  </si>
  <si>
    <t> Virtuves inventārs, trauki un galda piederumi</t>
  </si>
  <si>
    <t> Ēdināšanas izdevumi</t>
  </si>
  <si>
    <t> Budžeta iestāžu pievienotās vērtības nodokļa maksājumi</t>
  </si>
  <si>
    <t>Budžeta iestāžu dabas resursu nodokļa maksājumi</t>
  </si>
  <si>
    <t> Datorprogrammas</t>
  </si>
  <si>
    <t> Datortehnika, sakaru un cita biroja tehnika</t>
  </si>
  <si>
    <t>Netiešās izmaksas kopā</t>
  </si>
  <si>
    <t>Maksas pakalpojuma vienību skaits noteiktā laikposmā (gab.)</t>
  </si>
  <si>
    <t>Aprēķinu sastādīja:SIVA Finanšu nodaļas vecākā finanšu ekonomiste Anita Ozoliņa</t>
  </si>
  <si>
    <t xml:space="preserve">5.5.1. Ārstnieciskā vingrošana </t>
  </si>
  <si>
    <t xml:space="preserve">2020. gada </t>
  </si>
  <si>
    <t xml:space="preserve"> Zāles, ķimikālijas, laboratorijas preces </t>
  </si>
  <si>
    <t xml:space="preserve"> Izdevumi par atkritumu savākšanu, izvešanu utilizāciju</t>
  </si>
  <si>
    <t>Izdevumi iestādes sabiedrisko aktiv itāšu īstenošanai</t>
  </si>
  <si>
    <t>Pārējie neklasificētie pakalpojumi</t>
  </si>
  <si>
    <t>5.5.1.1. Vingrošana grupā - zālē (vienai personai), 1 nodarbība , 30min.</t>
  </si>
  <si>
    <t xml:space="preserve">Informācijas tehnoloģiju pakalpojumi </t>
  </si>
  <si>
    <t xml:space="preserve"> Informācijas tehnoloģiju pakalpojumi </t>
  </si>
  <si>
    <t>Darba devēja valsts sociālās apdrošināšanas obligātās iemaksas, pabalsti un kompensācijas</t>
  </si>
  <si>
    <t>2019. gada    .martā</t>
  </si>
  <si>
    <t xml:space="preserve">Maksas pakalpojuma izcenojums (euro) </t>
  </si>
  <si>
    <t xml:space="preserve"> Izdevumi par ūdensapgādi un kanalizāciju </t>
  </si>
  <si>
    <t>Nekustamā īpašuma uzturēšana</t>
  </si>
  <si>
    <t xml:space="preserve"> Darba devēja valsts sociālās apdrošināšanas obligātās iemaksas, pabalsti un kompensācijas</t>
  </si>
  <si>
    <t xml:space="preserve"> Nekustamā īpašuma uzturēšana</t>
  </si>
  <si>
    <t xml:space="preserve">Pārējie pamatlīdzekļi </t>
  </si>
  <si>
    <t>5.5.8. Slinga terapija</t>
  </si>
  <si>
    <t>8. Ēdināšanas pakalpojumi</t>
  </si>
  <si>
    <t>Iekārtas, inventāra un aparatūras remonts, tehniskā apkalpošana</t>
  </si>
  <si>
    <t>Virtuves inventārs, trauki un galda piederumi</t>
  </si>
  <si>
    <t>Ēdināšanas izdevumi</t>
  </si>
  <si>
    <t>Mācību līdzekļi un materiāli</t>
  </si>
  <si>
    <t xml:space="preserve"> Budžeta iestāžu pievienotās vērtības nodokļa maksājumi </t>
  </si>
  <si>
    <t>Pamatlīdzekļu izveidošana un nepabeigtā būvniecība</t>
  </si>
  <si>
    <t>Kapitālais remonts un rekonstrukcija</t>
  </si>
  <si>
    <t>Informācijas tehnoloģiju pakalpojumi</t>
  </si>
  <si>
    <t xml:space="preserve"> Pārējie neklasificētie pakalpojumi </t>
  </si>
  <si>
    <t>Iestāžu uzturēšanas materiāli un preces</t>
  </si>
  <si>
    <t>Izdevumi par sakaru pakalpojumiem</t>
  </si>
  <si>
    <t>Ēku, būvju un telpu būvdarbi</t>
  </si>
  <si>
    <t>Izdevumi par elektroenerģiju</t>
  </si>
  <si>
    <t>Transportlīdzekļu noma</t>
  </si>
  <si>
    <t>Zemes noma</t>
  </si>
  <si>
    <t>Iekārtu, aparatūras un inventāra īre un noma</t>
  </si>
  <si>
    <t>8.10. Ēdienu kārba līdzņemšanai</t>
  </si>
  <si>
    <t>9. Telpu iznomāšana</t>
  </si>
  <si>
    <t> Ēku, būvju un telpu būvdarbi</t>
  </si>
  <si>
    <t>11. Pārējie maksas pakalpojumi</t>
  </si>
  <si>
    <t xml:space="preserve">11.11.  Sociālā rehabilitētāja nodarbības </t>
  </si>
  <si>
    <t>Pārējie valsts un pašvaldību aprūpē, apgādē un dienestā (amatā) esošo personu uzturēšanas izdevumi</t>
  </si>
  <si>
    <t> Ēku, būvju un telpu būdarbi</t>
  </si>
  <si>
    <t>Baseina noma , 1 stunda</t>
  </si>
  <si>
    <t>Baseina noma ar tvaika pirti , 1 stunda</t>
  </si>
  <si>
    <t xml:space="preserve"> Iestāžu uzturēšanas materiāli un preces </t>
  </si>
  <si>
    <t xml:space="preserve"> Nekustamā īpašuma uzturēšana </t>
  </si>
  <si>
    <t xml:space="preserve"> Iestāžu uzturēšanas materiāli un preces</t>
  </si>
  <si>
    <t xml:space="preserve"> Izdevumi par atkritumu savākšanu, izvešanu un atkritumu utilizāciju </t>
  </si>
  <si>
    <t xml:space="preserve"> Izdevumi iestādes sabiedrisko aktivitāšu īstenošanai</t>
  </si>
  <si>
    <t> Pārējie remontdarbu un iestāžu uzturēšanas pakalpojumi</t>
  </si>
  <si>
    <t xml:space="preserve"> Izdevumi iestādes sabiedrisko aktiv itāšu īstenošanai</t>
  </si>
  <si>
    <t xml:space="preserve"> Virtuves inventārs, trauki un galda piederumi</t>
  </si>
  <si>
    <t xml:space="preserve"> Ēdināšanas izdevumi</t>
  </si>
  <si>
    <t xml:space="preserve"> Izdevumi par sakaru pakalpojumiem</t>
  </si>
  <si>
    <t xml:space="preserve"> Izdevumi par elektroenerģiju</t>
  </si>
  <si>
    <t xml:space="preserve"> Informācijas tehnoloģiju pakalpojumi</t>
  </si>
  <si>
    <t xml:space="preserve"> Zemes noma</t>
  </si>
  <si>
    <t xml:space="preserve"> Iekārtas, inventāra un aparatūras remonts, tehniskā apkalpošana</t>
  </si>
  <si>
    <t xml:space="preserve"> Pārējie valsts un pašvaldību aprūpē, apgādē un dienestā (amatā) esošo personu uzturēšanas izdevumi</t>
  </si>
  <si>
    <t xml:space="preserve"> Datortehnika, sakaru un cita biroja tehnika </t>
  </si>
  <si>
    <t xml:space="preserve"> Budžeta iestāžu nekustamā īpašuma nodokļa maksājumi </t>
  </si>
  <si>
    <t xml:space="preserve"> Mācību, darba un dienesta komandējumi, darba braucieni </t>
  </si>
  <si>
    <t xml:space="preserve"> Izdevumi par saņemtajiem mācību pakalpojumiem </t>
  </si>
  <si>
    <t xml:space="preserve"> Izdevumi par precēm iestādes sabiedrisko aktiv itāšu īstenošanai </t>
  </si>
  <si>
    <t xml:space="preserve"> Izdevumi par precēm iestādes sabiedrisko aktivitāšu īstenošanai </t>
  </si>
  <si>
    <t xml:space="preserve"> Izdevumi par profesionālās darbības pakalpojumiem </t>
  </si>
  <si>
    <t xml:space="preserve"> Kurināmais</t>
  </si>
  <si>
    <t xml:space="preserve">1. Profesionālās pilnveides izglītības programmas, profesionālās tālākizglītības programmas un tālākizglītības kursi, semināri, lekcijas </t>
  </si>
  <si>
    <t>1.7. 1920 stundu programma</t>
  </si>
  <si>
    <t>1.6. 1204 stundu programma</t>
  </si>
  <si>
    <t xml:space="preserve"> Apdrošināšanas izdevumi veselības, dzīvības un nelaimes gadījumu apdrošināšanai </t>
  </si>
  <si>
    <t xml:space="preserve"> Transportlīdzekļu noma </t>
  </si>
  <si>
    <t xml:space="preserve"> Degviela</t>
  </si>
  <si>
    <t>1.8. 2880 stundu programma</t>
  </si>
  <si>
    <t xml:space="preserve"> Nekustamā īpašuma uzturēšana </t>
  </si>
  <si>
    <t> Iestāžu uzturēšanas materiāli un preces</t>
  </si>
  <si>
    <t>5.5.3. Fizioterapija individuāli, 1 nodarbība līdz 45min.</t>
  </si>
  <si>
    <t>5.5.5. Fizioterapeita konsultācija ar individuālu vingrojumu kompleksa izstrādi, 1 reize līdz 60min.</t>
  </si>
  <si>
    <t>2017. gada    .novembrī</t>
  </si>
  <si>
    <t>7. Viesu izmitināšana</t>
  </si>
  <si>
    <t>7.6.  Viesu izmitināšana Dubultu prospektā 59, Jūrmalā, 1. stāvs</t>
  </si>
  <si>
    <t>2021.gadā un turpmāk</t>
  </si>
  <si>
    <t xml:space="preserve"> Ēku, telpu īre un noma</t>
  </si>
  <si>
    <t xml:space="preserve"> Mīkstais inventārs</t>
  </si>
  <si>
    <t xml:space="preserve"> Iekārtu un inventāra īre un noma</t>
  </si>
  <si>
    <t xml:space="preserve"> Kapitālais remonts un rekonstrukcija</t>
  </si>
  <si>
    <t>7.7. Viesu izmitināšana Dubultu prospektā 59, Jūrmalā,  2. stāvs</t>
  </si>
  <si>
    <t>7.8. Viesu izmitināšana Dubultu prospektā 59, Jūrmalā, 3. stāvs</t>
  </si>
  <si>
    <t>9.1. Konferenču zāles noma</t>
  </si>
  <si>
    <t xml:space="preserve">Izmaksu apjoms noteiktā laikposmā viena maksas pakalpojuma veida nodrošināšanai  </t>
  </si>
  <si>
    <t>Aprēķinu sastādīja: SIVA Finanšu nodaļas finanšu ekonomiste E.Lipiņa</t>
  </si>
  <si>
    <t>9.1.2. Jūrmalā, Slokas ielā 61 (271.6 kv.m)</t>
  </si>
  <si>
    <t>9.1.2.2.  Jūrmalā, Slokas ielā 61 (271.6 kv.m), 1 diena (līdz 12 stundām)</t>
  </si>
  <si>
    <t>9.1.3. Jūrmalā, Dubultu pr.71 ( 183.3kv.m)</t>
  </si>
  <si>
    <t>Prognozētais maksas pakalpojumu skaits gadā *</t>
  </si>
  <si>
    <t>9.1.3.2. Jūrmalā, Dubultu pr.71 ( 183.3kv.m), 1 diena (līdz 12 stundām)</t>
  </si>
  <si>
    <t>5.5.1.3. Ārstnieciskā vingrošana ar TRX piekares sistēmu individuāli, 1 nodarbība līdz 60min</t>
  </si>
  <si>
    <t>7.6.2. Dubultu prospektā 59, Jūrmalā, astoņvietīgs numurs, 1 numurs diennaktī</t>
  </si>
  <si>
    <t>7.7.2. Dubultu prospektā 59, Jūrmalā,  sešvietīgs numurs, 1 numurs diennaktī</t>
  </si>
  <si>
    <t>7.8.2. Dubultu prospektā 59, Jūrmalā,  trīsvietīgs numurs, 1 numurs diennaktī</t>
  </si>
  <si>
    <t>9.4. Fizioterapijas lielās zāles noma Jūrmalā, Dubultu prospektā 71,  1 stunda</t>
  </si>
  <si>
    <t xml:space="preserve">2020. gada augustā </t>
  </si>
  <si>
    <t>Aprēķinu sastādīja: SIVA Finanšu nodaļas finanšu ekonomiste Erna Lipiņa</t>
  </si>
  <si>
    <t>1.9. Tālākizglītības kursi, semināri, lekcijas, vienai personai grupā,  1 stunda</t>
  </si>
  <si>
    <t>2020.gada   .augustā</t>
  </si>
  <si>
    <t xml:space="preserve"> Izdevumi par atkritumu savākšanu, izvešanu no apdzīvotām vietām un teritorijām ārpus apdzīvotām vietām un atkritumu utilizāciju</t>
  </si>
  <si>
    <t xml:space="preserve"> Inventārs</t>
  </si>
  <si>
    <t xml:space="preserve"> Izdevumi par atkritumu savākšanu, izvešanu no apdzīvotām vietām un teritorijām ārpus apdzīvotām vietām un atkritumu utilizāciju </t>
  </si>
  <si>
    <t xml:space="preserve"> Izdevumi iestādes sabiedrisko aktivitāšu īstenošanai </t>
  </si>
  <si>
    <t xml:space="preserve"> Normatīvajos aktos noteiktie veselības un fiziskās sagatavotības pārbaudes izdevumi </t>
  </si>
  <si>
    <t xml:space="preserve"> Licences, koncesijas un patenti, preču zīmes un līdzīgas tiesības </t>
  </si>
  <si>
    <t>7.12. Dubultu prospektā 59, Jūrmalā viena ēka 20 vietas,  ēka diennaktī</t>
  </si>
  <si>
    <t>5.5.8.2. Slinga terapija ar individuālu fizioterapijas nodarbību, 1 nodarbība līdz 45 min.</t>
  </si>
  <si>
    <t>5.5.1.2. Ārstnieciskā vingrošana ar TRX piekares sistēmu grupā līdz 10 cilvēkiem (vienai personai),  1 nodarbība līdz 60min</t>
  </si>
  <si>
    <t>1.10. Profesionālās pilnveides programma vienai personai grupā, 8 stundas</t>
  </si>
  <si>
    <t>11.13.  Profesionālās piemērotības noteikšana vienai personai, 5 dienu kurss</t>
  </si>
  <si>
    <t>11.11.2.  Sociālā rehabilitētāja nodarbība grupā (līdz 3 cilvēkiem), 1 reize līdz 60 min.</t>
  </si>
  <si>
    <t>8.9. Svaigi spiesta sula,  0.2 l</t>
  </si>
  <si>
    <t xml:space="preserve"> Pārējie iepriekš neklasificētie pamatlīdzekļi un ieguldījuma īpašumi</t>
  </si>
  <si>
    <t>11.13.  Karjeras konsultanta konsultācija, 1 reize līdz 45min.</t>
  </si>
  <si>
    <t xml:space="preserve">Ministru kabineta notiekumu projekta "Grozījumi Ministru kabineta </t>
  </si>
  <si>
    <t>24.09.2013. notiekumos Nr.1002  "Sociālās integrācijas</t>
  </si>
  <si>
    <t xml:space="preserve"> valsts aģentūras sniegto maksas pakalpojumu cenrādis" </t>
  </si>
  <si>
    <t>2021.gada  30. augustā</t>
  </si>
  <si>
    <t>2022.gadā un turpmāk</t>
  </si>
  <si>
    <t>Aprēķinu sastādīja: SIVA Finanšu nodaļas ekonomiste E.Lipiņa</t>
  </si>
  <si>
    <t xml:space="preserve">2022. gada   </t>
  </si>
  <si>
    <t>11.9. Psihologa pakalpojumi</t>
  </si>
  <si>
    <t>11.9.3. Psihologa nodarbība individuāli</t>
  </si>
  <si>
    <t>Biroja preces</t>
  </si>
  <si>
    <t>Inventārs</t>
  </si>
  <si>
    <t>Kurināmais</t>
  </si>
  <si>
    <t>Zāles, ķimikālijas, laboratorijas preces</t>
  </si>
  <si>
    <t>Izdevumi par ūdensapgādi un kanalizāciju</t>
  </si>
  <si>
    <t>Izdevumi par atkritumu savākšanu, izvešanu no apdzīvotām vietām un teritorijām ārpus apdzīvotām vietām un atkritumu utilizāciju</t>
  </si>
  <si>
    <t>Izdevumi par saņemtajiem mācību pakalpojumiem</t>
  </si>
  <si>
    <t>Transportlīdzekļu uzturēšana un remonts</t>
  </si>
  <si>
    <t>Pārējie remontdarbu un iestāžu uzturēšanas pakalpojumi</t>
  </si>
  <si>
    <t>Darba aizsardzības līdzekļi</t>
  </si>
  <si>
    <t>Izdevumi par precēm iestādes sabiedrisko aktivitāšu īstenošanai</t>
  </si>
  <si>
    <t>Degviela</t>
  </si>
  <si>
    <t>Budžeta iestāžu nekustamā īpašuma nodokļa maksājumi</t>
  </si>
  <si>
    <t>Pārējie budžeta iestāžu pārskaitītie nodokļi un nodevas</t>
  </si>
  <si>
    <t>Tehnoloģiskās iekārtas un mašīnas</t>
  </si>
  <si>
    <t>Datortehnika, sakaru un cita biroja tehnika</t>
  </si>
  <si>
    <t>Pārējie iepriekš neklasificētie pamatlīdzekļi un ieguldījuma īpašumi</t>
  </si>
  <si>
    <t>11.9.1. Psihologa konsultācija</t>
  </si>
  <si>
    <t xml:space="preserve">11.9.2. Psihologa nodarbība grupā </t>
  </si>
  <si>
    <t>7.pielikums</t>
  </si>
  <si>
    <t>Kabineta vai auditorijas noma, 1 stunda</t>
  </si>
  <si>
    <t>Kabineta vai auditorijas noma, 1 diena (līdz 12 stundām)</t>
  </si>
  <si>
    <t xml:space="preserve">2022. gada </t>
  </si>
  <si>
    <t>2023.gads un turpmāk</t>
  </si>
  <si>
    <t>9.1.1. Slokas ielā 68, Jūrmalā (126.4m2)</t>
  </si>
  <si>
    <t> Nekustamā īpašuma uzturēšana</t>
  </si>
  <si>
    <t>9.1.1.2. Slokas ielā 68, Jūrmalā (126.4m2), 1 diena</t>
  </si>
  <si>
    <t xml:space="preserve">2022.gada  </t>
  </si>
  <si>
    <t>2023.gadā un turpmāk</t>
  </si>
  <si>
    <t> Izdevumi par ūdensapgādi un kanalizāciju</t>
  </si>
  <si>
    <t xml:space="preserve"> Izdevumi par atkritumu savākšanu, izvešanu no apdzīvotām vietām un teritorijām ārpus apdzīvotām   vietām un atkritumu utilizāciju</t>
  </si>
  <si>
    <t xml:space="preserve"> Izdevumi par atkritumu savākšanu, izvešanu no apdzīvotām vietām un teritorijām ārpus  apdzīvotām vietām un atkritumu utilizāciju</t>
  </si>
  <si>
    <t>6.1.1.</t>
  </si>
  <si>
    <t>6.1.2.</t>
  </si>
  <si>
    <t>6.2.</t>
  </si>
  <si>
    <t>Sporta zāles noma Jūrmalā, Slokas ielā 61, 2.korpuss 1 stunda</t>
  </si>
  <si>
    <t>6.3.</t>
  </si>
  <si>
    <t>6.4.</t>
  </si>
  <si>
    <t>6.5.</t>
  </si>
  <si>
    <t>6. Telpu iznomāšana</t>
  </si>
  <si>
    <t>6.1.1. Kabineta vai auditorijas noma , 1 stunda</t>
  </si>
  <si>
    <t>6.1.2.Kabineta vai auditorijas noma , 1 diena</t>
  </si>
  <si>
    <t>6.2. Sporta zāles noma Jūrmalā, Slokas ielā 61, 2.korpuss, 1 stunda</t>
  </si>
  <si>
    <t>6.3. Tirdzniecības vietas noma (26.1m2) Jūrmalā,  Dubultu prospektā 71, 2.korpuss</t>
  </si>
  <si>
    <t>6.4. Baseina noma, 1 stunda</t>
  </si>
  <si>
    <t xml:space="preserve">2020.gada  </t>
  </si>
  <si>
    <t>6.5. Baseina noma ar tvaika pirti, 1 stunda</t>
  </si>
  <si>
    <t>6.1.5. Konferenču zāles noma  Slokas ielā 68, Jūrmalā (126.4m2), 1 stunda</t>
  </si>
  <si>
    <t>6.1.3.</t>
  </si>
  <si>
    <t>6.1.4.</t>
  </si>
  <si>
    <t>6.1.5.</t>
  </si>
  <si>
    <t>Konferenču zāles noma  Slokas ielā 68, Jūrmalā (126.4m2), 1 stunda</t>
  </si>
  <si>
    <t>Tirdzniecības vietas noma (26.1m2) Jūrmalā, Dubultu prospektā 71, 1 diena (līdz 12 stundām)</t>
  </si>
  <si>
    <t>2023. gada 29.martā</t>
  </si>
  <si>
    <t>Konferenču zāles noma  Slokas ielā 61/3, Jūrmalā (135.7m2), 1 stunda</t>
  </si>
  <si>
    <t>Konferenču zāles noma  Slokas ielā 61/3, Jūrmalā (135.7m2), 1 diena (līdz 12 stundām)</t>
  </si>
  <si>
    <t xml:space="preserve">6.1. Kabineta, auditorijas vai konferenču zāles noma </t>
  </si>
  <si>
    <t>6.1.4. Konferenču zāles noma  Slokas ielā 61/3, Jūrmalā (135.7m2), 1 diena</t>
  </si>
  <si>
    <t>6.1.3. Konferenču zāles noma  Slokas ielā 61/3, Jūrmalā (135.7m2), 1 stunda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</si>
</sst>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87" formatCode="0.000000"/>
    <numFmt numFmtId="188" formatCode="0.00000"/>
    <numFmt numFmtId="189" formatCode="0.0000"/>
    <numFmt numFmtId="190" formatCode="0.000"/>
  </numFmts>
  <fonts count="22" x14ac:knownFonts="1">
    <font>
      <sz val="10"/>
      <name val="Arial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name val="Arial"/>
      <family val="2"/>
      <charset val="186"/>
    </font>
    <font>
      <sz val="12"/>
      <name val="Times New Roman"/>
      <family val="1"/>
      <charset val="186"/>
    </font>
    <font>
      <sz val="9"/>
      <name val="Arial"/>
      <family val="2"/>
      <charset val="186"/>
    </font>
    <font>
      <sz val="12"/>
      <name val="Arial"/>
      <family val="2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u/>
      <sz val="12"/>
      <name val="Times New Roman"/>
      <family val="1"/>
      <charset val="186"/>
    </font>
    <font>
      <sz val="10"/>
      <name val="Times New Roman"/>
      <family val="1"/>
      <charset val="186"/>
    </font>
    <font>
      <i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color rgb="FFFF0000"/>
      <name val="Arial"/>
      <family val="2"/>
      <charset val="186"/>
    </font>
    <font>
      <sz val="11"/>
      <color rgb="FFFF0000"/>
      <name val="Arial"/>
      <family val="2"/>
      <charset val="186"/>
    </font>
    <font>
      <sz val="10"/>
      <color rgb="FFFF0000"/>
      <name val="Arial"/>
      <family val="2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3">
    <xf numFmtId="0" fontId="0" fillId="0" borderId="0" xfId="0"/>
    <xf numFmtId="0" fontId="3" fillId="0" borderId="0" xfId="0" applyFont="1"/>
    <xf numFmtId="0" fontId="2" fillId="0" borderId="0" xfId="1" applyFont="1"/>
    <xf numFmtId="0" fontId="1" fillId="0" borderId="0" xfId="0" applyFont="1"/>
    <xf numFmtId="4" fontId="4" fillId="0" borderId="0" xfId="0" applyNumberFormat="1" applyFont="1" applyAlignme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/>
    <xf numFmtId="0" fontId="6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1" xfId="1" applyFont="1" applyBorder="1" applyAlignment="1">
      <alignment wrapText="1"/>
    </xf>
    <xf numFmtId="0" fontId="4" fillId="0" borderId="0" xfId="1" applyFont="1"/>
    <xf numFmtId="0" fontId="4" fillId="0" borderId="0" xfId="1" applyFont="1" applyBorder="1"/>
    <xf numFmtId="0" fontId="4" fillId="0" borderId="0" xfId="1" applyFont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2" fontId="4" fillId="0" borderId="2" xfId="0" applyNumberFormat="1" applyFont="1" applyBorder="1" applyAlignment="1">
      <alignment horizontal="center" vertical="top"/>
    </xf>
    <xf numFmtId="0" fontId="4" fillId="0" borderId="2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2" fontId="7" fillId="0" borderId="2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vertical="top"/>
    </xf>
    <xf numFmtId="0" fontId="4" fillId="0" borderId="0" xfId="0" applyFont="1" applyBorder="1" applyAlignment="1">
      <alignment horizontal="right"/>
    </xf>
    <xf numFmtId="2" fontId="7" fillId="0" borderId="0" xfId="0" applyNumberFormat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2" xfId="1" applyFont="1" applyBorder="1"/>
    <xf numFmtId="0" fontId="4" fillId="0" borderId="2" xfId="1" applyFont="1" applyBorder="1" applyAlignment="1">
      <alignment wrapText="1"/>
    </xf>
    <xf numFmtId="0" fontId="4" fillId="0" borderId="0" xfId="0" applyFont="1" applyBorder="1" applyAlignment="1">
      <alignment vertical="top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2" fontId="7" fillId="0" borderId="0" xfId="0" applyNumberFormat="1" applyFont="1" applyBorder="1" applyAlignment="1">
      <alignment horizontal="center" vertical="top"/>
    </xf>
    <xf numFmtId="2" fontId="4" fillId="0" borderId="2" xfId="0" applyNumberFormat="1" applyFont="1" applyFill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 vertical="top"/>
    </xf>
    <xf numFmtId="0" fontId="4" fillId="0" borderId="0" xfId="0" applyFont="1" applyBorder="1" applyAlignment="1">
      <alignment horizontal="center" vertical="top"/>
    </xf>
    <xf numFmtId="0" fontId="4" fillId="0" borderId="2" xfId="1" applyFont="1" applyBorder="1" applyAlignment="1">
      <alignment vertical="top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top" wrapText="1"/>
    </xf>
    <xf numFmtId="0" fontId="16" fillId="0" borderId="0" xfId="0" applyFont="1" applyAlignment="1">
      <alignment horizontal="justify"/>
    </xf>
    <xf numFmtId="0" fontId="17" fillId="0" borderId="0" xfId="0" applyFont="1" applyAlignment="1">
      <alignment vertical="top"/>
    </xf>
    <xf numFmtId="0" fontId="18" fillId="0" borderId="0" xfId="0" applyFont="1"/>
    <xf numFmtId="0" fontId="17" fillId="0" borderId="0" xfId="0" applyFont="1"/>
    <xf numFmtId="2" fontId="0" fillId="0" borderId="0" xfId="0" applyNumberFormat="1"/>
    <xf numFmtId="2" fontId="4" fillId="0" borderId="0" xfId="0" applyNumberFormat="1" applyFont="1" applyBorder="1" applyAlignment="1">
      <alignment horizontal="center" vertical="top"/>
    </xf>
    <xf numFmtId="2" fontId="7" fillId="0" borderId="2" xfId="0" applyNumberFormat="1" applyFont="1" applyBorder="1" applyAlignment="1">
      <alignment horizontal="right" vertical="top"/>
    </xf>
    <xf numFmtId="2" fontId="4" fillId="0" borderId="2" xfId="0" applyNumberFormat="1" applyFont="1" applyBorder="1"/>
    <xf numFmtId="2" fontId="4" fillId="0" borderId="0" xfId="0" applyNumberFormat="1" applyFont="1" applyBorder="1" applyAlignment="1">
      <alignment horizontal="right" vertical="top"/>
    </xf>
    <xf numFmtId="2" fontId="4" fillId="0" borderId="0" xfId="1" applyNumberFormat="1" applyFont="1"/>
    <xf numFmtId="0" fontId="6" fillId="0" borderId="0" xfId="0" applyFont="1" applyAlignment="1">
      <alignment horizontal="left" vertical="center" wrapText="1"/>
    </xf>
    <xf numFmtId="2" fontId="19" fillId="0" borderId="2" xfId="0" applyNumberFormat="1" applyFont="1" applyBorder="1" applyAlignment="1">
      <alignment horizontal="center" vertical="top"/>
    </xf>
    <xf numFmtId="0" fontId="18" fillId="0" borderId="2" xfId="0" applyFont="1" applyBorder="1"/>
    <xf numFmtId="2" fontId="20" fillId="0" borderId="2" xfId="0" applyNumberFormat="1" applyFont="1" applyBorder="1" applyAlignment="1">
      <alignment horizontal="center" vertical="top"/>
    </xf>
    <xf numFmtId="2" fontId="19" fillId="0" borderId="2" xfId="0" applyNumberFormat="1" applyFont="1" applyBorder="1" applyAlignment="1">
      <alignment horizontal="center" vertical="top" wrapText="1"/>
    </xf>
    <xf numFmtId="2" fontId="19" fillId="0" borderId="2" xfId="0" applyNumberFormat="1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left" vertical="top" wrapText="1"/>
    </xf>
    <xf numFmtId="2" fontId="20" fillId="0" borderId="2" xfId="0" applyNumberFormat="1" applyFont="1" applyBorder="1" applyAlignment="1">
      <alignment horizontal="center" vertical="top" wrapText="1"/>
    </xf>
    <xf numFmtId="0" fontId="16" fillId="0" borderId="0" xfId="0" applyFont="1"/>
    <xf numFmtId="0" fontId="19" fillId="0" borderId="0" xfId="0" applyFont="1" applyBorder="1"/>
    <xf numFmtId="0" fontId="19" fillId="0" borderId="2" xfId="0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/>
    </xf>
    <xf numFmtId="2" fontId="20" fillId="0" borderId="0" xfId="0" applyNumberFormat="1" applyFont="1" applyBorder="1" applyAlignment="1">
      <alignment horizontal="center"/>
    </xf>
    <xf numFmtId="0" fontId="19" fillId="0" borderId="2" xfId="1" applyFont="1" applyBorder="1"/>
    <xf numFmtId="0" fontId="19" fillId="0" borderId="2" xfId="1" applyFont="1" applyBorder="1" applyAlignment="1">
      <alignment wrapText="1"/>
    </xf>
    <xf numFmtId="0" fontId="19" fillId="0" borderId="0" xfId="1" applyFont="1"/>
    <xf numFmtId="0" fontId="19" fillId="0" borderId="0" xfId="1" applyFont="1" applyBorder="1"/>
    <xf numFmtId="0" fontId="19" fillId="0" borderId="0" xfId="1" applyFont="1" applyAlignment="1">
      <alignment horizontal="center"/>
    </xf>
    <xf numFmtId="0" fontId="18" fillId="0" borderId="3" xfId="0" applyFont="1" applyBorder="1"/>
    <xf numFmtId="0" fontId="21" fillId="0" borderId="0" xfId="0" applyFont="1"/>
    <xf numFmtId="0" fontId="4" fillId="0" borderId="0" xfId="0" applyFont="1" applyBorder="1" applyAlignment="1">
      <alignment vertical="center" wrapText="1"/>
    </xf>
    <xf numFmtId="2" fontId="1" fillId="0" borderId="0" xfId="0" applyNumberFormat="1" applyFont="1"/>
    <xf numFmtId="189" fontId="4" fillId="0" borderId="2" xfId="0" applyNumberFormat="1" applyFont="1" applyBorder="1"/>
    <xf numFmtId="2" fontId="4" fillId="0" borderId="2" xfId="0" applyNumberFormat="1" applyFont="1" applyBorder="1" applyAlignment="1">
      <alignment horizontal="right" vertical="top"/>
    </xf>
    <xf numFmtId="190" fontId="6" fillId="0" borderId="0" xfId="0" applyNumberFormat="1" applyFont="1"/>
    <xf numFmtId="2" fontId="4" fillId="0" borderId="0" xfId="1" applyNumberFormat="1" applyFont="1" applyBorder="1"/>
    <xf numFmtId="2" fontId="6" fillId="0" borderId="0" xfId="0" applyNumberFormat="1" applyFont="1"/>
    <xf numFmtId="2" fontId="4" fillId="0" borderId="2" xfId="0" applyNumberFormat="1" applyFont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2" fontId="7" fillId="3" borderId="2" xfId="0" applyNumberFormat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1" xfId="1" applyFont="1" applyBorder="1" applyAlignment="1">
      <alignment horizontal="center" wrapText="1"/>
    </xf>
    <xf numFmtId="0" fontId="4" fillId="4" borderId="2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/>
    </xf>
    <xf numFmtId="2" fontId="4" fillId="0" borderId="2" xfId="0" applyNumberFormat="1" applyFont="1" applyFill="1" applyBorder="1" applyAlignment="1">
      <alignment horizontal="center" vertical="top"/>
    </xf>
    <xf numFmtId="2" fontId="7" fillId="0" borderId="0" xfId="0" applyNumberFormat="1" applyFont="1" applyFill="1" applyBorder="1" applyAlignment="1">
      <alignment horizontal="center" vertical="top"/>
    </xf>
    <xf numFmtId="2" fontId="18" fillId="0" borderId="0" xfId="0" applyNumberFormat="1" applyFont="1"/>
    <xf numFmtId="0" fontId="4" fillId="0" borderId="4" xfId="0" applyFont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wrapText="1"/>
    </xf>
    <xf numFmtId="0" fontId="4" fillId="0" borderId="0" xfId="1" applyFont="1" applyBorder="1" applyAlignment="1">
      <alignment horizontal="right"/>
    </xf>
    <xf numFmtId="0" fontId="4" fillId="0" borderId="0" xfId="0" applyFont="1" applyAlignment="1">
      <alignment wrapText="1"/>
    </xf>
    <xf numFmtId="0" fontId="4" fillId="4" borderId="0" xfId="0" applyFont="1" applyFill="1" applyBorder="1" applyAlignment="1">
      <alignment vertical="center" wrapText="1"/>
    </xf>
    <xf numFmtId="0" fontId="2" fillId="0" borderId="0" xfId="0" applyFont="1"/>
    <xf numFmtId="0" fontId="4" fillId="0" borderId="2" xfId="1" applyFont="1" applyBorder="1" applyAlignment="1">
      <alignment horizontal="center"/>
    </xf>
    <xf numFmtId="2" fontId="4" fillId="0" borderId="2" xfId="1" applyNumberFormat="1" applyFont="1" applyBorder="1" applyAlignment="1">
      <alignment horizontal="center"/>
    </xf>
    <xf numFmtId="0" fontId="4" fillId="0" borderId="0" xfId="0" applyFont="1" applyBorder="1" applyAlignment="1"/>
    <xf numFmtId="0" fontId="6" fillId="0" borderId="0" xfId="0" applyFont="1" applyBorder="1" applyAlignment="1">
      <alignment horizontal="right"/>
    </xf>
    <xf numFmtId="2" fontId="4" fillId="0" borderId="0" xfId="0" applyNumberFormat="1" applyFont="1"/>
    <xf numFmtId="0" fontId="7" fillId="0" borderId="0" xfId="0" applyFont="1"/>
    <xf numFmtId="0" fontId="4" fillId="0" borderId="2" xfId="0" applyFont="1" applyBorder="1" applyAlignment="1">
      <alignment horizontal="left"/>
    </xf>
    <xf numFmtId="2" fontId="7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2" xfId="0" applyFont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wrapText="1"/>
    </xf>
    <xf numFmtId="2" fontId="4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/>
    <xf numFmtId="0" fontId="1" fillId="0" borderId="0" xfId="0" applyFont="1" applyBorder="1"/>
    <xf numFmtId="0" fontId="6" fillId="0" borderId="0" xfId="0" applyFont="1" applyBorder="1"/>
    <xf numFmtId="0" fontId="4" fillId="0" borderId="0" xfId="0" applyFont="1" applyBorder="1" applyAlignment="1">
      <alignment horizontal="left"/>
    </xf>
    <xf numFmtId="0" fontId="4" fillId="0" borderId="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 wrapText="1"/>
    </xf>
    <xf numFmtId="2" fontId="7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right" vertical="top"/>
    </xf>
    <xf numFmtId="0" fontId="0" fillId="4" borderId="0" xfId="0" applyFill="1"/>
    <xf numFmtId="2" fontId="7" fillId="4" borderId="2" xfId="0" applyNumberFormat="1" applyFont="1" applyFill="1" applyBorder="1" applyAlignment="1">
      <alignment horizontal="center"/>
    </xf>
    <xf numFmtId="0" fontId="19" fillId="0" borderId="0" xfId="0" applyFont="1"/>
    <xf numFmtId="0" fontId="18" fillId="0" borderId="0" xfId="0" applyFont="1" applyBorder="1"/>
    <xf numFmtId="2" fontId="19" fillId="0" borderId="0" xfId="0" applyNumberFormat="1" applyFont="1" applyBorder="1" applyAlignment="1">
      <alignment horizontal="center"/>
    </xf>
    <xf numFmtId="0" fontId="1" fillId="0" borderId="0" xfId="0" applyFont="1" applyFill="1" applyBorder="1"/>
    <xf numFmtId="189" fontId="1" fillId="0" borderId="0" xfId="0" applyNumberFormat="1" applyFont="1" applyBorder="1"/>
    <xf numFmtId="0" fontId="4" fillId="0" borderId="0" xfId="0" applyFont="1" applyBorder="1" applyAlignment="1">
      <alignment horizontal="right" vertical="top" wrapText="1"/>
    </xf>
    <xf numFmtId="2" fontId="4" fillId="0" borderId="2" xfId="1" applyNumberFormat="1" applyFont="1" applyBorder="1"/>
    <xf numFmtId="190" fontId="1" fillId="0" borderId="0" xfId="0" applyNumberFormat="1" applyFont="1"/>
    <xf numFmtId="0" fontId="4" fillId="0" borderId="0" xfId="1" applyFont="1" applyAlignment="1">
      <alignment horizontal="right"/>
    </xf>
    <xf numFmtId="0" fontId="4" fillId="0" borderId="0" xfId="1" applyFont="1" applyBorder="1" applyAlignment="1">
      <alignment horizontal="left" wrapText="1"/>
    </xf>
    <xf numFmtId="2" fontId="7" fillId="4" borderId="2" xfId="0" applyNumberFormat="1" applyFont="1" applyFill="1" applyBorder="1" applyAlignment="1">
      <alignment horizontal="center" vertical="top"/>
    </xf>
    <xf numFmtId="2" fontId="4" fillId="0" borderId="4" xfId="0" applyNumberFormat="1" applyFont="1" applyBorder="1" applyAlignment="1">
      <alignment horizontal="center" vertical="top"/>
    </xf>
    <xf numFmtId="2" fontId="7" fillId="0" borderId="4" xfId="0" applyNumberFormat="1" applyFont="1" applyBorder="1" applyAlignment="1">
      <alignment horizontal="center" vertical="top"/>
    </xf>
    <xf numFmtId="2" fontId="7" fillId="0" borderId="4" xfId="0" applyNumberFormat="1" applyFont="1" applyBorder="1" applyAlignment="1">
      <alignment horizontal="center"/>
    </xf>
    <xf numFmtId="0" fontId="4" fillId="0" borderId="4" xfId="1" applyFont="1" applyBorder="1"/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/>
    </xf>
    <xf numFmtId="2" fontId="4" fillId="0" borderId="0" xfId="1" applyNumberFormat="1" applyFont="1" applyAlignment="1">
      <alignment horizontal="center"/>
    </xf>
    <xf numFmtId="0" fontId="2" fillId="0" borderId="0" xfId="1" applyFont="1" applyBorder="1" applyAlignment="1">
      <alignment horizontal="right"/>
    </xf>
    <xf numFmtId="0" fontId="4" fillId="0" borderId="2" xfId="0" applyFont="1" applyBorder="1" applyAlignment="1"/>
    <xf numFmtId="0" fontId="7" fillId="0" borderId="2" xfId="0" applyFont="1" applyBorder="1" applyAlignment="1">
      <alignment horizontal="left"/>
    </xf>
    <xf numFmtId="0" fontId="7" fillId="0" borderId="2" xfId="0" applyFont="1" applyBorder="1" applyAlignment="1"/>
    <xf numFmtId="0" fontId="4" fillId="0" borderId="2" xfId="0" applyFont="1" applyBorder="1" applyAlignment="1">
      <alignment horizontal="right"/>
    </xf>
    <xf numFmtId="0" fontId="7" fillId="0" borderId="2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quotePrefix="1" applyFont="1"/>
    <xf numFmtId="2" fontId="4" fillId="0" borderId="0" xfId="0" applyNumberFormat="1" applyFont="1" applyAlignment="1">
      <alignment horizontal="right"/>
    </xf>
    <xf numFmtId="2" fontId="4" fillId="0" borderId="0" xfId="0" applyNumberFormat="1" applyFont="1" applyAlignment="1"/>
    <xf numFmtId="0" fontId="4" fillId="0" borderId="0" xfId="0" applyFont="1" applyBorder="1" applyAlignment="1">
      <alignment horizontal="right" wrapText="1"/>
    </xf>
    <xf numFmtId="2" fontId="4" fillId="0" borderId="0" xfId="0" applyNumberFormat="1" applyFont="1" applyAlignment="1">
      <alignment wrapText="1"/>
    </xf>
    <xf numFmtId="2" fontId="4" fillId="0" borderId="0" xfId="0" applyNumberFormat="1" applyFont="1" applyBorder="1" applyAlignment="1">
      <alignment horizontal="left"/>
    </xf>
    <xf numFmtId="2" fontId="4" fillId="0" borderId="0" xfId="0" applyNumberFormat="1" applyFont="1" applyBorder="1" applyAlignment="1">
      <alignment horizontal="left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left"/>
    </xf>
    <xf numFmtId="2" fontId="4" fillId="0" borderId="2" xfId="0" applyNumberFormat="1" applyFont="1" applyBorder="1" applyAlignment="1">
      <alignment vertical="top"/>
    </xf>
    <xf numFmtId="2" fontId="7" fillId="0" borderId="2" xfId="0" applyNumberFormat="1" applyFont="1" applyBorder="1" applyAlignment="1">
      <alignment vertical="top"/>
    </xf>
    <xf numFmtId="189" fontId="4" fillId="0" borderId="2" xfId="0" applyNumberFormat="1" applyFont="1" applyBorder="1" applyAlignment="1">
      <alignment vertical="top"/>
    </xf>
    <xf numFmtId="187" fontId="4" fillId="0" borderId="2" xfId="0" applyNumberFormat="1" applyFont="1" applyBorder="1" applyAlignment="1">
      <alignment vertical="top"/>
    </xf>
    <xf numFmtId="0" fontId="4" fillId="0" borderId="2" xfId="0" applyFont="1" applyFill="1" applyBorder="1" applyAlignment="1">
      <alignment vertical="top" wrapText="1"/>
    </xf>
    <xf numFmtId="2" fontId="4" fillId="0" borderId="0" xfId="0" applyNumberFormat="1" applyFont="1" applyBorder="1"/>
    <xf numFmtId="0" fontId="4" fillId="0" borderId="0" xfId="1" applyFont="1" applyBorder="1" applyAlignment="1">
      <alignment wrapText="1"/>
    </xf>
    <xf numFmtId="2" fontId="4" fillId="0" borderId="1" xfId="1" applyNumberFormat="1" applyFont="1" applyBorder="1" applyAlignment="1">
      <alignment wrapText="1"/>
    </xf>
    <xf numFmtId="0" fontId="4" fillId="0" borderId="0" xfId="1" applyFont="1" applyBorder="1" applyAlignment="1">
      <alignment vertical="top" wrapText="1"/>
    </xf>
    <xf numFmtId="2" fontId="4" fillId="0" borderId="1" xfId="1" applyNumberFormat="1" applyFont="1" applyBorder="1" applyAlignment="1">
      <alignment vertical="top" wrapText="1"/>
    </xf>
    <xf numFmtId="0" fontId="4" fillId="0" borderId="0" xfId="0" applyFont="1" applyAlignment="1">
      <alignment horizontal="left"/>
    </xf>
    <xf numFmtId="2" fontId="4" fillId="0" borderId="0" xfId="0" applyNumberFormat="1" applyFont="1" applyAlignment="1">
      <alignment horizontal="left"/>
    </xf>
    <xf numFmtId="190" fontId="4" fillId="0" borderId="0" xfId="0" applyNumberFormat="1" applyFont="1"/>
    <xf numFmtId="0" fontId="4" fillId="0" borderId="0" xfId="0" applyFont="1" applyFill="1" applyBorder="1" applyAlignment="1">
      <alignment horizontal="left" vertical="top" wrapText="1"/>
    </xf>
    <xf numFmtId="0" fontId="4" fillId="4" borderId="0" xfId="0" applyFont="1" applyFill="1" applyBorder="1" applyAlignment="1">
      <alignment horizontal="left" wrapText="1"/>
    </xf>
    <xf numFmtId="0" fontId="4" fillId="4" borderId="0" xfId="0" applyFont="1" applyFill="1" applyBorder="1" applyAlignment="1">
      <alignment horizontal="center"/>
    </xf>
    <xf numFmtId="0" fontId="4" fillId="4" borderId="0" xfId="1" applyFont="1" applyFill="1"/>
    <xf numFmtId="189" fontId="4" fillId="0" borderId="2" xfId="0" applyNumberFormat="1" applyFont="1" applyBorder="1" applyAlignment="1">
      <alignment horizontal="center"/>
    </xf>
    <xf numFmtId="189" fontId="7" fillId="0" borderId="2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4" fillId="4" borderId="0" xfId="0" applyFont="1" applyFill="1" applyBorder="1" applyAlignment="1">
      <alignment horizontal="left" vertical="top" wrapText="1"/>
    </xf>
    <xf numFmtId="0" fontId="4" fillId="4" borderId="0" xfId="1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left" wrapText="1"/>
    </xf>
    <xf numFmtId="0" fontId="4" fillId="0" borderId="2" xfId="0" applyFont="1" applyBorder="1" applyAlignment="1">
      <alignment wrapText="1"/>
    </xf>
    <xf numFmtId="2" fontId="2" fillId="0" borderId="0" xfId="0" applyNumberFormat="1" applyFont="1"/>
    <xf numFmtId="0" fontId="4" fillId="0" borderId="7" xfId="1" applyFont="1" applyBorder="1"/>
    <xf numFmtId="188" fontId="4" fillId="0" borderId="0" xfId="1" applyNumberFormat="1" applyFont="1"/>
    <xf numFmtId="0" fontId="4" fillId="0" borderId="1" xfId="1" applyFont="1" applyBorder="1"/>
    <xf numFmtId="2" fontId="4" fillId="0" borderId="2" xfId="0" applyNumberFormat="1" applyFont="1" applyFill="1" applyBorder="1" applyAlignment="1">
      <alignment horizontal="left" wrapText="1"/>
    </xf>
    <xf numFmtId="2" fontId="4" fillId="0" borderId="2" xfId="0" applyNumberFormat="1" applyFont="1" applyFill="1" applyBorder="1" applyAlignment="1">
      <alignment horizontal="left" vertical="top" wrapText="1"/>
    </xf>
    <xf numFmtId="190" fontId="4" fillId="0" borderId="2" xfId="0" applyNumberFormat="1" applyFont="1" applyBorder="1" applyAlignment="1">
      <alignment horizontal="center" vertical="top"/>
    </xf>
    <xf numFmtId="0" fontId="13" fillId="0" borderId="0" xfId="0" applyFont="1" applyBorder="1" applyAlignment="1"/>
    <xf numFmtId="0" fontId="13" fillId="0" borderId="0" xfId="0" applyFont="1"/>
    <xf numFmtId="0" fontId="13" fillId="0" borderId="0" xfId="0" applyFont="1" applyAlignment="1"/>
    <xf numFmtId="2" fontId="13" fillId="0" borderId="0" xfId="0" applyNumberFormat="1" applyFont="1"/>
    <xf numFmtId="0" fontId="13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2" xfId="0" applyFont="1" applyFill="1" applyBorder="1"/>
    <xf numFmtId="2" fontId="13" fillId="0" borderId="2" xfId="0" applyNumberFormat="1" applyFont="1" applyFill="1" applyBorder="1" applyAlignment="1">
      <alignment horizontal="center" vertical="top"/>
    </xf>
    <xf numFmtId="2" fontId="14" fillId="0" borderId="2" xfId="0" applyNumberFormat="1" applyFont="1" applyFill="1" applyBorder="1" applyAlignment="1">
      <alignment horizontal="center" vertical="top"/>
    </xf>
    <xf numFmtId="2" fontId="13" fillId="0" borderId="2" xfId="0" applyNumberFormat="1" applyFont="1" applyBorder="1" applyAlignment="1">
      <alignment horizontal="center" vertical="top"/>
    </xf>
    <xf numFmtId="2" fontId="14" fillId="0" borderId="2" xfId="0" applyNumberFormat="1" applyFont="1" applyBorder="1" applyAlignment="1">
      <alignment horizontal="center" vertical="top"/>
    </xf>
    <xf numFmtId="2" fontId="13" fillId="0" borderId="0" xfId="0" applyNumberFormat="1" applyFont="1" applyBorder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3" fillId="0" borderId="2" xfId="1" applyFont="1" applyBorder="1"/>
    <xf numFmtId="2" fontId="13" fillId="0" borderId="0" xfId="1" applyNumberFormat="1" applyFont="1"/>
    <xf numFmtId="0" fontId="13" fillId="0" borderId="0" xfId="1" applyFont="1"/>
    <xf numFmtId="0" fontId="12" fillId="0" borderId="0" xfId="0" applyFont="1" applyBorder="1" applyAlignment="1"/>
    <xf numFmtId="0" fontId="12" fillId="0" borderId="0" xfId="0" applyFont="1" applyBorder="1" applyAlignment="1">
      <alignment horizontal="right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/>
    <xf numFmtId="0" fontId="12" fillId="0" borderId="0" xfId="0" applyFont="1" applyBorder="1"/>
    <xf numFmtId="2" fontId="12" fillId="0" borderId="0" xfId="0" applyNumberFormat="1" applyFont="1"/>
    <xf numFmtId="0" fontId="12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2" fillId="0" borderId="2" xfId="0" applyFont="1" applyBorder="1"/>
    <xf numFmtId="2" fontId="12" fillId="0" borderId="2" xfId="0" applyNumberFormat="1" applyFont="1" applyBorder="1" applyAlignment="1">
      <alignment horizontal="center" vertical="top"/>
    </xf>
    <xf numFmtId="188" fontId="12" fillId="0" borderId="2" xfId="0" applyNumberFormat="1" applyFont="1" applyBorder="1" applyAlignment="1">
      <alignment horizontal="center" vertical="top"/>
    </xf>
    <xf numFmtId="2" fontId="15" fillId="0" borderId="2" xfId="0" applyNumberFormat="1" applyFont="1" applyBorder="1" applyAlignment="1">
      <alignment horizontal="center" vertical="top"/>
    </xf>
    <xf numFmtId="2" fontId="12" fillId="0" borderId="0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2" fontId="15" fillId="0" borderId="2" xfId="0" applyNumberFormat="1" applyFont="1" applyFill="1" applyBorder="1" applyAlignment="1">
      <alignment horizontal="center" vertical="top"/>
    </xf>
    <xf numFmtId="0" fontId="12" fillId="0" borderId="2" xfId="1" applyFont="1" applyBorder="1"/>
    <xf numFmtId="0" fontId="12" fillId="0" borderId="0" xfId="1" applyFont="1"/>
    <xf numFmtId="2" fontId="12" fillId="0" borderId="0" xfId="1" applyNumberFormat="1" applyFont="1"/>
    <xf numFmtId="4" fontId="2" fillId="0" borderId="0" xfId="0" applyNumberFormat="1" applyFont="1" applyAlignment="1">
      <alignment horizontal="right"/>
    </xf>
    <xf numFmtId="0" fontId="19" fillId="0" borderId="0" xfId="0" applyFont="1" applyAlignment="1">
      <alignment horizontal="justify" vertical="top" wrapText="1"/>
    </xf>
    <xf numFmtId="0" fontId="16" fillId="0" borderId="0" xfId="0" applyFont="1" applyAlignment="1">
      <alignment horizontal="justify" vertical="top" wrapText="1"/>
    </xf>
    <xf numFmtId="0" fontId="4" fillId="0" borderId="0" xfId="0" applyFont="1" applyBorder="1" applyAlignment="1">
      <alignment horizontal="justify" vertical="top" wrapText="1"/>
    </xf>
    <xf numFmtId="0" fontId="8" fillId="0" borderId="0" xfId="0" applyFont="1" applyAlignment="1">
      <alignment horizontal="center"/>
    </xf>
    <xf numFmtId="0" fontId="19" fillId="0" borderId="0" xfId="0" applyFont="1" applyBorder="1" applyAlignment="1">
      <alignment horizontal="justify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1" applyFont="1" applyAlignment="1">
      <alignment vertical="top" wrapText="1"/>
    </xf>
    <xf numFmtId="0" fontId="4" fillId="0" borderId="1" xfId="1" applyFont="1" applyBorder="1" applyAlignment="1">
      <alignment vertical="top" wrapText="1"/>
    </xf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6" fillId="0" borderId="0" xfId="0" applyFont="1" applyAlignment="1"/>
    <xf numFmtId="0" fontId="4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4" fillId="0" borderId="0" xfId="1" applyFont="1" applyAlignment="1">
      <alignment wrapText="1"/>
    </xf>
    <xf numFmtId="0" fontId="4" fillId="0" borderId="1" xfId="1" applyFont="1" applyBorder="1" applyAlignment="1">
      <alignment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6" fillId="0" borderId="0" xfId="0" applyFont="1" applyBorder="1" applyAlignment="1">
      <alignment horizontal="right"/>
    </xf>
    <xf numFmtId="0" fontId="4" fillId="4" borderId="0" xfId="1" applyFont="1" applyFill="1" applyAlignment="1">
      <alignment wrapText="1"/>
    </xf>
    <xf numFmtId="0" fontId="4" fillId="4" borderId="1" xfId="1" applyFont="1" applyFill="1" applyBorder="1" applyAlignment="1">
      <alignment wrapText="1"/>
    </xf>
    <xf numFmtId="0" fontId="4" fillId="0" borderId="0" xfId="0" applyFont="1" applyBorder="1" applyAlignment="1">
      <alignment horizontal="left"/>
    </xf>
    <xf numFmtId="0" fontId="4" fillId="4" borderId="0" xfId="1" applyFont="1" applyFill="1" applyBorder="1" applyAlignment="1">
      <alignment vertical="top" wrapText="1"/>
    </xf>
    <xf numFmtId="0" fontId="4" fillId="4" borderId="0" xfId="0" applyFont="1" applyFill="1" applyBorder="1" applyAlignment="1">
      <alignment horizontal="left" vertical="top" wrapText="1"/>
    </xf>
    <xf numFmtId="0" fontId="4" fillId="0" borderId="0" xfId="1" applyFont="1" applyBorder="1" applyAlignment="1">
      <alignment vertical="top" wrapText="1"/>
    </xf>
    <xf numFmtId="0" fontId="4" fillId="0" borderId="0" xfId="1" applyFont="1" applyBorder="1" applyAlignment="1">
      <alignment wrapText="1"/>
    </xf>
    <xf numFmtId="0" fontId="0" fillId="0" borderId="0" xfId="0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externalLink" Target="externalLinks/externalLink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19.g._VB_PR_grozi\Pa&#353;izmaksas_PR_07.02.2019_darb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1.g._MPC\uz%20LM%20gatavotais%202021\LManotp1_280219_MK1002_cits_tikai%20plus%20atl+telpu%20uzk.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17.g.%20_MPC_\P&#257;rbaud&#299;tie%20uz%20FM%20_07.02.2018\LManotp1_120118_MK10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4C4A6\9._telpu%20iznom&#257;&#353;ana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īvais laiks2018"/>
      <sheetName val="pamatlīdz. ēdin."/>
      <sheetName val="invent. ēdin."/>
      <sheetName val="Algas_01022018"/>
      <sheetName val="Algas_122017"/>
      <sheetName val="Ēdināšana"/>
      <sheetName val="Dienesta viesnīcas apraksts "/>
      <sheetName val="Dienesta viesnīca aprēķins_1"/>
      <sheetName val="Dienesta viesnīca aprēķins"/>
      <sheetName val="Transportēšana "/>
      <sheetName val="transportēšanas grafiks"/>
      <sheetName val="Autoskola"/>
      <sheetName val="autotransports"/>
      <sheetName val="AP_izglītība"/>
      <sheetName val="Atbalsta punkti aprēķ."/>
      <sheetName val="PPiemērotība info"/>
      <sheetName val="PP aprēķins"/>
      <sheetName val="Komunālie"/>
      <sheetName val="plān. izdev.2017_PR"/>
      <sheetName val="pārējie PL un inventārs"/>
      <sheetName val="Kopā netiešās_"/>
      <sheetName val="Kol_algas,materiāli.,PL,invent."/>
      <sheetName val="KOL_pilna laika klātiene"/>
      <sheetName val="KOL_nepilna laika"/>
      <sheetName val="JPV_algas,materiāli,PL,inventār"/>
      <sheetName val="JPV_programmas"/>
      <sheetName val="JPV_kursi"/>
      <sheetName val="kopsavilk._pakalpojumi"/>
      <sheetName val="Sheet1"/>
      <sheetName val="izglītojamo skaits_2017"/>
      <sheetName val="Soc.reh."/>
      <sheetName val="Brīvais laiks2019"/>
      <sheetName val="komunālie_tarifi2018"/>
      <sheetName val="audz.skaits2019"/>
      <sheetName val="Sheet2"/>
      <sheetName val="Komunālie_tarifi2019"/>
      <sheetName val="Sheet3"/>
      <sheetName val="Algas2019"/>
      <sheetName val="kopsavilkums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99">
          <cell r="K199">
            <v>1307.1430598669624</v>
          </cell>
        </row>
        <row r="200">
          <cell r="K200">
            <v>314.89076312195124</v>
          </cell>
        </row>
        <row r="201">
          <cell r="K201">
            <v>106.98600000000002</v>
          </cell>
        </row>
        <row r="202">
          <cell r="K202">
            <v>169.85125098039219</v>
          </cell>
        </row>
        <row r="203">
          <cell r="K203">
            <v>34.199195144134428</v>
          </cell>
        </row>
        <row r="204">
          <cell r="K204">
            <v>39.344752915968591</v>
          </cell>
        </row>
        <row r="205">
          <cell r="K205">
            <v>35.08926367356468</v>
          </cell>
        </row>
        <row r="206">
          <cell r="K206">
            <v>72.375448572510464</v>
          </cell>
        </row>
        <row r="207">
          <cell r="K207">
            <v>7.6198495755093134</v>
          </cell>
        </row>
      </sheetData>
      <sheetData sheetId="26">
        <row r="10">
          <cell r="H10">
            <v>4054.7139689578717</v>
          </cell>
        </row>
        <row r="36">
          <cell r="H36">
            <v>80.30236472945893</v>
          </cell>
        </row>
        <row r="38">
          <cell r="H38">
            <v>99.188452729332568</v>
          </cell>
        </row>
        <row r="39">
          <cell r="H39">
            <v>88.460328588818527</v>
          </cell>
        </row>
        <row r="40">
          <cell r="H40">
            <v>182.4591140483457</v>
          </cell>
        </row>
        <row r="41">
          <cell r="H41">
            <v>57.629114436625059</v>
          </cell>
        </row>
      </sheetData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urs"/>
      <sheetName val="Satura rādītājs"/>
      <sheetName val="1.1."/>
      <sheetName val="1.2."/>
      <sheetName val="1.3."/>
      <sheetName val="1.4."/>
      <sheetName val="1.5."/>
      <sheetName val="1.6.1."/>
      <sheetName val="1.6.2."/>
      <sheetName val="2.1."/>
      <sheetName val="2.2."/>
      <sheetName val="2.3."/>
      <sheetName val="2.4."/>
      <sheetName val="2.5."/>
      <sheetName val="2.6."/>
      <sheetName val="3.1.1."/>
      <sheetName val="3.1.2."/>
      <sheetName val="3.1.3."/>
      <sheetName val="3.2.1."/>
      <sheetName val="3.2.2."/>
      <sheetName val="3.2.3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9">
          <cell r="C19">
            <v>9.7639999999999993</v>
          </cell>
        </row>
        <row r="20">
          <cell r="C20">
            <v>4.5819999999999999</v>
          </cell>
        </row>
        <row r="21">
          <cell r="C21">
            <v>1.03</v>
          </cell>
        </row>
        <row r="27">
          <cell r="C27">
            <v>4.3319999999999999</v>
          </cell>
        </row>
        <row r="28">
          <cell r="C28">
            <v>20.827999999999999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urs"/>
      <sheetName val="Satura rādītājs"/>
      <sheetName val="1.1."/>
      <sheetName val="1.2."/>
      <sheetName val="1.3."/>
      <sheetName val="1.4."/>
      <sheetName val="1.5."/>
      <sheetName val="1.6.1."/>
      <sheetName val="1.6.2."/>
      <sheetName val="2.1."/>
      <sheetName val="2.2."/>
      <sheetName val="2.3."/>
      <sheetName val="2.4."/>
      <sheetName val="2.5."/>
      <sheetName val="2.6."/>
      <sheetName val="3.1.1."/>
      <sheetName val="3.1.2."/>
      <sheetName val="3.1.3."/>
      <sheetName val="3.2.1."/>
      <sheetName val="3.2.2."/>
      <sheetName val="3.2.3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9">
          <cell r="C29">
            <v>6.51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pārbūve_pirms darbahpieliku"/>
      <sheetName val="telpas_noma"/>
      <sheetName val="ekk_mpc"/>
      <sheetName val="Sheet3"/>
      <sheetName val="MPC"/>
      <sheetName val="kalkul."/>
      <sheetName val="INV-71ģērbt."/>
      <sheetName val="INV_61"/>
      <sheetName val="personāls"/>
      <sheetName val="personāls_nomai"/>
    </sheetNames>
    <sheetDataSet>
      <sheetData sheetId="0" refreshError="1"/>
      <sheetData sheetId="1">
        <row r="83">
          <cell r="F83">
            <v>1.1857291666666669E-2</v>
          </cell>
        </row>
        <row r="86">
          <cell r="F86">
            <v>1.7606955842489647</v>
          </cell>
        </row>
        <row r="87">
          <cell r="F87">
            <v>1.2694375</v>
          </cell>
        </row>
        <row r="88">
          <cell r="F88">
            <v>1.5634124999999999</v>
          </cell>
        </row>
        <row r="89">
          <cell r="F89">
            <v>0.28061250000000004</v>
          </cell>
        </row>
        <row r="90">
          <cell r="F90">
            <v>4.2624596560510115E-4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view="pageLayout" topLeftCell="B10" zoomScale="90" zoomScaleNormal="100" zoomScalePageLayoutView="90" workbookViewId="0">
      <selection activeCell="C23" sqref="C23:J23"/>
    </sheetView>
  </sheetViews>
  <sheetFormatPr defaultRowHeight="12.5" x14ac:dyDescent="0.25"/>
  <cols>
    <col min="1" max="1" width="0" hidden="1" customWidth="1"/>
    <col min="2" max="2" width="9.453125" customWidth="1"/>
    <col min="9" max="9" width="23.1796875" customWidth="1"/>
  </cols>
  <sheetData>
    <row r="1" spans="1:18" ht="15.5" x14ac:dyDescent="0.35">
      <c r="A1" s="50"/>
      <c r="B1" s="50"/>
      <c r="C1" s="248" t="s">
        <v>48</v>
      </c>
      <c r="D1" s="248"/>
      <c r="E1" s="248"/>
      <c r="F1" s="248"/>
      <c r="G1" s="248"/>
      <c r="H1" s="248"/>
      <c r="I1" s="248"/>
      <c r="J1" s="248"/>
      <c r="K1" s="4"/>
      <c r="L1" s="4"/>
      <c r="M1" s="4"/>
      <c r="N1" s="4"/>
      <c r="O1" s="4"/>
      <c r="P1" s="4"/>
      <c r="Q1" s="4"/>
      <c r="R1" s="4"/>
    </row>
    <row r="2" spans="1:18" ht="15.5" x14ac:dyDescent="0.35">
      <c r="A2" s="50"/>
      <c r="B2" s="248" t="s">
        <v>49</v>
      </c>
      <c r="C2" s="248"/>
      <c r="D2" s="248"/>
      <c r="E2" s="248"/>
      <c r="F2" s="248"/>
      <c r="G2" s="248"/>
      <c r="H2" s="248"/>
      <c r="I2" s="248"/>
      <c r="J2" s="248"/>
      <c r="K2" s="4"/>
      <c r="L2" s="4"/>
      <c r="M2" s="4"/>
      <c r="N2" s="4"/>
      <c r="O2" s="4"/>
      <c r="P2" s="4"/>
      <c r="Q2" s="4"/>
      <c r="R2" s="4"/>
    </row>
    <row r="3" spans="1:18" ht="15.5" x14ac:dyDescent="0.35">
      <c r="A3" s="248" t="s">
        <v>50</v>
      </c>
      <c r="B3" s="248"/>
      <c r="C3" s="248"/>
      <c r="D3" s="248"/>
      <c r="E3" s="248"/>
      <c r="F3" s="248"/>
      <c r="G3" s="248"/>
      <c r="H3" s="248"/>
      <c r="I3" s="248"/>
      <c r="J3" s="248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35">
      <c r="A4" s="50"/>
      <c r="B4" s="248" t="s">
        <v>51</v>
      </c>
      <c r="C4" s="248"/>
      <c r="D4" s="248"/>
      <c r="E4" s="248"/>
      <c r="F4" s="248"/>
      <c r="G4" s="248"/>
      <c r="H4" s="248"/>
      <c r="I4" s="248"/>
      <c r="J4" s="248"/>
      <c r="K4" s="4"/>
      <c r="L4" s="4"/>
      <c r="M4" s="4"/>
      <c r="N4" s="4"/>
      <c r="O4" s="4"/>
      <c r="P4" s="4"/>
      <c r="Q4" s="4"/>
      <c r="R4" s="4"/>
    </row>
    <row r="5" spans="1:18" ht="12.75" customHeight="1" x14ac:dyDescent="0.35">
      <c r="A5" s="50"/>
      <c r="B5" s="50"/>
      <c r="C5" s="50"/>
      <c r="D5" s="50"/>
      <c r="E5" s="8"/>
      <c r="F5" s="248" t="s">
        <v>40</v>
      </c>
      <c r="G5" s="248"/>
      <c r="H5" s="248"/>
      <c r="I5" s="248"/>
      <c r="J5" s="248"/>
      <c r="K5" s="4"/>
      <c r="L5" s="4"/>
      <c r="M5" s="4"/>
      <c r="N5" s="4"/>
      <c r="O5" s="4"/>
      <c r="P5" s="4"/>
      <c r="Q5" s="4"/>
      <c r="R5" s="4"/>
    </row>
    <row r="6" spans="1:18" ht="14" x14ac:dyDescent="0.3">
      <c r="A6" s="1"/>
      <c r="B6" s="1"/>
      <c r="C6" s="1"/>
      <c r="D6" s="1"/>
      <c r="E6" s="1"/>
      <c r="F6" s="1"/>
      <c r="G6" s="1"/>
      <c r="H6" s="1"/>
      <c r="I6" s="1"/>
    </row>
    <row r="7" spans="1:18" ht="14" x14ac:dyDescent="0.3">
      <c r="A7" s="1"/>
      <c r="B7" s="1"/>
      <c r="C7" s="1"/>
      <c r="D7" s="1"/>
      <c r="E7" s="1"/>
      <c r="F7" s="1"/>
      <c r="G7" s="1"/>
      <c r="H7" s="1"/>
      <c r="I7" s="1"/>
    </row>
    <row r="8" spans="1:18" ht="14" x14ac:dyDescent="0.3">
      <c r="A8" s="1"/>
      <c r="B8" s="1"/>
      <c r="C8" s="1"/>
      <c r="D8" s="1"/>
      <c r="E8" s="1"/>
      <c r="F8" s="1"/>
      <c r="G8" s="1"/>
      <c r="H8" s="1"/>
      <c r="I8" s="1"/>
    </row>
    <row r="9" spans="1:18" ht="14" x14ac:dyDescent="0.3">
      <c r="A9" s="1"/>
      <c r="B9" s="1"/>
      <c r="C9" s="1"/>
      <c r="D9" s="1"/>
      <c r="E9" s="1"/>
      <c r="F9" s="1"/>
      <c r="G9" s="1"/>
      <c r="H9" s="1"/>
      <c r="I9" s="1"/>
    </row>
    <row r="10" spans="1:18" ht="14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18" ht="17.5" x14ac:dyDescent="0.35">
      <c r="A11" s="1"/>
      <c r="B11" s="252" t="s">
        <v>41</v>
      </c>
      <c r="C11" s="252"/>
      <c r="D11" s="252"/>
      <c r="E11" s="252"/>
      <c r="F11" s="252"/>
      <c r="G11" s="252"/>
      <c r="H11" s="252"/>
      <c r="I11" s="252"/>
      <c r="J11" s="252"/>
    </row>
    <row r="12" spans="1:18" ht="14" x14ac:dyDescent="0.3">
      <c r="A12" s="1"/>
      <c r="B12" s="1"/>
      <c r="C12" s="1"/>
      <c r="D12" s="1"/>
      <c r="E12" s="1"/>
      <c r="F12" s="1"/>
      <c r="G12" s="1"/>
      <c r="H12" s="1"/>
      <c r="I12" s="1"/>
    </row>
    <row r="13" spans="1:18" ht="18.75" customHeight="1" x14ac:dyDescent="0.3">
      <c r="A13" s="1"/>
      <c r="B13" s="51" t="s">
        <v>70</v>
      </c>
      <c r="C13" s="251" t="s">
        <v>79</v>
      </c>
      <c r="D13" s="251"/>
      <c r="E13" s="251"/>
      <c r="F13" s="251"/>
      <c r="G13" s="251"/>
      <c r="H13" s="251"/>
      <c r="I13" s="251"/>
      <c r="J13" s="251"/>
    </row>
    <row r="14" spans="1:18" ht="18.75" customHeight="1" x14ac:dyDescent="0.3">
      <c r="A14" s="1"/>
      <c r="B14" s="51" t="s">
        <v>71</v>
      </c>
      <c r="C14" s="251" t="s">
        <v>80</v>
      </c>
      <c r="D14" s="251"/>
      <c r="E14" s="251"/>
      <c r="F14" s="251"/>
      <c r="G14" s="251"/>
      <c r="H14" s="251"/>
      <c r="I14" s="251"/>
      <c r="J14" s="251"/>
    </row>
    <row r="15" spans="1:18" ht="18.75" customHeight="1" x14ac:dyDescent="0.3">
      <c r="A15" s="1"/>
      <c r="B15" s="51" t="s">
        <v>73</v>
      </c>
      <c r="C15" s="251" t="s">
        <v>81</v>
      </c>
      <c r="D15" s="251"/>
      <c r="E15" s="251"/>
      <c r="F15" s="251"/>
      <c r="G15" s="251"/>
      <c r="H15" s="251"/>
      <c r="I15" s="251"/>
      <c r="J15" s="251"/>
    </row>
    <row r="16" spans="1:18" ht="18.75" customHeight="1" x14ac:dyDescent="0.3">
      <c r="A16" s="1"/>
      <c r="B16" s="51" t="s">
        <v>74</v>
      </c>
      <c r="C16" s="251" t="s">
        <v>82</v>
      </c>
      <c r="D16" s="251"/>
      <c r="E16" s="251"/>
      <c r="F16" s="251"/>
      <c r="G16" s="251"/>
      <c r="H16" s="251"/>
      <c r="I16" s="251"/>
      <c r="J16" s="251"/>
    </row>
    <row r="17" spans="1:10" ht="18.75" customHeight="1" x14ac:dyDescent="0.3">
      <c r="A17" s="1"/>
      <c r="B17" s="51" t="s">
        <v>96</v>
      </c>
      <c r="C17" s="251" t="s">
        <v>97</v>
      </c>
      <c r="D17" s="251"/>
      <c r="E17" s="251"/>
      <c r="F17" s="251"/>
      <c r="G17" s="251"/>
      <c r="H17" s="251"/>
      <c r="I17" s="251"/>
      <c r="J17" s="251"/>
    </row>
    <row r="18" spans="1:10" ht="34.5" customHeight="1" x14ac:dyDescent="0.3">
      <c r="A18" s="1"/>
      <c r="B18" s="51" t="s">
        <v>99</v>
      </c>
      <c r="C18" s="251" t="s">
        <v>106</v>
      </c>
      <c r="D18" s="251"/>
      <c r="E18" s="251"/>
      <c r="F18" s="251"/>
      <c r="G18" s="251"/>
      <c r="H18" s="251"/>
      <c r="I18" s="251"/>
      <c r="J18" s="251"/>
    </row>
    <row r="19" spans="1:10" ht="32.25" customHeight="1" x14ac:dyDescent="0.3">
      <c r="A19" s="1"/>
      <c r="B19" s="51" t="s">
        <v>100</v>
      </c>
      <c r="C19" s="251" t="s">
        <v>107</v>
      </c>
      <c r="D19" s="251"/>
      <c r="E19" s="251"/>
      <c r="F19" s="251"/>
      <c r="G19" s="251"/>
      <c r="H19" s="251"/>
      <c r="I19" s="251"/>
      <c r="J19" s="251"/>
    </row>
    <row r="20" spans="1:10" ht="31.5" customHeight="1" x14ac:dyDescent="0.3">
      <c r="A20" s="1"/>
      <c r="B20" s="51" t="s">
        <v>77</v>
      </c>
      <c r="C20" s="251" t="s">
        <v>108</v>
      </c>
      <c r="D20" s="251"/>
      <c r="E20" s="251"/>
      <c r="F20" s="251"/>
      <c r="G20" s="251"/>
      <c r="H20" s="251"/>
      <c r="I20" s="251"/>
      <c r="J20" s="251"/>
    </row>
    <row r="21" spans="1:10" ht="33" customHeight="1" x14ac:dyDescent="0.3">
      <c r="A21" s="1"/>
      <c r="B21" s="51" t="s">
        <v>78</v>
      </c>
      <c r="C21" s="251" t="s">
        <v>109</v>
      </c>
      <c r="D21" s="251"/>
      <c r="E21" s="251"/>
      <c r="F21" s="251"/>
      <c r="G21" s="251"/>
      <c r="H21" s="251"/>
      <c r="I21" s="251"/>
      <c r="J21" s="251"/>
    </row>
    <row r="22" spans="1:10" ht="33" customHeight="1" x14ac:dyDescent="0.3">
      <c r="A22" s="1"/>
      <c r="B22" s="51" t="s">
        <v>98</v>
      </c>
      <c r="C22" s="251" t="s">
        <v>110</v>
      </c>
      <c r="D22" s="251"/>
      <c r="E22" s="251"/>
      <c r="F22" s="251"/>
      <c r="G22" s="251"/>
      <c r="H22" s="251"/>
      <c r="I22" s="251"/>
      <c r="J22" s="251"/>
    </row>
    <row r="23" spans="1:10" ht="33" customHeight="1" x14ac:dyDescent="0.3">
      <c r="A23" s="1"/>
      <c r="B23" s="51" t="s">
        <v>119</v>
      </c>
      <c r="C23" s="251" t="s">
        <v>120</v>
      </c>
      <c r="D23" s="251"/>
      <c r="E23" s="251"/>
      <c r="F23" s="251"/>
      <c r="G23" s="251"/>
      <c r="H23" s="251"/>
      <c r="I23" s="251"/>
      <c r="J23" s="251"/>
    </row>
    <row r="24" spans="1:10" ht="48" customHeight="1" x14ac:dyDescent="0.3">
      <c r="A24" s="1"/>
      <c r="B24" s="51" t="s">
        <v>104</v>
      </c>
      <c r="C24" s="251" t="s">
        <v>105</v>
      </c>
      <c r="D24" s="251"/>
      <c r="E24" s="251"/>
      <c r="F24" s="251"/>
      <c r="G24" s="251"/>
      <c r="H24" s="251"/>
      <c r="I24" s="251"/>
      <c r="J24" s="251"/>
    </row>
    <row r="25" spans="1:10" ht="48" customHeight="1" x14ac:dyDescent="0.3">
      <c r="A25" s="1"/>
      <c r="B25" s="51" t="s">
        <v>112</v>
      </c>
      <c r="C25" s="251" t="s">
        <v>113</v>
      </c>
      <c r="D25" s="251"/>
      <c r="E25" s="251"/>
      <c r="F25" s="251"/>
      <c r="G25" s="251"/>
      <c r="H25" s="251"/>
      <c r="I25" s="251"/>
      <c r="J25" s="251"/>
    </row>
    <row r="26" spans="1:10" ht="48" customHeight="1" x14ac:dyDescent="0.3">
      <c r="A26" s="1"/>
      <c r="B26" s="51" t="s">
        <v>83</v>
      </c>
      <c r="C26" s="251" t="s">
        <v>111</v>
      </c>
      <c r="D26" s="251"/>
      <c r="E26" s="251"/>
      <c r="F26" s="251"/>
      <c r="G26" s="251"/>
      <c r="H26" s="251"/>
      <c r="I26" s="251"/>
      <c r="J26" s="251"/>
    </row>
    <row r="27" spans="1:10" ht="48.75" customHeight="1" x14ac:dyDescent="0.3">
      <c r="A27" s="1"/>
      <c r="B27" s="51" t="s">
        <v>115</v>
      </c>
      <c r="C27" s="251" t="s">
        <v>114</v>
      </c>
      <c r="D27" s="251"/>
      <c r="E27" s="251"/>
      <c r="F27" s="251"/>
      <c r="G27" s="251"/>
      <c r="H27" s="251"/>
      <c r="I27" s="251"/>
      <c r="J27" s="251"/>
    </row>
    <row r="28" spans="1:10" ht="50.25" customHeight="1" x14ac:dyDescent="0.3">
      <c r="A28" s="1"/>
      <c r="B28" s="51" t="s">
        <v>116</v>
      </c>
      <c r="C28" s="251" t="s">
        <v>117</v>
      </c>
      <c r="D28" s="251"/>
      <c r="E28" s="251"/>
      <c r="F28" s="251"/>
      <c r="G28" s="251"/>
      <c r="H28" s="251"/>
      <c r="I28" s="251"/>
      <c r="J28" s="251"/>
    </row>
    <row r="29" spans="1:10" ht="51" customHeight="1" x14ac:dyDescent="0.3">
      <c r="A29" s="1"/>
      <c r="B29" s="51" t="s">
        <v>84</v>
      </c>
      <c r="C29" s="251" t="s">
        <v>118</v>
      </c>
      <c r="D29" s="251"/>
      <c r="E29" s="251"/>
      <c r="F29" s="251"/>
      <c r="G29" s="251"/>
      <c r="H29" s="251"/>
      <c r="I29" s="251"/>
      <c r="J29" s="251"/>
    </row>
    <row r="30" spans="1:10" ht="30.75" customHeight="1" x14ac:dyDescent="0.3">
      <c r="A30" s="1"/>
      <c r="B30" s="51"/>
      <c r="C30" s="253"/>
      <c r="D30" s="253"/>
      <c r="E30" s="253"/>
      <c r="F30" s="253"/>
      <c r="G30" s="253"/>
      <c r="H30" s="253"/>
      <c r="I30" s="253"/>
      <c r="J30" s="253"/>
    </row>
    <row r="31" spans="1:10" ht="15.75" customHeight="1" x14ac:dyDescent="0.35">
      <c r="A31" s="1"/>
      <c r="B31" s="51"/>
      <c r="C31" s="249"/>
      <c r="D31" s="250"/>
      <c r="E31" s="250"/>
      <c r="F31" s="250"/>
      <c r="G31" s="250"/>
      <c r="H31" s="250"/>
      <c r="I31" s="250"/>
      <c r="J31" s="56"/>
    </row>
    <row r="32" spans="1:10" ht="14" x14ac:dyDescent="0.3">
      <c r="A32" s="1"/>
      <c r="B32" s="7"/>
      <c r="C32" s="57"/>
      <c r="D32" s="57"/>
      <c r="E32" s="57"/>
      <c r="F32" s="57"/>
      <c r="G32" s="57"/>
      <c r="H32" s="57"/>
      <c r="I32" s="57"/>
      <c r="J32" s="58"/>
    </row>
    <row r="33" spans="1:10" ht="14" x14ac:dyDescent="0.3">
      <c r="A33" s="1"/>
      <c r="B33" s="7"/>
      <c r="C33" s="57"/>
      <c r="D33" s="57"/>
      <c r="E33" s="57"/>
      <c r="F33" s="57"/>
      <c r="G33" s="57"/>
      <c r="H33" s="57"/>
      <c r="I33" s="57"/>
      <c r="J33" s="58"/>
    </row>
    <row r="34" spans="1:10" ht="14" x14ac:dyDescent="0.3">
      <c r="A34" s="1"/>
      <c r="B34" s="1"/>
      <c r="C34" s="59"/>
      <c r="D34" s="59"/>
      <c r="E34" s="59"/>
      <c r="F34" s="59"/>
      <c r="G34" s="59"/>
      <c r="H34" s="59"/>
      <c r="I34" s="59"/>
      <c r="J34" s="58"/>
    </row>
    <row r="35" spans="1:10" ht="14" x14ac:dyDescent="0.3">
      <c r="A35" s="1"/>
      <c r="B35" s="1"/>
      <c r="C35" s="59"/>
      <c r="D35" s="59"/>
      <c r="E35" s="59"/>
      <c r="F35" s="59"/>
      <c r="G35" s="59"/>
      <c r="H35" s="59"/>
      <c r="I35" s="59"/>
      <c r="J35" s="58"/>
    </row>
    <row r="36" spans="1:10" ht="14" x14ac:dyDescent="0.3">
      <c r="A36" s="1"/>
      <c r="B36" s="1"/>
      <c r="C36" s="59"/>
      <c r="D36" s="59"/>
      <c r="E36" s="59"/>
      <c r="F36" s="59"/>
      <c r="G36" s="59"/>
      <c r="H36" s="59"/>
      <c r="I36" s="59"/>
      <c r="J36" s="58"/>
    </row>
    <row r="37" spans="1:10" x14ac:dyDescent="0.25">
      <c r="C37" s="58"/>
      <c r="D37" s="58"/>
      <c r="E37" s="58"/>
      <c r="F37" s="58"/>
      <c r="G37" s="58"/>
      <c r="H37" s="58"/>
      <c r="I37" s="58"/>
      <c r="J37" s="58"/>
    </row>
  </sheetData>
  <mergeCells count="25">
    <mergeCell ref="C24:J24"/>
    <mergeCell ref="C25:J25"/>
    <mergeCell ref="C16:J16"/>
    <mergeCell ref="C20:J20"/>
    <mergeCell ref="C23:J23"/>
    <mergeCell ref="C30:J30"/>
    <mergeCell ref="C21:J21"/>
    <mergeCell ref="B11:J11"/>
    <mergeCell ref="C13:J13"/>
    <mergeCell ref="C14:J14"/>
    <mergeCell ref="C15:J15"/>
    <mergeCell ref="C17:J17"/>
    <mergeCell ref="C22:J22"/>
    <mergeCell ref="C18:J18"/>
    <mergeCell ref="C19:J19"/>
    <mergeCell ref="C1:J1"/>
    <mergeCell ref="B2:J2"/>
    <mergeCell ref="A3:J3"/>
    <mergeCell ref="B4:J4"/>
    <mergeCell ref="F5:J5"/>
    <mergeCell ref="C31:I31"/>
    <mergeCell ref="C26:J26"/>
    <mergeCell ref="C27:J27"/>
    <mergeCell ref="C28:J28"/>
    <mergeCell ref="C29:J29"/>
  </mergeCells>
  <pageMargins left="0.7" right="0.48958333333333331" top="0.98958333333333337" bottom="0.75" header="0.3" footer="0.3"/>
  <pageSetup paperSize="9" scale="90" orientation="portrait" r:id="rId1"/>
  <headerFooter>
    <oddFooter>&amp;C&amp;"Times New Roman,Regular"&amp;11&amp;F;  Grozījumi Ministru kabineta 2013.gada 24.septembra noteikumos Nr.1002 „Sociālās integrācijas valsts aģentūras sniegto maksas pakalpojumu cenrādis”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6"/>
  <sheetViews>
    <sheetView view="pageLayout" zoomScale="90" zoomScaleNormal="100" zoomScalePageLayoutView="90" workbookViewId="0">
      <selection activeCell="C21" sqref="C21"/>
    </sheetView>
  </sheetViews>
  <sheetFormatPr defaultColWidth="9.1796875" defaultRowHeight="14" x14ac:dyDescent="0.3"/>
  <cols>
    <col min="1" max="1" width="9.1796875" style="118"/>
    <col min="2" max="2" width="8.453125" style="118" bestFit="1" customWidth="1"/>
    <col min="3" max="3" width="38.54296875" style="118" customWidth="1"/>
    <col min="4" max="4" width="14.81640625" style="118" customWidth="1"/>
    <col min="5" max="16384" width="9.1796875" style="118"/>
  </cols>
  <sheetData>
    <row r="1" spans="2:6" x14ac:dyDescent="0.3">
      <c r="F1" s="167" t="s">
        <v>326</v>
      </c>
    </row>
    <row r="2" spans="2:6" x14ac:dyDescent="0.3">
      <c r="B2" s="168"/>
      <c r="F2" s="167" t="s">
        <v>298</v>
      </c>
    </row>
    <row r="3" spans="2:6" x14ac:dyDescent="0.3">
      <c r="B3" s="168"/>
      <c r="F3" s="167" t="s">
        <v>299</v>
      </c>
    </row>
    <row r="4" spans="2:6" x14ac:dyDescent="0.3">
      <c r="B4" s="168"/>
      <c r="F4" s="167" t="s">
        <v>300</v>
      </c>
    </row>
    <row r="5" spans="2:6" x14ac:dyDescent="0.3">
      <c r="B5" s="168"/>
      <c r="C5" s="168"/>
      <c r="F5" s="167" t="s">
        <v>40</v>
      </c>
    </row>
    <row r="6" spans="2:6" x14ac:dyDescent="0.3">
      <c r="B6" s="168"/>
      <c r="C6" s="168"/>
      <c r="F6" s="167"/>
    </row>
    <row r="7" spans="2:6" x14ac:dyDescent="0.3">
      <c r="B7" s="168"/>
      <c r="C7" s="168"/>
      <c r="F7" s="167"/>
    </row>
    <row r="8" spans="2:6" x14ac:dyDescent="0.3">
      <c r="B8" s="168"/>
      <c r="C8" s="168"/>
      <c r="F8" s="167"/>
    </row>
    <row r="9" spans="2:6" x14ac:dyDescent="0.3">
      <c r="B9" s="168"/>
      <c r="C9" s="168"/>
      <c r="F9" s="167"/>
    </row>
    <row r="10" spans="2:6" x14ac:dyDescent="0.3">
      <c r="B10" s="168"/>
      <c r="C10" s="168"/>
    </row>
    <row r="12" spans="2:6" ht="15" x14ac:dyDescent="0.3">
      <c r="B12" s="169"/>
      <c r="C12" s="97" t="s">
        <v>41</v>
      </c>
    </row>
    <row r="13" spans="2:6" x14ac:dyDescent="0.3">
      <c r="B13" s="170"/>
    </row>
    <row r="14" spans="2:6" x14ac:dyDescent="0.3">
      <c r="B14" s="170" t="s">
        <v>339</v>
      </c>
      <c r="C14" s="118" t="s">
        <v>327</v>
      </c>
    </row>
    <row r="15" spans="2:6" x14ac:dyDescent="0.3">
      <c r="B15" s="170" t="s">
        <v>340</v>
      </c>
      <c r="C15" s="118" t="s">
        <v>328</v>
      </c>
    </row>
    <row r="16" spans="2:6" x14ac:dyDescent="0.3">
      <c r="B16" s="170" t="s">
        <v>355</v>
      </c>
      <c r="C16" s="118" t="s">
        <v>361</v>
      </c>
    </row>
    <row r="17" spans="2:3" x14ac:dyDescent="0.3">
      <c r="B17" s="170" t="s">
        <v>356</v>
      </c>
      <c r="C17" s="118" t="s">
        <v>362</v>
      </c>
    </row>
    <row r="18" spans="2:3" x14ac:dyDescent="0.3">
      <c r="B18" s="170" t="s">
        <v>357</v>
      </c>
      <c r="C18" s="118" t="s">
        <v>358</v>
      </c>
    </row>
    <row r="19" spans="2:3" x14ac:dyDescent="0.3">
      <c r="B19" s="170" t="s">
        <v>341</v>
      </c>
      <c r="C19" s="118" t="s">
        <v>342</v>
      </c>
    </row>
    <row r="20" spans="2:3" x14ac:dyDescent="0.3">
      <c r="B20" s="170" t="s">
        <v>343</v>
      </c>
      <c r="C20" s="118" t="s">
        <v>359</v>
      </c>
    </row>
    <row r="21" spans="2:3" x14ac:dyDescent="0.3">
      <c r="B21" s="118" t="s">
        <v>344</v>
      </c>
      <c r="C21" s="118" t="s">
        <v>220</v>
      </c>
    </row>
    <row r="22" spans="2:3" x14ac:dyDescent="0.3">
      <c r="B22" s="118" t="s">
        <v>345</v>
      </c>
      <c r="C22" s="118" t="s">
        <v>221</v>
      </c>
    </row>
    <row r="23" spans="2:3" x14ac:dyDescent="0.3">
      <c r="B23" s="170"/>
    </row>
    <row r="25" spans="2:3" ht="17.25" customHeight="1" x14ac:dyDescent="0.3"/>
    <row r="26" spans="2:3" ht="18" customHeight="1" x14ac:dyDescent="0.3"/>
  </sheetData>
  <pageMargins left="0.92" right="0.7" top="0.75" bottom="0.75" header="0.3" footer="0.3"/>
  <pageSetup paperSize="9" scale="87" orientation="portrait" r:id="rId1"/>
  <headerFooter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8"/>
  <sheetViews>
    <sheetView view="pageLayout" zoomScale="90" zoomScaleNormal="90" zoomScalePageLayoutView="90" workbookViewId="0">
      <selection activeCell="B11" sqref="B11"/>
    </sheetView>
  </sheetViews>
  <sheetFormatPr defaultRowHeight="15.5" x14ac:dyDescent="0.35"/>
  <cols>
    <col min="1" max="1" width="12.26953125" style="6" customWidth="1"/>
    <col min="2" max="2" width="98.26953125" style="6" customWidth="1"/>
    <col min="3" max="3" width="36.26953125" style="6" bestFit="1" customWidth="1"/>
  </cols>
  <sheetData>
    <row r="1" spans="1:3" ht="15.75" customHeight="1" x14ac:dyDescent="0.35">
      <c r="A1" s="12"/>
      <c r="B1" s="258" t="s">
        <v>35</v>
      </c>
      <c r="C1" s="259"/>
    </row>
    <row r="2" spans="1:3" x14ac:dyDescent="0.35">
      <c r="A2" s="12"/>
      <c r="B2" s="260" t="s">
        <v>39</v>
      </c>
      <c r="C2" s="261"/>
    </row>
    <row r="3" spans="1:3" x14ac:dyDescent="0.35">
      <c r="A3" s="12"/>
      <c r="B3" s="257" t="s">
        <v>136</v>
      </c>
      <c r="C3" s="257"/>
    </row>
    <row r="4" spans="1:3" x14ac:dyDescent="0.35">
      <c r="A4" s="12"/>
      <c r="B4" s="11"/>
      <c r="C4" s="96"/>
    </row>
    <row r="5" spans="1:3" x14ac:dyDescent="0.35">
      <c r="A5" s="12"/>
      <c r="B5" s="15"/>
      <c r="C5" s="11" t="s">
        <v>137</v>
      </c>
    </row>
    <row r="6" spans="1:3" x14ac:dyDescent="0.35">
      <c r="A6" s="12"/>
      <c r="B6" s="11"/>
      <c r="C6" s="11"/>
    </row>
    <row r="7" spans="1:3" ht="15" x14ac:dyDescent="0.3">
      <c r="A7" s="263" t="s">
        <v>5</v>
      </c>
      <c r="B7" s="263"/>
      <c r="C7" s="263"/>
    </row>
    <row r="8" spans="1:3" x14ac:dyDescent="0.35">
      <c r="A8" s="97"/>
      <c r="B8" s="97"/>
    </row>
    <row r="9" spans="1:3" ht="15" customHeight="1" x14ac:dyDescent="0.35">
      <c r="A9" s="262" t="s">
        <v>1</v>
      </c>
      <c r="B9" s="262"/>
    </row>
    <row r="10" spans="1:3" ht="15" customHeight="1" x14ac:dyDescent="0.35">
      <c r="A10" s="262" t="s">
        <v>0</v>
      </c>
      <c r="B10" s="262"/>
    </row>
    <row r="11" spans="1:3" ht="15" customHeight="1" x14ac:dyDescent="0.35">
      <c r="A11" s="9"/>
      <c r="B11" s="9" t="s">
        <v>126</v>
      </c>
    </row>
    <row r="12" spans="1:3" ht="15" customHeight="1" x14ac:dyDescent="0.35">
      <c r="A12" s="9"/>
      <c r="B12" s="9" t="s">
        <v>129</v>
      </c>
      <c r="C12" s="14"/>
    </row>
    <row r="13" spans="1:3" ht="15" customHeight="1" x14ac:dyDescent="0.35">
      <c r="A13" s="9" t="s">
        <v>2</v>
      </c>
      <c r="B13" s="9" t="s">
        <v>128</v>
      </c>
    </row>
    <row r="14" spans="1:3" ht="66" customHeight="1" x14ac:dyDescent="0.25">
      <c r="A14" s="54" t="s">
        <v>3</v>
      </c>
      <c r="B14" s="54" t="s">
        <v>4</v>
      </c>
      <c r="C14" s="54" t="s">
        <v>53</v>
      </c>
    </row>
    <row r="15" spans="1:3" ht="15" customHeight="1" x14ac:dyDescent="0.25">
      <c r="A15" s="22">
        <v>1</v>
      </c>
      <c r="B15" s="23">
        <v>2</v>
      </c>
      <c r="C15" s="23">
        <v>3</v>
      </c>
    </row>
    <row r="16" spans="1:3" x14ac:dyDescent="0.25">
      <c r="A16" s="24"/>
      <c r="B16" s="25" t="s">
        <v>68</v>
      </c>
      <c r="C16" s="26"/>
    </row>
    <row r="17" spans="1:3" ht="15" customHeight="1" x14ac:dyDescent="0.25">
      <c r="A17" s="27">
        <v>1100</v>
      </c>
      <c r="B17" s="27" t="s">
        <v>63</v>
      </c>
      <c r="C17" s="28">
        <v>2250.1999999999998</v>
      </c>
    </row>
    <row r="18" spans="1:3" ht="15.75" customHeight="1" x14ac:dyDescent="0.25">
      <c r="A18" s="27">
        <v>1200</v>
      </c>
      <c r="B18" s="29" t="s">
        <v>62</v>
      </c>
      <c r="C18" s="28">
        <v>542.07000000000005</v>
      </c>
    </row>
    <row r="19" spans="1:3" hidden="1" x14ac:dyDescent="0.25">
      <c r="A19" s="27">
        <v>2210</v>
      </c>
      <c r="B19" s="29" t="s">
        <v>27</v>
      </c>
      <c r="C19" s="28">
        <v>0</v>
      </c>
    </row>
    <row r="20" spans="1:3" ht="15" customHeight="1" x14ac:dyDescent="0.25">
      <c r="A20" s="27">
        <v>2222</v>
      </c>
      <c r="B20" s="29" t="s">
        <v>28</v>
      </c>
      <c r="C20" s="28">
        <v>23.69</v>
      </c>
    </row>
    <row r="21" spans="1:3" ht="15" customHeight="1" x14ac:dyDescent="0.25">
      <c r="A21" s="27">
        <v>2223</v>
      </c>
      <c r="B21" s="29" t="s">
        <v>29</v>
      </c>
      <c r="C21" s="28">
        <v>37.53</v>
      </c>
    </row>
    <row r="22" spans="1:3" ht="15" customHeight="1" x14ac:dyDescent="0.25">
      <c r="A22" s="27">
        <v>2243</v>
      </c>
      <c r="B22" s="29" t="s">
        <v>9</v>
      </c>
      <c r="C22" s="28">
        <v>52.79</v>
      </c>
    </row>
    <row r="23" spans="1:3" ht="15" customHeight="1" x14ac:dyDescent="0.25">
      <c r="A23" s="27">
        <v>2251</v>
      </c>
      <c r="B23" s="29" t="s">
        <v>60</v>
      </c>
      <c r="C23" s="28">
        <v>44.89</v>
      </c>
    </row>
    <row r="24" spans="1:3" ht="15" hidden="1" customHeight="1" x14ac:dyDescent="0.25">
      <c r="A24" s="27">
        <v>2261</v>
      </c>
      <c r="B24" s="29" t="s">
        <v>11</v>
      </c>
      <c r="C24" s="28"/>
    </row>
    <row r="25" spans="1:3" ht="15" hidden="1" customHeight="1" x14ac:dyDescent="0.25">
      <c r="A25" s="27">
        <v>2279</v>
      </c>
      <c r="B25" s="29" t="s">
        <v>14</v>
      </c>
      <c r="C25" s="28">
        <v>0</v>
      </c>
    </row>
    <row r="26" spans="1:3" ht="15" customHeight="1" x14ac:dyDescent="0.25">
      <c r="A26" s="27">
        <v>2311</v>
      </c>
      <c r="B26" s="29" t="s">
        <v>72</v>
      </c>
      <c r="C26" s="28">
        <v>44.79</v>
      </c>
    </row>
    <row r="27" spans="1:3" ht="15" customHeight="1" x14ac:dyDescent="0.25">
      <c r="A27" s="27">
        <v>2312</v>
      </c>
      <c r="B27" s="29" t="s">
        <v>16</v>
      </c>
      <c r="C27" s="28">
        <v>71.069999999999993</v>
      </c>
    </row>
    <row r="28" spans="1:3" ht="15" customHeight="1" x14ac:dyDescent="0.25">
      <c r="A28" s="27">
        <v>2321</v>
      </c>
      <c r="B28" s="29" t="s">
        <v>17</v>
      </c>
      <c r="C28" s="28">
        <v>53.85</v>
      </c>
    </row>
    <row r="29" spans="1:3" ht="15" hidden="1" customHeight="1" x14ac:dyDescent="0.25">
      <c r="A29" s="27">
        <v>2350</v>
      </c>
      <c r="B29" s="29" t="s">
        <v>19</v>
      </c>
      <c r="C29" s="28"/>
    </row>
    <row r="30" spans="1:3" ht="15" hidden="1" customHeight="1" x14ac:dyDescent="0.25">
      <c r="A30" s="27">
        <v>2361</v>
      </c>
      <c r="B30" s="29" t="s">
        <v>20</v>
      </c>
      <c r="C30" s="28"/>
    </row>
    <row r="31" spans="1:3" ht="15" customHeight="1" x14ac:dyDescent="0.25">
      <c r="A31" s="27">
        <v>2370</v>
      </c>
      <c r="B31" s="29" t="s">
        <v>69</v>
      </c>
      <c r="C31" s="28">
        <v>104.52</v>
      </c>
    </row>
    <row r="32" spans="1:3" ht="15" hidden="1" customHeight="1" x14ac:dyDescent="0.25">
      <c r="A32" s="55">
        <v>2513</v>
      </c>
      <c r="B32" s="29" t="s">
        <v>22</v>
      </c>
      <c r="C32" s="28"/>
    </row>
    <row r="33" spans="1:3" ht="15" customHeight="1" x14ac:dyDescent="0.25">
      <c r="A33" s="27">
        <v>5230</v>
      </c>
      <c r="B33" s="29" t="s">
        <v>57</v>
      </c>
      <c r="C33" s="28">
        <v>134.66999999999999</v>
      </c>
    </row>
    <row r="34" spans="1:3" ht="15" customHeight="1" x14ac:dyDescent="0.25">
      <c r="A34" s="27"/>
      <c r="B34" s="30" t="s">
        <v>65</v>
      </c>
      <c r="C34" s="31">
        <f>SUM(C17:C33)</f>
        <v>3360.07</v>
      </c>
    </row>
    <row r="35" spans="1:3" ht="15" customHeight="1" x14ac:dyDescent="0.25">
      <c r="A35" s="32"/>
      <c r="B35" s="27" t="s">
        <v>64</v>
      </c>
      <c r="C35" s="26"/>
    </row>
    <row r="36" spans="1:3" ht="15" customHeight="1" x14ac:dyDescent="0.25">
      <c r="A36" s="27">
        <v>1100</v>
      </c>
      <c r="B36" s="27" t="s">
        <v>63</v>
      </c>
      <c r="C36" s="28">
        <v>335.06</v>
      </c>
    </row>
    <row r="37" spans="1:3" ht="15" customHeight="1" x14ac:dyDescent="0.25">
      <c r="A37" s="27">
        <v>1200</v>
      </c>
      <c r="B37" s="29" t="s">
        <v>62</v>
      </c>
      <c r="C37" s="28">
        <v>80.709999999999994</v>
      </c>
    </row>
    <row r="38" spans="1:3" ht="15" customHeight="1" x14ac:dyDescent="0.25">
      <c r="A38" s="33">
        <v>2210</v>
      </c>
      <c r="B38" s="29" t="s">
        <v>27</v>
      </c>
      <c r="C38" s="28">
        <v>16</v>
      </c>
    </row>
    <row r="39" spans="1:3" ht="14.25" customHeight="1" x14ac:dyDescent="0.25">
      <c r="A39" s="27">
        <v>2230</v>
      </c>
      <c r="B39" s="29" t="s">
        <v>30</v>
      </c>
      <c r="C39" s="28">
        <v>16.2</v>
      </c>
    </row>
    <row r="40" spans="1:3" ht="15" customHeight="1" x14ac:dyDescent="0.25">
      <c r="A40" s="27">
        <v>2241</v>
      </c>
      <c r="B40" s="29" t="s">
        <v>7</v>
      </c>
      <c r="C40" s="28">
        <v>22.19</v>
      </c>
    </row>
    <row r="41" spans="1:3" ht="15" customHeight="1" x14ac:dyDescent="0.25">
      <c r="A41" s="27">
        <v>2242</v>
      </c>
      <c r="B41" s="29" t="s">
        <v>8</v>
      </c>
      <c r="C41" s="28">
        <v>14.23</v>
      </c>
    </row>
    <row r="42" spans="1:3" ht="15" customHeight="1" x14ac:dyDescent="0.25">
      <c r="A42" s="27">
        <v>2243</v>
      </c>
      <c r="B42" s="29" t="s">
        <v>9</v>
      </c>
      <c r="C42" s="28">
        <v>23.37</v>
      </c>
    </row>
    <row r="43" spans="1:3" ht="15" customHeight="1" x14ac:dyDescent="0.25">
      <c r="A43" s="27">
        <v>2244</v>
      </c>
      <c r="B43" s="29" t="s">
        <v>10</v>
      </c>
      <c r="C43" s="28">
        <v>112.52</v>
      </c>
    </row>
    <row r="44" spans="1:3" x14ac:dyDescent="0.25">
      <c r="A44" s="27">
        <v>2247</v>
      </c>
      <c r="B44" s="25" t="s">
        <v>59</v>
      </c>
      <c r="C44" s="28">
        <v>1.33</v>
      </c>
    </row>
    <row r="45" spans="1:3" ht="15" customHeight="1" x14ac:dyDescent="0.25">
      <c r="A45" s="27">
        <v>2251</v>
      </c>
      <c r="B45" s="29" t="s">
        <v>60</v>
      </c>
      <c r="C45" s="28">
        <v>40.25</v>
      </c>
    </row>
    <row r="46" spans="1:3" ht="15" customHeight="1" x14ac:dyDescent="0.25">
      <c r="A46" s="27">
        <v>2259</v>
      </c>
      <c r="B46" s="29" t="s">
        <v>61</v>
      </c>
      <c r="C46" s="28">
        <v>4.2</v>
      </c>
    </row>
    <row r="47" spans="1:3" ht="15" customHeight="1" x14ac:dyDescent="0.25">
      <c r="A47" s="27">
        <v>2262</v>
      </c>
      <c r="B47" s="29" t="s">
        <v>12</v>
      </c>
      <c r="C47" s="28">
        <v>21.89</v>
      </c>
    </row>
    <row r="48" spans="1:3" x14ac:dyDescent="0.25">
      <c r="A48" s="27">
        <v>2264</v>
      </c>
      <c r="B48" s="29" t="s">
        <v>13</v>
      </c>
      <c r="C48" s="28">
        <v>0.15</v>
      </c>
    </row>
    <row r="49" spans="1:3" ht="15" customHeight="1" x14ac:dyDescent="0.25">
      <c r="A49" s="27">
        <v>2279</v>
      </c>
      <c r="B49" s="29" t="s">
        <v>14</v>
      </c>
      <c r="C49" s="28">
        <v>1.33</v>
      </c>
    </row>
    <row r="50" spans="1:3" ht="15" customHeight="1" x14ac:dyDescent="0.25">
      <c r="A50" s="27">
        <v>2311</v>
      </c>
      <c r="B50" s="29" t="s">
        <v>15</v>
      </c>
      <c r="C50" s="28">
        <v>21.45</v>
      </c>
    </row>
    <row r="51" spans="1:3" ht="15" customHeight="1" x14ac:dyDescent="0.25">
      <c r="A51" s="27">
        <v>2312</v>
      </c>
      <c r="B51" s="29" t="s">
        <v>16</v>
      </c>
      <c r="C51" s="28">
        <v>32.29</v>
      </c>
    </row>
    <row r="52" spans="1:3" ht="15" customHeight="1" x14ac:dyDescent="0.25">
      <c r="A52" s="27">
        <v>2322</v>
      </c>
      <c r="B52" s="29" t="s">
        <v>18</v>
      </c>
      <c r="C52" s="28">
        <v>14.6</v>
      </c>
    </row>
    <row r="53" spans="1:3" ht="15" customHeight="1" x14ac:dyDescent="0.25">
      <c r="A53" s="27">
        <v>2350</v>
      </c>
      <c r="B53" s="29" t="s">
        <v>19</v>
      </c>
      <c r="C53" s="28">
        <v>74.97</v>
      </c>
    </row>
    <row r="54" spans="1:3" ht="15" customHeight="1" x14ac:dyDescent="0.25">
      <c r="A54" s="27">
        <v>2361</v>
      </c>
      <c r="B54" s="29" t="s">
        <v>20</v>
      </c>
      <c r="C54" s="28">
        <v>38.85</v>
      </c>
    </row>
    <row r="55" spans="1:3" x14ac:dyDescent="0.25">
      <c r="A55" s="27">
        <v>2370</v>
      </c>
      <c r="B55" s="29" t="s">
        <v>21</v>
      </c>
      <c r="C55" s="28">
        <v>34.65</v>
      </c>
    </row>
    <row r="56" spans="1:3" x14ac:dyDescent="0.25">
      <c r="A56" s="27">
        <v>2400</v>
      </c>
      <c r="B56" s="29" t="s">
        <v>31</v>
      </c>
      <c r="C56" s="28">
        <v>1.7</v>
      </c>
    </row>
    <row r="57" spans="1:3" ht="15.75" customHeight="1" x14ac:dyDescent="0.25">
      <c r="A57" s="27">
        <v>2515</v>
      </c>
      <c r="B57" s="29" t="s">
        <v>58</v>
      </c>
      <c r="C57" s="28">
        <v>12.09</v>
      </c>
    </row>
    <row r="58" spans="1:3" ht="15" customHeight="1" x14ac:dyDescent="0.25">
      <c r="A58" s="27">
        <v>2519</v>
      </c>
      <c r="B58" s="29" t="s">
        <v>24</v>
      </c>
      <c r="C58" s="28">
        <v>22.34</v>
      </c>
    </row>
    <row r="59" spans="1:3" ht="15.75" hidden="1" customHeight="1" x14ac:dyDescent="0.25">
      <c r="A59" s="27">
        <v>6240</v>
      </c>
      <c r="B59" s="29" t="s">
        <v>33</v>
      </c>
      <c r="C59" s="28"/>
    </row>
    <row r="60" spans="1:3" ht="15.75" hidden="1" customHeight="1" x14ac:dyDescent="0.25">
      <c r="A60" s="27">
        <v>6290</v>
      </c>
      <c r="B60" s="29" t="s">
        <v>34</v>
      </c>
      <c r="C60" s="28"/>
    </row>
    <row r="61" spans="1:3" x14ac:dyDescent="0.25">
      <c r="A61" s="27">
        <v>5232</v>
      </c>
      <c r="B61" s="29" t="s">
        <v>23</v>
      </c>
      <c r="C61" s="28">
        <v>85.44</v>
      </c>
    </row>
    <row r="62" spans="1:3" ht="15" hidden="1" customHeight="1" x14ac:dyDescent="0.25">
      <c r="A62" s="27">
        <v>5240</v>
      </c>
      <c r="B62" s="29" t="s">
        <v>25</v>
      </c>
      <c r="C62" s="28"/>
    </row>
    <row r="63" spans="1:3" ht="15" customHeight="1" x14ac:dyDescent="0.25">
      <c r="A63" s="27">
        <v>5250</v>
      </c>
      <c r="B63" s="29" t="s">
        <v>26</v>
      </c>
      <c r="C63" s="28">
        <v>33.47</v>
      </c>
    </row>
    <row r="64" spans="1:3" ht="15" customHeight="1" x14ac:dyDescent="0.25">
      <c r="A64" s="32"/>
      <c r="B64" s="34" t="s">
        <v>66</v>
      </c>
      <c r="C64" s="31">
        <f>SUM(C36:C63)</f>
        <v>1061.2800000000002</v>
      </c>
    </row>
    <row r="65" spans="1:3" x14ac:dyDescent="0.25">
      <c r="A65" s="32"/>
      <c r="B65" s="34" t="s">
        <v>67</v>
      </c>
      <c r="C65" s="31">
        <f>C64+C34</f>
        <v>4421.3500000000004</v>
      </c>
    </row>
    <row r="66" spans="1:3" ht="17.25" customHeight="1" x14ac:dyDescent="0.25">
      <c r="A66" s="64"/>
      <c r="B66" s="41"/>
      <c r="C66" s="61"/>
    </row>
    <row r="67" spans="1:3" ht="15" customHeight="1" x14ac:dyDescent="0.25">
      <c r="A67" s="254" t="s">
        <v>45</v>
      </c>
      <c r="B67" s="254"/>
      <c r="C67" s="102">
        <v>5</v>
      </c>
    </row>
    <row r="68" spans="1:3" x14ac:dyDescent="0.25">
      <c r="A68" s="254" t="s">
        <v>46</v>
      </c>
      <c r="B68" s="254"/>
      <c r="C68" s="106">
        <f>C65/C67</f>
        <v>884.2700000000001</v>
      </c>
    </row>
    <row r="69" spans="1:3" x14ac:dyDescent="0.25">
      <c r="A69" s="42"/>
      <c r="B69" s="42"/>
      <c r="C69" s="44"/>
    </row>
    <row r="70" spans="1:3" s="2" customFormat="1" x14ac:dyDescent="0.3">
      <c r="A70" s="255" t="s">
        <v>37</v>
      </c>
      <c r="B70" s="256"/>
      <c r="C70" s="53"/>
    </row>
    <row r="71" spans="1:3" s="2" customFormat="1" x14ac:dyDescent="0.3">
      <c r="A71" s="255" t="s">
        <v>55</v>
      </c>
      <c r="B71" s="256"/>
      <c r="C71" s="53"/>
    </row>
    <row r="72" spans="1:3" s="2" customFormat="1" x14ac:dyDescent="0.35">
      <c r="A72" s="17"/>
      <c r="B72" s="17"/>
      <c r="C72" s="17"/>
    </row>
    <row r="73" spans="1:3" s="2" customFormat="1" x14ac:dyDescent="0.35">
      <c r="A73" s="17" t="s">
        <v>38</v>
      </c>
      <c r="B73" s="17"/>
      <c r="C73" s="17"/>
    </row>
    <row r="74" spans="1:3" s="2" customFormat="1" x14ac:dyDescent="0.35">
      <c r="A74" s="17"/>
      <c r="B74" s="17"/>
      <c r="C74" s="17"/>
    </row>
    <row r="75" spans="1:3" s="2" customFormat="1" x14ac:dyDescent="0.35">
      <c r="A75" s="17" t="s">
        <v>47</v>
      </c>
      <c r="B75" s="18"/>
      <c r="C75" s="18"/>
    </row>
    <row r="76" spans="1:3" s="2" customFormat="1" ht="13.9" customHeight="1" x14ac:dyDescent="0.35">
      <c r="A76" s="17"/>
      <c r="B76" s="96"/>
      <c r="C76" s="17"/>
    </row>
    <row r="77" spans="1:3" s="2" customFormat="1" ht="13.9" customHeight="1" x14ac:dyDescent="0.35">
      <c r="A77" s="17"/>
      <c r="B77" s="19"/>
      <c r="C77" s="17"/>
    </row>
    <row r="78" spans="1:3" s="1" customFormat="1" x14ac:dyDescent="0.35">
      <c r="A78" s="6"/>
      <c r="B78" s="6"/>
      <c r="C78" s="6"/>
    </row>
  </sheetData>
  <mergeCells count="10">
    <mergeCell ref="A68:B68"/>
    <mergeCell ref="A70:B70"/>
    <mergeCell ref="A71:B71"/>
    <mergeCell ref="B3:C3"/>
    <mergeCell ref="B1:C1"/>
    <mergeCell ref="B2:C2"/>
    <mergeCell ref="A9:B9"/>
    <mergeCell ref="A10:B10"/>
    <mergeCell ref="A7:C7"/>
    <mergeCell ref="A67:B67"/>
  </mergeCells>
  <pageMargins left="0.94488188976377963" right="0.55118110236220474" top="0.62992125984251968" bottom="0.74803149606299213" header="0.31496062992125984" footer="0.31496062992125984"/>
  <pageSetup paperSize="9" scale="60" firstPageNumber="2" fitToHeight="0" orientation="portrait" useFirstPageNumber="1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view="pageLayout" topLeftCell="A73" zoomScale="90" zoomScaleNormal="90" zoomScalePageLayoutView="90" workbookViewId="0">
      <selection activeCell="A74" sqref="A74"/>
    </sheetView>
  </sheetViews>
  <sheetFormatPr defaultRowHeight="15.5" x14ac:dyDescent="0.35"/>
  <cols>
    <col min="1" max="1" width="12.26953125" style="6" customWidth="1"/>
    <col min="2" max="2" width="97.1796875" style="6" customWidth="1"/>
    <col min="3" max="3" width="24.81640625" style="100" hidden="1" customWidth="1"/>
    <col min="4" max="4" width="25.81640625" style="6" hidden="1" customWidth="1"/>
    <col min="5" max="5" width="22.453125" style="6" hidden="1" customWidth="1"/>
    <col min="6" max="6" width="32.7265625" style="6" customWidth="1"/>
  </cols>
  <sheetData>
    <row r="1" spans="1:6" ht="15.75" customHeight="1" x14ac:dyDescent="0.35">
      <c r="A1" s="12"/>
      <c r="B1" s="258" t="s">
        <v>35</v>
      </c>
      <c r="C1" s="258"/>
      <c r="D1" s="258"/>
      <c r="E1" s="258"/>
      <c r="F1" s="259"/>
    </row>
    <row r="2" spans="1:6" x14ac:dyDescent="0.35">
      <c r="A2" s="12"/>
      <c r="B2" s="260" t="s">
        <v>39</v>
      </c>
      <c r="C2" s="260"/>
      <c r="D2" s="260"/>
      <c r="E2" s="260"/>
      <c r="F2" s="261"/>
    </row>
    <row r="3" spans="1:6" x14ac:dyDescent="0.35">
      <c r="A3" s="12"/>
      <c r="B3" s="257" t="s">
        <v>135</v>
      </c>
      <c r="C3" s="264"/>
      <c r="D3" s="264"/>
      <c r="E3" s="264"/>
      <c r="F3" s="264"/>
    </row>
    <row r="4" spans="1:6" x14ac:dyDescent="0.35">
      <c r="A4" s="12"/>
      <c r="B4" s="11"/>
      <c r="C4" s="11"/>
      <c r="D4" s="11"/>
      <c r="E4" s="13"/>
      <c r="F4" s="96"/>
    </row>
    <row r="5" spans="1:6" x14ac:dyDescent="0.35">
      <c r="A5" s="12"/>
      <c r="B5" s="15"/>
      <c r="C5" s="15"/>
      <c r="D5" s="15"/>
      <c r="E5" s="12"/>
      <c r="F5" s="11" t="s">
        <v>134</v>
      </c>
    </row>
    <row r="6" spans="1:6" x14ac:dyDescent="0.35">
      <c r="A6" s="12"/>
      <c r="B6" s="11"/>
      <c r="C6" s="11"/>
      <c r="D6" s="11"/>
      <c r="E6" s="11"/>
      <c r="F6" s="11"/>
    </row>
    <row r="7" spans="1:6" ht="17.25" customHeight="1" x14ac:dyDescent="0.3">
      <c r="A7" s="266" t="s">
        <v>5</v>
      </c>
      <c r="B7" s="266"/>
      <c r="C7" s="266"/>
      <c r="D7" s="266"/>
      <c r="E7" s="266"/>
      <c r="F7" s="266"/>
    </row>
    <row r="8" spans="1:6" x14ac:dyDescent="0.35">
      <c r="A8" s="98"/>
      <c r="B8" s="99"/>
      <c r="C8" s="99"/>
      <c r="D8" s="99"/>
      <c r="E8" s="97"/>
    </row>
    <row r="9" spans="1:6" ht="15" customHeight="1" x14ac:dyDescent="0.35">
      <c r="A9" s="262" t="s">
        <v>1</v>
      </c>
      <c r="B9" s="265"/>
      <c r="C9" s="9"/>
      <c r="D9" s="9"/>
      <c r="E9" s="9"/>
    </row>
    <row r="10" spans="1:6" ht="15" customHeight="1" x14ac:dyDescent="0.35">
      <c r="A10" s="262" t="s">
        <v>0</v>
      </c>
      <c r="B10" s="265"/>
      <c r="C10" s="9"/>
      <c r="D10" s="9"/>
      <c r="E10" s="9"/>
    </row>
    <row r="11" spans="1:6" ht="15" customHeight="1" x14ac:dyDescent="0.35">
      <c r="A11" s="9"/>
      <c r="B11" s="9" t="s">
        <v>126</v>
      </c>
      <c r="C11" s="9"/>
      <c r="D11" s="9"/>
      <c r="E11" s="9"/>
    </row>
    <row r="12" spans="1:6" ht="15" customHeight="1" x14ac:dyDescent="0.35">
      <c r="A12" s="9"/>
      <c r="B12" s="262" t="s">
        <v>130</v>
      </c>
      <c r="C12" s="265"/>
      <c r="D12" s="265"/>
      <c r="E12" s="9"/>
      <c r="F12" s="14"/>
    </row>
    <row r="13" spans="1:6" ht="15.75" customHeight="1" x14ac:dyDescent="0.35">
      <c r="A13" s="9" t="s">
        <v>2</v>
      </c>
      <c r="B13" s="9" t="s">
        <v>128</v>
      </c>
      <c r="C13" s="9"/>
      <c r="D13" s="9"/>
      <c r="E13" s="9"/>
    </row>
    <row r="14" spans="1:6" ht="63.75" customHeight="1" x14ac:dyDescent="0.25">
      <c r="A14" s="54" t="s">
        <v>3</v>
      </c>
      <c r="B14" s="54" t="s">
        <v>4</v>
      </c>
      <c r="C14" s="54" t="s">
        <v>42</v>
      </c>
      <c r="D14" s="54" t="s">
        <v>52</v>
      </c>
      <c r="E14" s="54" t="s">
        <v>44</v>
      </c>
      <c r="F14" s="54" t="s">
        <v>53</v>
      </c>
    </row>
    <row r="15" spans="1:6" ht="15" x14ac:dyDescent="0.25">
      <c r="A15" s="22">
        <v>1</v>
      </c>
      <c r="B15" s="23">
        <v>2</v>
      </c>
      <c r="C15" s="23">
        <v>3</v>
      </c>
      <c r="D15" s="23">
        <v>3</v>
      </c>
      <c r="E15" s="23">
        <v>4</v>
      </c>
      <c r="F15" s="23">
        <v>3</v>
      </c>
    </row>
    <row r="16" spans="1:6" ht="15" customHeight="1" x14ac:dyDescent="0.25">
      <c r="A16" s="24"/>
      <c r="B16" s="25" t="s">
        <v>68</v>
      </c>
      <c r="C16" s="26"/>
      <c r="D16" s="26"/>
      <c r="E16" s="26"/>
      <c r="F16" s="26"/>
    </row>
    <row r="17" spans="1:6" ht="16.5" customHeight="1" x14ac:dyDescent="0.25">
      <c r="A17" s="27">
        <v>1100</v>
      </c>
      <c r="B17" s="27" t="s">
        <v>63</v>
      </c>
      <c r="C17" s="28">
        <v>1197.23</v>
      </c>
      <c r="D17" s="28">
        <v>0</v>
      </c>
      <c r="E17" s="28">
        <v>3074.97</v>
      </c>
      <c r="F17" s="28">
        <v>2455.6</v>
      </c>
    </row>
    <row r="18" spans="1:6" ht="15.75" customHeight="1" x14ac:dyDescent="0.25">
      <c r="A18" s="27">
        <v>1200</v>
      </c>
      <c r="B18" s="29" t="s">
        <v>62</v>
      </c>
      <c r="C18" s="28">
        <v>282.43</v>
      </c>
      <c r="D18" s="28">
        <v>0</v>
      </c>
      <c r="E18" s="28">
        <v>725.39</v>
      </c>
      <c r="F18" s="28">
        <v>591.54999999999995</v>
      </c>
    </row>
    <row r="19" spans="1:6" hidden="1" x14ac:dyDescent="0.25">
      <c r="A19" s="27">
        <v>2210</v>
      </c>
      <c r="B19" s="29" t="s">
        <v>27</v>
      </c>
      <c r="C19" s="28">
        <v>8.82</v>
      </c>
      <c r="D19" s="28"/>
      <c r="E19" s="28"/>
      <c r="F19" s="28">
        <v>0</v>
      </c>
    </row>
    <row r="20" spans="1:6" x14ac:dyDescent="0.25">
      <c r="A20" s="27">
        <v>2222</v>
      </c>
      <c r="B20" s="29" t="s">
        <v>28</v>
      </c>
      <c r="C20" s="28">
        <v>24.08</v>
      </c>
      <c r="D20" s="28">
        <v>0</v>
      </c>
      <c r="E20" s="28">
        <f>ROUND(C20/2,2)</f>
        <v>12.04</v>
      </c>
      <c r="F20" s="28">
        <v>15.21</v>
      </c>
    </row>
    <row r="21" spans="1:6" x14ac:dyDescent="0.25">
      <c r="A21" s="27">
        <v>2223</v>
      </c>
      <c r="B21" s="29" t="s">
        <v>29</v>
      </c>
      <c r="C21" s="28">
        <v>28.15</v>
      </c>
      <c r="D21" s="28">
        <v>0</v>
      </c>
      <c r="E21" s="28">
        <f>ROUND(C21/2,2)</f>
        <v>14.08</v>
      </c>
      <c r="F21" s="28">
        <v>109.52</v>
      </c>
    </row>
    <row r="22" spans="1:6" ht="15" customHeight="1" x14ac:dyDescent="0.25">
      <c r="A22" s="27">
        <v>2243</v>
      </c>
      <c r="B22" s="29" t="s">
        <v>9</v>
      </c>
      <c r="C22" s="28">
        <v>6.3</v>
      </c>
      <c r="D22" s="28">
        <v>0</v>
      </c>
      <c r="E22" s="28">
        <f>ROUND(C22/2,2)</f>
        <v>3.15</v>
      </c>
      <c r="F22" s="28">
        <v>42.65</v>
      </c>
    </row>
    <row r="23" spans="1:6" ht="15" hidden="1" customHeight="1" x14ac:dyDescent="0.25">
      <c r="A23" s="27">
        <v>2251</v>
      </c>
      <c r="B23" s="29" t="s">
        <v>60</v>
      </c>
      <c r="C23" s="28">
        <v>26.6</v>
      </c>
      <c r="D23" s="28"/>
      <c r="E23" s="28"/>
      <c r="F23" s="28">
        <v>0</v>
      </c>
    </row>
    <row r="24" spans="1:6" ht="15" hidden="1" customHeight="1" x14ac:dyDescent="0.25">
      <c r="A24" s="27">
        <v>2261</v>
      </c>
      <c r="B24" s="29" t="s">
        <v>11</v>
      </c>
      <c r="C24" s="28"/>
      <c r="D24" s="28"/>
      <c r="E24" s="28"/>
      <c r="F24" s="28"/>
    </row>
    <row r="25" spans="1:6" ht="15" hidden="1" customHeight="1" x14ac:dyDescent="0.25">
      <c r="A25" s="27">
        <v>2279</v>
      </c>
      <c r="B25" s="29" t="s">
        <v>14</v>
      </c>
      <c r="C25" s="28">
        <v>25.19</v>
      </c>
      <c r="D25" s="28"/>
      <c r="E25" s="28"/>
      <c r="F25" s="28">
        <v>0</v>
      </c>
    </row>
    <row r="26" spans="1:6" ht="15" customHeight="1" x14ac:dyDescent="0.25">
      <c r="A26" s="27">
        <v>2311</v>
      </c>
      <c r="B26" s="29" t="s">
        <v>72</v>
      </c>
      <c r="C26" s="28">
        <v>25.84</v>
      </c>
      <c r="D26" s="28"/>
      <c r="E26" s="28"/>
      <c r="F26" s="28">
        <v>203.58</v>
      </c>
    </row>
    <row r="27" spans="1:6" ht="15" customHeight="1" x14ac:dyDescent="0.25">
      <c r="A27" s="27">
        <v>2312</v>
      </c>
      <c r="B27" s="29" t="s">
        <v>16</v>
      </c>
      <c r="C27" s="28">
        <v>25.75</v>
      </c>
      <c r="D27" s="28"/>
      <c r="E27" s="28"/>
      <c r="F27" s="28">
        <v>471.03</v>
      </c>
    </row>
    <row r="28" spans="1:6" ht="15" customHeight="1" x14ac:dyDescent="0.25">
      <c r="A28" s="27">
        <v>2321</v>
      </c>
      <c r="B28" s="29" t="s">
        <v>17</v>
      </c>
      <c r="C28" s="28">
        <v>28.89</v>
      </c>
      <c r="D28" s="28">
        <v>0</v>
      </c>
      <c r="E28" s="28">
        <f>ROUND(C28/2,2)</f>
        <v>14.45</v>
      </c>
      <c r="F28" s="28">
        <v>157.13</v>
      </c>
    </row>
    <row r="29" spans="1:6" ht="15" hidden="1" customHeight="1" x14ac:dyDescent="0.25">
      <c r="A29" s="27">
        <v>2350</v>
      </c>
      <c r="B29" s="29" t="s">
        <v>19</v>
      </c>
      <c r="C29" s="28"/>
      <c r="D29" s="28">
        <v>0</v>
      </c>
      <c r="E29" s="28">
        <f>ROUND(C29/2,2)</f>
        <v>0</v>
      </c>
      <c r="F29" s="28"/>
    </row>
    <row r="30" spans="1:6" ht="15" hidden="1" customHeight="1" x14ac:dyDescent="0.25">
      <c r="A30" s="27">
        <v>2361</v>
      </c>
      <c r="B30" s="29" t="s">
        <v>20</v>
      </c>
      <c r="C30" s="28"/>
      <c r="D30" s="28"/>
      <c r="E30" s="28"/>
      <c r="F30" s="28"/>
    </row>
    <row r="31" spans="1:6" x14ac:dyDescent="0.25">
      <c r="A31" s="27">
        <v>2370</v>
      </c>
      <c r="B31" s="29" t="s">
        <v>69</v>
      </c>
      <c r="C31" s="28">
        <v>140.5</v>
      </c>
      <c r="D31" s="28"/>
      <c r="E31" s="28"/>
      <c r="F31" s="28">
        <v>475.02</v>
      </c>
    </row>
    <row r="32" spans="1:6" ht="15.75" hidden="1" customHeight="1" x14ac:dyDescent="0.25">
      <c r="A32" s="55">
        <v>2513</v>
      </c>
      <c r="B32" s="29" t="s">
        <v>22</v>
      </c>
      <c r="C32" s="28"/>
      <c r="D32" s="28"/>
      <c r="E32" s="28"/>
      <c r="F32" s="28"/>
    </row>
    <row r="33" spans="1:6" ht="15.75" customHeight="1" x14ac:dyDescent="0.25">
      <c r="A33" s="27">
        <v>5230</v>
      </c>
      <c r="B33" s="29" t="s">
        <v>57</v>
      </c>
      <c r="C33" s="28">
        <v>0</v>
      </c>
      <c r="D33" s="28">
        <v>0</v>
      </c>
      <c r="E33" s="28">
        <f>ROUND(C33/2,2)</f>
        <v>0</v>
      </c>
      <c r="F33" s="28">
        <v>332.85</v>
      </c>
    </row>
    <row r="34" spans="1:6" ht="15" customHeight="1" x14ac:dyDescent="0.25">
      <c r="A34" s="27"/>
      <c r="B34" s="30" t="s">
        <v>65</v>
      </c>
      <c r="C34" s="31">
        <f>SUM(C17:C33)</f>
        <v>1819.78</v>
      </c>
      <c r="D34" s="31">
        <f>SUM(D17:D33)</f>
        <v>0</v>
      </c>
      <c r="E34" s="31">
        <f>SUM(E17:E33)</f>
        <v>3844.0799999999995</v>
      </c>
      <c r="F34" s="31">
        <f>SUM(F17:F33)</f>
        <v>4854.1399999999994</v>
      </c>
    </row>
    <row r="35" spans="1:6" ht="15" customHeight="1" x14ac:dyDescent="0.25">
      <c r="A35" s="89"/>
      <c r="B35" s="27" t="s">
        <v>64</v>
      </c>
      <c r="C35" s="26"/>
      <c r="D35" s="26"/>
      <c r="E35" s="26"/>
      <c r="F35" s="28"/>
    </row>
    <row r="36" spans="1:6" x14ac:dyDescent="0.25">
      <c r="A36" s="27">
        <v>1100</v>
      </c>
      <c r="B36" s="27" t="s">
        <v>63</v>
      </c>
      <c r="C36" s="28">
        <v>454.77</v>
      </c>
      <c r="D36" s="28">
        <v>0</v>
      </c>
      <c r="E36" s="28">
        <f t="shared" ref="E36:E60" si="0">ROUND(C36/2,2)</f>
        <v>227.39</v>
      </c>
      <c r="F36" s="28">
        <v>366.22</v>
      </c>
    </row>
    <row r="37" spans="1:6" ht="14.25" customHeight="1" x14ac:dyDescent="0.25">
      <c r="A37" s="27">
        <v>1200</v>
      </c>
      <c r="B37" s="29" t="s">
        <v>62</v>
      </c>
      <c r="C37" s="28">
        <v>109.15</v>
      </c>
      <c r="D37" s="28">
        <v>0</v>
      </c>
      <c r="E37" s="28">
        <f t="shared" si="0"/>
        <v>54.58</v>
      </c>
      <c r="F37" s="28">
        <v>88.22</v>
      </c>
    </row>
    <row r="38" spans="1:6" ht="15" customHeight="1" x14ac:dyDescent="0.25">
      <c r="A38" s="33">
        <v>2210</v>
      </c>
      <c r="B38" s="29" t="s">
        <v>27</v>
      </c>
      <c r="C38" s="28">
        <v>10.84</v>
      </c>
      <c r="D38" s="28">
        <v>0</v>
      </c>
      <c r="E38" s="28">
        <f t="shared" si="0"/>
        <v>5.42</v>
      </c>
      <c r="F38" s="28">
        <v>8.74</v>
      </c>
    </row>
    <row r="39" spans="1:6" ht="15.75" customHeight="1" x14ac:dyDescent="0.25">
      <c r="A39" s="27">
        <v>2230</v>
      </c>
      <c r="B39" s="29" t="s">
        <v>30</v>
      </c>
      <c r="C39" s="28">
        <v>11</v>
      </c>
      <c r="D39" s="28">
        <v>0</v>
      </c>
      <c r="E39" s="28">
        <f t="shared" si="0"/>
        <v>5.5</v>
      </c>
      <c r="F39" s="28">
        <v>20.41</v>
      </c>
    </row>
    <row r="40" spans="1:6" x14ac:dyDescent="0.25">
      <c r="A40" s="27">
        <v>2241</v>
      </c>
      <c r="B40" s="29" t="s">
        <v>7</v>
      </c>
      <c r="C40" s="28">
        <v>15.05</v>
      </c>
      <c r="D40" s="28">
        <v>0</v>
      </c>
      <c r="E40" s="28">
        <f t="shared" si="0"/>
        <v>7.53</v>
      </c>
      <c r="F40" s="28">
        <v>40.98</v>
      </c>
    </row>
    <row r="41" spans="1:6" ht="14.25" customHeight="1" x14ac:dyDescent="0.25">
      <c r="A41" s="27">
        <v>2242</v>
      </c>
      <c r="B41" s="29" t="s">
        <v>8</v>
      </c>
      <c r="C41" s="28">
        <v>13.64</v>
      </c>
      <c r="D41" s="28">
        <v>0</v>
      </c>
      <c r="E41" s="28">
        <f t="shared" si="0"/>
        <v>6.82</v>
      </c>
      <c r="F41" s="28">
        <v>10.99</v>
      </c>
    </row>
    <row r="42" spans="1:6" ht="15" customHeight="1" x14ac:dyDescent="0.25">
      <c r="A42" s="27">
        <v>2243</v>
      </c>
      <c r="B42" s="29" t="s">
        <v>9</v>
      </c>
      <c r="C42" s="28">
        <v>15.85</v>
      </c>
      <c r="D42" s="28">
        <v>0</v>
      </c>
      <c r="E42" s="28">
        <f t="shared" si="0"/>
        <v>7.93</v>
      </c>
      <c r="F42" s="28">
        <v>112.77</v>
      </c>
    </row>
    <row r="43" spans="1:6" ht="15" customHeight="1" x14ac:dyDescent="0.25">
      <c r="A43" s="27">
        <v>2244</v>
      </c>
      <c r="B43" s="29" t="s">
        <v>10</v>
      </c>
      <c r="C43" s="28"/>
      <c r="D43" s="28"/>
      <c r="E43" s="28"/>
      <c r="F43" s="28">
        <v>144.44999999999999</v>
      </c>
    </row>
    <row r="44" spans="1:6" ht="15" customHeight="1" x14ac:dyDescent="0.25">
      <c r="A44" s="27">
        <v>2247</v>
      </c>
      <c r="B44" s="25" t="s">
        <v>59</v>
      </c>
      <c r="C44" s="28">
        <v>0.91</v>
      </c>
      <c r="D44" s="28">
        <v>0</v>
      </c>
      <c r="E44" s="28">
        <f t="shared" si="0"/>
        <v>0.46</v>
      </c>
      <c r="F44" s="28">
        <v>0.73</v>
      </c>
    </row>
    <row r="45" spans="1:6" ht="15" customHeight="1" x14ac:dyDescent="0.25">
      <c r="A45" s="27">
        <v>2251</v>
      </c>
      <c r="B45" s="29" t="s">
        <v>60</v>
      </c>
      <c r="C45" s="28">
        <v>27.28</v>
      </c>
      <c r="D45" s="28">
        <v>0</v>
      </c>
      <c r="E45" s="28">
        <f t="shared" si="0"/>
        <v>13.64</v>
      </c>
      <c r="F45" s="28">
        <v>21.98</v>
      </c>
    </row>
    <row r="46" spans="1:6" ht="15" customHeight="1" x14ac:dyDescent="0.25">
      <c r="A46" s="27">
        <v>2259</v>
      </c>
      <c r="B46" s="29" t="s">
        <v>61</v>
      </c>
      <c r="C46" s="28">
        <v>2.85</v>
      </c>
      <c r="D46" s="28">
        <v>0</v>
      </c>
      <c r="E46" s="28">
        <f t="shared" si="0"/>
        <v>1.43</v>
      </c>
      <c r="F46" s="28">
        <v>2.2999999999999998</v>
      </c>
    </row>
    <row r="47" spans="1:6" ht="15" customHeight="1" x14ac:dyDescent="0.25">
      <c r="A47" s="27">
        <v>2262</v>
      </c>
      <c r="B47" s="29" t="s">
        <v>12</v>
      </c>
      <c r="C47" s="28">
        <v>14.86</v>
      </c>
      <c r="D47" s="28">
        <v>0</v>
      </c>
      <c r="E47" s="28">
        <f t="shared" si="0"/>
        <v>7.43</v>
      </c>
      <c r="F47" s="28">
        <v>11.97</v>
      </c>
    </row>
    <row r="48" spans="1:6" x14ac:dyDescent="0.25">
      <c r="A48" s="27">
        <v>2264</v>
      </c>
      <c r="B48" s="29" t="s">
        <v>13</v>
      </c>
      <c r="C48" s="28">
        <v>0.11</v>
      </c>
      <c r="D48" s="28">
        <v>0</v>
      </c>
      <c r="E48" s="28">
        <f t="shared" si="0"/>
        <v>0.06</v>
      </c>
      <c r="F48" s="28">
        <v>0.09</v>
      </c>
    </row>
    <row r="49" spans="1:6" x14ac:dyDescent="0.25">
      <c r="A49" s="27">
        <v>2279</v>
      </c>
      <c r="B49" s="29" t="s">
        <v>14</v>
      </c>
      <c r="C49" s="28">
        <v>0.91</v>
      </c>
      <c r="D49" s="28">
        <v>0</v>
      </c>
      <c r="E49" s="28">
        <f t="shared" si="0"/>
        <v>0.46</v>
      </c>
      <c r="F49" s="28">
        <v>18.05</v>
      </c>
    </row>
    <row r="50" spans="1:6" x14ac:dyDescent="0.25">
      <c r="A50" s="27">
        <v>2311</v>
      </c>
      <c r="B50" s="29" t="s">
        <v>15</v>
      </c>
      <c r="C50" s="28">
        <v>14.55</v>
      </c>
      <c r="D50" s="28">
        <v>0</v>
      </c>
      <c r="E50" s="28">
        <f t="shared" si="0"/>
        <v>7.28</v>
      </c>
      <c r="F50" s="28">
        <v>11.73</v>
      </c>
    </row>
    <row r="51" spans="1:6" ht="15" customHeight="1" x14ac:dyDescent="0.25">
      <c r="A51" s="27">
        <v>2312</v>
      </c>
      <c r="B51" s="29" t="s">
        <v>16</v>
      </c>
      <c r="C51" s="28">
        <v>21.91</v>
      </c>
      <c r="D51" s="28">
        <v>0</v>
      </c>
      <c r="E51" s="28">
        <f t="shared" si="0"/>
        <v>10.96</v>
      </c>
      <c r="F51" s="28">
        <v>17.66</v>
      </c>
    </row>
    <row r="52" spans="1:6" ht="15" customHeight="1" x14ac:dyDescent="0.25">
      <c r="A52" s="27">
        <v>2322</v>
      </c>
      <c r="B52" s="29" t="s">
        <v>18</v>
      </c>
      <c r="C52" s="28">
        <v>9.92</v>
      </c>
      <c r="D52" s="28">
        <v>0</v>
      </c>
      <c r="E52" s="28">
        <f t="shared" si="0"/>
        <v>4.96</v>
      </c>
      <c r="F52" s="28">
        <v>7.99</v>
      </c>
    </row>
    <row r="53" spans="1:6" ht="15" customHeight="1" x14ac:dyDescent="0.25">
      <c r="A53" s="27">
        <v>2350</v>
      </c>
      <c r="B53" s="29" t="s">
        <v>19</v>
      </c>
      <c r="C53" s="28">
        <v>30.86</v>
      </c>
      <c r="D53" s="28">
        <v>0</v>
      </c>
      <c r="E53" s="28">
        <f t="shared" si="0"/>
        <v>15.43</v>
      </c>
      <c r="F53" s="28">
        <v>24.87</v>
      </c>
    </row>
    <row r="54" spans="1:6" ht="15" customHeight="1" x14ac:dyDescent="0.25">
      <c r="A54" s="27">
        <v>2361</v>
      </c>
      <c r="B54" s="29" t="s">
        <v>20</v>
      </c>
      <c r="C54" s="28">
        <v>26.37</v>
      </c>
      <c r="D54" s="28">
        <v>0</v>
      </c>
      <c r="E54" s="28">
        <f t="shared" si="0"/>
        <v>13.19</v>
      </c>
      <c r="F54" s="28">
        <v>21.25</v>
      </c>
    </row>
    <row r="55" spans="1:6" ht="15" customHeight="1" x14ac:dyDescent="0.25">
      <c r="A55" s="27">
        <v>2370</v>
      </c>
      <c r="B55" s="29" t="s">
        <v>21</v>
      </c>
      <c r="C55" s="28">
        <v>23.52</v>
      </c>
      <c r="D55" s="28">
        <v>0</v>
      </c>
      <c r="E55" s="28">
        <f t="shared" si="0"/>
        <v>11.76</v>
      </c>
      <c r="F55" s="28">
        <v>18.95</v>
      </c>
    </row>
    <row r="56" spans="1:6" ht="15.75" customHeight="1" x14ac:dyDescent="0.25">
      <c r="A56" s="27">
        <v>2400</v>
      </c>
      <c r="B56" s="29" t="s">
        <v>31</v>
      </c>
      <c r="C56" s="28">
        <v>1.1499999999999999</v>
      </c>
      <c r="D56" s="28">
        <v>0</v>
      </c>
      <c r="E56" s="28">
        <f t="shared" si="0"/>
        <v>0.57999999999999996</v>
      </c>
      <c r="F56" s="28">
        <v>0.93</v>
      </c>
    </row>
    <row r="57" spans="1:6" x14ac:dyDescent="0.25">
      <c r="A57" s="27">
        <v>2515</v>
      </c>
      <c r="B57" s="29" t="s">
        <v>58</v>
      </c>
      <c r="C57" s="28">
        <v>8.1999999999999993</v>
      </c>
      <c r="D57" s="28">
        <v>0</v>
      </c>
      <c r="E57" s="28">
        <f t="shared" si="0"/>
        <v>4.0999999999999996</v>
      </c>
      <c r="F57" s="28">
        <v>6.61</v>
      </c>
    </row>
    <row r="58" spans="1:6" ht="15.75" customHeight="1" x14ac:dyDescent="0.25">
      <c r="A58" s="27">
        <v>2519</v>
      </c>
      <c r="B58" s="29" t="s">
        <v>24</v>
      </c>
      <c r="C58" s="28">
        <v>15.15</v>
      </c>
      <c r="D58" s="28"/>
      <c r="E58" s="28"/>
      <c r="F58" s="28">
        <v>12.21</v>
      </c>
    </row>
    <row r="59" spans="1:6" hidden="1" x14ac:dyDescent="0.25">
      <c r="A59" s="27">
        <v>6240</v>
      </c>
      <c r="B59" s="29" t="s">
        <v>33</v>
      </c>
      <c r="C59" s="28"/>
      <c r="D59" s="28">
        <v>0</v>
      </c>
      <c r="E59" s="28">
        <f t="shared" si="0"/>
        <v>0</v>
      </c>
      <c r="F59" s="28"/>
    </row>
    <row r="60" spans="1:6" ht="15" hidden="1" customHeight="1" x14ac:dyDescent="0.25">
      <c r="A60" s="27">
        <v>6290</v>
      </c>
      <c r="B60" s="29" t="s">
        <v>34</v>
      </c>
      <c r="C60" s="28"/>
      <c r="D60" s="28">
        <v>0</v>
      </c>
      <c r="E60" s="28">
        <f t="shared" si="0"/>
        <v>0</v>
      </c>
      <c r="F60" s="28"/>
    </row>
    <row r="61" spans="1:6" ht="15" customHeight="1" x14ac:dyDescent="0.25">
      <c r="A61" s="27">
        <v>5232</v>
      </c>
      <c r="B61" s="29" t="s">
        <v>23</v>
      </c>
      <c r="C61" s="28">
        <v>57.93</v>
      </c>
      <c r="D61" s="31">
        <f>SUM(D36:D60)</f>
        <v>0</v>
      </c>
      <c r="E61" s="31">
        <f>SUM(E36:E60)</f>
        <v>406.90999999999985</v>
      </c>
      <c r="F61" s="28">
        <v>46.68</v>
      </c>
    </row>
    <row r="62" spans="1:6" ht="14.25" hidden="1" customHeight="1" x14ac:dyDescent="0.25">
      <c r="A62" s="27">
        <v>5240</v>
      </c>
      <c r="B62" s="29" t="s">
        <v>25</v>
      </c>
      <c r="C62" s="28"/>
      <c r="D62" s="31">
        <f>D61+D34</f>
        <v>0</v>
      </c>
      <c r="E62" s="31">
        <f>E61+E34</f>
        <v>4250.99</v>
      </c>
      <c r="F62" s="28"/>
    </row>
    <row r="63" spans="1:6" ht="15" customHeight="1" x14ac:dyDescent="0.25">
      <c r="A63" s="27">
        <v>5250</v>
      </c>
      <c r="B63" s="29" t="s">
        <v>26</v>
      </c>
      <c r="C63" s="28">
        <v>22.74</v>
      </c>
      <c r="D63" s="28">
        <v>0</v>
      </c>
      <c r="E63" s="28">
        <f>ROUND(C63/2,2)</f>
        <v>11.37</v>
      </c>
      <c r="F63" s="28">
        <v>18.28</v>
      </c>
    </row>
    <row r="64" spans="1:6" ht="17.25" customHeight="1" x14ac:dyDescent="0.25">
      <c r="A64" s="32"/>
      <c r="B64" s="34" t="s">
        <v>66</v>
      </c>
      <c r="C64" s="31">
        <f>SUM(C36:C63)</f>
        <v>909.51999999999975</v>
      </c>
      <c r="D64" s="28">
        <v>0</v>
      </c>
      <c r="E64" s="28">
        <f>ROUND(C64/2,2)</f>
        <v>454.76</v>
      </c>
      <c r="F64" s="31">
        <f>SUM(F36:F63)</f>
        <v>1035.06</v>
      </c>
    </row>
    <row r="65" spans="1:6" ht="18.75" customHeight="1" x14ac:dyDescent="0.25">
      <c r="A65" s="32"/>
      <c r="B65" s="34" t="s">
        <v>67</v>
      </c>
      <c r="C65" s="31">
        <f>C64+C34</f>
        <v>2729.2999999999997</v>
      </c>
      <c r="D65" s="52"/>
      <c r="E65" s="41"/>
      <c r="F65" s="31">
        <f>F34+F64</f>
        <v>5889.1999999999989</v>
      </c>
    </row>
    <row r="66" spans="1:6" ht="15" customHeight="1" x14ac:dyDescent="0.25">
      <c r="A66" s="254" t="s">
        <v>45</v>
      </c>
      <c r="B66" s="269"/>
      <c r="C66" s="43">
        <v>442</v>
      </c>
      <c r="D66" s="38">
        <v>0</v>
      </c>
      <c r="E66" s="38">
        <v>221</v>
      </c>
      <c r="F66" s="102">
        <v>5</v>
      </c>
    </row>
    <row r="67" spans="1:6" ht="15.75" customHeight="1" x14ac:dyDescent="0.25">
      <c r="A67" s="254" t="s">
        <v>46</v>
      </c>
      <c r="B67" s="269"/>
      <c r="C67" s="44" t="e">
        <f>#REF!/C66</f>
        <v>#REF!</v>
      </c>
      <c r="D67" s="46">
        <v>0</v>
      </c>
      <c r="E67" s="31" t="e">
        <f>#REF!/E66</f>
        <v>#REF!</v>
      </c>
      <c r="F67" s="106">
        <f>F65/F66</f>
        <v>1177.8399999999997</v>
      </c>
    </row>
    <row r="68" spans="1:6" ht="15.75" customHeight="1" x14ac:dyDescent="0.3">
      <c r="A68" s="9"/>
      <c r="B68" s="9"/>
      <c r="C68" s="36"/>
      <c r="D68" s="49"/>
      <c r="E68" s="36"/>
      <c r="F68" s="36"/>
    </row>
    <row r="69" spans="1:6" s="2" customFormat="1" x14ac:dyDescent="0.35">
      <c r="A69" s="267" t="s">
        <v>37</v>
      </c>
      <c r="B69" s="268"/>
      <c r="C69" s="39"/>
      <c r="D69" s="39"/>
      <c r="E69" s="39"/>
      <c r="F69" s="39"/>
    </row>
    <row r="70" spans="1:6" s="2" customFormat="1" x14ac:dyDescent="0.35">
      <c r="A70" s="267" t="s">
        <v>54</v>
      </c>
      <c r="B70" s="268"/>
      <c r="C70" s="16"/>
      <c r="D70" s="40"/>
      <c r="E70" s="39"/>
      <c r="F70" s="39"/>
    </row>
    <row r="71" spans="1:6" s="2" customFormat="1" x14ac:dyDescent="0.35">
      <c r="A71" s="17"/>
      <c r="B71" s="17"/>
      <c r="C71" s="17"/>
      <c r="D71" s="17"/>
      <c r="E71" s="17"/>
      <c r="F71" s="17"/>
    </row>
    <row r="72" spans="1:6" s="2" customFormat="1" x14ac:dyDescent="0.35">
      <c r="A72" s="17" t="s">
        <v>38</v>
      </c>
      <c r="B72" s="17"/>
      <c r="C72" s="17"/>
      <c r="D72" s="17"/>
      <c r="E72" s="17"/>
      <c r="F72" s="17"/>
    </row>
    <row r="73" spans="1:6" s="2" customFormat="1" x14ac:dyDescent="0.35">
      <c r="A73" s="17"/>
      <c r="B73" s="17"/>
      <c r="C73" s="17"/>
      <c r="D73" s="17"/>
      <c r="E73" s="17"/>
      <c r="F73" s="17"/>
    </row>
    <row r="74" spans="1:6" s="2" customFormat="1" x14ac:dyDescent="0.35">
      <c r="A74" s="17" t="s">
        <v>47</v>
      </c>
      <c r="B74" s="18"/>
      <c r="C74" s="18"/>
      <c r="D74" s="18"/>
      <c r="E74" s="18"/>
      <c r="F74" s="18"/>
    </row>
    <row r="75" spans="1:6" s="2" customFormat="1" ht="13.9" customHeight="1" x14ac:dyDescent="0.35">
      <c r="A75" s="17"/>
      <c r="B75" s="96"/>
      <c r="C75" s="19"/>
      <c r="D75" s="19"/>
      <c r="E75" s="17"/>
      <c r="F75" s="17"/>
    </row>
    <row r="76" spans="1:6" s="2" customFormat="1" ht="13.9" customHeight="1" x14ac:dyDescent="0.35">
      <c r="A76" s="17"/>
      <c r="B76" s="19"/>
      <c r="C76" s="17"/>
      <c r="D76" s="17"/>
      <c r="E76" s="17"/>
      <c r="F76" s="17"/>
    </row>
    <row r="77" spans="1:6" s="1" customFormat="1" x14ac:dyDescent="0.35">
      <c r="A77" s="6"/>
      <c r="B77" s="6"/>
      <c r="C77" s="100"/>
      <c r="D77" s="6"/>
      <c r="E77" s="6"/>
      <c r="F77" s="6"/>
    </row>
  </sheetData>
  <mergeCells count="11">
    <mergeCell ref="A70:B70"/>
    <mergeCell ref="A66:B66"/>
    <mergeCell ref="A67:B67"/>
    <mergeCell ref="A9:B9"/>
    <mergeCell ref="A10:B10"/>
    <mergeCell ref="B3:F3"/>
    <mergeCell ref="B1:F1"/>
    <mergeCell ref="B2:F2"/>
    <mergeCell ref="B12:D12"/>
    <mergeCell ref="A7:F7"/>
    <mergeCell ref="A69:B69"/>
  </mergeCells>
  <pageMargins left="0.94488188976377963" right="0.55118110236220474" top="0.62992125984251968" bottom="0.62992125984251968" header="0.31496062992125984" footer="0.31496062992125984"/>
  <pageSetup paperSize="9" scale="62" firstPageNumber="3" fitToHeight="0" orientation="portrait" useFirstPageNumber="1" r:id="rId1"/>
  <headerFooter>
    <oddFooter>&amp;C&amp;"Times New Roman,Regular"LManotp1_150319_MK1002; Grozījumi MK 24.09.2013. noteikumos Nr.1002 "Sociālā integrāicjas valsts aģentūras sniegto maksas pakalpojumu cenrādis"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5"/>
  <sheetViews>
    <sheetView view="pageLayout" topLeftCell="A10" zoomScaleNormal="90" workbookViewId="0">
      <selection activeCell="B45" sqref="B45"/>
    </sheetView>
  </sheetViews>
  <sheetFormatPr defaultColWidth="9.1796875" defaultRowHeight="15.5" x14ac:dyDescent="0.35"/>
  <cols>
    <col min="1" max="1" width="13" style="6" customWidth="1"/>
    <col min="2" max="2" width="97.54296875" style="6" customWidth="1"/>
    <col min="3" max="3" width="1.26953125" style="100" hidden="1" customWidth="1"/>
    <col min="4" max="4" width="25.81640625" style="6" hidden="1" customWidth="1"/>
    <col min="5" max="5" width="21.26953125" style="6" hidden="1" customWidth="1"/>
    <col min="6" max="6" width="31.1796875" style="6" customWidth="1"/>
    <col min="7" max="16384" width="9.1796875" style="3"/>
  </cols>
  <sheetData>
    <row r="1" spans="1:6" ht="15.75" customHeight="1" x14ac:dyDescent="0.35">
      <c r="A1" s="12"/>
      <c r="B1" s="258" t="s">
        <v>35</v>
      </c>
      <c r="C1" s="258"/>
      <c r="D1" s="258"/>
      <c r="E1" s="258"/>
      <c r="F1" s="259"/>
    </row>
    <row r="2" spans="1:6" x14ac:dyDescent="0.35">
      <c r="A2" s="12"/>
      <c r="B2" s="260" t="s">
        <v>39</v>
      </c>
      <c r="C2" s="260"/>
      <c r="D2" s="260"/>
      <c r="E2" s="260"/>
      <c r="F2" s="261"/>
    </row>
    <row r="3" spans="1:6" x14ac:dyDescent="0.35">
      <c r="A3" s="12"/>
      <c r="B3" s="257" t="s">
        <v>56</v>
      </c>
      <c r="C3" s="264"/>
      <c r="D3" s="264"/>
      <c r="E3" s="264"/>
      <c r="F3" s="264"/>
    </row>
    <row r="4" spans="1:6" x14ac:dyDescent="0.35">
      <c r="A4" s="12"/>
      <c r="B4" s="11"/>
      <c r="C4" s="11"/>
      <c r="D4" s="11"/>
      <c r="E4" s="13"/>
      <c r="F4" s="96"/>
    </row>
    <row r="5" spans="1:6" x14ac:dyDescent="0.35">
      <c r="A5" s="12"/>
      <c r="B5" s="15"/>
      <c r="C5" s="15"/>
      <c r="D5" s="15"/>
      <c r="E5" s="12"/>
      <c r="F5" s="11" t="str">
        <f>'1.2.'!F5</f>
        <v>2019. gada  15.martā</v>
      </c>
    </row>
    <row r="6" spans="1:6" x14ac:dyDescent="0.35">
      <c r="A6" s="12"/>
      <c r="B6" s="11"/>
      <c r="C6" s="11"/>
      <c r="D6" s="11"/>
      <c r="E6" s="11"/>
      <c r="F6" s="11"/>
    </row>
    <row r="7" spans="1:6" ht="15" x14ac:dyDescent="0.3">
      <c r="A7" s="263" t="s">
        <v>5</v>
      </c>
      <c r="B7" s="263"/>
      <c r="C7" s="263"/>
      <c r="D7" s="263"/>
      <c r="E7" s="263"/>
      <c r="F7" s="263"/>
    </row>
    <row r="8" spans="1:6" x14ac:dyDescent="0.35">
      <c r="A8" s="97"/>
      <c r="B8" s="97"/>
      <c r="C8" s="97"/>
      <c r="D8" s="97"/>
      <c r="E8" s="97"/>
    </row>
    <row r="9" spans="1:6" ht="15" customHeight="1" x14ac:dyDescent="0.35">
      <c r="A9" s="262" t="s">
        <v>1</v>
      </c>
      <c r="B9" s="262"/>
      <c r="C9" s="9"/>
      <c r="D9" s="9"/>
      <c r="E9" s="9"/>
    </row>
    <row r="10" spans="1:6" ht="15" customHeight="1" x14ac:dyDescent="0.35">
      <c r="A10" s="262" t="s">
        <v>0</v>
      </c>
      <c r="B10" s="262"/>
      <c r="C10" s="9"/>
      <c r="D10" s="9"/>
      <c r="E10" s="9"/>
    </row>
    <row r="11" spans="1:6" ht="15" customHeight="1" x14ac:dyDescent="0.35">
      <c r="A11" s="9"/>
      <c r="B11" s="9" t="s">
        <v>126</v>
      </c>
      <c r="C11" s="9"/>
      <c r="D11" s="9"/>
      <c r="E11" s="9"/>
    </row>
    <row r="12" spans="1:6" ht="12.75" customHeight="1" x14ac:dyDescent="0.35">
      <c r="A12" s="9"/>
      <c r="B12" s="262" t="s">
        <v>75</v>
      </c>
      <c r="C12" s="265"/>
      <c r="D12" s="265"/>
      <c r="E12" s="9"/>
      <c r="F12" s="14"/>
    </row>
    <row r="13" spans="1:6" ht="15" customHeight="1" x14ac:dyDescent="0.35">
      <c r="A13" s="9" t="s">
        <v>2</v>
      </c>
      <c r="B13" s="9" t="str">
        <f>'1.2.'!B13</f>
        <v>2019.gadā un turpmāk</v>
      </c>
      <c r="C13" s="9"/>
      <c r="D13" s="9"/>
      <c r="E13" s="9"/>
    </row>
    <row r="14" spans="1:6" ht="66.75" customHeight="1" x14ac:dyDescent="0.25">
      <c r="A14" s="54" t="s">
        <v>3</v>
      </c>
      <c r="B14" s="54" t="s">
        <v>4</v>
      </c>
      <c r="C14" s="54" t="s">
        <v>42</v>
      </c>
      <c r="D14" s="54" t="s">
        <v>52</v>
      </c>
      <c r="E14" s="54" t="s">
        <v>44</v>
      </c>
      <c r="F14" s="54" t="s">
        <v>53</v>
      </c>
    </row>
    <row r="15" spans="1:6" ht="15" x14ac:dyDescent="0.25">
      <c r="A15" s="22">
        <v>1</v>
      </c>
      <c r="B15" s="23">
        <v>2</v>
      </c>
      <c r="C15" s="23">
        <v>3</v>
      </c>
      <c r="D15" s="23">
        <v>3</v>
      </c>
      <c r="E15" s="23">
        <v>4</v>
      </c>
      <c r="F15" s="23">
        <v>3</v>
      </c>
    </row>
    <row r="16" spans="1:6" ht="15" customHeight="1" x14ac:dyDescent="0.25">
      <c r="A16" s="24"/>
      <c r="B16" s="25" t="s">
        <v>68</v>
      </c>
      <c r="C16" s="26"/>
      <c r="D16" s="26"/>
      <c r="E16" s="26"/>
      <c r="F16" s="26"/>
    </row>
    <row r="17" spans="1:6" ht="15" customHeight="1" x14ac:dyDescent="0.25">
      <c r="A17" s="27">
        <v>1100</v>
      </c>
      <c r="B17" s="27" t="s">
        <v>63</v>
      </c>
      <c r="C17" s="28">
        <v>5789.22</v>
      </c>
      <c r="D17" s="28">
        <v>0</v>
      </c>
      <c r="E17" s="28">
        <v>3074.97</v>
      </c>
      <c r="F17" s="28">
        <v>1998.58</v>
      </c>
    </row>
    <row r="18" spans="1:6" ht="15.75" customHeight="1" x14ac:dyDescent="0.25">
      <c r="A18" s="27">
        <v>1200</v>
      </c>
      <c r="B18" s="29" t="s">
        <v>62</v>
      </c>
      <c r="C18" s="28">
        <v>1365.67</v>
      </c>
      <c r="D18" s="28">
        <v>0</v>
      </c>
      <c r="E18" s="28">
        <v>725.39</v>
      </c>
      <c r="F18" s="28">
        <v>481.46</v>
      </c>
    </row>
    <row r="19" spans="1:6" ht="15" customHeight="1" x14ac:dyDescent="0.25">
      <c r="A19" s="27">
        <v>2210</v>
      </c>
      <c r="B19" s="29" t="s">
        <v>27</v>
      </c>
      <c r="C19" s="28"/>
      <c r="D19" s="28"/>
      <c r="E19" s="28"/>
      <c r="F19" s="28">
        <v>15.17</v>
      </c>
    </row>
    <row r="20" spans="1:6" ht="15" customHeight="1" x14ac:dyDescent="0.25">
      <c r="A20" s="27">
        <v>2222</v>
      </c>
      <c r="B20" s="29" t="s">
        <v>28</v>
      </c>
      <c r="C20" s="28">
        <v>516.82000000000005</v>
      </c>
      <c r="D20" s="28">
        <v>0</v>
      </c>
      <c r="E20" s="28">
        <f>ROUND(C20/2,2)</f>
        <v>258.41000000000003</v>
      </c>
      <c r="F20" s="28">
        <v>78.62</v>
      </c>
    </row>
    <row r="21" spans="1:6" ht="15" customHeight="1" x14ac:dyDescent="0.25">
      <c r="A21" s="27">
        <v>2223</v>
      </c>
      <c r="B21" s="29" t="s">
        <v>29</v>
      </c>
      <c r="C21" s="28">
        <v>175.44</v>
      </c>
      <c r="D21" s="28">
        <v>0</v>
      </c>
      <c r="E21" s="28">
        <f>ROUND(C21/2,2)</f>
        <v>87.72</v>
      </c>
      <c r="F21" s="28">
        <v>124.78</v>
      </c>
    </row>
    <row r="22" spans="1:6" ht="15" customHeight="1" x14ac:dyDescent="0.25">
      <c r="A22" s="27">
        <v>2243</v>
      </c>
      <c r="B22" s="29" t="s">
        <v>9</v>
      </c>
      <c r="C22" s="28">
        <v>125.47</v>
      </c>
      <c r="D22" s="28">
        <v>0</v>
      </c>
      <c r="E22" s="28">
        <f>ROUND(C22/2,2)</f>
        <v>62.74</v>
      </c>
      <c r="F22" s="28">
        <v>11.37</v>
      </c>
    </row>
    <row r="23" spans="1:6" ht="15" customHeight="1" x14ac:dyDescent="0.25">
      <c r="A23" s="27">
        <v>2244</v>
      </c>
      <c r="B23" s="29" t="s">
        <v>10</v>
      </c>
      <c r="C23" s="28"/>
      <c r="D23" s="28"/>
      <c r="E23" s="28"/>
      <c r="F23" s="28">
        <v>85.2</v>
      </c>
    </row>
    <row r="24" spans="1:6" ht="15" customHeight="1" x14ac:dyDescent="0.25">
      <c r="A24" s="27">
        <v>2251</v>
      </c>
      <c r="B24" s="29" t="s">
        <v>6</v>
      </c>
      <c r="C24" s="28"/>
      <c r="D24" s="28"/>
      <c r="E24" s="28"/>
      <c r="F24" s="28">
        <v>41.7</v>
      </c>
    </row>
    <row r="25" spans="1:6" ht="15" hidden="1" customHeight="1" x14ac:dyDescent="0.25">
      <c r="A25" s="27">
        <v>2261</v>
      </c>
      <c r="B25" s="29" t="s">
        <v>11</v>
      </c>
      <c r="C25" s="28"/>
      <c r="D25" s="28"/>
      <c r="E25" s="28"/>
      <c r="F25" s="28"/>
    </row>
    <row r="26" spans="1:6" ht="15" customHeight="1" x14ac:dyDescent="0.25">
      <c r="A26" s="27">
        <v>2279</v>
      </c>
      <c r="B26" s="29" t="s">
        <v>14</v>
      </c>
      <c r="C26" s="28"/>
      <c r="D26" s="28"/>
      <c r="E26" s="28"/>
      <c r="F26" s="28">
        <v>17.690000000000001</v>
      </c>
    </row>
    <row r="27" spans="1:6" ht="15" customHeight="1" x14ac:dyDescent="0.25">
      <c r="A27" s="27">
        <v>2311</v>
      </c>
      <c r="B27" s="29" t="s">
        <v>72</v>
      </c>
      <c r="C27" s="28"/>
      <c r="D27" s="28"/>
      <c r="E27" s="28"/>
      <c r="F27" s="28">
        <v>21.48</v>
      </c>
    </row>
    <row r="28" spans="1:6" ht="15" customHeight="1" x14ac:dyDescent="0.25">
      <c r="A28" s="27">
        <v>2312</v>
      </c>
      <c r="B28" s="29" t="s">
        <v>16</v>
      </c>
      <c r="C28" s="28"/>
      <c r="D28" s="28"/>
      <c r="E28" s="28"/>
      <c r="F28" s="28">
        <v>8.85</v>
      </c>
    </row>
    <row r="29" spans="1:6" ht="15" customHeight="1" x14ac:dyDescent="0.25">
      <c r="A29" s="27">
        <v>2321</v>
      </c>
      <c r="B29" s="29" t="s">
        <v>17</v>
      </c>
      <c r="C29" s="28">
        <v>241.21</v>
      </c>
      <c r="D29" s="28">
        <v>0</v>
      </c>
      <c r="E29" s="28">
        <f>ROUND(C29/2,2)</f>
        <v>120.61</v>
      </c>
      <c r="F29" s="28">
        <v>128.08000000000001</v>
      </c>
    </row>
    <row r="30" spans="1:6" ht="15" customHeight="1" x14ac:dyDescent="0.25">
      <c r="A30" s="27">
        <v>2350</v>
      </c>
      <c r="B30" s="29" t="s">
        <v>19</v>
      </c>
      <c r="C30" s="28">
        <v>35.270000000000003</v>
      </c>
      <c r="D30" s="28">
        <v>0</v>
      </c>
      <c r="E30" s="28">
        <f>ROUND(C30/2,2)</f>
        <v>17.64</v>
      </c>
      <c r="F30" s="28">
        <v>18.96</v>
      </c>
    </row>
    <row r="31" spans="1:6" hidden="1" x14ac:dyDescent="0.25">
      <c r="A31" s="27">
        <v>2361</v>
      </c>
      <c r="B31" s="29" t="s">
        <v>20</v>
      </c>
      <c r="C31" s="28"/>
      <c r="D31" s="28"/>
      <c r="E31" s="28"/>
      <c r="F31" s="28"/>
    </row>
    <row r="32" spans="1:6" x14ac:dyDescent="0.25">
      <c r="A32" s="27">
        <v>2370</v>
      </c>
      <c r="B32" s="29" t="s">
        <v>69</v>
      </c>
      <c r="C32" s="28"/>
      <c r="D32" s="28"/>
      <c r="E32" s="28"/>
      <c r="F32" s="28">
        <v>136.94999999999999</v>
      </c>
    </row>
    <row r="33" spans="1:6" ht="15" customHeight="1" x14ac:dyDescent="0.25">
      <c r="A33" s="55">
        <v>2513</v>
      </c>
      <c r="B33" s="29" t="s">
        <v>22</v>
      </c>
      <c r="C33" s="28"/>
      <c r="D33" s="28"/>
      <c r="E33" s="28"/>
      <c r="F33" s="28"/>
    </row>
    <row r="34" spans="1:6" ht="15" customHeight="1" x14ac:dyDescent="0.25">
      <c r="A34" s="27">
        <v>5230</v>
      </c>
      <c r="B34" s="29" t="s">
        <v>57</v>
      </c>
      <c r="C34" s="28">
        <v>1.8</v>
      </c>
      <c r="D34" s="28">
        <v>0</v>
      </c>
      <c r="E34" s="28">
        <f>ROUND(C34/2,2)</f>
        <v>0.9</v>
      </c>
      <c r="F34" s="28">
        <v>40.06</v>
      </c>
    </row>
    <row r="35" spans="1:6" ht="15" customHeight="1" x14ac:dyDescent="0.25">
      <c r="A35" s="27"/>
      <c r="B35" s="30" t="s">
        <v>65</v>
      </c>
      <c r="C35" s="31">
        <f>SUM(C17:C34)</f>
        <v>8250.9</v>
      </c>
      <c r="D35" s="31">
        <f>SUM(D17:D34)</f>
        <v>0</v>
      </c>
      <c r="E35" s="31">
        <f>SUM(E17:E34)</f>
        <v>4348.3799999999992</v>
      </c>
      <c r="F35" s="31">
        <f>SUM(F17:F34)</f>
        <v>3208.9499999999994</v>
      </c>
    </row>
    <row r="36" spans="1:6" ht="15" customHeight="1" x14ac:dyDescent="0.25">
      <c r="A36" s="32"/>
      <c r="B36" s="27" t="s">
        <v>64</v>
      </c>
      <c r="C36" s="26"/>
      <c r="D36" s="26"/>
      <c r="E36" s="26"/>
      <c r="F36" s="26"/>
    </row>
    <row r="37" spans="1:6" ht="15" customHeight="1" x14ac:dyDescent="0.25">
      <c r="A37" s="27">
        <v>1100</v>
      </c>
      <c r="B37" s="27" t="s">
        <v>63</v>
      </c>
      <c r="C37" s="28">
        <v>4429</v>
      </c>
      <c r="D37" s="28">
        <v>0</v>
      </c>
      <c r="E37" s="28">
        <f t="shared" ref="E37:E60" si="0">ROUND(C37/2,2)</f>
        <v>2214.5</v>
      </c>
      <c r="F37" s="28">
        <v>690.72</v>
      </c>
    </row>
    <row r="38" spans="1:6" ht="15.75" customHeight="1" x14ac:dyDescent="0.25">
      <c r="A38" s="27">
        <v>1200</v>
      </c>
      <c r="B38" s="29" t="s">
        <v>62</v>
      </c>
      <c r="C38" s="28">
        <v>1044.8</v>
      </c>
      <c r="D38" s="28">
        <v>0</v>
      </c>
      <c r="E38" s="28">
        <f t="shared" si="0"/>
        <v>522.4</v>
      </c>
      <c r="F38" s="28">
        <v>166.39</v>
      </c>
    </row>
    <row r="39" spans="1:6" ht="15" customHeight="1" x14ac:dyDescent="0.25">
      <c r="A39" s="33">
        <v>2210</v>
      </c>
      <c r="B39" s="29" t="s">
        <v>27</v>
      </c>
      <c r="C39" s="28">
        <v>93.67</v>
      </c>
      <c r="D39" s="28">
        <v>0</v>
      </c>
      <c r="E39" s="28">
        <f t="shared" si="0"/>
        <v>46.84</v>
      </c>
      <c r="F39" s="28">
        <v>6.76</v>
      </c>
    </row>
    <row r="40" spans="1:6" ht="15" customHeight="1" x14ac:dyDescent="0.25">
      <c r="A40" s="27">
        <v>2230</v>
      </c>
      <c r="B40" s="29" t="s">
        <v>30</v>
      </c>
      <c r="C40" s="28">
        <v>72.349999999999994</v>
      </c>
      <c r="D40" s="28">
        <v>0</v>
      </c>
      <c r="E40" s="28">
        <f t="shared" si="0"/>
        <v>36.18</v>
      </c>
      <c r="F40" s="28">
        <v>4.55</v>
      </c>
    </row>
    <row r="41" spans="1:6" x14ac:dyDescent="0.25">
      <c r="A41" s="27">
        <v>2241</v>
      </c>
      <c r="B41" s="29" t="s">
        <v>7</v>
      </c>
      <c r="C41" s="28">
        <v>0.1</v>
      </c>
      <c r="D41" s="28">
        <v>0</v>
      </c>
      <c r="E41" s="28">
        <f t="shared" si="0"/>
        <v>0.05</v>
      </c>
      <c r="F41" s="28">
        <v>0.86</v>
      </c>
    </row>
    <row r="42" spans="1:6" ht="15" customHeight="1" x14ac:dyDescent="0.25">
      <c r="A42" s="27">
        <v>2242</v>
      </c>
      <c r="B42" s="29" t="s">
        <v>8</v>
      </c>
      <c r="C42" s="28">
        <v>21.56</v>
      </c>
      <c r="D42" s="28">
        <v>0</v>
      </c>
      <c r="E42" s="28">
        <f t="shared" si="0"/>
        <v>10.78</v>
      </c>
      <c r="F42" s="28">
        <v>3.13</v>
      </c>
    </row>
    <row r="43" spans="1:6" ht="15" customHeight="1" x14ac:dyDescent="0.25">
      <c r="A43" s="27">
        <v>2243</v>
      </c>
      <c r="B43" s="29" t="s">
        <v>9</v>
      </c>
      <c r="C43" s="28">
        <v>68.84</v>
      </c>
      <c r="D43" s="28">
        <v>0</v>
      </c>
      <c r="E43" s="28">
        <f t="shared" si="0"/>
        <v>34.42</v>
      </c>
      <c r="F43" s="28">
        <v>3.63</v>
      </c>
    </row>
    <row r="44" spans="1:6" ht="15" customHeight="1" x14ac:dyDescent="0.25">
      <c r="A44" s="27">
        <v>2247</v>
      </c>
      <c r="B44" s="25" t="s">
        <v>59</v>
      </c>
      <c r="C44" s="28">
        <v>5.71</v>
      </c>
      <c r="D44" s="28">
        <v>0</v>
      </c>
      <c r="E44" s="28">
        <f t="shared" si="0"/>
        <v>2.86</v>
      </c>
      <c r="F44" s="28">
        <v>0.93</v>
      </c>
    </row>
    <row r="45" spans="1:6" ht="15" customHeight="1" x14ac:dyDescent="0.25">
      <c r="A45" s="27">
        <v>2251</v>
      </c>
      <c r="B45" s="29" t="s">
        <v>60</v>
      </c>
      <c r="C45" s="28">
        <v>145.52000000000001</v>
      </c>
      <c r="D45" s="28">
        <v>0</v>
      </c>
      <c r="E45" s="28">
        <f t="shared" si="0"/>
        <v>72.760000000000005</v>
      </c>
      <c r="F45" s="28">
        <v>13.8</v>
      </c>
    </row>
    <row r="46" spans="1:6" ht="15" customHeight="1" x14ac:dyDescent="0.25">
      <c r="A46" s="27">
        <v>2259</v>
      </c>
      <c r="B46" s="29" t="s">
        <v>61</v>
      </c>
      <c r="C46" s="28">
        <v>0.48</v>
      </c>
      <c r="D46" s="28">
        <v>0</v>
      </c>
      <c r="E46" s="28">
        <f t="shared" si="0"/>
        <v>0.24</v>
      </c>
      <c r="F46" s="28">
        <v>7.0000000000000007E-2</v>
      </c>
    </row>
    <row r="47" spans="1:6" ht="15" customHeight="1" x14ac:dyDescent="0.25">
      <c r="A47" s="27">
        <v>2262</v>
      </c>
      <c r="B47" s="29" t="s">
        <v>12</v>
      </c>
      <c r="C47" s="28">
        <v>63.08</v>
      </c>
      <c r="D47" s="28">
        <v>0</v>
      </c>
      <c r="E47" s="28">
        <f t="shared" si="0"/>
        <v>31.54</v>
      </c>
      <c r="F47" s="28">
        <v>7.61</v>
      </c>
    </row>
    <row r="48" spans="1:6" x14ac:dyDescent="0.25">
      <c r="A48" s="27">
        <v>2264</v>
      </c>
      <c r="B48" s="29" t="s">
        <v>13</v>
      </c>
      <c r="C48" s="28">
        <v>1.18</v>
      </c>
      <c r="D48" s="28">
        <v>0</v>
      </c>
      <c r="E48" s="28">
        <f t="shared" si="0"/>
        <v>0.59</v>
      </c>
      <c r="F48" s="28">
        <v>0.14000000000000001</v>
      </c>
    </row>
    <row r="49" spans="1:6" x14ac:dyDescent="0.25">
      <c r="A49" s="27">
        <v>2279</v>
      </c>
      <c r="B49" s="29" t="s">
        <v>14</v>
      </c>
      <c r="C49" s="28">
        <v>259.89</v>
      </c>
      <c r="D49" s="28">
        <v>0</v>
      </c>
      <c r="E49" s="28">
        <f t="shared" si="0"/>
        <v>129.94999999999999</v>
      </c>
      <c r="F49" s="28">
        <v>2.56</v>
      </c>
    </row>
    <row r="50" spans="1:6" ht="15.75" customHeight="1" x14ac:dyDescent="0.25">
      <c r="A50" s="27">
        <v>2311</v>
      </c>
      <c r="B50" s="29" t="s">
        <v>15</v>
      </c>
      <c r="C50" s="28">
        <v>24.47</v>
      </c>
      <c r="D50" s="28">
        <v>0</v>
      </c>
      <c r="E50" s="28">
        <f t="shared" si="0"/>
        <v>12.24</v>
      </c>
      <c r="F50" s="28">
        <v>3.3</v>
      </c>
    </row>
    <row r="51" spans="1:6" x14ac:dyDescent="0.25">
      <c r="A51" s="27">
        <v>2312</v>
      </c>
      <c r="B51" s="29" t="s">
        <v>16</v>
      </c>
      <c r="C51" s="28">
        <v>45.22</v>
      </c>
      <c r="D51" s="28">
        <v>0</v>
      </c>
      <c r="E51" s="28">
        <f t="shared" si="0"/>
        <v>22.61</v>
      </c>
      <c r="F51" s="28">
        <v>1.61</v>
      </c>
    </row>
    <row r="52" spans="1:6" x14ac:dyDescent="0.25">
      <c r="A52" s="27">
        <v>2322</v>
      </c>
      <c r="B52" s="29" t="s">
        <v>18</v>
      </c>
      <c r="C52" s="28">
        <v>170.03</v>
      </c>
      <c r="D52" s="28">
        <v>0</v>
      </c>
      <c r="E52" s="28">
        <f t="shared" si="0"/>
        <v>85.02</v>
      </c>
      <c r="F52" s="28">
        <v>0</v>
      </c>
    </row>
    <row r="53" spans="1:6" x14ac:dyDescent="0.25">
      <c r="A53" s="27">
        <v>2350</v>
      </c>
      <c r="B53" s="29" t="s">
        <v>19</v>
      </c>
      <c r="C53" s="28">
        <v>193.6</v>
      </c>
      <c r="D53" s="28">
        <v>0</v>
      </c>
      <c r="E53" s="28">
        <f t="shared" si="0"/>
        <v>96.8</v>
      </c>
      <c r="F53" s="28">
        <v>13.63</v>
      </c>
    </row>
    <row r="54" spans="1:6" ht="15" customHeight="1" x14ac:dyDescent="0.25">
      <c r="A54" s="27">
        <v>2361</v>
      </c>
      <c r="B54" s="29" t="s">
        <v>20</v>
      </c>
      <c r="C54" s="28">
        <v>93.78</v>
      </c>
      <c r="D54" s="28">
        <v>0</v>
      </c>
      <c r="E54" s="28">
        <f t="shared" si="0"/>
        <v>46.89</v>
      </c>
      <c r="F54" s="28">
        <v>5.84</v>
      </c>
    </row>
    <row r="55" spans="1:6" ht="15" customHeight="1" x14ac:dyDescent="0.25">
      <c r="A55" s="27">
        <v>2400</v>
      </c>
      <c r="B55" s="29" t="s">
        <v>31</v>
      </c>
      <c r="C55" s="28">
        <v>10.07</v>
      </c>
      <c r="D55" s="28">
        <v>0</v>
      </c>
      <c r="E55" s="28">
        <f t="shared" si="0"/>
        <v>5.04</v>
      </c>
      <c r="F55" s="28">
        <v>1.07</v>
      </c>
    </row>
    <row r="56" spans="1:6" ht="15" customHeight="1" x14ac:dyDescent="0.25">
      <c r="A56" s="27">
        <v>2515</v>
      </c>
      <c r="B56" s="29" t="s">
        <v>58</v>
      </c>
      <c r="C56" s="28">
        <v>6.97</v>
      </c>
      <c r="D56" s="28">
        <v>0</v>
      </c>
      <c r="E56" s="28">
        <f t="shared" si="0"/>
        <v>3.49</v>
      </c>
      <c r="F56" s="28">
        <v>26.61</v>
      </c>
    </row>
    <row r="57" spans="1:6" ht="15" customHeight="1" x14ac:dyDescent="0.25">
      <c r="A57" s="27">
        <v>2519</v>
      </c>
      <c r="B57" s="29" t="s">
        <v>24</v>
      </c>
      <c r="C57" s="28">
        <v>36.72</v>
      </c>
      <c r="D57" s="28">
        <v>0</v>
      </c>
      <c r="E57" s="28">
        <f t="shared" si="0"/>
        <v>18.36</v>
      </c>
      <c r="F57" s="28">
        <v>6.55</v>
      </c>
    </row>
    <row r="58" spans="1:6" ht="15" customHeight="1" x14ac:dyDescent="0.25">
      <c r="A58" s="27">
        <v>5232</v>
      </c>
      <c r="B58" s="29" t="s">
        <v>23</v>
      </c>
      <c r="C58" s="28"/>
      <c r="D58" s="28"/>
      <c r="E58" s="28"/>
      <c r="F58" s="28">
        <v>46.46</v>
      </c>
    </row>
    <row r="59" spans="1:6" ht="15" customHeight="1" x14ac:dyDescent="0.25">
      <c r="A59" s="27">
        <v>5240</v>
      </c>
      <c r="B59" s="29" t="s">
        <v>25</v>
      </c>
      <c r="C59" s="28">
        <v>2.0699999999999998</v>
      </c>
      <c r="D59" s="28">
        <v>0</v>
      </c>
      <c r="E59" s="28">
        <f t="shared" si="0"/>
        <v>1.04</v>
      </c>
      <c r="F59" s="28">
        <v>9.32</v>
      </c>
    </row>
    <row r="60" spans="1:6" ht="15" customHeight="1" x14ac:dyDescent="0.25">
      <c r="A60" s="27">
        <v>5250</v>
      </c>
      <c r="B60" s="29" t="s">
        <v>26</v>
      </c>
      <c r="C60" s="45">
        <v>5975.84</v>
      </c>
      <c r="D60" s="28">
        <v>0</v>
      </c>
      <c r="E60" s="28">
        <f t="shared" si="0"/>
        <v>2987.92</v>
      </c>
      <c r="F60" s="28">
        <v>37.21</v>
      </c>
    </row>
    <row r="61" spans="1:6" x14ac:dyDescent="0.25">
      <c r="A61" s="32"/>
      <c r="B61" s="34" t="s">
        <v>66</v>
      </c>
      <c r="C61" s="31">
        <f>SUM(C37:C60)</f>
        <v>12764.950000000003</v>
      </c>
      <c r="D61" s="31">
        <f>SUM(D37:D60)</f>
        <v>0</v>
      </c>
      <c r="E61" s="31">
        <f>SUM(E37:E60)</f>
        <v>6382.52</v>
      </c>
      <c r="F61" s="31">
        <f>SUM(F37:F60)</f>
        <v>1052.75</v>
      </c>
    </row>
    <row r="62" spans="1:6" ht="15" customHeight="1" x14ac:dyDescent="0.25">
      <c r="A62" s="32"/>
      <c r="B62" s="34" t="s">
        <v>32</v>
      </c>
      <c r="C62" s="31" t="e">
        <f>#REF!+C28</f>
        <v>#REF!</v>
      </c>
      <c r="D62" s="31" t="e">
        <f>#REF!+D28</f>
        <v>#REF!</v>
      </c>
      <c r="E62" s="31" t="e">
        <f>#REF!+E28</f>
        <v>#REF!</v>
      </c>
      <c r="F62" s="31">
        <f>F35+F61</f>
        <v>4261.6999999999989</v>
      </c>
    </row>
    <row r="63" spans="1:6" ht="12.75" customHeight="1" x14ac:dyDescent="0.35">
      <c r="A63" s="35"/>
      <c r="B63" s="20"/>
      <c r="C63" s="6"/>
      <c r="D63" s="20"/>
      <c r="E63" s="20"/>
      <c r="F63" s="90"/>
    </row>
    <row r="64" spans="1:6" x14ac:dyDescent="0.25">
      <c r="A64" s="262" t="s">
        <v>45</v>
      </c>
      <c r="B64" s="262"/>
      <c r="C64" s="10">
        <v>2943</v>
      </c>
      <c r="D64" s="21">
        <v>0</v>
      </c>
      <c r="E64" s="21">
        <v>1472</v>
      </c>
      <c r="F64" s="107">
        <v>5</v>
      </c>
    </row>
    <row r="65" spans="1:6" ht="15.75" customHeight="1" x14ac:dyDescent="0.3">
      <c r="A65" s="262" t="s">
        <v>46</v>
      </c>
      <c r="B65" s="262"/>
      <c r="C65" s="36" t="e">
        <f>C62/C64</f>
        <v>#REF!</v>
      </c>
      <c r="D65" s="48">
        <v>0</v>
      </c>
      <c r="E65" s="37" t="e">
        <f>E62/E64</f>
        <v>#REF!</v>
      </c>
      <c r="F65" s="108">
        <f>F62/F64</f>
        <v>852.3399999999998</v>
      </c>
    </row>
    <row r="66" spans="1:6" ht="12.75" customHeight="1" x14ac:dyDescent="0.3">
      <c r="A66" s="9"/>
      <c r="B66" s="9"/>
      <c r="C66" s="36"/>
      <c r="D66" s="49"/>
      <c r="E66" s="36"/>
      <c r="F66" s="36"/>
    </row>
    <row r="67" spans="1:6" s="2" customFormat="1" x14ac:dyDescent="0.35">
      <c r="A67" s="267" t="s">
        <v>37</v>
      </c>
      <c r="B67" s="268"/>
      <c r="C67" s="39"/>
      <c r="D67" s="39"/>
      <c r="E67" s="39"/>
      <c r="F67" s="39"/>
    </row>
    <row r="68" spans="1:6" s="2" customFormat="1" x14ac:dyDescent="0.35">
      <c r="A68" s="267" t="s">
        <v>54</v>
      </c>
      <c r="B68" s="268"/>
      <c r="C68" s="16"/>
      <c r="D68" s="40"/>
      <c r="E68" s="39"/>
      <c r="F68" s="39"/>
    </row>
    <row r="69" spans="1:6" s="2" customFormat="1" ht="15.75" customHeight="1" x14ac:dyDescent="0.35">
      <c r="A69" s="17"/>
      <c r="B69" s="17"/>
      <c r="C69" s="17"/>
      <c r="D69" s="17"/>
      <c r="E69" s="17"/>
      <c r="F69" s="65"/>
    </row>
    <row r="70" spans="1:6" s="2" customFormat="1" x14ac:dyDescent="0.35">
      <c r="A70" s="17" t="s">
        <v>38</v>
      </c>
      <c r="B70" s="17"/>
      <c r="C70" s="17"/>
      <c r="D70" s="17"/>
      <c r="E70" s="17"/>
      <c r="F70" s="17"/>
    </row>
    <row r="71" spans="1:6" s="2" customFormat="1" ht="12.75" customHeight="1" x14ac:dyDescent="0.35">
      <c r="A71" s="17"/>
      <c r="B71" s="17"/>
      <c r="C71" s="17"/>
      <c r="D71" s="17"/>
      <c r="E71" s="17"/>
      <c r="F71" s="17"/>
    </row>
    <row r="72" spans="1:6" s="2" customFormat="1" x14ac:dyDescent="0.35">
      <c r="A72" s="17" t="s">
        <v>47</v>
      </c>
      <c r="B72" s="18"/>
      <c r="C72" s="18"/>
      <c r="D72" s="18"/>
      <c r="E72" s="18"/>
      <c r="F72" s="18"/>
    </row>
    <row r="73" spans="1:6" s="2" customFormat="1" ht="13.9" customHeight="1" x14ac:dyDescent="0.35">
      <c r="A73" s="17"/>
      <c r="B73" s="96"/>
      <c r="C73" s="19"/>
      <c r="D73" s="19"/>
      <c r="E73" s="17"/>
      <c r="F73" s="17"/>
    </row>
    <row r="74" spans="1:6" s="2" customFormat="1" ht="13.9" customHeight="1" x14ac:dyDescent="0.35">
      <c r="A74" s="17"/>
      <c r="B74" s="19"/>
      <c r="C74" s="17"/>
      <c r="D74" s="17"/>
      <c r="E74" s="17"/>
      <c r="F74" s="17"/>
    </row>
    <row r="75" spans="1:6" s="1" customFormat="1" x14ac:dyDescent="0.35">
      <c r="A75" s="6"/>
      <c r="B75" s="6"/>
      <c r="C75" s="100"/>
      <c r="D75" s="6"/>
      <c r="E75" s="6"/>
      <c r="F75" s="6"/>
    </row>
  </sheetData>
  <mergeCells count="11">
    <mergeCell ref="A64:B64"/>
    <mergeCell ref="A65:B65"/>
    <mergeCell ref="A67:B67"/>
    <mergeCell ref="A68:B68"/>
    <mergeCell ref="B12:D12"/>
    <mergeCell ref="B3:F3"/>
    <mergeCell ref="B1:F1"/>
    <mergeCell ref="B2:F2"/>
    <mergeCell ref="A9:B9"/>
    <mergeCell ref="A10:B10"/>
    <mergeCell ref="A7:F7"/>
  </mergeCells>
  <pageMargins left="0.94488188976377963" right="0.55118110236220474" top="0.62992125984251968" bottom="0.55118110236220474" header="0.31496062992125984" footer="0.31496062992125984"/>
  <pageSetup paperSize="9" scale="62" firstPageNumber="4" fitToHeight="0" orientation="portrait" useFirstPageNumber="1" r:id="rId1"/>
  <headerFooter>
    <oddFooter xml:space="preserve">&amp;C&amp;"Times New Roman,Regular"LManotp1_120118_Mk1002; Grozījumi Sociālās integrācijas valsts aģentūras sniegto maksas pakalpojumu cenrādis"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9"/>
  <sheetViews>
    <sheetView view="pageLayout" topLeftCell="A76" zoomScale="90" zoomScaleNormal="100" zoomScalePageLayoutView="90" workbookViewId="0">
      <selection activeCell="A76" sqref="A76"/>
    </sheetView>
  </sheetViews>
  <sheetFormatPr defaultColWidth="9.1796875" defaultRowHeight="15.5" x14ac:dyDescent="0.35"/>
  <cols>
    <col min="1" max="1" width="12.26953125" style="6" customWidth="1"/>
    <col min="2" max="2" width="94.81640625" style="6" customWidth="1"/>
    <col min="3" max="3" width="12.81640625" style="6" hidden="1" customWidth="1"/>
    <col min="4" max="4" width="25.81640625" style="6" hidden="1" customWidth="1"/>
    <col min="5" max="5" width="23.26953125" style="6" hidden="1" customWidth="1"/>
    <col min="6" max="6" width="32" style="6" customWidth="1"/>
    <col min="7" max="16384" width="9.1796875" style="3"/>
  </cols>
  <sheetData>
    <row r="1" spans="1:6" ht="15.75" customHeight="1" x14ac:dyDescent="0.35">
      <c r="A1" s="12"/>
      <c r="B1" s="258" t="s">
        <v>35</v>
      </c>
      <c r="C1" s="258"/>
      <c r="D1" s="258"/>
      <c r="E1" s="258"/>
      <c r="F1" s="259"/>
    </row>
    <row r="2" spans="1:6" x14ac:dyDescent="0.35">
      <c r="A2" s="12"/>
      <c r="B2" s="260" t="s">
        <v>39</v>
      </c>
      <c r="C2" s="260"/>
      <c r="D2" s="260"/>
      <c r="E2" s="260"/>
      <c r="F2" s="261"/>
    </row>
    <row r="3" spans="1:6" x14ac:dyDescent="0.35">
      <c r="A3" s="12"/>
      <c r="B3" s="257" t="s">
        <v>135</v>
      </c>
      <c r="C3" s="264"/>
      <c r="D3" s="264"/>
      <c r="E3" s="264"/>
      <c r="F3" s="264"/>
    </row>
    <row r="4" spans="1:6" x14ac:dyDescent="0.35">
      <c r="A4" s="12"/>
      <c r="B4" s="11"/>
      <c r="C4" s="11"/>
      <c r="D4" s="11"/>
      <c r="E4" s="13"/>
      <c r="F4" s="96"/>
    </row>
    <row r="5" spans="1:6" x14ac:dyDescent="0.35">
      <c r="A5" s="12"/>
      <c r="B5" s="15"/>
      <c r="C5" s="15"/>
      <c r="D5" s="15"/>
      <c r="E5" s="12"/>
      <c r="F5" s="11" t="str">
        <f>'1.1.'!C5</f>
        <v xml:space="preserve">2020.gada 07.aprīlī </v>
      </c>
    </row>
    <row r="6" spans="1:6" x14ac:dyDescent="0.35">
      <c r="A6" s="12"/>
      <c r="B6" s="11"/>
      <c r="C6" s="11"/>
      <c r="D6" s="11"/>
      <c r="E6" s="11"/>
      <c r="F6" s="11"/>
    </row>
    <row r="7" spans="1:6" ht="15" x14ac:dyDescent="0.3">
      <c r="A7" s="263" t="s">
        <v>5</v>
      </c>
      <c r="B7" s="263"/>
      <c r="C7" s="263"/>
      <c r="D7" s="263"/>
      <c r="E7" s="263"/>
      <c r="F7" s="263"/>
    </row>
    <row r="8" spans="1:6" x14ac:dyDescent="0.35">
      <c r="A8" s="97"/>
      <c r="B8" s="97"/>
      <c r="C8" s="97"/>
      <c r="D8" s="97"/>
      <c r="E8" s="97"/>
    </row>
    <row r="9" spans="1:6" ht="15" customHeight="1" x14ac:dyDescent="0.35">
      <c r="A9" s="262" t="s">
        <v>1</v>
      </c>
      <c r="B9" s="262"/>
      <c r="C9" s="9"/>
      <c r="D9" s="9"/>
      <c r="E9" s="9"/>
    </row>
    <row r="10" spans="1:6" ht="15" customHeight="1" x14ac:dyDescent="0.35">
      <c r="A10" s="262" t="s">
        <v>0</v>
      </c>
      <c r="B10" s="262"/>
      <c r="C10" s="9"/>
      <c r="D10" s="9"/>
      <c r="E10" s="9"/>
    </row>
    <row r="11" spans="1:6" ht="15" customHeight="1" x14ac:dyDescent="0.25">
      <c r="A11" s="9"/>
      <c r="B11" s="262" t="str">
        <f>'1.5.'!B11</f>
        <v>1. Profesionālās pilnveides izglītības programmas un profesionālās tālākizglītības programmas</v>
      </c>
      <c r="C11" s="262"/>
      <c r="D11" s="262"/>
      <c r="E11" s="262"/>
      <c r="F11" s="262"/>
    </row>
    <row r="12" spans="1:6" ht="15" customHeight="1" x14ac:dyDescent="0.35">
      <c r="A12" s="9"/>
      <c r="B12" s="262" t="s">
        <v>132</v>
      </c>
      <c r="C12" s="265"/>
      <c r="D12" s="265"/>
      <c r="E12" s="9"/>
      <c r="F12" s="14"/>
    </row>
    <row r="13" spans="1:6" ht="15" customHeight="1" x14ac:dyDescent="0.35">
      <c r="A13" s="9" t="s">
        <v>2</v>
      </c>
      <c r="B13" s="9" t="str">
        <f>'1.1.'!B13</f>
        <v>2019.gadā un turpmāk</v>
      </c>
      <c r="C13" s="9"/>
      <c r="D13" s="9"/>
      <c r="E13" s="9"/>
    </row>
    <row r="14" spans="1:6" ht="67.5" customHeight="1" x14ac:dyDescent="0.25">
      <c r="A14" s="54" t="s">
        <v>3</v>
      </c>
      <c r="B14" s="54" t="s">
        <v>4</v>
      </c>
      <c r="C14" s="54" t="s">
        <v>42</v>
      </c>
      <c r="D14" s="54" t="s">
        <v>52</v>
      </c>
      <c r="E14" s="54" t="s">
        <v>44</v>
      </c>
      <c r="F14" s="54" t="s">
        <v>53</v>
      </c>
    </row>
    <row r="15" spans="1:6" ht="14.25" customHeight="1" x14ac:dyDescent="0.25">
      <c r="A15" s="22">
        <v>1</v>
      </c>
      <c r="B15" s="23">
        <v>2</v>
      </c>
      <c r="C15" s="23">
        <v>3</v>
      </c>
      <c r="D15" s="23">
        <v>3</v>
      </c>
      <c r="E15" s="23">
        <v>4</v>
      </c>
      <c r="F15" s="23">
        <v>3</v>
      </c>
    </row>
    <row r="16" spans="1:6" ht="15" customHeight="1" x14ac:dyDescent="0.25">
      <c r="A16" s="24"/>
      <c r="B16" s="25" t="s">
        <v>68</v>
      </c>
      <c r="C16" s="26"/>
      <c r="D16" s="26"/>
      <c r="E16" s="26"/>
      <c r="F16" s="26"/>
    </row>
    <row r="17" spans="1:6" ht="15" customHeight="1" x14ac:dyDescent="0.25">
      <c r="A17" s="27">
        <v>1100</v>
      </c>
      <c r="B17" s="27" t="s">
        <v>63</v>
      </c>
      <c r="C17" s="28">
        <v>5789.22</v>
      </c>
      <c r="D17" s="28">
        <v>0</v>
      </c>
      <c r="E17" s="28">
        <v>3074.97</v>
      </c>
      <c r="F17" s="28">
        <f>711.61*5</f>
        <v>3558.05</v>
      </c>
    </row>
    <row r="18" spans="1:6" ht="15.75" customHeight="1" x14ac:dyDescent="0.25">
      <c r="A18" s="27">
        <v>1200</v>
      </c>
      <c r="B18" s="29" t="s">
        <v>62</v>
      </c>
      <c r="C18" s="28">
        <v>1365.67</v>
      </c>
      <c r="D18" s="28">
        <v>0</v>
      </c>
      <c r="E18" s="28">
        <v>725.39</v>
      </c>
      <c r="F18" s="28">
        <f>171.43*5</f>
        <v>857.15000000000009</v>
      </c>
    </row>
    <row r="19" spans="1:6" ht="15" hidden="1" customHeight="1" x14ac:dyDescent="0.25">
      <c r="A19" s="27">
        <v>2210</v>
      </c>
      <c r="B19" s="29" t="s">
        <v>27</v>
      </c>
      <c r="C19" s="28"/>
      <c r="D19" s="28"/>
      <c r="E19" s="28"/>
      <c r="F19" s="28"/>
    </row>
    <row r="20" spans="1:6" ht="15" customHeight="1" x14ac:dyDescent="0.25">
      <c r="A20" s="27">
        <v>2222</v>
      </c>
      <c r="B20" s="29" t="s">
        <v>28</v>
      </c>
      <c r="C20" s="28">
        <v>516.82000000000005</v>
      </c>
      <c r="D20" s="28">
        <v>0</v>
      </c>
      <c r="E20" s="28">
        <f>ROUND(C20/2,2)</f>
        <v>258.41000000000003</v>
      </c>
      <c r="F20" s="28">
        <f>5.55*5</f>
        <v>27.75</v>
      </c>
    </row>
    <row r="21" spans="1:6" ht="15" customHeight="1" x14ac:dyDescent="0.25">
      <c r="A21" s="27">
        <v>2223</v>
      </c>
      <c r="B21" s="29" t="s">
        <v>29</v>
      </c>
      <c r="C21" s="28">
        <v>175.44</v>
      </c>
      <c r="D21" s="28">
        <v>0</v>
      </c>
      <c r="E21" s="28">
        <f>ROUND(C21/2,2)</f>
        <v>87.72</v>
      </c>
      <c r="F21" s="28">
        <f>25.56*5</f>
        <v>127.8</v>
      </c>
    </row>
    <row r="22" spans="1:6" ht="15" customHeight="1" x14ac:dyDescent="0.25">
      <c r="A22" s="27">
        <v>2243</v>
      </c>
      <c r="B22" s="29" t="s">
        <v>9</v>
      </c>
      <c r="C22" s="28">
        <v>125.47</v>
      </c>
      <c r="D22" s="28">
        <v>0</v>
      </c>
      <c r="E22" s="28">
        <f>ROUND(C22/2,2)</f>
        <v>62.74</v>
      </c>
      <c r="F22" s="28">
        <f>76.28*5</f>
        <v>381.4</v>
      </c>
    </row>
    <row r="23" spans="1:6" ht="15" customHeight="1" x14ac:dyDescent="0.25">
      <c r="A23" s="27">
        <v>2244</v>
      </c>
      <c r="B23" s="29" t="s">
        <v>10</v>
      </c>
      <c r="C23" s="28"/>
      <c r="D23" s="28"/>
      <c r="E23" s="28"/>
      <c r="F23" s="28">
        <f>52.71*5</f>
        <v>263.55</v>
      </c>
    </row>
    <row r="24" spans="1:6" ht="15" hidden="1" customHeight="1" x14ac:dyDescent="0.25">
      <c r="A24" s="27">
        <v>2251</v>
      </c>
      <c r="B24" s="29" t="s">
        <v>60</v>
      </c>
      <c r="C24" s="28"/>
      <c r="D24" s="28"/>
      <c r="E24" s="28"/>
      <c r="F24" s="28"/>
    </row>
    <row r="25" spans="1:6" ht="15" hidden="1" customHeight="1" x14ac:dyDescent="0.25">
      <c r="A25" s="27">
        <v>2261</v>
      </c>
      <c r="B25" s="29" t="s">
        <v>11</v>
      </c>
      <c r="C25" s="28"/>
      <c r="D25" s="28"/>
      <c r="E25" s="28"/>
      <c r="F25" s="28"/>
    </row>
    <row r="26" spans="1:6" ht="15" hidden="1" customHeight="1" x14ac:dyDescent="0.25">
      <c r="A26" s="27">
        <v>2279</v>
      </c>
      <c r="B26" s="29" t="s">
        <v>14</v>
      </c>
      <c r="C26" s="28"/>
      <c r="D26" s="28"/>
      <c r="E26" s="28"/>
      <c r="F26" s="28"/>
    </row>
    <row r="27" spans="1:6" ht="15" customHeight="1" x14ac:dyDescent="0.25">
      <c r="A27" s="27">
        <v>2311</v>
      </c>
      <c r="B27" s="29" t="s">
        <v>72</v>
      </c>
      <c r="C27" s="28"/>
      <c r="D27" s="28"/>
      <c r="E27" s="28"/>
      <c r="F27" s="28">
        <f>7.8*5</f>
        <v>39</v>
      </c>
    </row>
    <row r="28" spans="1:6" ht="15" customHeight="1" x14ac:dyDescent="0.25">
      <c r="A28" s="27">
        <v>2312</v>
      </c>
      <c r="B28" s="29" t="s">
        <v>16</v>
      </c>
      <c r="C28" s="28"/>
      <c r="D28" s="28"/>
      <c r="E28" s="28"/>
      <c r="F28" s="28">
        <f>46.26*5</f>
        <v>231.29999999999998</v>
      </c>
    </row>
    <row r="29" spans="1:6" ht="15" customHeight="1" x14ac:dyDescent="0.25">
      <c r="A29" s="27">
        <v>2321</v>
      </c>
      <c r="B29" s="29" t="s">
        <v>17</v>
      </c>
      <c r="C29" s="28">
        <v>241.21</v>
      </c>
      <c r="D29" s="28">
        <v>0</v>
      </c>
      <c r="E29" s="28">
        <f>ROUND(C29/2,2)</f>
        <v>120.61</v>
      </c>
      <c r="F29" s="28">
        <f>28.65*5</f>
        <v>143.25</v>
      </c>
    </row>
    <row r="30" spans="1:6" ht="15" customHeight="1" x14ac:dyDescent="0.25">
      <c r="A30" s="27">
        <v>2350</v>
      </c>
      <c r="B30" s="29" t="s">
        <v>19</v>
      </c>
      <c r="C30" s="28">
        <v>35.270000000000003</v>
      </c>
      <c r="D30" s="28">
        <v>0</v>
      </c>
      <c r="E30" s="28">
        <f>ROUND(C30/2,2)</f>
        <v>17.64</v>
      </c>
      <c r="F30" s="28">
        <f>50.85*5</f>
        <v>254.25</v>
      </c>
    </row>
    <row r="31" spans="1:6" hidden="1" x14ac:dyDescent="0.25">
      <c r="A31" s="27">
        <v>2361</v>
      </c>
      <c r="B31" s="29" t="s">
        <v>20</v>
      </c>
      <c r="C31" s="28"/>
      <c r="D31" s="28"/>
      <c r="E31" s="28"/>
      <c r="F31" s="28">
        <v>0</v>
      </c>
    </row>
    <row r="32" spans="1:6" x14ac:dyDescent="0.25">
      <c r="A32" s="27">
        <v>2370</v>
      </c>
      <c r="B32" s="29" t="s">
        <v>69</v>
      </c>
      <c r="C32" s="28"/>
      <c r="D32" s="28"/>
      <c r="E32" s="28"/>
      <c r="F32" s="28">
        <f>31.21*5</f>
        <v>156.05000000000001</v>
      </c>
    </row>
    <row r="33" spans="1:8" ht="15" hidden="1" customHeight="1" x14ac:dyDescent="0.25">
      <c r="A33" s="55">
        <v>2513</v>
      </c>
      <c r="B33" s="29" t="s">
        <v>22</v>
      </c>
      <c r="C33" s="28"/>
      <c r="D33" s="28"/>
      <c r="E33" s="28"/>
      <c r="F33" s="28"/>
    </row>
    <row r="34" spans="1:8" ht="15" customHeight="1" x14ac:dyDescent="0.25">
      <c r="A34" s="27">
        <v>5230</v>
      </c>
      <c r="B34" s="29" t="s">
        <v>57</v>
      </c>
      <c r="C34" s="28">
        <v>1.8</v>
      </c>
      <c r="D34" s="28">
        <v>0</v>
      </c>
      <c r="E34" s="28">
        <f>ROUND(C34/2,2)</f>
        <v>0.9</v>
      </c>
      <c r="F34" s="28">
        <f>127.13*5</f>
        <v>635.65</v>
      </c>
    </row>
    <row r="35" spans="1:8" ht="15" customHeight="1" x14ac:dyDescent="0.25">
      <c r="A35" s="27"/>
      <c r="B35" s="30" t="s">
        <v>65</v>
      </c>
      <c r="C35" s="31">
        <f>SUM(C17:C34)</f>
        <v>8250.9</v>
      </c>
      <c r="D35" s="31">
        <f>SUM(D17:D34)</f>
        <v>0</v>
      </c>
      <c r="E35" s="31">
        <f>SUM(E17:E34)</f>
        <v>4348.3799999999992</v>
      </c>
      <c r="F35" s="31">
        <f>SUM(F17:F34)</f>
        <v>6675.2000000000007</v>
      </c>
      <c r="G35" s="110"/>
      <c r="H35" s="110"/>
    </row>
    <row r="36" spans="1:8" ht="15" customHeight="1" x14ac:dyDescent="0.25">
      <c r="A36" s="32"/>
      <c r="B36" s="27" t="s">
        <v>64</v>
      </c>
      <c r="C36" s="26"/>
      <c r="D36" s="26"/>
      <c r="E36" s="26"/>
      <c r="F36" s="26"/>
    </row>
    <row r="37" spans="1:8" ht="15" customHeight="1" x14ac:dyDescent="0.25">
      <c r="A37" s="27">
        <v>1100</v>
      </c>
      <c r="B37" s="27" t="s">
        <v>63</v>
      </c>
      <c r="C37" s="28">
        <v>4429</v>
      </c>
      <c r="D37" s="28">
        <v>0</v>
      </c>
      <c r="E37" s="28">
        <f t="shared" ref="E37:E55" si="0">ROUND(C37/2,2)</f>
        <v>2214.5</v>
      </c>
      <c r="F37" s="28">
        <f>236.92*5</f>
        <v>1184.5999999999999</v>
      </c>
    </row>
    <row r="38" spans="1:8" ht="15" customHeight="1" x14ac:dyDescent="0.25">
      <c r="A38" s="27">
        <v>1200</v>
      </c>
      <c r="B38" s="29" t="s">
        <v>62</v>
      </c>
      <c r="C38" s="28">
        <v>1044.8</v>
      </c>
      <c r="D38" s="28">
        <v>0</v>
      </c>
      <c r="E38" s="28">
        <f t="shared" si="0"/>
        <v>522.4</v>
      </c>
      <c r="F38" s="28">
        <f>57.07*5</f>
        <v>285.35000000000002</v>
      </c>
    </row>
    <row r="39" spans="1:8" ht="15" customHeight="1" x14ac:dyDescent="0.25">
      <c r="A39" s="33">
        <v>2210</v>
      </c>
      <c r="B39" s="29" t="s">
        <v>27</v>
      </c>
      <c r="C39" s="28">
        <v>93.67</v>
      </c>
      <c r="D39" s="28">
        <v>0</v>
      </c>
      <c r="E39" s="28">
        <f t="shared" si="0"/>
        <v>46.84</v>
      </c>
      <c r="F39" s="28">
        <f>7.93*5</f>
        <v>39.65</v>
      </c>
    </row>
    <row r="40" spans="1:8" ht="15" customHeight="1" x14ac:dyDescent="0.25">
      <c r="A40" s="27">
        <v>2230</v>
      </c>
      <c r="B40" s="29" t="s">
        <v>30</v>
      </c>
      <c r="C40" s="28">
        <v>72.349999999999994</v>
      </c>
      <c r="D40" s="28">
        <v>0</v>
      </c>
      <c r="E40" s="28">
        <f t="shared" si="0"/>
        <v>36.18</v>
      </c>
      <c r="F40" s="28">
        <f>10.25*5</f>
        <v>51.25</v>
      </c>
    </row>
    <row r="41" spans="1:8" ht="15" customHeight="1" x14ac:dyDescent="0.25">
      <c r="A41" s="27">
        <v>2241</v>
      </c>
      <c r="B41" s="29" t="s">
        <v>7</v>
      </c>
      <c r="C41" s="28">
        <v>0.1</v>
      </c>
      <c r="D41" s="28">
        <v>0</v>
      </c>
      <c r="E41" s="28">
        <f t="shared" si="0"/>
        <v>0.05</v>
      </c>
      <c r="F41" s="28">
        <f>1.85*5</f>
        <v>9.25</v>
      </c>
    </row>
    <row r="42" spans="1:8" ht="15" customHeight="1" x14ac:dyDescent="0.25">
      <c r="A42" s="27">
        <v>2242</v>
      </c>
      <c r="B42" s="29" t="s">
        <v>8</v>
      </c>
      <c r="C42" s="28">
        <v>21.56</v>
      </c>
      <c r="D42" s="28">
        <v>0</v>
      </c>
      <c r="E42" s="28">
        <f t="shared" si="0"/>
        <v>10.78</v>
      </c>
      <c r="F42" s="28">
        <f>7.07*5</f>
        <v>35.35</v>
      </c>
    </row>
    <row r="43" spans="1:8" ht="15" customHeight="1" x14ac:dyDescent="0.25">
      <c r="A43" s="27">
        <v>2243</v>
      </c>
      <c r="B43" s="29" t="s">
        <v>9</v>
      </c>
      <c r="C43" s="28">
        <v>68.84</v>
      </c>
      <c r="D43" s="28">
        <v>0</v>
      </c>
      <c r="E43" s="28">
        <f t="shared" si="0"/>
        <v>34.42</v>
      </c>
      <c r="F43" s="28">
        <f>6.94*5</f>
        <v>34.700000000000003</v>
      </c>
    </row>
    <row r="44" spans="1:8" x14ac:dyDescent="0.25">
      <c r="A44" s="27">
        <v>2244</v>
      </c>
      <c r="B44" s="29" t="s">
        <v>10</v>
      </c>
      <c r="C44" s="28"/>
      <c r="D44" s="28"/>
      <c r="E44" s="28"/>
      <c r="F44" s="28">
        <f>27.83*5</f>
        <v>139.14999999999998</v>
      </c>
    </row>
    <row r="45" spans="1:8" x14ac:dyDescent="0.25">
      <c r="A45" s="27">
        <v>2247</v>
      </c>
      <c r="B45" s="25" t="s">
        <v>59</v>
      </c>
      <c r="C45" s="28">
        <v>5.71</v>
      </c>
      <c r="D45" s="28">
        <v>0</v>
      </c>
      <c r="E45" s="28">
        <f t="shared" si="0"/>
        <v>2.86</v>
      </c>
      <c r="F45" s="28">
        <f>2.04*5</f>
        <v>10.199999999999999</v>
      </c>
    </row>
    <row r="46" spans="1:8" ht="15" customHeight="1" x14ac:dyDescent="0.25">
      <c r="A46" s="27">
        <v>2251</v>
      </c>
      <c r="B46" s="29" t="s">
        <v>60</v>
      </c>
      <c r="C46" s="28">
        <v>145.52000000000001</v>
      </c>
      <c r="D46" s="28">
        <v>0</v>
      </c>
      <c r="E46" s="28">
        <f t="shared" si="0"/>
        <v>72.760000000000005</v>
      </c>
      <c r="F46" s="28">
        <f>10.25*5</f>
        <v>51.25</v>
      </c>
    </row>
    <row r="47" spans="1:8" ht="15" customHeight="1" x14ac:dyDescent="0.25">
      <c r="A47" s="27">
        <v>2259</v>
      </c>
      <c r="B47" s="29" t="s">
        <v>61</v>
      </c>
      <c r="C47" s="28">
        <v>0.48</v>
      </c>
      <c r="D47" s="28">
        <v>0</v>
      </c>
      <c r="E47" s="28">
        <f t="shared" si="0"/>
        <v>0.24</v>
      </c>
      <c r="F47" s="28">
        <f>0.13*5</f>
        <v>0.65</v>
      </c>
    </row>
    <row r="48" spans="1:8" ht="15" customHeight="1" x14ac:dyDescent="0.25">
      <c r="A48" s="27">
        <v>2261</v>
      </c>
      <c r="B48" s="29" t="s">
        <v>11</v>
      </c>
      <c r="C48" s="28"/>
      <c r="D48" s="28"/>
      <c r="E48" s="28"/>
      <c r="F48" s="28">
        <f>5.09*5</f>
        <v>25.45</v>
      </c>
    </row>
    <row r="49" spans="1:6" ht="15" customHeight="1" x14ac:dyDescent="0.25">
      <c r="A49" s="27">
        <v>2262</v>
      </c>
      <c r="B49" s="29" t="s">
        <v>12</v>
      </c>
      <c r="C49" s="28">
        <v>63.08</v>
      </c>
      <c r="D49" s="28">
        <v>0</v>
      </c>
      <c r="E49" s="28">
        <f t="shared" si="0"/>
        <v>31.54</v>
      </c>
      <c r="F49" s="28">
        <f>10.78*5</f>
        <v>53.9</v>
      </c>
    </row>
    <row r="50" spans="1:6" ht="15.75" customHeight="1" x14ac:dyDescent="0.25">
      <c r="A50" s="27">
        <v>2264</v>
      </c>
      <c r="B50" s="29" t="s">
        <v>13</v>
      </c>
      <c r="C50" s="28">
        <v>1.18</v>
      </c>
      <c r="D50" s="28">
        <v>0</v>
      </c>
      <c r="E50" s="28">
        <f t="shared" si="0"/>
        <v>0.59</v>
      </c>
      <c r="F50" s="28">
        <f>0.13*5</f>
        <v>0.65</v>
      </c>
    </row>
    <row r="51" spans="1:6" x14ac:dyDescent="0.25">
      <c r="A51" s="27">
        <v>2279</v>
      </c>
      <c r="B51" s="29" t="s">
        <v>14</v>
      </c>
      <c r="C51" s="28">
        <v>259.89</v>
      </c>
      <c r="D51" s="28">
        <v>0</v>
      </c>
      <c r="E51" s="28">
        <f t="shared" si="0"/>
        <v>129.94999999999999</v>
      </c>
      <c r="F51" s="28">
        <f>3.66*5</f>
        <v>18.3</v>
      </c>
    </row>
    <row r="52" spans="1:6" x14ac:dyDescent="0.25">
      <c r="A52" s="27">
        <v>2311</v>
      </c>
      <c r="B52" s="29" t="s">
        <v>15</v>
      </c>
      <c r="C52" s="28">
        <v>24.47</v>
      </c>
      <c r="D52" s="28">
        <v>0</v>
      </c>
      <c r="E52" s="28">
        <f t="shared" si="0"/>
        <v>12.24</v>
      </c>
      <c r="F52" s="28">
        <f>5.03*5</f>
        <v>25.150000000000002</v>
      </c>
    </row>
    <row r="53" spans="1:6" x14ac:dyDescent="0.25">
      <c r="A53" s="27">
        <v>2312</v>
      </c>
      <c r="B53" s="29" t="s">
        <v>16</v>
      </c>
      <c r="C53" s="28">
        <v>45.22</v>
      </c>
      <c r="D53" s="28">
        <v>0</v>
      </c>
      <c r="E53" s="28">
        <f t="shared" si="0"/>
        <v>22.61</v>
      </c>
      <c r="F53" s="28">
        <f>5.13*5</f>
        <v>25.65</v>
      </c>
    </row>
    <row r="54" spans="1:6" x14ac:dyDescent="0.25">
      <c r="A54" s="27">
        <v>2322</v>
      </c>
      <c r="B54" s="29" t="s">
        <v>18</v>
      </c>
      <c r="C54" s="28">
        <v>170.03</v>
      </c>
      <c r="D54" s="28">
        <v>0</v>
      </c>
      <c r="E54" s="28">
        <f t="shared" si="0"/>
        <v>85.02</v>
      </c>
      <c r="F54" s="28">
        <f>14.21*5</f>
        <v>71.050000000000011</v>
      </c>
    </row>
    <row r="55" spans="1:6" ht="15" customHeight="1" x14ac:dyDescent="0.25">
      <c r="A55" s="27">
        <v>2350</v>
      </c>
      <c r="B55" s="29" t="s">
        <v>19</v>
      </c>
      <c r="C55" s="28">
        <v>193.6</v>
      </c>
      <c r="D55" s="28">
        <v>0</v>
      </c>
      <c r="E55" s="28">
        <f t="shared" si="0"/>
        <v>96.8</v>
      </c>
      <c r="F55" s="28">
        <f>18.61*5</f>
        <v>93.05</v>
      </c>
    </row>
    <row r="56" spans="1:6" x14ac:dyDescent="0.25">
      <c r="A56" s="27">
        <v>2361</v>
      </c>
      <c r="B56" s="29" t="s">
        <v>20</v>
      </c>
      <c r="C56" s="28"/>
      <c r="D56" s="28"/>
      <c r="E56" s="28"/>
      <c r="F56" s="28">
        <f>8.42*5</f>
        <v>42.1</v>
      </c>
    </row>
    <row r="57" spans="1:6" ht="15" customHeight="1" x14ac:dyDescent="0.25">
      <c r="A57" s="27">
        <v>2370</v>
      </c>
      <c r="B57" s="29" t="s">
        <v>69</v>
      </c>
      <c r="C57" s="28"/>
      <c r="D57" s="28"/>
      <c r="E57" s="28"/>
      <c r="F57" s="28">
        <f>6.44*5</f>
        <v>32.200000000000003</v>
      </c>
    </row>
    <row r="58" spans="1:6" x14ac:dyDescent="0.25">
      <c r="A58" s="27">
        <v>2400</v>
      </c>
      <c r="B58" s="29" t="s">
        <v>31</v>
      </c>
      <c r="C58" s="28"/>
      <c r="D58" s="28"/>
      <c r="E58" s="28"/>
      <c r="F58" s="28">
        <f>2.42*5</f>
        <v>12.1</v>
      </c>
    </row>
    <row r="59" spans="1:6" x14ac:dyDescent="0.25">
      <c r="A59" s="27">
        <v>2513</v>
      </c>
      <c r="B59" s="29" t="s">
        <v>22</v>
      </c>
      <c r="C59" s="28"/>
      <c r="D59" s="28"/>
      <c r="E59" s="28"/>
      <c r="F59" s="28">
        <f>5.83*5</f>
        <v>29.15</v>
      </c>
    </row>
    <row r="60" spans="1:6" x14ac:dyDescent="0.25">
      <c r="A60" s="27">
        <v>2515</v>
      </c>
      <c r="B60" s="29" t="s">
        <v>58</v>
      </c>
      <c r="C60" s="28"/>
      <c r="D60" s="28"/>
      <c r="E60" s="28"/>
      <c r="F60" s="28">
        <f>6.56*5</f>
        <v>32.799999999999997</v>
      </c>
    </row>
    <row r="61" spans="1:6" x14ac:dyDescent="0.25">
      <c r="A61" s="27">
        <v>2519</v>
      </c>
      <c r="B61" s="29" t="s">
        <v>24</v>
      </c>
      <c r="C61" s="28"/>
      <c r="D61" s="28"/>
      <c r="E61" s="28"/>
      <c r="F61" s="28">
        <f>14.52*5</f>
        <v>72.599999999999994</v>
      </c>
    </row>
    <row r="62" spans="1:6" x14ac:dyDescent="0.25">
      <c r="A62" s="27">
        <v>5232</v>
      </c>
      <c r="B62" s="29" t="s">
        <v>23</v>
      </c>
      <c r="C62" s="28"/>
      <c r="D62" s="28"/>
      <c r="E62" s="28"/>
      <c r="F62" s="28">
        <f>55.5*5</f>
        <v>277.5</v>
      </c>
    </row>
    <row r="63" spans="1:6" hidden="1" x14ac:dyDescent="0.25">
      <c r="A63" s="27">
        <v>5240</v>
      </c>
      <c r="B63" s="29" t="s">
        <v>25</v>
      </c>
      <c r="C63" s="28"/>
      <c r="D63" s="28"/>
      <c r="E63" s="28"/>
      <c r="F63" s="28"/>
    </row>
    <row r="64" spans="1:6" ht="15" customHeight="1" x14ac:dyDescent="0.25">
      <c r="A64" s="27">
        <v>5250</v>
      </c>
      <c r="B64" s="29" t="s">
        <v>26</v>
      </c>
      <c r="C64" s="28"/>
      <c r="D64" s="28"/>
      <c r="E64" s="28"/>
      <c r="F64" s="28">
        <f>23.12*5</f>
        <v>115.60000000000001</v>
      </c>
    </row>
    <row r="65" spans="1:7" ht="15" customHeight="1" x14ac:dyDescent="0.25">
      <c r="A65" s="32"/>
      <c r="B65" s="34" t="s">
        <v>66</v>
      </c>
      <c r="C65" s="31">
        <f>SUM(C37:C55)</f>
        <v>6639.5000000000027</v>
      </c>
      <c r="D65" s="31">
        <f>SUM(D37:D55)</f>
        <v>0</v>
      </c>
      <c r="E65" s="31">
        <f>SUM(E37:E55)</f>
        <v>3319.7800000000007</v>
      </c>
      <c r="F65" s="31">
        <f>SUM(F37:F64)</f>
        <v>2768.65</v>
      </c>
    </row>
    <row r="66" spans="1:7" x14ac:dyDescent="0.25">
      <c r="A66" s="32"/>
      <c r="B66" s="34" t="s">
        <v>32</v>
      </c>
      <c r="C66" s="31" t="e">
        <f>#REF!+C28</f>
        <v>#REF!</v>
      </c>
      <c r="D66" s="31" t="e">
        <f>#REF!+D28</f>
        <v>#REF!</v>
      </c>
      <c r="E66" s="31" t="e">
        <f>#REF!+E28</f>
        <v>#REF!</v>
      </c>
      <c r="F66" s="31">
        <f>F35+F65</f>
        <v>9443.85</v>
      </c>
      <c r="G66" s="87"/>
    </row>
    <row r="67" spans="1:7" x14ac:dyDescent="0.35">
      <c r="A67" s="35"/>
      <c r="B67" s="20"/>
    </row>
    <row r="68" spans="1:7" x14ac:dyDescent="0.25">
      <c r="A68" s="262" t="s">
        <v>45</v>
      </c>
      <c r="B68" s="262"/>
      <c r="C68" s="10">
        <v>2172</v>
      </c>
      <c r="D68" s="21">
        <v>0</v>
      </c>
      <c r="E68" s="21">
        <v>1086</v>
      </c>
      <c r="F68" s="107">
        <v>5</v>
      </c>
    </row>
    <row r="69" spans="1:7" x14ac:dyDescent="0.3">
      <c r="A69" s="262" t="s">
        <v>46</v>
      </c>
      <c r="B69" s="262"/>
      <c r="C69" s="36" t="e">
        <f>C66/C68</f>
        <v>#REF!</v>
      </c>
      <c r="D69" s="37">
        <v>0</v>
      </c>
      <c r="E69" s="37" t="e">
        <f>E66/E68</f>
        <v>#REF!</v>
      </c>
      <c r="F69" s="108">
        <f>F66/F68</f>
        <v>1888.77</v>
      </c>
    </row>
    <row r="70" spans="1:7" x14ac:dyDescent="0.3">
      <c r="A70" s="9"/>
      <c r="B70" s="9"/>
      <c r="C70" s="36"/>
      <c r="D70" s="36"/>
      <c r="E70" s="36"/>
      <c r="F70" s="36"/>
    </row>
    <row r="71" spans="1:7" s="2" customFormat="1" x14ac:dyDescent="0.35">
      <c r="A71" s="267" t="s">
        <v>37</v>
      </c>
      <c r="B71" s="268"/>
      <c r="C71" s="39"/>
      <c r="D71" s="39"/>
      <c r="E71" s="39"/>
      <c r="F71" s="39"/>
    </row>
    <row r="72" spans="1:7" s="2" customFormat="1" x14ac:dyDescent="0.35">
      <c r="A72" s="267" t="s">
        <v>54</v>
      </c>
      <c r="B72" s="268"/>
      <c r="C72" s="16"/>
      <c r="D72" s="40"/>
      <c r="E72" s="39"/>
      <c r="F72" s="39"/>
    </row>
    <row r="73" spans="1:7" s="2" customFormat="1" x14ac:dyDescent="0.35">
      <c r="A73" s="17"/>
      <c r="B73" s="17"/>
      <c r="C73" s="17"/>
      <c r="D73" s="17"/>
      <c r="E73" s="17"/>
      <c r="F73" s="65"/>
    </row>
    <row r="74" spans="1:7" s="2" customFormat="1" x14ac:dyDescent="0.35">
      <c r="A74" s="17" t="s">
        <v>38</v>
      </c>
      <c r="B74" s="17"/>
      <c r="C74" s="17"/>
      <c r="D74" s="17"/>
      <c r="E74" s="17"/>
      <c r="F74" s="17"/>
    </row>
    <row r="75" spans="1:7" s="2" customFormat="1" x14ac:dyDescent="0.35">
      <c r="A75" s="17"/>
      <c r="B75" s="17"/>
      <c r="C75" s="17"/>
      <c r="D75" s="17"/>
      <c r="E75" s="17"/>
      <c r="F75" s="17"/>
    </row>
    <row r="76" spans="1:7" s="2" customFormat="1" x14ac:dyDescent="0.35">
      <c r="A76" s="17" t="s">
        <v>47</v>
      </c>
      <c r="B76" s="18"/>
      <c r="C76" s="18"/>
      <c r="D76" s="18"/>
      <c r="E76" s="18"/>
      <c r="F76" s="18"/>
    </row>
    <row r="77" spans="1:7" s="2" customFormat="1" ht="13.9" customHeight="1" x14ac:dyDescent="0.35">
      <c r="A77" s="17"/>
      <c r="B77" s="96"/>
      <c r="C77" s="19"/>
      <c r="D77" s="19"/>
      <c r="E77" s="17"/>
      <c r="F77" s="17"/>
    </row>
    <row r="78" spans="1:7" s="2" customFormat="1" ht="13.9" customHeight="1" x14ac:dyDescent="0.35">
      <c r="A78" s="17"/>
      <c r="B78" s="19"/>
      <c r="C78" s="17"/>
      <c r="D78" s="17"/>
      <c r="E78" s="17"/>
      <c r="F78" s="17"/>
    </row>
    <row r="79" spans="1:7" s="1" customFormat="1" x14ac:dyDescent="0.35">
      <c r="A79" s="6"/>
      <c r="B79" s="6"/>
      <c r="C79" s="100"/>
      <c r="D79" s="6"/>
      <c r="E79" s="6"/>
      <c r="F79" s="6"/>
    </row>
  </sheetData>
  <mergeCells count="12">
    <mergeCell ref="A72:B72"/>
    <mergeCell ref="B1:F1"/>
    <mergeCell ref="B2:F2"/>
    <mergeCell ref="B3:F3"/>
    <mergeCell ref="A7:F7"/>
    <mergeCell ref="A9:B9"/>
    <mergeCell ref="B11:F11"/>
    <mergeCell ref="A10:B10"/>
    <mergeCell ref="B12:D12"/>
    <mergeCell ref="A68:B68"/>
    <mergeCell ref="A69:B69"/>
    <mergeCell ref="A71:B71"/>
  </mergeCells>
  <pageMargins left="0.7" right="0.7" top="0.75" bottom="0.75" header="0.3" footer="0.3"/>
  <pageSetup paperSize="9" scale="64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view="pageLayout" zoomScale="90" zoomScaleNormal="90" zoomScalePageLayoutView="90" workbookViewId="0">
      <selection sqref="A1:IV65536"/>
    </sheetView>
  </sheetViews>
  <sheetFormatPr defaultRowHeight="15.5" x14ac:dyDescent="0.35"/>
  <cols>
    <col min="1" max="1" width="12.26953125" style="6" customWidth="1"/>
    <col min="2" max="2" width="97.7265625" style="6" customWidth="1"/>
    <col min="3" max="3" width="4.54296875" style="100" hidden="1" customWidth="1"/>
    <col min="4" max="4" width="25.81640625" style="6" hidden="1" customWidth="1"/>
    <col min="5" max="5" width="22.1796875" style="6" hidden="1" customWidth="1"/>
    <col min="6" max="6" width="32.54296875" style="6" customWidth="1"/>
  </cols>
  <sheetData>
    <row r="1" spans="1:6" ht="15.75" customHeight="1" x14ac:dyDescent="0.35">
      <c r="A1" s="12"/>
      <c r="B1" s="258" t="s">
        <v>35</v>
      </c>
      <c r="C1" s="258"/>
      <c r="D1" s="258"/>
      <c r="E1" s="258"/>
      <c r="F1" s="259"/>
    </row>
    <row r="2" spans="1:6" x14ac:dyDescent="0.35">
      <c r="A2" s="12"/>
      <c r="B2" s="260" t="s">
        <v>39</v>
      </c>
      <c r="C2" s="260"/>
      <c r="D2" s="260"/>
      <c r="E2" s="260"/>
      <c r="F2" s="261"/>
    </row>
    <row r="3" spans="1:6" x14ac:dyDescent="0.35">
      <c r="A3" s="12"/>
      <c r="B3" s="257" t="s">
        <v>135</v>
      </c>
      <c r="C3" s="264"/>
      <c r="D3" s="264"/>
      <c r="E3" s="264"/>
      <c r="F3" s="264"/>
    </row>
    <row r="4" spans="1:6" x14ac:dyDescent="0.35">
      <c r="A4" s="12"/>
      <c r="B4" s="11"/>
      <c r="C4" s="11"/>
      <c r="D4" s="11"/>
      <c r="E4" s="13"/>
      <c r="F4" s="96"/>
    </row>
    <row r="5" spans="1:6" x14ac:dyDescent="0.35">
      <c r="A5" s="12"/>
      <c r="B5" s="15"/>
      <c r="C5" s="15"/>
      <c r="D5" s="15"/>
      <c r="E5" s="12"/>
      <c r="F5" s="11" t="str">
        <f>'1.2.'!F5</f>
        <v>2019. gada  15.martā</v>
      </c>
    </row>
    <row r="6" spans="1:6" x14ac:dyDescent="0.35">
      <c r="A6" s="12"/>
      <c r="B6" s="11"/>
      <c r="C6" s="11"/>
      <c r="D6" s="11"/>
      <c r="E6" s="11"/>
      <c r="F6" s="11"/>
    </row>
    <row r="7" spans="1:6" ht="15" x14ac:dyDescent="0.3">
      <c r="A7" s="263" t="s">
        <v>5</v>
      </c>
      <c r="B7" s="263"/>
      <c r="C7" s="263"/>
      <c r="D7" s="263"/>
      <c r="E7" s="263"/>
      <c r="F7" s="263"/>
    </row>
    <row r="8" spans="1:6" x14ac:dyDescent="0.35">
      <c r="A8" s="97"/>
      <c r="B8" s="97"/>
      <c r="C8" s="97"/>
      <c r="D8" s="97"/>
      <c r="E8" s="97"/>
    </row>
    <row r="9" spans="1:6" ht="15" customHeight="1" x14ac:dyDescent="0.35">
      <c r="A9" s="262" t="s">
        <v>1</v>
      </c>
      <c r="B9" s="262"/>
      <c r="C9" s="9"/>
      <c r="D9" s="9"/>
      <c r="E9" s="9"/>
    </row>
    <row r="10" spans="1:6" ht="15" customHeight="1" x14ac:dyDescent="0.35">
      <c r="A10" s="262" t="s">
        <v>0</v>
      </c>
      <c r="B10" s="262"/>
      <c r="C10" s="9"/>
      <c r="D10" s="9"/>
      <c r="E10" s="9"/>
    </row>
    <row r="11" spans="1:6" ht="15" customHeight="1" x14ac:dyDescent="0.35">
      <c r="A11" s="9"/>
      <c r="B11" s="9" t="s">
        <v>126</v>
      </c>
      <c r="C11" s="9"/>
      <c r="D11" s="9"/>
      <c r="E11" s="9"/>
    </row>
    <row r="12" spans="1:6" ht="15" customHeight="1" x14ac:dyDescent="0.35">
      <c r="A12" s="9"/>
      <c r="B12" s="262" t="s">
        <v>76</v>
      </c>
      <c r="C12" s="265"/>
      <c r="D12" s="265"/>
      <c r="E12" s="9"/>
      <c r="F12" s="14"/>
    </row>
    <row r="13" spans="1:6" ht="15" customHeight="1" x14ac:dyDescent="0.35">
      <c r="A13" s="9" t="s">
        <v>2</v>
      </c>
      <c r="B13" s="9" t="str">
        <f>'1.2.'!B13</f>
        <v>2019.gadā un turpmāk</v>
      </c>
      <c r="C13" s="9"/>
      <c r="D13" s="9"/>
      <c r="E13" s="9"/>
    </row>
    <row r="14" spans="1:6" s="5" customFormat="1" ht="70.5" customHeight="1" x14ac:dyDescent="0.25">
      <c r="A14" s="54" t="s">
        <v>3</v>
      </c>
      <c r="B14" s="54" t="s">
        <v>4</v>
      </c>
      <c r="C14" s="54" t="s">
        <v>42</v>
      </c>
      <c r="D14" s="54" t="s">
        <v>52</v>
      </c>
      <c r="E14" s="54" t="s">
        <v>44</v>
      </c>
      <c r="F14" s="54" t="s">
        <v>53</v>
      </c>
    </row>
    <row r="15" spans="1:6" ht="15" x14ac:dyDescent="0.25">
      <c r="A15" s="22">
        <v>1</v>
      </c>
      <c r="B15" s="23">
        <v>2</v>
      </c>
      <c r="C15" s="23">
        <v>3</v>
      </c>
      <c r="D15" s="23">
        <v>3</v>
      </c>
      <c r="E15" s="23">
        <v>4</v>
      </c>
      <c r="F15" s="23">
        <v>3</v>
      </c>
    </row>
    <row r="16" spans="1:6" x14ac:dyDescent="0.25">
      <c r="A16" s="24"/>
      <c r="B16" s="25" t="s">
        <v>68</v>
      </c>
      <c r="C16" s="26"/>
      <c r="D16" s="26"/>
      <c r="E16" s="26"/>
      <c r="F16" s="26"/>
    </row>
    <row r="17" spans="1:6" x14ac:dyDescent="0.25">
      <c r="A17" s="27">
        <v>1100</v>
      </c>
      <c r="B17" s="27" t="s">
        <v>63</v>
      </c>
      <c r="C17" s="28">
        <v>5789.22</v>
      </c>
      <c r="D17" s="28">
        <v>0</v>
      </c>
      <c r="E17" s="28">
        <v>3074.97</v>
      </c>
      <c r="F17" s="28">
        <f>[1]JPV_kursi!$H$10</f>
        <v>4054.7139689578717</v>
      </c>
    </row>
    <row r="18" spans="1:6" ht="15.75" customHeight="1" x14ac:dyDescent="0.25">
      <c r="A18" s="27">
        <v>1200</v>
      </c>
      <c r="B18" s="29" t="s">
        <v>62</v>
      </c>
      <c r="C18" s="28">
        <v>1365.67</v>
      </c>
      <c r="D18" s="28">
        <v>0</v>
      </c>
      <c r="E18" s="28">
        <v>725.39</v>
      </c>
      <c r="F18" s="28">
        <f>F17*0.2409</f>
        <v>976.78059512195125</v>
      </c>
    </row>
    <row r="19" spans="1:6" ht="14.25" hidden="1" customHeight="1" x14ac:dyDescent="0.25">
      <c r="A19" s="27">
        <v>2210</v>
      </c>
      <c r="B19" s="29" t="s">
        <v>27</v>
      </c>
      <c r="C19" s="28"/>
      <c r="D19" s="28"/>
      <c r="E19" s="28"/>
      <c r="F19" s="28">
        <v>0</v>
      </c>
    </row>
    <row r="20" spans="1:6" x14ac:dyDescent="0.25">
      <c r="A20" s="27">
        <v>2222</v>
      </c>
      <c r="B20" s="29" t="s">
        <v>28</v>
      </c>
      <c r="C20" s="28">
        <v>516.82000000000005</v>
      </c>
      <c r="D20" s="28">
        <v>0</v>
      </c>
      <c r="E20" s="28">
        <f>ROUND(C20/2,2)</f>
        <v>258.41000000000003</v>
      </c>
      <c r="F20" s="28">
        <f>[1]JPV_kursi!$H$41</f>
        <v>57.629114436625059</v>
      </c>
    </row>
    <row r="21" spans="1:6" x14ac:dyDescent="0.25">
      <c r="A21" s="27">
        <v>2223</v>
      </c>
      <c r="B21" s="29" t="s">
        <v>29</v>
      </c>
      <c r="C21" s="28">
        <v>175.44</v>
      </c>
      <c r="D21" s="28">
        <v>0</v>
      </c>
      <c r="E21" s="28">
        <f>ROUND(C21/2,2)</f>
        <v>87.72</v>
      </c>
      <c r="F21" s="28">
        <f>[1]JPV_kursi!$H$39</f>
        <v>88.460328588818527</v>
      </c>
    </row>
    <row r="22" spans="1:6" ht="15" customHeight="1" x14ac:dyDescent="0.25">
      <c r="A22" s="27">
        <v>2243</v>
      </c>
      <c r="B22" s="29" t="s">
        <v>9</v>
      </c>
      <c r="C22" s="28">
        <v>125.47</v>
      </c>
      <c r="D22" s="28">
        <v>0</v>
      </c>
      <c r="E22" s="28">
        <f>ROUND(C22/2,2)</f>
        <v>62.74</v>
      </c>
      <c r="F22" s="28">
        <v>106.08</v>
      </c>
    </row>
    <row r="23" spans="1:6" x14ac:dyDescent="0.25">
      <c r="A23" s="27">
        <v>2244</v>
      </c>
      <c r="B23" s="29" t="s">
        <v>10</v>
      </c>
      <c r="C23" s="28"/>
      <c r="D23" s="28"/>
      <c r="E23" s="28"/>
      <c r="F23" s="28">
        <f>[1]JPV_kursi!$H$40</f>
        <v>182.4591140483457</v>
      </c>
    </row>
    <row r="24" spans="1:6" hidden="1" x14ac:dyDescent="0.25">
      <c r="A24" s="27">
        <v>2251</v>
      </c>
      <c r="B24" s="29" t="s">
        <v>60</v>
      </c>
      <c r="C24" s="28"/>
      <c r="D24" s="28"/>
      <c r="E24" s="28"/>
      <c r="F24" s="109">
        <v>0</v>
      </c>
    </row>
    <row r="25" spans="1:6" ht="16.5" hidden="1" customHeight="1" x14ac:dyDescent="0.25">
      <c r="A25" s="27">
        <v>2261</v>
      </c>
      <c r="B25" s="29" t="s">
        <v>11</v>
      </c>
      <c r="C25" s="28"/>
      <c r="D25" s="28"/>
      <c r="E25" s="28"/>
      <c r="F25" s="109"/>
    </row>
    <row r="26" spans="1:6" hidden="1" x14ac:dyDescent="0.25">
      <c r="A26" s="27">
        <v>2279</v>
      </c>
      <c r="B26" s="29" t="s">
        <v>14</v>
      </c>
      <c r="C26" s="28"/>
      <c r="D26" s="28"/>
      <c r="E26" s="28"/>
      <c r="F26" s="109">
        <v>0</v>
      </c>
    </row>
    <row r="27" spans="1:6" x14ac:dyDescent="0.25">
      <c r="A27" s="27">
        <v>2311</v>
      </c>
      <c r="B27" s="29" t="s">
        <v>72</v>
      </c>
      <c r="C27" s="28"/>
      <c r="D27" s="28"/>
      <c r="E27" s="28"/>
      <c r="F27" s="109">
        <f>417.79/3</f>
        <v>139.26333333333335</v>
      </c>
    </row>
    <row r="28" spans="1:6" x14ac:dyDescent="0.25">
      <c r="A28" s="27">
        <v>2312</v>
      </c>
      <c r="B28" s="29" t="s">
        <v>16</v>
      </c>
      <c r="C28" s="28"/>
      <c r="D28" s="28"/>
      <c r="E28" s="28"/>
      <c r="F28" s="109">
        <f>[1]JPV_kursi!$H$36</f>
        <v>80.30236472945893</v>
      </c>
    </row>
    <row r="29" spans="1:6" ht="15" customHeight="1" x14ac:dyDescent="0.25">
      <c r="A29" s="27">
        <v>2321</v>
      </c>
      <c r="B29" s="29" t="s">
        <v>17</v>
      </c>
      <c r="C29" s="28">
        <v>241.21</v>
      </c>
      <c r="D29" s="28">
        <v>0</v>
      </c>
      <c r="E29" s="28">
        <f>ROUND(C29/2,2)</f>
        <v>120.61</v>
      </c>
      <c r="F29" s="109">
        <f>[1]JPV_kursi!$H$38</f>
        <v>99.188452729332568</v>
      </c>
    </row>
    <row r="30" spans="1:6" ht="15" customHeight="1" x14ac:dyDescent="0.25">
      <c r="A30" s="27">
        <v>2350</v>
      </c>
      <c r="B30" s="29" t="s">
        <v>19</v>
      </c>
      <c r="C30" s="28">
        <v>35.270000000000003</v>
      </c>
      <c r="D30" s="28">
        <v>0</v>
      </c>
      <c r="E30" s="28">
        <f>ROUND(C30/2,2)</f>
        <v>17.64</v>
      </c>
      <c r="F30" s="109">
        <v>108.9</v>
      </c>
    </row>
    <row r="31" spans="1:6" hidden="1" x14ac:dyDescent="0.25">
      <c r="A31" s="27">
        <v>2361</v>
      </c>
      <c r="B31" s="29" t="s">
        <v>20</v>
      </c>
      <c r="C31" s="28"/>
      <c r="D31" s="28"/>
      <c r="E31" s="28"/>
      <c r="F31" s="28">
        <v>0</v>
      </c>
    </row>
    <row r="32" spans="1:6" x14ac:dyDescent="0.25">
      <c r="A32" s="27">
        <v>2370</v>
      </c>
      <c r="B32" s="29" t="s">
        <v>69</v>
      </c>
      <c r="C32" s="28"/>
      <c r="D32" s="28"/>
      <c r="E32" s="28"/>
      <c r="F32" s="28">
        <f>417.79/3*2</f>
        <v>278.5266666666667</v>
      </c>
    </row>
    <row r="33" spans="1:6" hidden="1" x14ac:dyDescent="0.25">
      <c r="A33" s="55">
        <v>2513</v>
      </c>
      <c r="B33" s="29" t="s">
        <v>22</v>
      </c>
      <c r="C33" s="28"/>
      <c r="D33" s="28"/>
      <c r="E33" s="28"/>
      <c r="F33" s="28"/>
    </row>
    <row r="34" spans="1:6" ht="15" customHeight="1" x14ac:dyDescent="0.25">
      <c r="A34" s="27">
        <v>5230</v>
      </c>
      <c r="B34" s="29" t="s">
        <v>57</v>
      </c>
      <c r="C34" s="28">
        <v>1.8</v>
      </c>
      <c r="D34" s="28">
        <v>0</v>
      </c>
      <c r="E34" s="28">
        <f>ROUND(C34/2,2)</f>
        <v>0.9</v>
      </c>
      <c r="F34" s="28">
        <v>424.34</v>
      </c>
    </row>
    <row r="35" spans="1:6" ht="15" customHeight="1" x14ac:dyDescent="0.25">
      <c r="A35" s="27"/>
      <c r="B35" s="30" t="s">
        <v>65</v>
      </c>
      <c r="C35" s="31">
        <f>SUM(C17:C34)</f>
        <v>8250.9</v>
      </c>
      <c r="D35" s="31">
        <f>SUM(D17:D34)</f>
        <v>0</v>
      </c>
      <c r="E35" s="31">
        <f>SUM(E17:E34)</f>
        <v>4348.3799999999992</v>
      </c>
      <c r="F35" s="31">
        <f>SUM(F17:F34)</f>
        <v>6596.643938612403</v>
      </c>
    </row>
    <row r="36" spans="1:6" ht="15" customHeight="1" x14ac:dyDescent="0.25">
      <c r="A36" s="32"/>
      <c r="B36" s="27" t="s">
        <v>64</v>
      </c>
      <c r="C36" s="26"/>
      <c r="D36" s="26"/>
      <c r="E36" s="26"/>
      <c r="F36" s="26"/>
    </row>
    <row r="37" spans="1:6" ht="15" customHeight="1" x14ac:dyDescent="0.25">
      <c r="A37" s="27">
        <v>1100</v>
      </c>
      <c r="B37" s="27" t="s">
        <v>63</v>
      </c>
      <c r="C37" s="28">
        <v>4429</v>
      </c>
      <c r="D37" s="28">
        <v>0</v>
      </c>
      <c r="E37" s="28">
        <f t="shared" ref="E37:E54" si="0">ROUND(C37/2,2)</f>
        <v>2214.5</v>
      </c>
      <c r="F37" s="28">
        <v>812.37</v>
      </c>
    </row>
    <row r="38" spans="1:6" ht="15.75" customHeight="1" x14ac:dyDescent="0.25">
      <c r="A38" s="27">
        <v>1200</v>
      </c>
      <c r="B38" s="29" t="s">
        <v>62</v>
      </c>
      <c r="C38" s="28">
        <v>1044.8</v>
      </c>
      <c r="D38" s="28">
        <v>0</v>
      </c>
      <c r="E38" s="28">
        <f t="shared" si="0"/>
        <v>522.4</v>
      </c>
      <c r="F38" s="28">
        <v>195.7</v>
      </c>
    </row>
    <row r="39" spans="1:6" ht="15" customHeight="1" x14ac:dyDescent="0.25">
      <c r="A39" s="33">
        <v>2210</v>
      </c>
      <c r="B39" s="29" t="s">
        <v>27</v>
      </c>
      <c r="C39" s="28">
        <v>93.67</v>
      </c>
      <c r="D39" s="28">
        <v>0</v>
      </c>
      <c r="E39" s="28">
        <f t="shared" si="0"/>
        <v>46.84</v>
      </c>
      <c r="F39" s="28">
        <v>10.19</v>
      </c>
    </row>
    <row r="40" spans="1:6" ht="15" customHeight="1" x14ac:dyDescent="0.25">
      <c r="A40" s="27">
        <v>2230</v>
      </c>
      <c r="B40" s="29" t="s">
        <v>30</v>
      </c>
      <c r="C40" s="28">
        <v>72.349999999999994</v>
      </c>
      <c r="D40" s="28">
        <v>0</v>
      </c>
      <c r="E40" s="28">
        <f t="shared" si="0"/>
        <v>36.18</v>
      </c>
      <c r="F40" s="28">
        <v>4.8499999999999996</v>
      </c>
    </row>
    <row r="41" spans="1:6" ht="15" customHeight="1" x14ac:dyDescent="0.25">
      <c r="A41" s="27">
        <v>2241</v>
      </c>
      <c r="B41" s="29" t="s">
        <v>7</v>
      </c>
      <c r="C41" s="28">
        <v>0.1</v>
      </c>
      <c r="D41" s="28">
        <v>0</v>
      </c>
      <c r="E41" s="28">
        <f t="shared" si="0"/>
        <v>0.05</v>
      </c>
      <c r="F41" s="28">
        <v>34.83</v>
      </c>
    </row>
    <row r="42" spans="1:6" ht="15" customHeight="1" x14ac:dyDescent="0.25">
      <c r="A42" s="27">
        <v>2242</v>
      </c>
      <c r="B42" s="29" t="s">
        <v>8</v>
      </c>
      <c r="C42" s="28">
        <v>21.56</v>
      </c>
      <c r="D42" s="28">
        <v>0</v>
      </c>
      <c r="E42" s="28">
        <f t="shared" si="0"/>
        <v>10.78</v>
      </c>
      <c r="F42" s="28">
        <v>15.47</v>
      </c>
    </row>
    <row r="43" spans="1:6" ht="15" customHeight="1" x14ac:dyDescent="0.25">
      <c r="A43" s="27">
        <v>2243</v>
      </c>
      <c r="B43" s="29" t="s">
        <v>9</v>
      </c>
      <c r="C43" s="28">
        <v>68.84</v>
      </c>
      <c r="D43" s="28">
        <v>0</v>
      </c>
      <c r="E43" s="28">
        <f t="shared" si="0"/>
        <v>34.42</v>
      </c>
      <c r="F43" s="28">
        <v>23.35</v>
      </c>
    </row>
    <row r="44" spans="1:6" ht="15" customHeight="1" x14ac:dyDescent="0.25">
      <c r="A44" s="27">
        <v>2244</v>
      </c>
      <c r="B44" s="29" t="s">
        <v>10</v>
      </c>
      <c r="C44" s="28"/>
      <c r="D44" s="28"/>
      <c r="E44" s="28"/>
      <c r="F44" s="28">
        <v>20.8</v>
      </c>
    </row>
    <row r="45" spans="1:6" x14ac:dyDescent="0.25">
      <c r="A45" s="27">
        <v>2247</v>
      </c>
      <c r="B45" s="25" t="s">
        <v>59</v>
      </c>
      <c r="C45" s="28">
        <v>5.71</v>
      </c>
      <c r="D45" s="28">
        <v>0</v>
      </c>
      <c r="E45" s="28">
        <f t="shared" si="0"/>
        <v>2.86</v>
      </c>
      <c r="F45" s="28">
        <v>0.97</v>
      </c>
    </row>
    <row r="46" spans="1:6" ht="15" customHeight="1" x14ac:dyDescent="0.25">
      <c r="A46" s="27">
        <v>2251</v>
      </c>
      <c r="B46" s="29" t="s">
        <v>60</v>
      </c>
      <c r="C46" s="28">
        <v>145.52000000000001</v>
      </c>
      <c r="D46" s="28">
        <v>0</v>
      </c>
      <c r="E46" s="28">
        <f t="shared" si="0"/>
        <v>72.760000000000005</v>
      </c>
      <c r="F46" s="28">
        <v>7.58</v>
      </c>
    </row>
    <row r="47" spans="1:6" ht="15" customHeight="1" x14ac:dyDescent="0.25">
      <c r="A47" s="27">
        <v>2259</v>
      </c>
      <c r="B47" s="29" t="s">
        <v>61</v>
      </c>
      <c r="C47" s="28">
        <v>0.48</v>
      </c>
      <c r="D47" s="28">
        <v>0</v>
      </c>
      <c r="E47" s="28">
        <f t="shared" si="0"/>
        <v>0.24</v>
      </c>
      <c r="F47" s="28">
        <v>0.09</v>
      </c>
    </row>
    <row r="48" spans="1:6" ht="15" customHeight="1" x14ac:dyDescent="0.25">
      <c r="A48" s="27">
        <v>2262</v>
      </c>
      <c r="B48" s="29" t="s">
        <v>12</v>
      </c>
      <c r="C48" s="28">
        <v>63.08</v>
      </c>
      <c r="D48" s="28">
        <v>0</v>
      </c>
      <c r="E48" s="28">
        <f t="shared" si="0"/>
        <v>31.54</v>
      </c>
      <c r="F48" s="28">
        <v>5.09</v>
      </c>
    </row>
    <row r="49" spans="1:6" ht="15" customHeight="1" x14ac:dyDescent="0.25">
      <c r="A49" s="27">
        <v>2264</v>
      </c>
      <c r="B49" s="29" t="s">
        <v>13</v>
      </c>
      <c r="C49" s="28">
        <v>1.18</v>
      </c>
      <c r="D49" s="28">
        <v>0</v>
      </c>
      <c r="E49" s="28">
        <f t="shared" si="0"/>
        <v>0.59</v>
      </c>
      <c r="F49" s="28">
        <v>0.09</v>
      </c>
    </row>
    <row r="50" spans="1:6" ht="15" customHeight="1" x14ac:dyDescent="0.25">
      <c r="A50" s="27">
        <v>2279</v>
      </c>
      <c r="B50" s="29" t="s">
        <v>14</v>
      </c>
      <c r="C50" s="28">
        <v>259.89</v>
      </c>
      <c r="D50" s="28">
        <v>0</v>
      </c>
      <c r="E50" s="28">
        <f t="shared" si="0"/>
        <v>129.94999999999999</v>
      </c>
      <c r="F50" s="28">
        <v>14.8</v>
      </c>
    </row>
    <row r="51" spans="1:6" ht="15" customHeight="1" x14ac:dyDescent="0.25">
      <c r="A51" s="27">
        <v>2311</v>
      </c>
      <c r="B51" s="29" t="s">
        <v>15</v>
      </c>
      <c r="C51" s="28">
        <v>24.47</v>
      </c>
      <c r="D51" s="28">
        <v>0</v>
      </c>
      <c r="E51" s="28">
        <f t="shared" si="0"/>
        <v>12.24</v>
      </c>
      <c r="F51" s="28">
        <v>11.04</v>
      </c>
    </row>
    <row r="52" spans="1:6" ht="15" customHeight="1" x14ac:dyDescent="0.25">
      <c r="A52" s="27">
        <v>2312</v>
      </c>
      <c r="B52" s="29" t="s">
        <v>16</v>
      </c>
      <c r="C52" s="28">
        <v>45.22</v>
      </c>
      <c r="D52" s="28">
        <v>0</v>
      </c>
      <c r="E52" s="28">
        <f t="shared" si="0"/>
        <v>22.61</v>
      </c>
      <c r="F52" s="28">
        <v>28.32</v>
      </c>
    </row>
    <row r="53" spans="1:6" ht="15" customHeight="1" x14ac:dyDescent="0.25">
      <c r="A53" s="27">
        <v>2322</v>
      </c>
      <c r="B53" s="29" t="s">
        <v>18</v>
      </c>
      <c r="C53" s="28">
        <v>170.03</v>
      </c>
      <c r="D53" s="28">
        <v>0</v>
      </c>
      <c r="E53" s="28">
        <f t="shared" si="0"/>
        <v>85.02</v>
      </c>
      <c r="F53" s="28">
        <v>20.350000000000001</v>
      </c>
    </row>
    <row r="54" spans="1:6" ht="15" customHeight="1" x14ac:dyDescent="0.25">
      <c r="A54" s="27">
        <v>2350</v>
      </c>
      <c r="B54" s="29" t="s">
        <v>19</v>
      </c>
      <c r="C54" s="28">
        <v>193.6</v>
      </c>
      <c r="D54" s="28">
        <v>0</v>
      </c>
      <c r="E54" s="28">
        <f t="shared" si="0"/>
        <v>96.8</v>
      </c>
      <c r="F54" s="28">
        <v>22.55</v>
      </c>
    </row>
    <row r="55" spans="1:6" ht="15" customHeight="1" x14ac:dyDescent="0.25">
      <c r="A55" s="27">
        <v>2515</v>
      </c>
      <c r="B55" s="29" t="s">
        <v>58</v>
      </c>
      <c r="C55" s="28"/>
      <c r="D55" s="28"/>
      <c r="E55" s="28"/>
      <c r="F55" s="28">
        <v>4.91</v>
      </c>
    </row>
    <row r="56" spans="1:6" ht="15" customHeight="1" x14ac:dyDescent="0.25">
      <c r="A56" s="27">
        <v>5232</v>
      </c>
      <c r="B56" s="29" t="s">
        <v>23</v>
      </c>
      <c r="C56" s="28"/>
      <c r="D56" s="28"/>
      <c r="E56" s="28"/>
      <c r="F56" s="28">
        <v>49.17</v>
      </c>
    </row>
    <row r="57" spans="1:6" ht="15" customHeight="1" x14ac:dyDescent="0.25">
      <c r="A57" s="27">
        <v>5240</v>
      </c>
      <c r="B57" s="29" t="s">
        <v>25</v>
      </c>
      <c r="C57" s="28"/>
      <c r="D57" s="28"/>
      <c r="E57" s="28"/>
      <c r="F57" s="28">
        <v>9.81</v>
      </c>
    </row>
    <row r="58" spans="1:6" ht="15" customHeight="1" x14ac:dyDescent="0.25">
      <c r="A58" s="27">
        <v>5250</v>
      </c>
      <c r="B58" s="29" t="s">
        <v>26</v>
      </c>
      <c r="C58" s="28"/>
      <c r="D58" s="28"/>
      <c r="E58" s="28"/>
      <c r="F58" s="28">
        <v>39.28</v>
      </c>
    </row>
    <row r="59" spans="1:6" x14ac:dyDescent="0.25">
      <c r="A59" s="32"/>
      <c r="B59" s="34" t="s">
        <v>66</v>
      </c>
      <c r="C59" s="31">
        <f>SUM(C37:C54)</f>
        <v>6639.5000000000027</v>
      </c>
      <c r="D59" s="31">
        <f>SUM(D37:D54)</f>
        <v>0</v>
      </c>
      <c r="E59" s="31">
        <f>SUM(E37:E54)</f>
        <v>3319.7800000000007</v>
      </c>
      <c r="F59" s="31">
        <f>SUM(F37:F58)</f>
        <v>1331.6099999999994</v>
      </c>
    </row>
    <row r="60" spans="1:6" ht="15" customHeight="1" x14ac:dyDescent="0.25">
      <c r="A60" s="32"/>
      <c r="B60" s="34" t="s">
        <v>32</v>
      </c>
      <c r="C60" s="31" t="e">
        <f>#REF!+C28</f>
        <v>#REF!</v>
      </c>
      <c r="D60" s="31" t="e">
        <f>#REF!+D28</f>
        <v>#REF!</v>
      </c>
      <c r="E60" s="31" t="e">
        <f>#REF!+E28</f>
        <v>#REF!</v>
      </c>
      <c r="F60" s="31">
        <f>F35+F59</f>
        <v>7928.2539386124026</v>
      </c>
    </row>
    <row r="61" spans="1:6" x14ac:dyDescent="0.35">
      <c r="A61" s="35"/>
      <c r="B61" s="20"/>
      <c r="C61" s="6"/>
      <c r="D61" s="20"/>
      <c r="E61" s="20"/>
      <c r="F61" s="92"/>
    </row>
    <row r="62" spans="1:6" x14ac:dyDescent="0.25">
      <c r="A62" s="262" t="s">
        <v>45</v>
      </c>
      <c r="B62" s="262"/>
      <c r="C62" s="10">
        <v>287</v>
      </c>
      <c r="D62" s="21">
        <v>0</v>
      </c>
      <c r="E62" s="21">
        <v>143</v>
      </c>
      <c r="F62" s="107">
        <v>5</v>
      </c>
    </row>
    <row r="63" spans="1:6" ht="15.75" customHeight="1" x14ac:dyDescent="0.3">
      <c r="A63" s="262" t="s">
        <v>46</v>
      </c>
      <c r="B63" s="262"/>
      <c r="C63" s="36" t="e">
        <f>#REF!/C62</f>
        <v>#REF!</v>
      </c>
      <c r="D63" s="48">
        <v>0</v>
      </c>
      <c r="E63" s="37" t="e">
        <f>#REF!/E62</f>
        <v>#REF!</v>
      </c>
      <c r="F63" s="108">
        <f>F60/F62</f>
        <v>1585.6507877224806</v>
      </c>
    </row>
    <row r="64" spans="1:6" ht="15.75" customHeight="1" x14ac:dyDescent="0.3">
      <c r="A64" s="9"/>
      <c r="B64" s="9"/>
      <c r="C64" s="36"/>
      <c r="D64" s="49"/>
      <c r="E64" s="36"/>
      <c r="F64" s="36"/>
    </row>
    <row r="65" spans="1:6" s="2" customFormat="1" x14ac:dyDescent="0.35">
      <c r="A65" s="267" t="s">
        <v>37</v>
      </c>
      <c r="B65" s="268"/>
      <c r="C65" s="39"/>
      <c r="D65" s="39"/>
      <c r="E65" s="39"/>
      <c r="F65" s="39"/>
    </row>
    <row r="66" spans="1:6" s="2" customFormat="1" x14ac:dyDescent="0.35">
      <c r="A66" s="267" t="s">
        <v>54</v>
      </c>
      <c r="B66" s="268"/>
      <c r="C66" s="16"/>
      <c r="D66" s="40"/>
      <c r="E66" s="39"/>
      <c r="F66" s="39"/>
    </row>
    <row r="67" spans="1:6" s="2" customFormat="1" ht="15" customHeight="1" x14ac:dyDescent="0.35">
      <c r="A67" s="17"/>
      <c r="B67" s="17"/>
      <c r="C67" s="17"/>
      <c r="D67" s="17"/>
      <c r="E67" s="17"/>
      <c r="F67" s="65"/>
    </row>
    <row r="68" spans="1:6" s="2" customFormat="1" x14ac:dyDescent="0.35">
      <c r="A68" s="17" t="s">
        <v>38</v>
      </c>
      <c r="B68" s="17"/>
      <c r="C68" s="17"/>
      <c r="D68" s="17"/>
      <c r="E68" s="17"/>
      <c r="F68" s="17"/>
    </row>
    <row r="69" spans="1:6" s="2" customFormat="1" ht="15" customHeight="1" x14ac:dyDescent="0.35">
      <c r="A69" s="17"/>
      <c r="B69" s="17"/>
      <c r="C69" s="17"/>
      <c r="D69" s="17"/>
      <c r="E69" s="17"/>
      <c r="F69" s="17"/>
    </row>
    <row r="70" spans="1:6" s="2" customFormat="1" x14ac:dyDescent="0.35">
      <c r="A70" s="17" t="s">
        <v>47</v>
      </c>
      <c r="B70" s="18"/>
      <c r="C70" s="18"/>
      <c r="D70" s="18"/>
      <c r="E70" s="18"/>
      <c r="F70" s="91"/>
    </row>
    <row r="71" spans="1:6" s="2" customFormat="1" ht="13.9" customHeight="1" x14ac:dyDescent="0.35">
      <c r="A71" s="17"/>
      <c r="B71" s="96"/>
      <c r="C71" s="19"/>
      <c r="D71" s="19"/>
      <c r="E71" s="17"/>
      <c r="F71" s="65"/>
    </row>
    <row r="72" spans="1:6" s="2" customFormat="1" ht="13.9" customHeight="1" x14ac:dyDescent="0.35">
      <c r="A72" s="17"/>
      <c r="B72" s="19"/>
      <c r="C72" s="17"/>
      <c r="D72" s="17"/>
      <c r="E72" s="17"/>
      <c r="F72" s="17"/>
    </row>
    <row r="73" spans="1:6" s="1" customFormat="1" x14ac:dyDescent="0.35">
      <c r="A73" s="6"/>
      <c r="B73" s="6"/>
      <c r="C73" s="100"/>
      <c r="D73" s="6"/>
      <c r="E73" s="6"/>
      <c r="F73" s="6"/>
    </row>
  </sheetData>
  <mergeCells count="11">
    <mergeCell ref="A62:B62"/>
    <mergeCell ref="A63:B63"/>
    <mergeCell ref="A65:B65"/>
    <mergeCell ref="A66:B66"/>
    <mergeCell ref="B12:D12"/>
    <mergeCell ref="B3:F3"/>
    <mergeCell ref="B1:F1"/>
    <mergeCell ref="B2:F2"/>
    <mergeCell ref="A9:B9"/>
    <mergeCell ref="A10:B10"/>
    <mergeCell ref="A7:F7"/>
  </mergeCells>
  <pageMargins left="0.94488188976377963" right="0.55118110236220474" top="0.55118110236220474" bottom="0.55118110236220474" header="0.31496062992125984" footer="0.31496062992125984"/>
  <pageSetup paperSize="9" scale="61" firstPageNumber="5" fitToHeight="0" orientation="portrait" useFirstPageNumber="1" r:id="rId1"/>
  <headerFooter>
    <oddFooter xml:space="preserve">&amp;C&amp;"Times New Roman,Regular"LManotp1_150319_MK1002; Grozījumi MK 24.09.2013. noteikumos Nr.1002 "Sociālās integrācijas valsts aģentūras sniegto maksas pakalpojumu cenrādis"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opLeftCell="A42" workbookViewId="0">
      <selection activeCell="B15" sqref="B15"/>
    </sheetView>
  </sheetViews>
  <sheetFormatPr defaultRowHeight="15.5" x14ac:dyDescent="0.35"/>
  <cols>
    <col min="1" max="1" width="12.26953125" style="6" customWidth="1"/>
    <col min="2" max="2" width="94.7265625" style="6" customWidth="1"/>
    <col min="3" max="3" width="22.1796875" style="6" hidden="1" customWidth="1"/>
    <col min="4" max="4" width="28.54296875" style="6" customWidth="1"/>
  </cols>
  <sheetData>
    <row r="1" spans="1:4" ht="15.75" customHeight="1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56</v>
      </c>
      <c r="C3" s="264"/>
      <c r="D3" s="264"/>
    </row>
    <row r="4" spans="1:4" x14ac:dyDescent="0.35">
      <c r="A4" s="12"/>
      <c r="B4" s="11"/>
      <c r="C4" s="13"/>
      <c r="D4" s="96"/>
    </row>
    <row r="5" spans="1:4" x14ac:dyDescent="0.35">
      <c r="A5" s="12"/>
      <c r="B5" s="15"/>
      <c r="C5" s="12"/>
      <c r="D5" s="11" t="s">
        <v>282</v>
      </c>
    </row>
    <row r="6" spans="1:4" x14ac:dyDescent="0.35">
      <c r="A6" s="12"/>
      <c r="B6" s="11"/>
      <c r="C6" s="1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ht="15" customHeight="1" x14ac:dyDescent="0.35">
      <c r="A9" s="262" t="s">
        <v>1</v>
      </c>
      <c r="B9" s="262"/>
      <c r="C9" s="9"/>
    </row>
    <row r="10" spans="1:4" ht="15" customHeight="1" x14ac:dyDescent="0.35">
      <c r="A10" s="262" t="s">
        <v>0</v>
      </c>
      <c r="B10" s="262"/>
      <c r="C10" s="9"/>
    </row>
    <row r="11" spans="1:4" x14ac:dyDescent="0.25">
      <c r="A11" s="9"/>
      <c r="B11" s="262" t="s">
        <v>245</v>
      </c>
      <c r="C11" s="270"/>
      <c r="D11" s="270"/>
    </row>
    <row r="12" spans="1:4" ht="15" customHeight="1" x14ac:dyDescent="0.35">
      <c r="A12" s="9"/>
      <c r="B12" s="9" t="s">
        <v>247</v>
      </c>
      <c r="C12" s="9"/>
      <c r="D12" s="14"/>
    </row>
    <row r="13" spans="1:4" ht="15" customHeight="1" x14ac:dyDescent="0.35">
      <c r="A13" s="9"/>
      <c r="B13" s="9"/>
      <c r="C13" s="9"/>
      <c r="D13" s="14"/>
    </row>
    <row r="14" spans="1:4" ht="15" customHeight="1" x14ac:dyDescent="0.35">
      <c r="A14" s="9" t="s">
        <v>2</v>
      </c>
      <c r="B14" s="9" t="s">
        <v>259</v>
      </c>
      <c r="C14" s="9"/>
    </row>
    <row r="15" spans="1:4" s="5" customFormat="1" ht="67.5" customHeight="1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>
        <v>4</v>
      </c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8">
        <f>8960.44+35.28/1.2409</f>
        <v>8988.8709775163188</v>
      </c>
      <c r="D18" s="28">
        <v>1797.77</v>
      </c>
    </row>
    <row r="19" spans="1:4" ht="15.75" customHeight="1" x14ac:dyDescent="0.25">
      <c r="A19" s="27">
        <v>1200</v>
      </c>
      <c r="B19" s="29" t="s">
        <v>192</v>
      </c>
      <c r="C19" s="28">
        <f>2158.57+35.28/1.2409*0.2409</f>
        <v>2165.4190224836811</v>
      </c>
      <c r="D19" s="28">
        <v>433.08</v>
      </c>
    </row>
    <row r="20" spans="1:4" ht="14.25" hidden="1" customHeight="1" x14ac:dyDescent="0.25">
      <c r="A20" s="27">
        <v>2210</v>
      </c>
      <c r="B20" s="29" t="s">
        <v>27</v>
      </c>
      <c r="C20" s="28"/>
      <c r="D20" s="28">
        <f>C20/10*2</f>
        <v>0</v>
      </c>
    </row>
    <row r="21" spans="1:4" x14ac:dyDescent="0.25">
      <c r="A21" s="27">
        <v>2222</v>
      </c>
      <c r="B21" s="29" t="s">
        <v>28</v>
      </c>
      <c r="C21" s="28">
        <v>128.49</v>
      </c>
      <c r="D21" s="28">
        <v>25.7</v>
      </c>
    </row>
    <row r="22" spans="1:4" x14ac:dyDescent="0.25">
      <c r="A22" s="27">
        <v>2223</v>
      </c>
      <c r="B22" s="29" t="s">
        <v>29</v>
      </c>
      <c r="C22" s="28">
        <v>295.85000000000002</v>
      </c>
      <c r="D22" s="28">
        <v>59.18</v>
      </c>
    </row>
    <row r="23" spans="1:4" ht="15" hidden="1" customHeight="1" x14ac:dyDescent="0.25">
      <c r="A23" s="27">
        <v>2243</v>
      </c>
      <c r="B23" s="29" t="s">
        <v>9</v>
      </c>
      <c r="C23" s="28"/>
      <c r="D23" s="28">
        <f>C23/10*2</f>
        <v>0</v>
      </c>
    </row>
    <row r="24" spans="1:4" x14ac:dyDescent="0.25">
      <c r="A24" s="27">
        <v>2244</v>
      </c>
      <c r="B24" s="29" t="s">
        <v>252</v>
      </c>
      <c r="C24" s="28">
        <v>610.22</v>
      </c>
      <c r="D24" s="28">
        <v>122.04</v>
      </c>
    </row>
    <row r="25" spans="1:4" hidden="1" x14ac:dyDescent="0.25">
      <c r="A25" s="27">
        <v>2250</v>
      </c>
      <c r="B25" s="29" t="s">
        <v>186</v>
      </c>
      <c r="C25" s="28"/>
      <c r="D25" s="28">
        <f>C25/10*2</f>
        <v>0</v>
      </c>
    </row>
    <row r="26" spans="1:4" x14ac:dyDescent="0.25">
      <c r="A26" s="27">
        <v>2311</v>
      </c>
      <c r="B26" s="29" t="s">
        <v>72</v>
      </c>
      <c r="C26" s="28">
        <v>126.34</v>
      </c>
      <c r="D26" s="28">
        <v>25.27</v>
      </c>
    </row>
    <row r="27" spans="1:4" x14ac:dyDescent="0.25">
      <c r="A27" s="27">
        <v>2312</v>
      </c>
      <c r="B27" s="29" t="s">
        <v>16</v>
      </c>
      <c r="C27" s="28">
        <v>1135.24</v>
      </c>
      <c r="D27" s="28">
        <v>227.05</v>
      </c>
    </row>
    <row r="28" spans="1:4" x14ac:dyDescent="0.25">
      <c r="A28" s="27">
        <v>2262</v>
      </c>
      <c r="B28" s="29" t="s">
        <v>249</v>
      </c>
      <c r="C28" s="28">
        <v>16.54</v>
      </c>
      <c r="D28" s="28">
        <v>3.31</v>
      </c>
    </row>
    <row r="29" spans="1:4" ht="15" customHeight="1" x14ac:dyDescent="0.25">
      <c r="A29" s="27">
        <v>2321</v>
      </c>
      <c r="B29" s="29" t="s">
        <v>17</v>
      </c>
      <c r="C29" s="28">
        <v>331.74</v>
      </c>
      <c r="D29" s="28">
        <v>66.349999999999994</v>
      </c>
    </row>
    <row r="30" spans="1:4" ht="15" customHeight="1" x14ac:dyDescent="0.25">
      <c r="A30" s="27">
        <v>2322</v>
      </c>
      <c r="B30" s="29" t="s">
        <v>250</v>
      </c>
      <c r="C30" s="28">
        <v>14.08</v>
      </c>
      <c r="D30" s="28">
        <v>2.82</v>
      </c>
    </row>
    <row r="31" spans="1:4" ht="15" hidden="1" customHeight="1" x14ac:dyDescent="0.25">
      <c r="A31" s="27">
        <v>2350</v>
      </c>
      <c r="B31" s="29" t="s">
        <v>19</v>
      </c>
      <c r="C31" s="28"/>
      <c r="D31" s="28">
        <f>C31/10*2</f>
        <v>0</v>
      </c>
    </row>
    <row r="32" spans="1:4" hidden="1" x14ac:dyDescent="0.25">
      <c r="A32" s="27">
        <v>2361</v>
      </c>
      <c r="B32" s="29" t="s">
        <v>20</v>
      </c>
      <c r="C32" s="28"/>
      <c r="D32" s="28">
        <f>C32/10*2</f>
        <v>0</v>
      </c>
    </row>
    <row r="33" spans="1:4" x14ac:dyDescent="0.25">
      <c r="A33" s="27">
        <v>2366</v>
      </c>
      <c r="B33" s="29" t="s">
        <v>248</v>
      </c>
      <c r="C33" s="28">
        <v>14.2</v>
      </c>
      <c r="D33" s="28">
        <v>2.84</v>
      </c>
    </row>
    <row r="34" spans="1:4" x14ac:dyDescent="0.25">
      <c r="A34" s="27">
        <v>2370</v>
      </c>
      <c r="B34" s="29" t="s">
        <v>69</v>
      </c>
      <c r="C34" s="28">
        <v>258.77</v>
      </c>
      <c r="D34" s="28">
        <v>51.75</v>
      </c>
    </row>
    <row r="35" spans="1:4" ht="15" customHeight="1" x14ac:dyDescent="0.25">
      <c r="A35" s="27">
        <v>5239</v>
      </c>
      <c r="B35" s="29" t="s">
        <v>57</v>
      </c>
      <c r="C35" s="28">
        <v>1217.32</v>
      </c>
      <c r="D35" s="28">
        <v>243.46</v>
      </c>
    </row>
    <row r="36" spans="1:4" ht="15" customHeight="1" x14ac:dyDescent="0.25">
      <c r="A36" s="27"/>
      <c r="B36" s="30" t="s">
        <v>65</v>
      </c>
      <c r="C36" s="31">
        <f>SUM(C18:C35)</f>
        <v>15303.080000000002</v>
      </c>
      <c r="D36" s="31">
        <f>SUM(D18:D35)</f>
        <v>3060.62</v>
      </c>
    </row>
    <row r="37" spans="1:4" ht="15" customHeight="1" x14ac:dyDescent="0.25">
      <c r="A37" s="32"/>
      <c r="B37" s="27" t="s">
        <v>64</v>
      </c>
      <c r="C37" s="26"/>
      <c r="D37" s="26"/>
    </row>
    <row r="38" spans="1:4" ht="15" customHeight="1" x14ac:dyDescent="0.25">
      <c r="A38" s="27">
        <v>1100</v>
      </c>
      <c r="B38" s="27" t="s">
        <v>63</v>
      </c>
      <c r="C38" s="28">
        <v>2632.76</v>
      </c>
      <c r="D38" s="28">
        <v>526.54999999999995</v>
      </c>
    </row>
    <row r="39" spans="1:4" ht="15.75" customHeight="1" x14ac:dyDescent="0.25">
      <c r="A39" s="27">
        <v>1200</v>
      </c>
      <c r="B39" s="29" t="s">
        <v>192</v>
      </c>
      <c r="C39" s="28">
        <v>634.23</v>
      </c>
      <c r="D39" s="28">
        <v>126.85</v>
      </c>
    </row>
    <row r="40" spans="1:4" ht="15" customHeight="1" x14ac:dyDescent="0.25">
      <c r="A40" s="33">
        <v>2210</v>
      </c>
      <c r="B40" s="29" t="s">
        <v>142</v>
      </c>
      <c r="C40" s="28">
        <v>55.37</v>
      </c>
      <c r="D40" s="28">
        <v>11.07</v>
      </c>
    </row>
    <row r="41" spans="1:4" ht="33" customHeight="1" x14ac:dyDescent="0.25">
      <c r="A41" s="33">
        <v>2224</v>
      </c>
      <c r="B41" s="29" t="s">
        <v>283</v>
      </c>
      <c r="C41" s="28">
        <v>66.45</v>
      </c>
      <c r="D41" s="28">
        <v>13.29</v>
      </c>
    </row>
    <row r="42" spans="1:4" ht="15" customHeight="1" x14ac:dyDescent="0.25">
      <c r="A42" s="27">
        <v>2231</v>
      </c>
      <c r="B42" s="29" t="s">
        <v>226</v>
      </c>
      <c r="C42" s="28">
        <v>296.24</v>
      </c>
      <c r="D42" s="28">
        <v>59.25</v>
      </c>
    </row>
    <row r="43" spans="1:4" ht="15" customHeight="1" x14ac:dyDescent="0.25">
      <c r="A43" s="27">
        <v>2232</v>
      </c>
      <c r="B43" s="29" t="s">
        <v>243</v>
      </c>
      <c r="C43" s="28">
        <v>238.1</v>
      </c>
      <c r="D43" s="28">
        <v>47.62</v>
      </c>
    </row>
    <row r="44" spans="1:4" ht="15" customHeight="1" x14ac:dyDescent="0.25">
      <c r="A44" s="27">
        <v>2239</v>
      </c>
      <c r="B44" s="29" t="s">
        <v>205</v>
      </c>
      <c r="C44" s="28">
        <v>365.46</v>
      </c>
      <c r="D44" s="28">
        <v>73.09</v>
      </c>
    </row>
    <row r="45" spans="1:4" ht="15" customHeight="1" x14ac:dyDescent="0.25">
      <c r="A45" s="27">
        <v>2242</v>
      </c>
      <c r="B45" s="29" t="s">
        <v>8</v>
      </c>
      <c r="C45" s="28">
        <v>15.5</v>
      </c>
      <c r="D45" s="28">
        <v>3.1</v>
      </c>
    </row>
    <row r="46" spans="1:4" ht="15" customHeight="1" x14ac:dyDescent="0.25">
      <c r="A46" s="27">
        <v>2243</v>
      </c>
      <c r="B46" s="29" t="s">
        <v>9</v>
      </c>
      <c r="C46" s="28">
        <v>99.67</v>
      </c>
      <c r="D46" s="28">
        <v>19.940000000000001</v>
      </c>
    </row>
    <row r="47" spans="1:4" ht="15" customHeight="1" x14ac:dyDescent="0.25">
      <c r="A47" s="27">
        <v>2244</v>
      </c>
      <c r="B47" s="29" t="s">
        <v>252</v>
      </c>
      <c r="C47" s="28">
        <v>442.96</v>
      </c>
      <c r="D47" s="28">
        <v>88.59</v>
      </c>
    </row>
    <row r="48" spans="1:4" hidden="1" x14ac:dyDescent="0.25">
      <c r="A48" s="27">
        <v>2247</v>
      </c>
      <c r="B48" s="25" t="s">
        <v>59</v>
      </c>
      <c r="C48" s="28">
        <f>F46*G48</f>
        <v>0</v>
      </c>
      <c r="D48" s="28">
        <f>C48/10*2</f>
        <v>0</v>
      </c>
    </row>
    <row r="49" spans="1:4" ht="15" customHeight="1" x14ac:dyDescent="0.25">
      <c r="A49" s="27">
        <v>2250</v>
      </c>
      <c r="B49" s="29" t="s">
        <v>186</v>
      </c>
      <c r="C49" s="28">
        <v>182.73</v>
      </c>
      <c r="D49" s="28">
        <v>36.549999999999997</v>
      </c>
    </row>
    <row r="50" spans="1:4" ht="15" hidden="1" customHeight="1" x14ac:dyDescent="0.25">
      <c r="A50" s="27">
        <v>2311</v>
      </c>
      <c r="B50" s="29" t="s">
        <v>15</v>
      </c>
      <c r="C50" s="28">
        <f>F48*G50</f>
        <v>0</v>
      </c>
      <c r="D50" s="28">
        <f>C50/10*2</f>
        <v>0</v>
      </c>
    </row>
    <row r="51" spans="1:4" ht="15" hidden="1" customHeight="1" x14ac:dyDescent="0.25">
      <c r="A51" s="27">
        <v>2312</v>
      </c>
      <c r="B51" s="29" t="s">
        <v>16</v>
      </c>
      <c r="C51" s="28">
        <f>F49*G51</f>
        <v>0</v>
      </c>
      <c r="D51" s="28">
        <f>C51/10*2</f>
        <v>0</v>
      </c>
    </row>
    <row r="52" spans="1:4" ht="15" customHeight="1" x14ac:dyDescent="0.25">
      <c r="A52" s="27">
        <v>2314</v>
      </c>
      <c r="B52" s="29" t="s">
        <v>242</v>
      </c>
      <c r="C52" s="28">
        <v>77.52</v>
      </c>
      <c r="D52" s="28">
        <v>15.5</v>
      </c>
    </row>
    <row r="53" spans="1:4" ht="15" customHeight="1" x14ac:dyDescent="0.25">
      <c r="A53" s="27">
        <v>2321</v>
      </c>
      <c r="B53" s="29" t="s">
        <v>244</v>
      </c>
      <c r="C53" s="28">
        <v>71.98</v>
      </c>
      <c r="D53" s="28">
        <v>14.4</v>
      </c>
    </row>
    <row r="54" spans="1:4" ht="15" customHeight="1" x14ac:dyDescent="0.25">
      <c r="A54" s="27">
        <v>2322</v>
      </c>
      <c r="B54" s="29" t="s">
        <v>18</v>
      </c>
      <c r="C54" s="28">
        <v>26.03</v>
      </c>
      <c r="D54" s="28">
        <v>5.21</v>
      </c>
    </row>
    <row r="55" spans="1:4" ht="15" customHeight="1" x14ac:dyDescent="0.25">
      <c r="A55" s="27">
        <v>2350</v>
      </c>
      <c r="B55" s="29" t="s">
        <v>253</v>
      </c>
      <c r="C55" s="28">
        <v>149.55000000000001</v>
      </c>
      <c r="D55" s="28">
        <v>29.91</v>
      </c>
    </row>
    <row r="56" spans="1:4" ht="15" customHeight="1" x14ac:dyDescent="0.25">
      <c r="A56" s="27">
        <v>2513</v>
      </c>
      <c r="B56" s="29" t="s">
        <v>238</v>
      </c>
      <c r="C56" s="28">
        <v>99.67</v>
      </c>
      <c r="D56" s="28">
        <v>19.93</v>
      </c>
    </row>
    <row r="57" spans="1:4" ht="15" customHeight="1" x14ac:dyDescent="0.25">
      <c r="A57" s="27">
        <v>2515</v>
      </c>
      <c r="B57" s="29" t="s">
        <v>58</v>
      </c>
      <c r="C57" s="28">
        <v>16.61</v>
      </c>
      <c r="D57" s="28">
        <v>3.32</v>
      </c>
    </row>
    <row r="58" spans="1:4" ht="15" customHeight="1" x14ac:dyDescent="0.25">
      <c r="A58" s="27">
        <v>5239</v>
      </c>
      <c r="B58" s="29" t="s">
        <v>57</v>
      </c>
      <c r="C58" s="28">
        <v>66.45</v>
      </c>
      <c r="D58" s="28">
        <v>13.29</v>
      </c>
    </row>
    <row r="59" spans="1:4" x14ac:dyDescent="0.25">
      <c r="A59" s="32"/>
      <c r="B59" s="34" t="s">
        <v>66</v>
      </c>
      <c r="C59" s="31">
        <f>SUM(C38:C58)</f>
        <v>5537.2799999999988</v>
      </c>
      <c r="D59" s="31">
        <f>SUM(D38:D58)</f>
        <v>1107.4600000000003</v>
      </c>
    </row>
    <row r="60" spans="1:4" ht="15" customHeight="1" x14ac:dyDescent="0.25">
      <c r="A60" s="32"/>
      <c r="B60" s="34" t="s">
        <v>32</v>
      </c>
      <c r="C60" s="31">
        <f>C36+C59</f>
        <v>20840.36</v>
      </c>
      <c r="D60" s="31">
        <f>D36+D59</f>
        <v>4168.08</v>
      </c>
    </row>
    <row r="61" spans="1:4" x14ac:dyDescent="0.35">
      <c r="A61" s="35"/>
      <c r="B61" s="20"/>
      <c r="C61" s="20"/>
      <c r="D61" s="92"/>
    </row>
    <row r="62" spans="1:4" x14ac:dyDescent="0.25">
      <c r="A62" s="262" t="s">
        <v>45</v>
      </c>
      <c r="B62" s="262"/>
      <c r="C62" s="21">
        <v>10</v>
      </c>
      <c r="D62" s="107">
        <v>2</v>
      </c>
    </row>
    <row r="63" spans="1:4" ht="15.75" customHeight="1" x14ac:dyDescent="0.3">
      <c r="A63" s="262" t="s">
        <v>46</v>
      </c>
      <c r="B63" s="262"/>
      <c r="C63" s="37">
        <f>C60/C62</f>
        <v>2084.0360000000001</v>
      </c>
      <c r="D63" s="108">
        <f>D60/D62</f>
        <v>2084.04</v>
      </c>
    </row>
    <row r="64" spans="1:4" ht="15.75" customHeight="1" x14ac:dyDescent="0.3">
      <c r="A64" s="9"/>
      <c r="B64" s="9"/>
      <c r="C64" s="36"/>
      <c r="D64" s="36"/>
    </row>
    <row r="65" spans="1:4" s="2" customFormat="1" x14ac:dyDescent="0.35">
      <c r="A65" s="267" t="s">
        <v>37</v>
      </c>
      <c r="B65" s="268"/>
      <c r="C65" s="39"/>
      <c r="D65" s="39"/>
    </row>
    <row r="66" spans="1:4" s="2" customFormat="1" x14ac:dyDescent="0.35">
      <c r="A66" s="267" t="s">
        <v>54</v>
      </c>
      <c r="B66" s="268"/>
      <c r="C66" s="39"/>
      <c r="D66" s="39"/>
    </row>
    <row r="67" spans="1:4" s="2" customFormat="1" ht="15" customHeight="1" x14ac:dyDescent="0.35">
      <c r="A67" s="17"/>
      <c r="B67" s="17"/>
      <c r="C67" s="17"/>
      <c r="D67" s="65"/>
    </row>
    <row r="68" spans="1:4" s="2" customFormat="1" x14ac:dyDescent="0.35">
      <c r="A68" s="17" t="s">
        <v>38</v>
      </c>
      <c r="B68" s="17"/>
      <c r="C68" s="17"/>
      <c r="D68" s="17"/>
    </row>
    <row r="69" spans="1:4" s="2" customFormat="1" ht="15" customHeight="1" x14ac:dyDescent="0.35">
      <c r="A69" s="17"/>
      <c r="B69" s="17"/>
      <c r="C69" s="17"/>
      <c r="D69" s="17"/>
    </row>
    <row r="70" spans="1:4" s="2" customFormat="1" x14ac:dyDescent="0.35">
      <c r="A70" s="17" t="s">
        <v>47</v>
      </c>
      <c r="B70" s="18"/>
      <c r="C70" s="18"/>
      <c r="D70" s="91"/>
    </row>
    <row r="71" spans="1:4" s="2" customFormat="1" ht="13.9" customHeight="1" x14ac:dyDescent="0.35">
      <c r="A71" s="17"/>
      <c r="B71" s="96"/>
      <c r="C71" s="17"/>
      <c r="D71" s="65"/>
    </row>
    <row r="72" spans="1:4" s="2" customFormat="1" ht="13.9" customHeight="1" x14ac:dyDescent="0.35">
      <c r="A72" s="17"/>
      <c r="B72" s="19"/>
      <c r="C72" s="17"/>
      <c r="D72" s="17"/>
    </row>
    <row r="73" spans="1:4" s="1" customFormat="1" x14ac:dyDescent="0.35">
      <c r="A73" s="6"/>
      <c r="B73" s="6"/>
      <c r="C73" s="6"/>
      <c r="D73" s="6"/>
    </row>
  </sheetData>
  <mergeCells count="11">
    <mergeCell ref="B11:D11"/>
    <mergeCell ref="A62:B62"/>
    <mergeCell ref="A63:B63"/>
    <mergeCell ref="A65:B65"/>
    <mergeCell ref="A66:B66"/>
    <mergeCell ref="B1:D1"/>
    <mergeCell ref="B2:D2"/>
    <mergeCell ref="B3:D3"/>
    <mergeCell ref="A7:D7"/>
    <mergeCell ref="A9:B9"/>
    <mergeCell ref="A10:B10"/>
  </mergeCells>
  <pageMargins left="0.11811023622047245" right="0.11811023622047245" top="0.74803149606299213" bottom="0.15748031496062992" header="0.31496062992125984" footer="0.31496062992125984"/>
  <pageSetup paperSize="9" scale="75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opLeftCell="A49" workbookViewId="0">
      <selection activeCell="B17" sqref="B17"/>
    </sheetView>
  </sheetViews>
  <sheetFormatPr defaultRowHeight="15.5" x14ac:dyDescent="0.35"/>
  <cols>
    <col min="1" max="1" width="12.26953125" style="6" customWidth="1"/>
    <col min="2" max="2" width="94.7265625" style="6" customWidth="1"/>
    <col min="3" max="3" width="22.1796875" style="6" hidden="1" customWidth="1"/>
    <col min="4" max="4" width="28.54296875" style="6" customWidth="1"/>
  </cols>
  <sheetData>
    <row r="1" spans="1:4" ht="15.75" customHeight="1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56</v>
      </c>
      <c r="C3" s="264"/>
      <c r="D3" s="264"/>
    </row>
    <row r="4" spans="1:4" x14ac:dyDescent="0.35">
      <c r="A4" s="12"/>
      <c r="B4" s="11"/>
      <c r="C4" s="13"/>
      <c r="D4" s="96"/>
    </row>
    <row r="5" spans="1:4" x14ac:dyDescent="0.35">
      <c r="A5" s="12"/>
      <c r="B5" s="15"/>
      <c r="C5" s="12"/>
      <c r="D5" s="11" t="s">
        <v>282</v>
      </c>
    </row>
    <row r="6" spans="1:4" x14ac:dyDescent="0.35">
      <c r="A6" s="12"/>
      <c r="B6" s="11"/>
      <c r="C6" s="1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ht="15" customHeight="1" x14ac:dyDescent="0.35">
      <c r="A9" s="262" t="s">
        <v>1</v>
      </c>
      <c r="B9" s="262"/>
      <c r="C9" s="9"/>
    </row>
    <row r="10" spans="1:4" ht="15" customHeight="1" x14ac:dyDescent="0.35">
      <c r="A10" s="262" t="s">
        <v>0</v>
      </c>
      <c r="B10" s="262"/>
      <c r="C10" s="9"/>
    </row>
    <row r="11" spans="1:4" x14ac:dyDescent="0.35">
      <c r="A11" s="9"/>
      <c r="B11" s="262" t="s">
        <v>245</v>
      </c>
      <c r="C11" s="259"/>
      <c r="D11" s="259"/>
    </row>
    <row r="12" spans="1:4" ht="15" customHeight="1" x14ac:dyDescent="0.35">
      <c r="A12" s="9"/>
      <c r="B12" s="9" t="s">
        <v>246</v>
      </c>
      <c r="C12" s="9"/>
      <c r="D12" s="14"/>
    </row>
    <row r="13" spans="1:4" ht="15" customHeight="1" x14ac:dyDescent="0.35">
      <c r="A13" s="9"/>
      <c r="B13" s="9"/>
      <c r="C13" s="9"/>
      <c r="D13" s="14"/>
    </row>
    <row r="14" spans="1:4" ht="15" customHeight="1" x14ac:dyDescent="0.35">
      <c r="A14" s="9" t="s">
        <v>2</v>
      </c>
      <c r="B14" s="9" t="s">
        <v>259</v>
      </c>
      <c r="C14" s="9"/>
    </row>
    <row r="15" spans="1:4" s="5" customFormat="1" ht="67.5" customHeight="1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>
        <v>4</v>
      </c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8">
        <f>11284.18+56.81</f>
        <v>11340.99</v>
      </c>
      <c r="D18" s="28">
        <v>2268.1999999999998</v>
      </c>
    </row>
    <row r="19" spans="1:4" ht="15.75" customHeight="1" x14ac:dyDescent="0.25">
      <c r="A19" s="27">
        <v>1200</v>
      </c>
      <c r="B19" s="29" t="s">
        <v>192</v>
      </c>
      <c r="C19" s="28">
        <v>2732.04</v>
      </c>
      <c r="D19" s="28">
        <v>546.41</v>
      </c>
    </row>
    <row r="20" spans="1:4" ht="14.25" hidden="1" customHeight="1" x14ac:dyDescent="0.25">
      <c r="A20" s="27">
        <v>2210</v>
      </c>
      <c r="B20" s="29" t="s">
        <v>27</v>
      </c>
      <c r="C20" s="28"/>
      <c r="D20" s="28">
        <f>C20/10*2</f>
        <v>0</v>
      </c>
    </row>
    <row r="21" spans="1:4" x14ac:dyDescent="0.25">
      <c r="A21" s="27">
        <v>2222</v>
      </c>
      <c r="B21" s="29" t="s">
        <v>28</v>
      </c>
      <c r="C21" s="28">
        <v>159.61000000000001</v>
      </c>
      <c r="D21" s="28">
        <v>31.92</v>
      </c>
    </row>
    <row r="22" spans="1:4" x14ac:dyDescent="0.25">
      <c r="A22" s="27">
        <v>2223</v>
      </c>
      <c r="B22" s="29" t="s">
        <v>29</v>
      </c>
      <c r="C22" s="28">
        <v>617.09</v>
      </c>
      <c r="D22" s="28">
        <v>123.42</v>
      </c>
    </row>
    <row r="23" spans="1:4" ht="15" hidden="1" customHeight="1" x14ac:dyDescent="0.25">
      <c r="A23" s="27">
        <v>2243</v>
      </c>
      <c r="B23" s="29" t="s">
        <v>9</v>
      </c>
      <c r="C23" s="28"/>
      <c r="D23" s="28">
        <f>C23/10*2</f>
        <v>0</v>
      </c>
    </row>
    <row r="24" spans="1:4" x14ac:dyDescent="0.25">
      <c r="A24" s="27">
        <v>2244</v>
      </c>
      <c r="B24" s="29" t="s">
        <v>252</v>
      </c>
      <c r="C24" s="28">
        <v>1028.07</v>
      </c>
      <c r="D24" s="28">
        <v>205.61</v>
      </c>
    </row>
    <row r="25" spans="1:4" hidden="1" x14ac:dyDescent="0.25">
      <c r="A25" s="27">
        <v>2250</v>
      </c>
      <c r="B25" s="29" t="s">
        <v>186</v>
      </c>
      <c r="C25" s="28"/>
      <c r="D25" s="28">
        <f>C25/10*2</f>
        <v>0</v>
      </c>
    </row>
    <row r="26" spans="1:4" x14ac:dyDescent="0.25">
      <c r="A26" s="27">
        <v>2311</v>
      </c>
      <c r="B26" s="29" t="s">
        <v>72</v>
      </c>
      <c r="C26" s="28">
        <f>18.04+27.57</f>
        <v>45.61</v>
      </c>
      <c r="D26" s="28">
        <v>9.1199999999999992</v>
      </c>
    </row>
    <row r="27" spans="1:4" x14ac:dyDescent="0.25">
      <c r="A27" s="27">
        <v>2312</v>
      </c>
      <c r="B27" s="29" t="s">
        <v>16</v>
      </c>
      <c r="C27" s="28">
        <f>84.5+193.53+201</f>
        <v>479.03</v>
      </c>
      <c r="D27" s="28">
        <v>95.81</v>
      </c>
    </row>
    <row r="28" spans="1:4" x14ac:dyDescent="0.25">
      <c r="A28" s="27">
        <v>2262</v>
      </c>
      <c r="B28" s="29" t="s">
        <v>249</v>
      </c>
      <c r="C28" s="28">
        <v>25.08</v>
      </c>
      <c r="D28" s="28">
        <v>5.0199999999999996</v>
      </c>
    </row>
    <row r="29" spans="1:4" ht="15" customHeight="1" x14ac:dyDescent="0.25">
      <c r="A29" s="27">
        <v>2321</v>
      </c>
      <c r="B29" s="29" t="s">
        <v>17</v>
      </c>
      <c r="C29" s="28">
        <v>691.93</v>
      </c>
      <c r="D29" s="28">
        <v>138.38999999999999</v>
      </c>
    </row>
    <row r="30" spans="1:4" ht="15" customHeight="1" x14ac:dyDescent="0.25">
      <c r="A30" s="27">
        <v>2322</v>
      </c>
      <c r="B30" s="29" t="s">
        <v>250</v>
      </c>
      <c r="C30" s="28">
        <v>25.54</v>
      </c>
      <c r="D30" s="28">
        <v>5.1100000000000003</v>
      </c>
    </row>
    <row r="31" spans="1:4" ht="15" customHeight="1" x14ac:dyDescent="0.25">
      <c r="A31" s="27">
        <v>2350</v>
      </c>
      <c r="B31" s="29" t="s">
        <v>224</v>
      </c>
      <c r="C31" s="28">
        <v>26.62</v>
      </c>
      <c r="D31" s="28">
        <v>5.32</v>
      </c>
    </row>
    <row r="32" spans="1:4" hidden="1" x14ac:dyDescent="0.25">
      <c r="A32" s="27">
        <v>2361</v>
      </c>
      <c r="B32" s="29" t="s">
        <v>20</v>
      </c>
      <c r="C32" s="28"/>
      <c r="D32" s="28">
        <f>C32/10*2</f>
        <v>0</v>
      </c>
    </row>
    <row r="33" spans="1:4" x14ac:dyDescent="0.25">
      <c r="A33" s="27">
        <v>2366</v>
      </c>
      <c r="B33" s="29" t="s">
        <v>248</v>
      </c>
      <c r="C33" s="28">
        <v>42.5</v>
      </c>
      <c r="D33" s="28">
        <v>8.5</v>
      </c>
    </row>
    <row r="34" spans="1:4" x14ac:dyDescent="0.25">
      <c r="A34" s="27">
        <v>2370</v>
      </c>
      <c r="B34" s="29" t="s">
        <v>69</v>
      </c>
      <c r="C34" s="28">
        <f>481.89+320.35+1719.82</f>
        <v>2522.06</v>
      </c>
      <c r="D34" s="28">
        <v>504.41</v>
      </c>
    </row>
    <row r="35" spans="1:4" ht="15" customHeight="1" x14ac:dyDescent="0.25">
      <c r="A35" s="27">
        <v>5239</v>
      </c>
      <c r="B35" s="29" t="s">
        <v>57</v>
      </c>
      <c r="C35" s="28">
        <v>78.989999999999995</v>
      </c>
      <c r="D35" s="28">
        <v>15.8</v>
      </c>
    </row>
    <row r="36" spans="1:4" ht="15" customHeight="1" x14ac:dyDescent="0.25">
      <c r="A36" s="27"/>
      <c r="B36" s="30" t="s">
        <v>65</v>
      </c>
      <c r="C36" s="31">
        <f>SUM(C18:C35)</f>
        <v>19815.160000000003</v>
      </c>
      <c r="D36" s="31">
        <f>SUM(D18:D35)</f>
        <v>3963.04</v>
      </c>
    </row>
    <row r="37" spans="1:4" ht="15" customHeight="1" x14ac:dyDescent="0.25">
      <c r="A37" s="32"/>
      <c r="B37" s="27" t="s">
        <v>64</v>
      </c>
      <c r="C37" s="26"/>
      <c r="D37" s="26"/>
    </row>
    <row r="38" spans="1:4" ht="15" customHeight="1" x14ac:dyDescent="0.25">
      <c r="A38" s="27">
        <v>1100</v>
      </c>
      <c r="B38" s="27" t="s">
        <v>63</v>
      </c>
      <c r="C38" s="28">
        <v>1969.31</v>
      </c>
      <c r="D38" s="28">
        <v>393.86</v>
      </c>
    </row>
    <row r="39" spans="1:4" ht="15.75" customHeight="1" x14ac:dyDescent="0.25">
      <c r="A39" s="27">
        <v>1200</v>
      </c>
      <c r="B39" s="29" t="s">
        <v>192</v>
      </c>
      <c r="C39" s="28">
        <v>474.41</v>
      </c>
      <c r="D39" s="28">
        <v>94.88</v>
      </c>
    </row>
    <row r="40" spans="1:4" ht="15" customHeight="1" x14ac:dyDescent="0.25">
      <c r="A40" s="33">
        <v>2210</v>
      </c>
      <c r="B40" s="29" t="s">
        <v>142</v>
      </c>
      <c r="C40" s="28">
        <v>40.89</v>
      </c>
      <c r="D40" s="28">
        <v>8.18</v>
      </c>
    </row>
    <row r="41" spans="1:4" ht="31.5" customHeight="1" x14ac:dyDescent="0.25">
      <c r="A41" s="33">
        <v>2224</v>
      </c>
      <c r="B41" s="29" t="s">
        <v>283</v>
      </c>
      <c r="C41" s="28">
        <v>49.06</v>
      </c>
      <c r="D41" s="28">
        <v>9.81</v>
      </c>
    </row>
    <row r="42" spans="1:4" ht="15" customHeight="1" x14ac:dyDescent="0.25">
      <c r="A42" s="27">
        <v>2231</v>
      </c>
      <c r="B42" s="29" t="s">
        <v>226</v>
      </c>
      <c r="C42" s="28">
        <v>218.73</v>
      </c>
      <c r="D42" s="28">
        <v>43.75</v>
      </c>
    </row>
    <row r="43" spans="1:4" ht="15" customHeight="1" x14ac:dyDescent="0.25">
      <c r="A43" s="27">
        <v>2232</v>
      </c>
      <c r="B43" s="29" t="s">
        <v>243</v>
      </c>
      <c r="C43" s="28">
        <v>175.8</v>
      </c>
      <c r="D43" s="28">
        <v>35.159999999999997</v>
      </c>
    </row>
    <row r="44" spans="1:4" ht="15" customHeight="1" x14ac:dyDescent="0.25">
      <c r="A44" s="27">
        <v>2239</v>
      </c>
      <c r="B44" s="29" t="s">
        <v>205</v>
      </c>
      <c r="C44" s="28">
        <v>286.2</v>
      </c>
      <c r="D44" s="28">
        <v>57.24</v>
      </c>
    </row>
    <row r="45" spans="1:4" ht="15" customHeight="1" x14ac:dyDescent="0.25">
      <c r="A45" s="27">
        <v>2242</v>
      </c>
      <c r="B45" s="29" t="s">
        <v>8</v>
      </c>
      <c r="C45" s="28">
        <v>11.45</v>
      </c>
      <c r="D45" s="28">
        <v>2.29</v>
      </c>
    </row>
    <row r="46" spans="1:4" ht="15" customHeight="1" x14ac:dyDescent="0.25">
      <c r="A46" s="27">
        <v>2243</v>
      </c>
      <c r="B46" s="29" t="s">
        <v>9</v>
      </c>
      <c r="C46" s="28">
        <v>73.59</v>
      </c>
      <c r="D46" s="28">
        <v>14.72</v>
      </c>
    </row>
    <row r="47" spans="1:4" ht="15" customHeight="1" x14ac:dyDescent="0.25">
      <c r="A47" s="27">
        <v>2244</v>
      </c>
      <c r="B47" s="29" t="s">
        <v>252</v>
      </c>
      <c r="C47" s="28">
        <v>327.07</v>
      </c>
      <c r="D47" s="28">
        <v>65.41</v>
      </c>
    </row>
    <row r="48" spans="1:4" hidden="1" x14ac:dyDescent="0.25">
      <c r="A48" s="27">
        <v>2247</v>
      </c>
      <c r="B48" s="25" t="s">
        <v>59</v>
      </c>
      <c r="C48" s="28">
        <f>F46*G48</f>
        <v>0</v>
      </c>
      <c r="D48" s="28">
        <f>C48/10*2</f>
        <v>0</v>
      </c>
    </row>
    <row r="49" spans="1:6" ht="15" customHeight="1" x14ac:dyDescent="0.25">
      <c r="A49" s="27">
        <v>2250</v>
      </c>
      <c r="B49" s="29" t="s">
        <v>186</v>
      </c>
      <c r="C49" s="28">
        <v>134.91999999999999</v>
      </c>
      <c r="D49" s="28">
        <v>26.98</v>
      </c>
    </row>
    <row r="50" spans="1:6" ht="15" hidden="1" customHeight="1" x14ac:dyDescent="0.25">
      <c r="A50" s="27">
        <v>2311</v>
      </c>
      <c r="B50" s="29" t="s">
        <v>15</v>
      </c>
      <c r="C50" s="28">
        <f>F48*G50</f>
        <v>0</v>
      </c>
      <c r="D50" s="28">
        <f>C50/10*2</f>
        <v>0</v>
      </c>
    </row>
    <row r="51" spans="1:6" ht="15" hidden="1" customHeight="1" x14ac:dyDescent="0.25">
      <c r="A51" s="27">
        <v>2312</v>
      </c>
      <c r="B51" s="29" t="s">
        <v>16</v>
      </c>
      <c r="C51" s="28">
        <f>F49*G51</f>
        <v>0</v>
      </c>
      <c r="D51" s="28">
        <f>C51/10*2</f>
        <v>0</v>
      </c>
    </row>
    <row r="52" spans="1:6" ht="15" customHeight="1" x14ac:dyDescent="0.25">
      <c r="A52" s="27">
        <v>2314</v>
      </c>
      <c r="B52" s="29" t="s">
        <v>242</v>
      </c>
      <c r="C52" s="28">
        <v>57.24</v>
      </c>
      <c r="D52" s="28">
        <v>11.45</v>
      </c>
    </row>
    <row r="53" spans="1:6" ht="15" customHeight="1" x14ac:dyDescent="0.25">
      <c r="A53" s="27">
        <v>2321</v>
      </c>
      <c r="B53" s="29" t="s">
        <v>244</v>
      </c>
      <c r="C53" s="28">
        <v>5.32</v>
      </c>
      <c r="D53" s="28">
        <v>1.07</v>
      </c>
    </row>
    <row r="54" spans="1:6" ht="15" customHeight="1" x14ac:dyDescent="0.25">
      <c r="A54" s="27">
        <v>2322</v>
      </c>
      <c r="B54" s="29" t="s">
        <v>18</v>
      </c>
      <c r="C54" s="28">
        <v>19.22</v>
      </c>
      <c r="D54" s="28">
        <v>3.84</v>
      </c>
    </row>
    <row r="55" spans="1:6" ht="15" customHeight="1" x14ac:dyDescent="0.25">
      <c r="A55" s="27">
        <v>2350</v>
      </c>
      <c r="B55" s="29" t="s">
        <v>253</v>
      </c>
      <c r="C55" s="28">
        <v>110.39</v>
      </c>
      <c r="D55" s="28">
        <v>22.08</v>
      </c>
    </row>
    <row r="56" spans="1:6" ht="15" customHeight="1" x14ac:dyDescent="0.25">
      <c r="A56" s="27">
        <v>2513</v>
      </c>
      <c r="B56" s="29" t="s">
        <v>238</v>
      </c>
      <c r="C56" s="28">
        <v>73.59</v>
      </c>
      <c r="D56" s="28">
        <v>14.72</v>
      </c>
    </row>
    <row r="57" spans="1:6" ht="15" customHeight="1" x14ac:dyDescent="0.25">
      <c r="A57" s="27">
        <v>2515</v>
      </c>
      <c r="B57" s="29" t="s">
        <v>58</v>
      </c>
      <c r="C57" s="28">
        <v>12.27</v>
      </c>
      <c r="D57" s="28">
        <v>2.4500000000000002</v>
      </c>
    </row>
    <row r="58" spans="1:6" ht="15" customHeight="1" x14ac:dyDescent="0.25">
      <c r="A58" s="27">
        <v>5239</v>
      </c>
      <c r="B58" s="29" t="s">
        <v>57</v>
      </c>
      <c r="C58" s="28">
        <v>49.06</v>
      </c>
      <c r="D58" s="28">
        <v>9.81</v>
      </c>
    </row>
    <row r="59" spans="1:6" x14ac:dyDescent="0.25">
      <c r="A59" s="32"/>
      <c r="B59" s="34" t="s">
        <v>66</v>
      </c>
      <c r="C59" s="31">
        <f>SUM(C38:C58)</f>
        <v>4088.5199999999995</v>
      </c>
      <c r="D59" s="31">
        <f>SUM(D38:D58)</f>
        <v>817.70000000000016</v>
      </c>
    </row>
    <row r="60" spans="1:6" ht="15" customHeight="1" x14ac:dyDescent="0.25">
      <c r="A60" s="32"/>
      <c r="B60" s="34" t="s">
        <v>32</v>
      </c>
      <c r="C60" s="31">
        <f>C36+C59</f>
        <v>23903.680000000004</v>
      </c>
      <c r="D60" s="31">
        <f>D36+D59</f>
        <v>4780.74</v>
      </c>
    </row>
    <row r="61" spans="1:6" x14ac:dyDescent="0.35">
      <c r="A61" s="35"/>
      <c r="B61" s="20"/>
      <c r="C61" s="20"/>
      <c r="D61" s="92"/>
      <c r="F61" s="60"/>
    </row>
    <row r="62" spans="1:6" x14ac:dyDescent="0.25">
      <c r="A62" s="262" t="s">
        <v>45</v>
      </c>
      <c r="B62" s="262"/>
      <c r="C62" s="21">
        <v>10</v>
      </c>
      <c r="D62" s="107">
        <v>2</v>
      </c>
    </row>
    <row r="63" spans="1:6" ht="15.75" customHeight="1" x14ac:dyDescent="0.3">
      <c r="A63" s="262" t="s">
        <v>46</v>
      </c>
      <c r="B63" s="262"/>
      <c r="C63" s="37">
        <f>C60/C62</f>
        <v>2390.3680000000004</v>
      </c>
      <c r="D63" s="108">
        <f>D60/D62</f>
        <v>2390.37</v>
      </c>
    </row>
    <row r="64" spans="1:6" ht="15.75" customHeight="1" x14ac:dyDescent="0.3">
      <c r="A64" s="9"/>
      <c r="B64" s="9"/>
      <c r="C64" s="36"/>
      <c r="D64" s="36"/>
    </row>
    <row r="65" spans="1:4" s="2" customFormat="1" x14ac:dyDescent="0.35">
      <c r="A65" s="267" t="s">
        <v>37</v>
      </c>
      <c r="B65" s="268"/>
      <c r="C65" s="39"/>
      <c r="D65" s="39"/>
    </row>
    <row r="66" spans="1:4" s="2" customFormat="1" x14ac:dyDescent="0.35">
      <c r="A66" s="267" t="s">
        <v>54</v>
      </c>
      <c r="B66" s="268"/>
      <c r="C66" s="39"/>
      <c r="D66" s="39"/>
    </row>
    <row r="67" spans="1:4" s="2" customFormat="1" ht="15" customHeight="1" x14ac:dyDescent="0.35">
      <c r="A67" s="17"/>
      <c r="B67" s="17"/>
      <c r="C67" s="17"/>
      <c r="D67" s="65"/>
    </row>
    <row r="68" spans="1:4" s="2" customFormat="1" x14ac:dyDescent="0.35">
      <c r="A68" s="17" t="s">
        <v>38</v>
      </c>
      <c r="B68" s="17"/>
      <c r="C68" s="17"/>
      <c r="D68" s="17"/>
    </row>
    <row r="69" spans="1:4" s="2" customFormat="1" ht="15" customHeight="1" x14ac:dyDescent="0.35">
      <c r="A69" s="17"/>
      <c r="B69" s="17"/>
      <c r="C69" s="17"/>
      <c r="D69" s="17"/>
    </row>
    <row r="70" spans="1:4" s="2" customFormat="1" x14ac:dyDescent="0.35">
      <c r="A70" s="17" t="s">
        <v>47</v>
      </c>
      <c r="B70" s="18"/>
      <c r="C70" s="18"/>
      <c r="D70" s="91"/>
    </row>
    <row r="71" spans="1:4" s="2" customFormat="1" ht="13.9" customHeight="1" x14ac:dyDescent="0.35">
      <c r="A71" s="17"/>
      <c r="B71" s="96"/>
      <c r="C71" s="17"/>
      <c r="D71" s="65"/>
    </row>
    <row r="72" spans="1:4" s="2" customFormat="1" ht="13.9" customHeight="1" x14ac:dyDescent="0.35">
      <c r="A72" s="17"/>
      <c r="B72" s="19"/>
      <c r="C72" s="17"/>
      <c r="D72" s="17"/>
    </row>
    <row r="73" spans="1:4" s="1" customFormat="1" x14ac:dyDescent="0.35">
      <c r="A73" s="6"/>
      <c r="B73" s="6"/>
      <c r="C73" s="6"/>
      <c r="D73" s="6"/>
    </row>
  </sheetData>
  <mergeCells count="11">
    <mergeCell ref="B11:D11"/>
    <mergeCell ref="A62:B62"/>
    <mergeCell ref="A63:B63"/>
    <mergeCell ref="A65:B65"/>
    <mergeCell ref="A66:B66"/>
    <mergeCell ref="B1:D1"/>
    <mergeCell ref="B2:D2"/>
    <mergeCell ref="B3:D3"/>
    <mergeCell ref="A7:D7"/>
    <mergeCell ref="A9:B9"/>
    <mergeCell ref="A10:B10"/>
  </mergeCells>
  <pageMargins left="0.11811023622047245" right="0.11811023622047245" top="0.74803149606299213" bottom="0.15748031496062992" header="0.31496062992125984" footer="0.31496062992125984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opLeftCell="A52" workbookViewId="0">
      <selection activeCell="B11" sqref="B11:D11"/>
    </sheetView>
  </sheetViews>
  <sheetFormatPr defaultRowHeight="15.5" x14ac:dyDescent="0.35"/>
  <cols>
    <col min="1" max="1" width="12.26953125" style="6" customWidth="1"/>
    <col min="2" max="2" width="94.7265625" style="6" customWidth="1"/>
    <col min="3" max="3" width="22.1796875" style="6" hidden="1" customWidth="1"/>
    <col min="4" max="4" width="28.54296875" style="6" customWidth="1"/>
  </cols>
  <sheetData>
    <row r="1" spans="1:4" ht="15.75" customHeight="1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56</v>
      </c>
      <c r="C3" s="264"/>
      <c r="D3" s="264"/>
    </row>
    <row r="4" spans="1:4" x14ac:dyDescent="0.35">
      <c r="A4" s="12"/>
      <c r="B4" s="11"/>
      <c r="C4" s="13"/>
      <c r="D4" s="96"/>
    </row>
    <row r="5" spans="1:4" x14ac:dyDescent="0.35">
      <c r="A5" s="12"/>
      <c r="B5" s="15"/>
      <c r="C5" s="12"/>
      <c r="D5" s="11" t="s">
        <v>282</v>
      </c>
    </row>
    <row r="6" spans="1:4" x14ac:dyDescent="0.35">
      <c r="A6" s="12"/>
      <c r="B6" s="11"/>
      <c r="C6" s="1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ht="15" customHeight="1" x14ac:dyDescent="0.35">
      <c r="A9" s="262" t="s">
        <v>1</v>
      </c>
      <c r="B9" s="262"/>
      <c r="C9" s="9"/>
    </row>
    <row r="10" spans="1:4" ht="15" customHeight="1" x14ac:dyDescent="0.35">
      <c r="A10" s="262" t="s">
        <v>0</v>
      </c>
      <c r="B10" s="262"/>
      <c r="C10" s="9"/>
    </row>
    <row r="11" spans="1:4" ht="28.5" customHeight="1" x14ac:dyDescent="0.35">
      <c r="A11" s="9"/>
      <c r="B11" s="271" t="s">
        <v>245</v>
      </c>
      <c r="C11" s="259"/>
      <c r="D11" s="259"/>
    </row>
    <row r="12" spans="1:4" ht="15" customHeight="1" x14ac:dyDescent="0.35">
      <c r="A12" s="9"/>
      <c r="B12" s="9" t="s">
        <v>251</v>
      </c>
      <c r="C12" s="9"/>
      <c r="D12" s="14"/>
    </row>
    <row r="13" spans="1:4" ht="15" customHeight="1" x14ac:dyDescent="0.35">
      <c r="A13" s="9"/>
      <c r="B13" s="9"/>
      <c r="C13" s="9"/>
      <c r="D13" s="14"/>
    </row>
    <row r="14" spans="1:4" ht="15" customHeight="1" x14ac:dyDescent="0.35">
      <c r="A14" s="9" t="s">
        <v>2</v>
      </c>
      <c r="B14" s="9" t="s">
        <v>259</v>
      </c>
      <c r="C14" s="9"/>
    </row>
    <row r="15" spans="1:4" s="5" customFormat="1" ht="66.75" customHeight="1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>
        <v>4</v>
      </c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8">
        <v>19071.53</v>
      </c>
      <c r="D18" s="28">
        <v>3814.31</v>
      </c>
    </row>
    <row r="19" spans="1:4" ht="15.75" customHeight="1" x14ac:dyDescent="0.25">
      <c r="A19" s="27">
        <v>1200</v>
      </c>
      <c r="B19" s="29" t="s">
        <v>62</v>
      </c>
      <c r="C19" s="28">
        <v>4594.33</v>
      </c>
      <c r="D19" s="28">
        <v>918.87</v>
      </c>
    </row>
    <row r="20" spans="1:4" ht="14.25" hidden="1" customHeight="1" x14ac:dyDescent="0.25">
      <c r="A20" s="27">
        <v>2210</v>
      </c>
      <c r="B20" s="29" t="s">
        <v>27</v>
      </c>
      <c r="C20" s="28"/>
      <c r="D20" s="28">
        <f>C20/10*2</f>
        <v>0</v>
      </c>
    </row>
    <row r="21" spans="1:4" x14ac:dyDescent="0.25">
      <c r="A21" s="27">
        <v>2222</v>
      </c>
      <c r="B21" s="29" t="s">
        <v>28</v>
      </c>
      <c r="C21" s="28">
        <v>166.11</v>
      </c>
      <c r="D21" s="28">
        <v>33.22</v>
      </c>
    </row>
    <row r="22" spans="1:4" x14ac:dyDescent="0.25">
      <c r="A22" s="27">
        <v>2223</v>
      </c>
      <c r="B22" s="29" t="s">
        <v>29</v>
      </c>
      <c r="C22" s="28">
        <v>892.44</v>
      </c>
      <c r="D22" s="28">
        <v>178.49</v>
      </c>
    </row>
    <row r="23" spans="1:4" ht="15" hidden="1" customHeight="1" x14ac:dyDescent="0.25">
      <c r="A23" s="27">
        <v>2243</v>
      </c>
      <c r="B23" s="29" t="s">
        <v>9</v>
      </c>
      <c r="C23" s="28"/>
      <c r="D23" s="28">
        <f>C23/10*2</f>
        <v>0</v>
      </c>
    </row>
    <row r="24" spans="1:4" x14ac:dyDescent="0.25">
      <c r="A24" s="27">
        <v>2244</v>
      </c>
      <c r="B24" s="29" t="s">
        <v>252</v>
      </c>
      <c r="C24" s="28">
        <v>1477.53</v>
      </c>
      <c r="D24" s="28">
        <v>295.51</v>
      </c>
    </row>
    <row r="25" spans="1:4" hidden="1" x14ac:dyDescent="0.25">
      <c r="A25" s="27">
        <v>2250</v>
      </c>
      <c r="B25" s="29" t="s">
        <v>186</v>
      </c>
      <c r="C25" s="28"/>
      <c r="D25" s="28">
        <f>C25/10*2</f>
        <v>0</v>
      </c>
    </row>
    <row r="26" spans="1:4" x14ac:dyDescent="0.25">
      <c r="A26" s="27">
        <v>2311</v>
      </c>
      <c r="B26" s="29" t="s">
        <v>72</v>
      </c>
      <c r="C26" s="28">
        <v>90.69</v>
      </c>
      <c r="D26" s="28">
        <v>18.14</v>
      </c>
    </row>
    <row r="27" spans="1:4" x14ac:dyDescent="0.25">
      <c r="A27" s="27">
        <v>2312</v>
      </c>
      <c r="B27" s="29" t="s">
        <v>16</v>
      </c>
      <c r="C27" s="28">
        <v>1580.43</v>
      </c>
      <c r="D27" s="28">
        <v>316.08999999999997</v>
      </c>
    </row>
    <row r="28" spans="1:4" x14ac:dyDescent="0.25">
      <c r="A28" s="27">
        <v>2262</v>
      </c>
      <c r="B28" s="29" t="s">
        <v>249</v>
      </c>
      <c r="C28" s="28">
        <v>25.08</v>
      </c>
      <c r="D28" s="28">
        <v>5.0199999999999996</v>
      </c>
    </row>
    <row r="29" spans="1:4" ht="15" customHeight="1" x14ac:dyDescent="0.25">
      <c r="A29" s="27">
        <v>2321</v>
      </c>
      <c r="B29" s="29" t="s">
        <v>17</v>
      </c>
      <c r="C29" s="28">
        <v>1229.92</v>
      </c>
      <c r="D29" s="28">
        <v>245.98</v>
      </c>
    </row>
    <row r="30" spans="1:4" ht="15" customHeight="1" x14ac:dyDescent="0.25">
      <c r="A30" s="27">
        <v>2322</v>
      </c>
      <c r="B30" s="29" t="s">
        <v>250</v>
      </c>
      <c r="C30" s="28">
        <v>25.54</v>
      </c>
      <c r="D30" s="28">
        <v>5.1100000000000003</v>
      </c>
    </row>
    <row r="31" spans="1:4" ht="15" hidden="1" customHeight="1" x14ac:dyDescent="0.25">
      <c r="A31" s="27">
        <v>2350</v>
      </c>
      <c r="B31" s="29" t="s">
        <v>224</v>
      </c>
      <c r="C31" s="28"/>
      <c r="D31" s="28">
        <f>C31/10*2</f>
        <v>0</v>
      </c>
    </row>
    <row r="32" spans="1:4" hidden="1" x14ac:dyDescent="0.25">
      <c r="A32" s="27">
        <v>2361</v>
      </c>
      <c r="B32" s="29" t="s">
        <v>20</v>
      </c>
      <c r="C32" s="28"/>
      <c r="D32" s="28">
        <f>C32/10*2</f>
        <v>0</v>
      </c>
    </row>
    <row r="33" spans="1:4" x14ac:dyDescent="0.25">
      <c r="A33" s="27">
        <v>2366</v>
      </c>
      <c r="B33" s="29" t="s">
        <v>248</v>
      </c>
      <c r="C33" s="28">
        <v>42.5</v>
      </c>
      <c r="D33" s="28">
        <v>8.5</v>
      </c>
    </row>
    <row r="34" spans="1:4" x14ac:dyDescent="0.25">
      <c r="A34" s="27">
        <v>2370</v>
      </c>
      <c r="B34" s="29" t="s">
        <v>69</v>
      </c>
      <c r="C34" s="28">
        <v>953.25</v>
      </c>
      <c r="D34" s="28">
        <v>190.65</v>
      </c>
    </row>
    <row r="35" spans="1:4" ht="15" customHeight="1" x14ac:dyDescent="0.25">
      <c r="A35" s="27">
        <v>5239</v>
      </c>
      <c r="B35" s="29" t="s">
        <v>57</v>
      </c>
      <c r="C35" s="28">
        <f>1408.96+376.53</f>
        <v>1785.49</v>
      </c>
      <c r="D35" s="28">
        <v>357.1</v>
      </c>
    </row>
    <row r="36" spans="1:4" ht="15" customHeight="1" x14ac:dyDescent="0.25">
      <c r="A36" s="27"/>
      <c r="B36" s="30" t="s">
        <v>65</v>
      </c>
      <c r="C36" s="31">
        <f>SUM(C18:C35)</f>
        <v>31934.84</v>
      </c>
      <c r="D36" s="31">
        <f>SUM(D18:D35)</f>
        <v>6386.9900000000007</v>
      </c>
    </row>
    <row r="37" spans="1:4" ht="15" customHeight="1" x14ac:dyDescent="0.25">
      <c r="A37" s="32"/>
      <c r="B37" s="27" t="s">
        <v>64</v>
      </c>
      <c r="C37" s="26"/>
      <c r="D37" s="26"/>
    </row>
    <row r="38" spans="1:4" ht="15" customHeight="1" x14ac:dyDescent="0.25">
      <c r="A38" s="27">
        <v>1100</v>
      </c>
      <c r="B38" s="27" t="s">
        <v>63</v>
      </c>
      <c r="C38" s="28">
        <v>3468.99</v>
      </c>
      <c r="D38" s="28">
        <v>693.79</v>
      </c>
    </row>
    <row r="39" spans="1:4" ht="15.75" customHeight="1" x14ac:dyDescent="0.25">
      <c r="A39" s="27">
        <v>1200</v>
      </c>
      <c r="B39" s="29" t="s">
        <v>62</v>
      </c>
      <c r="C39" s="28">
        <v>835.43</v>
      </c>
      <c r="D39" s="28">
        <v>167.13</v>
      </c>
    </row>
    <row r="40" spans="1:4" ht="15" customHeight="1" x14ac:dyDescent="0.25">
      <c r="A40" s="33">
        <v>2210</v>
      </c>
      <c r="B40" s="29" t="s">
        <v>142</v>
      </c>
      <c r="C40" s="28">
        <v>72.02</v>
      </c>
      <c r="D40" s="28">
        <v>14.4</v>
      </c>
    </row>
    <row r="41" spans="1:4" ht="32.25" customHeight="1" x14ac:dyDescent="0.25">
      <c r="A41" s="33">
        <v>2224</v>
      </c>
      <c r="B41" s="29" t="s">
        <v>283</v>
      </c>
      <c r="C41" s="28">
        <v>86.42</v>
      </c>
      <c r="D41" s="28">
        <v>17.28</v>
      </c>
    </row>
    <row r="42" spans="1:4" ht="15" customHeight="1" x14ac:dyDescent="0.25">
      <c r="A42" s="27">
        <v>2231</v>
      </c>
      <c r="B42" s="29" t="s">
        <v>226</v>
      </c>
      <c r="C42" s="28">
        <v>385.31</v>
      </c>
      <c r="D42" s="28">
        <v>77.040000000000006</v>
      </c>
    </row>
    <row r="43" spans="1:4" ht="15" customHeight="1" x14ac:dyDescent="0.25">
      <c r="A43" s="27">
        <v>2232</v>
      </c>
      <c r="B43" s="29" t="s">
        <v>243</v>
      </c>
      <c r="C43" s="28">
        <v>309.67</v>
      </c>
      <c r="D43" s="28">
        <v>61.93</v>
      </c>
    </row>
    <row r="44" spans="1:4" ht="15" customHeight="1" x14ac:dyDescent="0.25">
      <c r="A44" s="27">
        <v>2239</v>
      </c>
      <c r="B44" s="29" t="s">
        <v>205</v>
      </c>
      <c r="C44" s="28">
        <v>504.14</v>
      </c>
      <c r="D44" s="28">
        <v>100.83</v>
      </c>
    </row>
    <row r="45" spans="1:4" ht="15" customHeight="1" x14ac:dyDescent="0.25">
      <c r="A45" s="27">
        <v>2242</v>
      </c>
      <c r="B45" s="29" t="s">
        <v>8</v>
      </c>
      <c r="C45" s="28">
        <v>20.170000000000002</v>
      </c>
      <c r="D45" s="28">
        <v>4.03</v>
      </c>
    </row>
    <row r="46" spans="1:4" ht="15" customHeight="1" x14ac:dyDescent="0.25">
      <c r="A46" s="27">
        <v>2243</v>
      </c>
      <c r="B46" s="29" t="s">
        <v>9</v>
      </c>
      <c r="C46" s="28">
        <v>129.63</v>
      </c>
      <c r="D46" s="28">
        <v>25.9</v>
      </c>
    </row>
    <row r="47" spans="1:4" ht="15" customHeight="1" x14ac:dyDescent="0.25">
      <c r="A47" s="27">
        <v>2244</v>
      </c>
      <c r="B47" s="29" t="s">
        <v>252</v>
      </c>
      <c r="C47" s="28">
        <v>575.29999999999995</v>
      </c>
      <c r="D47" s="28">
        <v>115.22</v>
      </c>
    </row>
    <row r="48" spans="1:4" hidden="1" x14ac:dyDescent="0.25">
      <c r="A48" s="27">
        <v>2247</v>
      </c>
      <c r="B48" s="25" t="s">
        <v>59</v>
      </c>
      <c r="C48" s="28">
        <f>H48*7202</f>
        <v>0</v>
      </c>
      <c r="D48" s="28">
        <f>C48/10*2</f>
        <v>0</v>
      </c>
    </row>
    <row r="49" spans="1:6" ht="15" customHeight="1" x14ac:dyDescent="0.25">
      <c r="A49" s="27">
        <v>2250</v>
      </c>
      <c r="B49" s="29" t="s">
        <v>186</v>
      </c>
      <c r="C49" s="28">
        <v>237.94</v>
      </c>
      <c r="D49" s="28">
        <v>47.59</v>
      </c>
    </row>
    <row r="50" spans="1:6" ht="15" hidden="1" customHeight="1" x14ac:dyDescent="0.25">
      <c r="A50" s="27">
        <v>2311</v>
      </c>
      <c r="B50" s="29" t="s">
        <v>15</v>
      </c>
      <c r="C50" s="28">
        <f>H50*7202</f>
        <v>0</v>
      </c>
      <c r="D50" s="28">
        <f>C50/10*2</f>
        <v>0</v>
      </c>
    </row>
    <row r="51" spans="1:6" ht="15" hidden="1" customHeight="1" x14ac:dyDescent="0.25">
      <c r="A51" s="27">
        <v>2312</v>
      </c>
      <c r="B51" s="29" t="s">
        <v>16</v>
      </c>
      <c r="C51" s="28">
        <f>H51*7202</f>
        <v>0</v>
      </c>
      <c r="D51" s="28">
        <f>C51/10*2</f>
        <v>0</v>
      </c>
    </row>
    <row r="52" spans="1:6" ht="15" customHeight="1" x14ac:dyDescent="0.25">
      <c r="A52" s="27">
        <v>2314</v>
      </c>
      <c r="B52" s="29" t="s">
        <v>242</v>
      </c>
      <c r="C52" s="28">
        <v>100.83</v>
      </c>
      <c r="D52" s="28">
        <v>20.170000000000002</v>
      </c>
    </row>
    <row r="53" spans="1:6" ht="15" customHeight="1" x14ac:dyDescent="0.25">
      <c r="A53" s="27">
        <v>2321</v>
      </c>
      <c r="B53" s="29" t="s">
        <v>244</v>
      </c>
      <c r="C53" s="28">
        <v>9.36</v>
      </c>
      <c r="D53" s="28">
        <v>1.87</v>
      </c>
    </row>
    <row r="54" spans="1:6" ht="15" customHeight="1" x14ac:dyDescent="0.25">
      <c r="A54" s="27">
        <v>2322</v>
      </c>
      <c r="B54" s="29" t="s">
        <v>18</v>
      </c>
      <c r="C54" s="28">
        <v>33.85</v>
      </c>
      <c r="D54" s="28">
        <v>6.77</v>
      </c>
    </row>
    <row r="55" spans="1:6" ht="15" customHeight="1" x14ac:dyDescent="0.25">
      <c r="A55" s="27">
        <v>2350</v>
      </c>
      <c r="B55" s="29" t="s">
        <v>19</v>
      </c>
      <c r="C55" s="28">
        <v>194.45</v>
      </c>
      <c r="D55" s="28">
        <v>38.89</v>
      </c>
    </row>
    <row r="56" spans="1:6" ht="15" customHeight="1" x14ac:dyDescent="0.25">
      <c r="A56" s="27">
        <v>2513</v>
      </c>
      <c r="B56" s="29" t="s">
        <v>238</v>
      </c>
      <c r="C56" s="28">
        <v>129.63</v>
      </c>
      <c r="D56" s="28">
        <v>25.93</v>
      </c>
    </row>
    <row r="57" spans="1:6" ht="15" customHeight="1" x14ac:dyDescent="0.25">
      <c r="A57" s="27">
        <v>2515</v>
      </c>
      <c r="B57" s="29" t="s">
        <v>58</v>
      </c>
      <c r="C57" s="28">
        <v>21.61</v>
      </c>
      <c r="D57" s="28">
        <v>4.32</v>
      </c>
    </row>
    <row r="58" spans="1:6" ht="15" customHeight="1" x14ac:dyDescent="0.25">
      <c r="A58" s="27">
        <v>5239</v>
      </c>
      <c r="B58" s="29" t="s">
        <v>57</v>
      </c>
      <c r="C58" s="28">
        <v>86.41</v>
      </c>
      <c r="D58" s="28">
        <v>17.28</v>
      </c>
    </row>
    <row r="59" spans="1:6" x14ac:dyDescent="0.25">
      <c r="A59" s="32"/>
      <c r="B59" s="34" t="s">
        <v>66</v>
      </c>
      <c r="C59" s="31">
        <f>SUM(C38:C58)</f>
        <v>7201.1600000000008</v>
      </c>
      <c r="D59" s="31">
        <f>SUM(D38:D58)</f>
        <v>1440.37</v>
      </c>
    </row>
    <row r="60" spans="1:6" ht="15" customHeight="1" x14ac:dyDescent="0.25">
      <c r="A60" s="32"/>
      <c r="B60" s="34" t="s">
        <v>32</v>
      </c>
      <c r="C60" s="31">
        <f>C36+C59</f>
        <v>39136</v>
      </c>
      <c r="D60" s="31">
        <f>D36+D59</f>
        <v>7827.3600000000006</v>
      </c>
    </row>
    <row r="61" spans="1:6" x14ac:dyDescent="0.35">
      <c r="A61" s="35"/>
      <c r="B61" s="20"/>
      <c r="C61" s="20"/>
      <c r="D61" s="92"/>
      <c r="F61" s="60"/>
    </row>
    <row r="62" spans="1:6" x14ac:dyDescent="0.25">
      <c r="A62" s="262" t="s">
        <v>45</v>
      </c>
      <c r="B62" s="262"/>
      <c r="C62" s="21">
        <v>10</v>
      </c>
      <c r="D62" s="107">
        <v>2</v>
      </c>
    </row>
    <row r="63" spans="1:6" ht="15.75" customHeight="1" x14ac:dyDescent="0.3">
      <c r="A63" s="262" t="s">
        <v>46</v>
      </c>
      <c r="B63" s="262"/>
      <c r="C63" s="37">
        <f>C60/C62</f>
        <v>3913.6</v>
      </c>
      <c r="D63" s="108">
        <f>D60/D62</f>
        <v>3913.6800000000003</v>
      </c>
    </row>
    <row r="64" spans="1:6" ht="15.75" customHeight="1" x14ac:dyDescent="0.3">
      <c r="A64" s="9"/>
      <c r="B64" s="9"/>
      <c r="C64" s="36"/>
      <c r="D64" s="36"/>
    </row>
    <row r="65" spans="1:4" s="2" customFormat="1" x14ac:dyDescent="0.35">
      <c r="A65" s="267" t="s">
        <v>37</v>
      </c>
      <c r="B65" s="268"/>
      <c r="C65" s="39"/>
      <c r="D65" s="39"/>
    </row>
    <row r="66" spans="1:4" s="2" customFormat="1" x14ac:dyDescent="0.35">
      <c r="A66" s="267" t="s">
        <v>54</v>
      </c>
      <c r="B66" s="268"/>
      <c r="C66" s="149">
        <f>3913.68*10</f>
        <v>39136.799999999996</v>
      </c>
      <c r="D66" s="39"/>
    </row>
    <row r="67" spans="1:4" s="2" customFormat="1" ht="15" customHeight="1" x14ac:dyDescent="0.35">
      <c r="A67" s="17"/>
      <c r="B67" s="17"/>
      <c r="C67" s="17"/>
      <c r="D67" s="65"/>
    </row>
    <row r="68" spans="1:4" s="2" customFormat="1" x14ac:dyDescent="0.35">
      <c r="A68" s="17" t="s">
        <v>38</v>
      </c>
      <c r="B68" s="17"/>
      <c r="C68" s="17"/>
      <c r="D68" s="17"/>
    </row>
    <row r="69" spans="1:4" s="2" customFormat="1" ht="15" customHeight="1" x14ac:dyDescent="0.35">
      <c r="A69" s="17"/>
      <c r="B69" s="17"/>
      <c r="C69" s="17"/>
      <c r="D69" s="17"/>
    </row>
    <row r="70" spans="1:4" s="2" customFormat="1" x14ac:dyDescent="0.35">
      <c r="A70" s="17" t="s">
        <v>47</v>
      </c>
      <c r="B70" s="18"/>
      <c r="C70" s="18"/>
      <c r="D70" s="91"/>
    </row>
    <row r="71" spans="1:4" s="2" customFormat="1" ht="13.9" customHeight="1" x14ac:dyDescent="0.35">
      <c r="A71" s="17"/>
      <c r="B71" s="96"/>
      <c r="C71" s="17"/>
      <c r="D71" s="65"/>
    </row>
    <row r="72" spans="1:4" s="2" customFormat="1" ht="13.9" customHeight="1" x14ac:dyDescent="0.35">
      <c r="A72" s="17"/>
      <c r="B72" s="19"/>
      <c r="C72" s="17"/>
      <c r="D72" s="17"/>
    </row>
    <row r="73" spans="1:4" s="1" customFormat="1" x14ac:dyDescent="0.35">
      <c r="A73" s="6"/>
      <c r="B73" s="6"/>
      <c r="C73" s="6"/>
      <c r="D73" s="6"/>
    </row>
  </sheetData>
  <mergeCells count="11">
    <mergeCell ref="B11:D11"/>
    <mergeCell ref="A62:B62"/>
    <mergeCell ref="A63:B63"/>
    <mergeCell ref="A65:B65"/>
    <mergeCell ref="A66:B66"/>
    <mergeCell ref="B1:D1"/>
    <mergeCell ref="B2:D2"/>
    <mergeCell ref="B3:D3"/>
    <mergeCell ref="A7:D7"/>
    <mergeCell ref="A9:B9"/>
    <mergeCell ref="A10:B10"/>
  </mergeCells>
  <pageMargins left="0.11811023622047245" right="0.11811023622047245" top="0.74803149606299213" bottom="0.15748031496062992" header="0.31496062992125984" footer="0.31496062992125984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3"/>
  <sheetViews>
    <sheetView view="pageLayout" topLeftCell="A40" zoomScale="90" zoomScaleNormal="100" zoomScalePageLayoutView="90" workbookViewId="0">
      <selection activeCell="A70" sqref="A70"/>
    </sheetView>
  </sheetViews>
  <sheetFormatPr defaultRowHeight="15.5" x14ac:dyDescent="0.35"/>
  <cols>
    <col min="1" max="1" width="11.81640625" style="6" customWidth="1"/>
    <col min="2" max="2" width="94.7265625" style="6" customWidth="1"/>
    <col min="3" max="3" width="31.7265625" style="6" customWidth="1"/>
  </cols>
  <sheetData>
    <row r="1" spans="1:3" ht="15.75" customHeight="1" x14ac:dyDescent="0.35">
      <c r="A1" s="12"/>
      <c r="B1" s="258" t="s">
        <v>35</v>
      </c>
      <c r="C1" s="259"/>
    </row>
    <row r="2" spans="1:3" x14ac:dyDescent="0.35">
      <c r="A2" s="12"/>
      <c r="B2" s="260" t="s">
        <v>39</v>
      </c>
      <c r="C2" s="261"/>
    </row>
    <row r="3" spans="1:3" x14ac:dyDescent="0.35">
      <c r="A3" s="12"/>
      <c r="B3" s="257" t="s">
        <v>135</v>
      </c>
      <c r="C3" s="264"/>
    </row>
    <row r="4" spans="1:3" x14ac:dyDescent="0.35">
      <c r="A4" s="12"/>
      <c r="B4" s="11"/>
      <c r="C4" s="96"/>
    </row>
    <row r="5" spans="1:3" x14ac:dyDescent="0.35">
      <c r="A5" s="12"/>
      <c r="B5" s="15"/>
      <c r="C5" s="11" t="str">
        <f>'1.2.'!F5</f>
        <v>2019. gada  15.martā</v>
      </c>
    </row>
    <row r="6" spans="1:3" x14ac:dyDescent="0.35">
      <c r="A6" s="12"/>
      <c r="B6" s="11"/>
      <c r="C6" s="11"/>
    </row>
    <row r="7" spans="1:3" ht="15" x14ac:dyDescent="0.3">
      <c r="A7" s="263" t="s">
        <v>5</v>
      </c>
      <c r="B7" s="263"/>
      <c r="C7" s="263"/>
    </row>
    <row r="8" spans="1:3" x14ac:dyDescent="0.35">
      <c r="A8" s="97"/>
      <c r="B8" s="97"/>
    </row>
    <row r="9" spans="1:3" ht="15" customHeight="1" x14ac:dyDescent="0.35">
      <c r="A9" s="262" t="s">
        <v>1</v>
      </c>
      <c r="B9" s="262"/>
    </row>
    <row r="10" spans="1:3" ht="15" customHeight="1" x14ac:dyDescent="0.35">
      <c r="A10" s="262" t="s">
        <v>0</v>
      </c>
      <c r="B10" s="262"/>
    </row>
    <row r="11" spans="1:3" ht="15" customHeight="1" x14ac:dyDescent="0.35">
      <c r="A11" s="9"/>
      <c r="B11" s="9" t="s">
        <v>126</v>
      </c>
    </row>
    <row r="12" spans="1:3" ht="15" customHeight="1" x14ac:dyDescent="0.35">
      <c r="A12" s="9"/>
      <c r="B12" s="9" t="s">
        <v>121</v>
      </c>
      <c r="C12" s="14"/>
    </row>
    <row r="13" spans="1:3" ht="15" customHeight="1" x14ac:dyDescent="0.35">
      <c r="A13" s="9" t="s">
        <v>2</v>
      </c>
      <c r="B13" s="9" t="str">
        <f>'1.2.'!B13</f>
        <v>2019.gadā un turpmāk</v>
      </c>
    </row>
    <row r="14" spans="1:3" s="5" customFormat="1" ht="61.5" customHeight="1" x14ac:dyDescent="0.25">
      <c r="A14" s="54" t="s">
        <v>3</v>
      </c>
      <c r="B14" s="54" t="s">
        <v>4</v>
      </c>
      <c r="C14" s="54" t="s">
        <v>53</v>
      </c>
    </row>
    <row r="15" spans="1:3" ht="15" x14ac:dyDescent="0.25">
      <c r="A15" s="22">
        <v>1</v>
      </c>
      <c r="B15" s="23">
        <v>2</v>
      </c>
      <c r="C15" s="23">
        <v>3</v>
      </c>
    </row>
    <row r="16" spans="1:3" x14ac:dyDescent="0.25">
      <c r="A16" s="24"/>
      <c r="B16" s="25" t="s">
        <v>68</v>
      </c>
      <c r="C16" s="26"/>
    </row>
    <row r="17" spans="1:3" x14ac:dyDescent="0.25">
      <c r="A17" s="27">
        <v>1100</v>
      </c>
      <c r="B17" s="27" t="s">
        <v>63</v>
      </c>
      <c r="C17" s="28">
        <v>2853.22</v>
      </c>
    </row>
    <row r="18" spans="1:3" ht="15.75" customHeight="1" x14ac:dyDescent="0.25">
      <c r="A18" s="27">
        <v>1200</v>
      </c>
      <c r="B18" s="29" t="s">
        <v>62</v>
      </c>
      <c r="C18" s="28">
        <v>687.34</v>
      </c>
    </row>
    <row r="19" spans="1:3" ht="14.25" hidden="1" customHeight="1" x14ac:dyDescent="0.25">
      <c r="A19" s="27">
        <v>2210</v>
      </c>
      <c r="B19" s="29" t="s">
        <v>27</v>
      </c>
      <c r="C19" s="28">
        <v>0</v>
      </c>
    </row>
    <row r="20" spans="1:3" x14ac:dyDescent="0.25">
      <c r="A20" s="27">
        <v>2222</v>
      </c>
      <c r="B20" s="29" t="s">
        <v>28</v>
      </c>
      <c r="C20" s="28">
        <v>12.81</v>
      </c>
    </row>
    <row r="21" spans="1:3" x14ac:dyDescent="0.25">
      <c r="A21" s="27">
        <v>2223</v>
      </c>
      <c r="B21" s="29" t="s">
        <v>29</v>
      </c>
      <c r="C21" s="28">
        <v>26.34</v>
      </c>
    </row>
    <row r="22" spans="1:3" ht="15" customHeight="1" x14ac:dyDescent="0.25">
      <c r="A22" s="27">
        <v>2243</v>
      </c>
      <c r="B22" s="29" t="s">
        <v>9</v>
      </c>
      <c r="C22" s="28">
        <v>38.53</v>
      </c>
    </row>
    <row r="23" spans="1:3" x14ac:dyDescent="0.25">
      <c r="A23" s="27">
        <v>2244</v>
      </c>
      <c r="B23" s="29" t="s">
        <v>10</v>
      </c>
      <c r="C23" s="28">
        <v>121.64</v>
      </c>
    </row>
    <row r="24" spans="1:3" hidden="1" x14ac:dyDescent="0.25">
      <c r="A24" s="27">
        <v>2251</v>
      </c>
      <c r="B24" s="29" t="s">
        <v>60</v>
      </c>
      <c r="C24" s="28">
        <v>0</v>
      </c>
    </row>
    <row r="25" spans="1:3" ht="16.5" hidden="1" customHeight="1" x14ac:dyDescent="0.25">
      <c r="A25" s="27">
        <v>2261</v>
      </c>
      <c r="B25" s="29" t="s">
        <v>11</v>
      </c>
      <c r="C25" s="28"/>
    </row>
    <row r="26" spans="1:3" hidden="1" x14ac:dyDescent="0.25">
      <c r="A26" s="27">
        <v>2279</v>
      </c>
      <c r="B26" s="29" t="s">
        <v>14</v>
      </c>
      <c r="C26" s="28">
        <v>0</v>
      </c>
    </row>
    <row r="27" spans="1:3" x14ac:dyDescent="0.25">
      <c r="A27" s="27">
        <v>2311</v>
      </c>
      <c r="B27" s="29" t="s">
        <v>72</v>
      </c>
      <c r="C27" s="28">
        <v>39.44</v>
      </c>
    </row>
    <row r="28" spans="1:3" x14ac:dyDescent="0.25">
      <c r="A28" s="27">
        <v>2312</v>
      </c>
      <c r="B28" s="29" t="s">
        <v>16</v>
      </c>
      <c r="C28" s="28">
        <v>63.94</v>
      </c>
    </row>
    <row r="29" spans="1:3" ht="15" customHeight="1" x14ac:dyDescent="0.25">
      <c r="A29" s="27">
        <v>2321</v>
      </c>
      <c r="B29" s="29" t="s">
        <v>17</v>
      </c>
      <c r="C29" s="28">
        <v>37.79</v>
      </c>
    </row>
    <row r="30" spans="1:3" ht="15" customHeight="1" x14ac:dyDescent="0.25">
      <c r="A30" s="27">
        <v>2350</v>
      </c>
      <c r="B30" s="29" t="s">
        <v>19</v>
      </c>
      <c r="C30" s="28">
        <v>19.27</v>
      </c>
    </row>
    <row r="31" spans="1:3" hidden="1" x14ac:dyDescent="0.25">
      <c r="A31" s="27">
        <v>2361</v>
      </c>
      <c r="B31" s="29" t="s">
        <v>20</v>
      </c>
      <c r="C31" s="28">
        <v>0</v>
      </c>
    </row>
    <row r="32" spans="1:3" x14ac:dyDescent="0.25">
      <c r="A32" s="27">
        <v>2370</v>
      </c>
      <c r="B32" s="29" t="s">
        <v>69</v>
      </c>
      <c r="C32" s="28">
        <v>92.02</v>
      </c>
    </row>
    <row r="33" spans="1:3" hidden="1" x14ac:dyDescent="0.25">
      <c r="A33" s="55">
        <v>2513</v>
      </c>
      <c r="B33" s="29" t="s">
        <v>22</v>
      </c>
      <c r="C33" s="28"/>
    </row>
    <row r="34" spans="1:3" ht="15" customHeight="1" x14ac:dyDescent="0.35">
      <c r="A34" s="27">
        <v>5230</v>
      </c>
      <c r="B34" s="29" t="s">
        <v>57</v>
      </c>
      <c r="C34" s="93">
        <v>134.85</v>
      </c>
    </row>
    <row r="35" spans="1:3" ht="15" customHeight="1" x14ac:dyDescent="0.25">
      <c r="A35" s="27"/>
      <c r="B35" s="30" t="s">
        <v>65</v>
      </c>
      <c r="C35" s="31">
        <f>SUM(C17:C34)</f>
        <v>4127.1900000000005</v>
      </c>
    </row>
    <row r="36" spans="1:3" ht="15" customHeight="1" x14ac:dyDescent="0.25">
      <c r="A36" s="32"/>
      <c r="B36" s="27" t="s">
        <v>64</v>
      </c>
      <c r="C36" s="26"/>
    </row>
    <row r="37" spans="1:3" ht="15" customHeight="1" x14ac:dyDescent="0.25">
      <c r="A37" s="27">
        <v>1100</v>
      </c>
      <c r="B37" s="27" t="s">
        <v>63</v>
      </c>
      <c r="C37" s="28">
        <v>548.89</v>
      </c>
    </row>
    <row r="38" spans="1:3" ht="15.75" customHeight="1" x14ac:dyDescent="0.25">
      <c r="A38" s="27">
        <v>1200</v>
      </c>
      <c r="B38" s="29" t="s">
        <v>62</v>
      </c>
      <c r="C38" s="28">
        <v>132.22999999999999</v>
      </c>
    </row>
    <row r="39" spans="1:3" ht="15" customHeight="1" x14ac:dyDescent="0.25">
      <c r="A39" s="33">
        <v>2210</v>
      </c>
      <c r="B39" s="29" t="s">
        <v>27</v>
      </c>
      <c r="C39" s="28">
        <v>6.81</v>
      </c>
    </row>
    <row r="40" spans="1:3" ht="15" customHeight="1" x14ac:dyDescent="0.25">
      <c r="A40" s="27">
        <v>2230</v>
      </c>
      <c r="B40" s="29" t="s">
        <v>30</v>
      </c>
      <c r="C40" s="28">
        <v>6.49</v>
      </c>
    </row>
    <row r="41" spans="1:3" ht="15" customHeight="1" x14ac:dyDescent="0.25">
      <c r="A41" s="27">
        <v>2241</v>
      </c>
      <c r="B41" s="29" t="s">
        <v>7</v>
      </c>
      <c r="C41" s="28">
        <v>46.54</v>
      </c>
    </row>
    <row r="42" spans="1:3" ht="15" customHeight="1" x14ac:dyDescent="0.25">
      <c r="A42" s="27">
        <v>2242</v>
      </c>
      <c r="B42" s="29" t="s">
        <v>8</v>
      </c>
      <c r="C42" s="28">
        <v>11.22</v>
      </c>
    </row>
    <row r="43" spans="1:3" ht="15" customHeight="1" x14ac:dyDescent="0.25">
      <c r="A43" s="27">
        <v>2243</v>
      </c>
      <c r="B43" s="29" t="s">
        <v>9</v>
      </c>
      <c r="C43" s="28">
        <v>31.2</v>
      </c>
    </row>
    <row r="44" spans="1:3" ht="15" customHeight="1" x14ac:dyDescent="0.25">
      <c r="A44" s="27">
        <v>2244</v>
      </c>
      <c r="B44" s="29" t="s">
        <v>10</v>
      </c>
      <c r="C44" s="28">
        <v>27.81</v>
      </c>
    </row>
    <row r="45" spans="1:3" x14ac:dyDescent="0.25">
      <c r="A45" s="27">
        <v>2247</v>
      </c>
      <c r="B45" s="25" t="s">
        <v>59</v>
      </c>
      <c r="C45" s="28">
        <v>1.3</v>
      </c>
    </row>
    <row r="46" spans="1:3" ht="15" customHeight="1" x14ac:dyDescent="0.25">
      <c r="A46" s="27">
        <v>2251</v>
      </c>
      <c r="B46" s="29" t="s">
        <v>60</v>
      </c>
      <c r="C46" s="28">
        <v>10.119999999999999</v>
      </c>
    </row>
    <row r="47" spans="1:3" ht="15" customHeight="1" x14ac:dyDescent="0.25">
      <c r="A47" s="27">
        <v>2259</v>
      </c>
      <c r="B47" s="29" t="s">
        <v>61</v>
      </c>
      <c r="C47" s="28">
        <v>0.13</v>
      </c>
    </row>
    <row r="48" spans="1:3" ht="15" customHeight="1" x14ac:dyDescent="0.25">
      <c r="A48" s="27">
        <v>2262</v>
      </c>
      <c r="B48" s="29" t="s">
        <v>12</v>
      </c>
      <c r="C48" s="28">
        <v>6.8</v>
      </c>
    </row>
    <row r="49" spans="1:3" ht="15" customHeight="1" x14ac:dyDescent="0.25">
      <c r="A49" s="27">
        <v>2264</v>
      </c>
      <c r="B49" s="29" t="s">
        <v>13</v>
      </c>
      <c r="C49" s="28">
        <v>0.13</v>
      </c>
    </row>
    <row r="50" spans="1:3" ht="15" customHeight="1" x14ac:dyDescent="0.25">
      <c r="A50" s="27">
        <v>2279</v>
      </c>
      <c r="B50" s="29" t="s">
        <v>14</v>
      </c>
      <c r="C50" s="28">
        <v>2.2200000000000002</v>
      </c>
    </row>
    <row r="51" spans="1:3" ht="15" customHeight="1" x14ac:dyDescent="0.25">
      <c r="A51" s="27">
        <v>2311</v>
      </c>
      <c r="B51" s="29" t="s">
        <v>15</v>
      </c>
      <c r="C51" s="28">
        <v>14.76</v>
      </c>
    </row>
    <row r="52" spans="1:3" ht="15" customHeight="1" x14ac:dyDescent="0.25">
      <c r="A52" s="27">
        <v>2312</v>
      </c>
      <c r="B52" s="29" t="s">
        <v>16</v>
      </c>
      <c r="C52" s="28">
        <v>37.85</v>
      </c>
    </row>
    <row r="53" spans="1:3" ht="15" customHeight="1" x14ac:dyDescent="0.25">
      <c r="A53" s="27">
        <v>2322</v>
      </c>
      <c r="B53" s="29" t="s">
        <v>18</v>
      </c>
      <c r="C53" s="28">
        <v>4.29</v>
      </c>
    </row>
    <row r="54" spans="1:3" ht="15" customHeight="1" x14ac:dyDescent="0.25">
      <c r="A54" s="27">
        <v>2350</v>
      </c>
      <c r="B54" s="29" t="s">
        <v>19</v>
      </c>
      <c r="C54" s="28">
        <v>30.13</v>
      </c>
    </row>
    <row r="55" spans="1:3" ht="15" customHeight="1" x14ac:dyDescent="0.25">
      <c r="A55" s="27">
        <v>2515</v>
      </c>
      <c r="B55" s="29" t="s">
        <v>58</v>
      </c>
      <c r="C55" s="28">
        <v>6.56</v>
      </c>
    </row>
    <row r="56" spans="1:3" ht="15" customHeight="1" x14ac:dyDescent="0.25">
      <c r="A56" s="27">
        <v>5232</v>
      </c>
      <c r="B56" s="29" t="s">
        <v>23</v>
      </c>
      <c r="C56" s="28">
        <v>38.9</v>
      </c>
    </row>
    <row r="57" spans="1:3" ht="15" hidden="1" customHeight="1" x14ac:dyDescent="0.25">
      <c r="A57" s="27">
        <v>5240</v>
      </c>
      <c r="B57" s="29" t="s">
        <v>25</v>
      </c>
      <c r="C57" s="28"/>
    </row>
    <row r="58" spans="1:3" ht="15" customHeight="1" x14ac:dyDescent="0.25">
      <c r="A58" s="27">
        <v>5250</v>
      </c>
      <c r="B58" s="29" t="s">
        <v>26</v>
      </c>
      <c r="C58" s="28">
        <v>34.33</v>
      </c>
    </row>
    <row r="59" spans="1:3" x14ac:dyDescent="0.25">
      <c r="A59" s="32"/>
      <c r="B59" s="34" t="s">
        <v>66</v>
      </c>
      <c r="C59" s="31">
        <f>SUM(C37:C58)</f>
        <v>998.70999999999981</v>
      </c>
    </row>
    <row r="60" spans="1:3" ht="15" customHeight="1" x14ac:dyDescent="0.25">
      <c r="A60" s="32"/>
      <c r="B60" s="34" t="s">
        <v>32</v>
      </c>
      <c r="C60" s="31">
        <f>C35+C59</f>
        <v>5125.9000000000005</v>
      </c>
    </row>
    <row r="61" spans="1:3" x14ac:dyDescent="0.35">
      <c r="A61" s="35"/>
      <c r="B61" s="20"/>
      <c r="C61" s="92"/>
    </row>
    <row r="62" spans="1:3" x14ac:dyDescent="0.25">
      <c r="A62" s="262" t="s">
        <v>45</v>
      </c>
      <c r="B62" s="262"/>
      <c r="C62" s="107">
        <v>5</v>
      </c>
    </row>
    <row r="63" spans="1:3" ht="15.75" customHeight="1" x14ac:dyDescent="0.3">
      <c r="A63" s="262" t="s">
        <v>46</v>
      </c>
      <c r="B63" s="262"/>
      <c r="C63" s="108">
        <f>C60/C62</f>
        <v>1025.18</v>
      </c>
    </row>
    <row r="64" spans="1:3" ht="15.75" customHeight="1" x14ac:dyDescent="0.3">
      <c r="A64" s="9"/>
      <c r="B64" s="9"/>
      <c r="C64" s="36"/>
    </row>
    <row r="65" spans="1:3" s="2" customFormat="1" x14ac:dyDescent="0.35">
      <c r="A65" s="267" t="s">
        <v>37</v>
      </c>
      <c r="B65" s="268"/>
      <c r="C65" s="39"/>
    </row>
    <row r="66" spans="1:3" s="2" customFormat="1" x14ac:dyDescent="0.35">
      <c r="A66" s="267" t="s">
        <v>54</v>
      </c>
      <c r="B66" s="268"/>
      <c r="C66" s="39"/>
    </row>
    <row r="67" spans="1:3" s="2" customFormat="1" ht="15" customHeight="1" x14ac:dyDescent="0.35">
      <c r="A67" s="17"/>
      <c r="B67" s="17"/>
      <c r="C67" s="65"/>
    </row>
    <row r="68" spans="1:3" s="2" customFormat="1" x14ac:dyDescent="0.35">
      <c r="A68" s="17" t="s">
        <v>38</v>
      </c>
      <c r="B68" s="17"/>
      <c r="C68" s="17"/>
    </row>
    <row r="69" spans="1:3" s="2" customFormat="1" ht="15" customHeight="1" x14ac:dyDescent="0.35">
      <c r="A69" s="17"/>
      <c r="B69" s="17"/>
      <c r="C69" s="65"/>
    </row>
    <row r="70" spans="1:3" s="2" customFormat="1" x14ac:dyDescent="0.35">
      <c r="A70" s="17" t="s">
        <v>47</v>
      </c>
      <c r="B70" s="18"/>
      <c r="C70" s="91"/>
    </row>
    <row r="71" spans="1:3" s="2" customFormat="1" ht="13.9" customHeight="1" x14ac:dyDescent="0.35">
      <c r="A71" s="17"/>
      <c r="B71" s="96"/>
      <c r="C71" s="65"/>
    </row>
    <row r="72" spans="1:3" s="2" customFormat="1" ht="13.9" customHeight="1" x14ac:dyDescent="0.35">
      <c r="A72" s="17"/>
      <c r="B72" s="19"/>
      <c r="C72" s="17"/>
    </row>
    <row r="73" spans="1:3" s="1" customFormat="1" x14ac:dyDescent="0.35">
      <c r="A73" s="6"/>
      <c r="B73" s="6"/>
      <c r="C73" s="92"/>
    </row>
  </sheetData>
  <mergeCells count="10">
    <mergeCell ref="A62:B62"/>
    <mergeCell ref="A63:B63"/>
    <mergeCell ref="A65:B65"/>
    <mergeCell ref="A66:B66"/>
    <mergeCell ref="B1:C1"/>
    <mergeCell ref="B2:C2"/>
    <mergeCell ref="B3:C3"/>
    <mergeCell ref="A7:C7"/>
    <mergeCell ref="A9:B9"/>
    <mergeCell ref="A10:B10"/>
  </mergeCells>
  <pageMargins left="0.7" right="0.7" top="0.75" bottom="0.75" header="0.3" footer="0.3"/>
  <pageSetup paperSize="9" scale="64" fitToHeight="0" orientation="portrait" r:id="rId1"/>
  <headerFooter>
    <oddFooter>&amp;C&amp;"Times New Roman,Regular"LManotp1_150319_MK1002; Grozījumi MK 24.09.2013. noteikumos Nr.1002 "Sociālās integrācijas valsts aģentūras sniegto maksas pakalpojumu cenrādis"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0"/>
  <sheetViews>
    <sheetView view="pageLayout" topLeftCell="A90" zoomScale="90" zoomScaleNormal="100" zoomScalePageLayoutView="90" workbookViewId="0">
      <selection activeCell="B101" sqref="B101"/>
    </sheetView>
  </sheetViews>
  <sheetFormatPr defaultRowHeight="15.5" x14ac:dyDescent="0.35"/>
  <cols>
    <col min="1" max="1" width="11.81640625" style="6" customWidth="1"/>
    <col min="2" max="2" width="94.7265625" style="6" customWidth="1"/>
    <col min="3" max="3" width="17.26953125" style="100" hidden="1" customWidth="1"/>
    <col min="4" max="4" width="31.54296875" style="6" customWidth="1"/>
  </cols>
  <sheetData>
    <row r="1" spans="1:4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135</v>
      </c>
      <c r="C3" s="257"/>
      <c r="D3" s="264"/>
    </row>
    <row r="4" spans="1:4" x14ac:dyDescent="0.35">
      <c r="A4" s="12"/>
      <c r="B4" s="11"/>
      <c r="C4" s="101"/>
      <c r="D4" s="96"/>
    </row>
    <row r="5" spans="1:4" x14ac:dyDescent="0.35">
      <c r="A5" s="12"/>
      <c r="B5" s="15"/>
      <c r="C5" s="15"/>
      <c r="D5" s="11" t="str">
        <f>'1.2.'!F5</f>
        <v>2019. gada  15.martā</v>
      </c>
    </row>
    <row r="6" spans="1:4" x14ac:dyDescent="0.35">
      <c r="A6" s="12"/>
      <c r="B6" s="11"/>
      <c r="C6" s="10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x14ac:dyDescent="0.35">
      <c r="A9" s="262" t="s">
        <v>1</v>
      </c>
      <c r="B9" s="262"/>
      <c r="C9" s="10"/>
    </row>
    <row r="10" spans="1:4" x14ac:dyDescent="0.35">
      <c r="A10" s="262" t="s">
        <v>0</v>
      </c>
      <c r="B10" s="262"/>
      <c r="C10" s="10"/>
    </row>
    <row r="11" spans="1:4" x14ac:dyDescent="0.35">
      <c r="A11" s="9"/>
      <c r="B11" s="9" t="s">
        <v>126</v>
      </c>
      <c r="C11" s="10"/>
    </row>
    <row r="12" spans="1:4" x14ac:dyDescent="0.35">
      <c r="A12" s="9"/>
      <c r="B12" s="9" t="s">
        <v>123</v>
      </c>
      <c r="C12" s="10"/>
      <c r="D12" s="14"/>
    </row>
    <row r="13" spans="1:4" x14ac:dyDescent="0.35">
      <c r="A13" s="9"/>
      <c r="B13" s="9" t="s">
        <v>124</v>
      </c>
      <c r="C13" s="10"/>
      <c r="D13" s="14"/>
    </row>
    <row r="14" spans="1:4" x14ac:dyDescent="0.35">
      <c r="A14" s="9" t="s">
        <v>2</v>
      </c>
      <c r="B14" s="9" t="str">
        <f>'1.2.'!B13</f>
        <v>2019.gadā un turpmāk</v>
      </c>
      <c r="C14" s="10"/>
    </row>
    <row r="15" spans="1:4" ht="62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/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6">
        <v>0.93</v>
      </c>
      <c r="D18" s="28">
        <v>16.95</v>
      </c>
    </row>
    <row r="19" spans="1:4" ht="15.75" customHeight="1" x14ac:dyDescent="0.25">
      <c r="A19" s="27">
        <v>1200</v>
      </c>
      <c r="B19" s="29" t="s">
        <v>62</v>
      </c>
      <c r="C19" s="102">
        <v>0.22</v>
      </c>
      <c r="D19" s="28">
        <v>4.08</v>
      </c>
    </row>
    <row r="20" spans="1:4" hidden="1" x14ac:dyDescent="0.25">
      <c r="A20" s="27">
        <v>2210</v>
      </c>
      <c r="B20" s="29" t="s">
        <v>27</v>
      </c>
      <c r="C20" s="102"/>
      <c r="D20" s="28">
        <f t="shared" ref="D20:D35" si="0">C20*15</f>
        <v>0</v>
      </c>
    </row>
    <row r="21" spans="1:4" hidden="1" x14ac:dyDescent="0.25">
      <c r="A21" s="27">
        <v>2222</v>
      </c>
      <c r="B21" s="29" t="s">
        <v>28</v>
      </c>
      <c r="C21" s="102"/>
      <c r="D21" s="28">
        <f t="shared" si="0"/>
        <v>0</v>
      </c>
    </row>
    <row r="22" spans="1:4" hidden="1" x14ac:dyDescent="0.25">
      <c r="A22" s="27">
        <v>2223</v>
      </c>
      <c r="B22" s="29" t="s">
        <v>29</v>
      </c>
      <c r="C22" s="102"/>
      <c r="D22" s="28">
        <f t="shared" si="0"/>
        <v>0</v>
      </c>
    </row>
    <row r="23" spans="1:4" hidden="1" x14ac:dyDescent="0.25">
      <c r="A23" s="27">
        <v>2243</v>
      </c>
      <c r="B23" s="29" t="s">
        <v>9</v>
      </c>
      <c r="C23" s="102"/>
      <c r="D23" s="28">
        <f t="shared" si="0"/>
        <v>0</v>
      </c>
    </row>
    <row r="24" spans="1:4" hidden="1" x14ac:dyDescent="0.25">
      <c r="A24" s="27">
        <v>2244</v>
      </c>
      <c r="B24" s="29" t="s">
        <v>10</v>
      </c>
      <c r="C24" s="102"/>
      <c r="D24" s="28">
        <f t="shared" si="0"/>
        <v>0</v>
      </c>
    </row>
    <row r="25" spans="1:4" hidden="1" x14ac:dyDescent="0.25">
      <c r="A25" s="27">
        <v>2251</v>
      </c>
      <c r="B25" s="29" t="s">
        <v>60</v>
      </c>
      <c r="C25" s="102"/>
      <c r="D25" s="28">
        <f t="shared" si="0"/>
        <v>0</v>
      </c>
    </row>
    <row r="26" spans="1:4" hidden="1" x14ac:dyDescent="0.25">
      <c r="A26" s="27">
        <v>2261</v>
      </c>
      <c r="B26" s="29" t="s">
        <v>11</v>
      </c>
      <c r="C26" s="102"/>
      <c r="D26" s="28">
        <f t="shared" si="0"/>
        <v>0</v>
      </c>
    </row>
    <row r="27" spans="1:4" hidden="1" x14ac:dyDescent="0.25">
      <c r="A27" s="27">
        <v>2279</v>
      </c>
      <c r="B27" s="29" t="s">
        <v>14</v>
      </c>
      <c r="C27" s="102"/>
      <c r="D27" s="28">
        <f t="shared" si="0"/>
        <v>0</v>
      </c>
    </row>
    <row r="28" spans="1:4" x14ac:dyDescent="0.25">
      <c r="A28" s="27">
        <v>2311</v>
      </c>
      <c r="B28" s="29" t="s">
        <v>72</v>
      </c>
      <c r="C28" s="45">
        <v>0.8</v>
      </c>
      <c r="D28" s="28">
        <f t="shared" si="0"/>
        <v>12</v>
      </c>
    </row>
    <row r="29" spans="1:4" ht="45" hidden="1" customHeight="1" x14ac:dyDescent="0.25">
      <c r="A29" s="27">
        <v>2312</v>
      </c>
      <c r="B29" s="29" t="s">
        <v>16</v>
      </c>
      <c r="C29" s="102"/>
      <c r="D29" s="28">
        <f t="shared" si="0"/>
        <v>0</v>
      </c>
    </row>
    <row r="30" spans="1:4" ht="45" hidden="1" customHeight="1" x14ac:dyDescent="0.25">
      <c r="A30" s="27">
        <v>2321</v>
      </c>
      <c r="B30" s="29" t="s">
        <v>17</v>
      </c>
      <c r="C30" s="102"/>
      <c r="D30" s="28">
        <f t="shared" si="0"/>
        <v>0</v>
      </c>
    </row>
    <row r="31" spans="1:4" hidden="1" x14ac:dyDescent="0.25">
      <c r="A31" s="27">
        <v>2350</v>
      </c>
      <c r="B31" s="29" t="s">
        <v>19</v>
      </c>
      <c r="C31" s="102"/>
      <c r="D31" s="28">
        <f t="shared" si="0"/>
        <v>0</v>
      </c>
    </row>
    <row r="32" spans="1:4" hidden="1" x14ac:dyDescent="0.25">
      <c r="A32" s="27">
        <v>2361</v>
      </c>
      <c r="B32" s="29" t="s">
        <v>20</v>
      </c>
      <c r="C32" s="102"/>
      <c r="D32" s="28">
        <f t="shared" si="0"/>
        <v>0</v>
      </c>
    </row>
    <row r="33" spans="1:4" hidden="1" x14ac:dyDescent="0.25">
      <c r="A33" s="27">
        <v>2370</v>
      </c>
      <c r="B33" s="29" t="s">
        <v>69</v>
      </c>
      <c r="C33" s="102"/>
      <c r="D33" s="28">
        <f t="shared" si="0"/>
        <v>0</v>
      </c>
    </row>
    <row r="34" spans="1:4" hidden="1" x14ac:dyDescent="0.25">
      <c r="A34" s="55">
        <v>2513</v>
      </c>
      <c r="B34" s="29" t="s">
        <v>22</v>
      </c>
      <c r="C34" s="102"/>
      <c r="D34" s="28">
        <f t="shared" si="0"/>
        <v>0</v>
      </c>
    </row>
    <row r="35" spans="1:4" x14ac:dyDescent="0.25">
      <c r="A35" s="27">
        <v>5238</v>
      </c>
      <c r="B35" s="29" t="s">
        <v>122</v>
      </c>
      <c r="C35" s="102">
        <v>0.05</v>
      </c>
      <c r="D35" s="28">
        <f t="shared" si="0"/>
        <v>0.75</v>
      </c>
    </row>
    <row r="36" spans="1:4" x14ac:dyDescent="0.25">
      <c r="A36" s="27"/>
      <c r="B36" s="30" t="s">
        <v>65</v>
      </c>
      <c r="C36" s="31">
        <f>SUM(C18:C35)</f>
        <v>2</v>
      </c>
      <c r="D36" s="31">
        <f>SUM(D18:D35)</f>
        <v>33.78</v>
      </c>
    </row>
    <row r="37" spans="1:4" x14ac:dyDescent="0.25">
      <c r="A37" s="32"/>
      <c r="B37" s="27" t="s">
        <v>64</v>
      </c>
      <c r="C37" s="26"/>
      <c r="D37" s="26"/>
    </row>
    <row r="38" spans="1:4" x14ac:dyDescent="0.25">
      <c r="A38" s="27">
        <v>1100</v>
      </c>
      <c r="B38" s="27" t="s">
        <v>63</v>
      </c>
      <c r="C38" s="28">
        <v>0.2</v>
      </c>
      <c r="D38" s="28">
        <f t="shared" ref="D38:D65" si="1">C38*15</f>
        <v>3</v>
      </c>
    </row>
    <row r="39" spans="1:4" ht="15.75" customHeight="1" x14ac:dyDescent="0.25">
      <c r="A39" s="27">
        <v>1200</v>
      </c>
      <c r="B39" s="29" t="s">
        <v>62</v>
      </c>
      <c r="C39" s="102">
        <v>0.05</v>
      </c>
      <c r="D39" s="28">
        <f t="shared" si="1"/>
        <v>0.75</v>
      </c>
    </row>
    <row r="40" spans="1:4" x14ac:dyDescent="0.25">
      <c r="A40" s="33">
        <v>2210</v>
      </c>
      <c r="B40" s="29" t="s">
        <v>27</v>
      </c>
      <c r="C40" s="102">
        <v>0.04</v>
      </c>
      <c r="D40" s="28">
        <f t="shared" si="1"/>
        <v>0.6</v>
      </c>
    </row>
    <row r="41" spans="1:4" x14ac:dyDescent="0.25">
      <c r="A41" s="27">
        <v>2222</v>
      </c>
      <c r="B41" s="29" t="s">
        <v>28</v>
      </c>
      <c r="C41" s="102">
        <v>0.1</v>
      </c>
      <c r="D41" s="28">
        <f t="shared" si="1"/>
        <v>1.5</v>
      </c>
    </row>
    <row r="42" spans="1:4" x14ac:dyDescent="0.25">
      <c r="A42" s="27">
        <v>2223</v>
      </c>
      <c r="B42" s="29" t="s">
        <v>29</v>
      </c>
      <c r="C42" s="102">
        <v>0.12</v>
      </c>
      <c r="D42" s="28">
        <f t="shared" si="1"/>
        <v>1.7999999999999998</v>
      </c>
    </row>
    <row r="43" spans="1:4" hidden="1" x14ac:dyDescent="0.25">
      <c r="A43" s="33"/>
      <c r="B43" s="29"/>
      <c r="C43" s="102"/>
      <c r="D43" s="28">
        <f t="shared" si="1"/>
        <v>0</v>
      </c>
    </row>
    <row r="44" spans="1:4" hidden="1" x14ac:dyDescent="0.25">
      <c r="A44" s="27">
        <v>2230</v>
      </c>
      <c r="B44" s="29" t="s">
        <v>30</v>
      </c>
      <c r="C44" s="102"/>
      <c r="D44" s="28">
        <f t="shared" si="1"/>
        <v>0</v>
      </c>
    </row>
    <row r="45" spans="1:4" hidden="1" x14ac:dyDescent="0.25">
      <c r="A45" s="27"/>
      <c r="B45" s="29"/>
      <c r="C45" s="102"/>
      <c r="D45" s="28">
        <f t="shared" si="1"/>
        <v>0</v>
      </c>
    </row>
    <row r="46" spans="1:4" hidden="1" x14ac:dyDescent="0.25">
      <c r="A46" s="27"/>
      <c r="B46" s="29"/>
      <c r="C46" s="102"/>
      <c r="D46" s="28">
        <f t="shared" si="1"/>
        <v>0</v>
      </c>
    </row>
    <row r="47" spans="1:4" hidden="1" x14ac:dyDescent="0.25">
      <c r="A47" s="27">
        <v>2241</v>
      </c>
      <c r="B47" s="29" t="s">
        <v>7</v>
      </c>
      <c r="C47" s="102"/>
      <c r="D47" s="28">
        <f t="shared" si="1"/>
        <v>0</v>
      </c>
    </row>
    <row r="48" spans="1:4" hidden="1" x14ac:dyDescent="0.25">
      <c r="A48" s="27">
        <v>2242</v>
      </c>
      <c r="B48" s="29" t="s">
        <v>8</v>
      </c>
      <c r="C48" s="102"/>
      <c r="D48" s="28">
        <f t="shared" si="1"/>
        <v>0</v>
      </c>
    </row>
    <row r="49" spans="1:4" x14ac:dyDescent="0.25">
      <c r="A49" s="27">
        <v>2243</v>
      </c>
      <c r="B49" s="29" t="s">
        <v>9</v>
      </c>
      <c r="C49" s="102">
        <v>0.03</v>
      </c>
      <c r="D49" s="28">
        <f t="shared" si="1"/>
        <v>0.44999999999999996</v>
      </c>
    </row>
    <row r="50" spans="1:4" x14ac:dyDescent="0.25">
      <c r="A50" s="27">
        <v>2244</v>
      </c>
      <c r="B50" s="29" t="s">
        <v>10</v>
      </c>
      <c r="C50" s="102">
        <v>0.06</v>
      </c>
      <c r="D50" s="28">
        <v>1.2</v>
      </c>
    </row>
    <row r="51" spans="1:4" hidden="1" x14ac:dyDescent="0.25">
      <c r="A51" s="27">
        <v>2247</v>
      </c>
      <c r="B51" s="25" t="s">
        <v>59</v>
      </c>
      <c r="C51" s="26"/>
      <c r="D51" s="28">
        <f t="shared" si="1"/>
        <v>0</v>
      </c>
    </row>
    <row r="52" spans="1:4" hidden="1" x14ac:dyDescent="0.25">
      <c r="A52" s="27">
        <v>2251</v>
      </c>
      <c r="B52" s="29" t="s">
        <v>60</v>
      </c>
      <c r="C52" s="102"/>
      <c r="D52" s="28">
        <f t="shared" si="1"/>
        <v>0</v>
      </c>
    </row>
    <row r="53" spans="1:4" hidden="1" x14ac:dyDescent="0.25">
      <c r="A53" s="27">
        <v>2259</v>
      </c>
      <c r="B53" s="29" t="s">
        <v>61</v>
      </c>
      <c r="C53" s="102"/>
      <c r="D53" s="28">
        <f t="shared" si="1"/>
        <v>0</v>
      </c>
    </row>
    <row r="54" spans="1:4" hidden="1" x14ac:dyDescent="0.25">
      <c r="A54" s="27">
        <v>2262</v>
      </c>
      <c r="B54" s="29" t="s">
        <v>12</v>
      </c>
      <c r="C54" s="102"/>
      <c r="D54" s="28">
        <f t="shared" si="1"/>
        <v>0</v>
      </c>
    </row>
    <row r="55" spans="1:4" hidden="1" x14ac:dyDescent="0.25">
      <c r="A55" s="27">
        <v>2264</v>
      </c>
      <c r="B55" s="29" t="s">
        <v>13</v>
      </c>
      <c r="C55" s="102"/>
      <c r="D55" s="28">
        <f t="shared" si="1"/>
        <v>0</v>
      </c>
    </row>
    <row r="56" spans="1:4" hidden="1" x14ac:dyDescent="0.25">
      <c r="A56" s="27">
        <v>2279</v>
      </c>
      <c r="B56" s="29" t="s">
        <v>14</v>
      </c>
      <c r="C56" s="102"/>
      <c r="D56" s="28">
        <f t="shared" si="1"/>
        <v>0</v>
      </c>
    </row>
    <row r="57" spans="1:4" x14ac:dyDescent="0.25">
      <c r="A57" s="27">
        <v>2311</v>
      </c>
      <c r="B57" s="29" t="s">
        <v>15</v>
      </c>
      <c r="C57" s="102">
        <v>0.03</v>
      </c>
      <c r="D57" s="28">
        <f t="shared" si="1"/>
        <v>0.44999999999999996</v>
      </c>
    </row>
    <row r="58" spans="1:4" x14ac:dyDescent="0.25">
      <c r="A58" s="27">
        <v>2312</v>
      </c>
      <c r="B58" s="29" t="s">
        <v>16</v>
      </c>
      <c r="C58" s="102">
        <v>0.05</v>
      </c>
      <c r="D58" s="28">
        <f t="shared" si="1"/>
        <v>0.75</v>
      </c>
    </row>
    <row r="59" spans="1:4" x14ac:dyDescent="0.25">
      <c r="A59" s="27">
        <v>2321</v>
      </c>
      <c r="B59" s="29" t="s">
        <v>17</v>
      </c>
      <c r="C59" s="102">
        <v>0.15</v>
      </c>
      <c r="D59" s="28">
        <f t="shared" si="1"/>
        <v>2.25</v>
      </c>
    </row>
    <row r="60" spans="1:4" hidden="1" x14ac:dyDescent="0.25">
      <c r="A60" s="27">
        <v>2322</v>
      </c>
      <c r="B60" s="29" t="s">
        <v>18</v>
      </c>
      <c r="C60" s="102"/>
      <c r="D60" s="28">
        <f t="shared" si="1"/>
        <v>0</v>
      </c>
    </row>
    <row r="61" spans="1:4" hidden="1" x14ac:dyDescent="0.25">
      <c r="A61" s="27">
        <v>2350</v>
      </c>
      <c r="B61" s="29" t="s">
        <v>19</v>
      </c>
      <c r="C61" s="102"/>
      <c r="D61" s="28">
        <f t="shared" si="1"/>
        <v>0</v>
      </c>
    </row>
    <row r="62" spans="1:4" hidden="1" x14ac:dyDescent="0.25">
      <c r="A62" s="27">
        <v>2515</v>
      </c>
      <c r="B62" s="29" t="s">
        <v>58</v>
      </c>
      <c r="C62" s="102"/>
      <c r="D62" s="28">
        <f t="shared" si="1"/>
        <v>0</v>
      </c>
    </row>
    <row r="63" spans="1:4" x14ac:dyDescent="0.25">
      <c r="A63" s="27">
        <v>5232</v>
      </c>
      <c r="B63" s="29" t="s">
        <v>23</v>
      </c>
      <c r="C63" s="45">
        <v>0.17</v>
      </c>
      <c r="D63" s="28">
        <v>2.52</v>
      </c>
    </row>
    <row r="64" spans="1:4" hidden="1" x14ac:dyDescent="0.25">
      <c r="A64" s="27">
        <v>5240</v>
      </c>
      <c r="B64" s="29" t="s">
        <v>25</v>
      </c>
      <c r="C64" s="102"/>
      <c r="D64" s="28">
        <f t="shared" si="1"/>
        <v>0</v>
      </c>
    </row>
    <row r="65" spans="1:4" hidden="1" x14ac:dyDescent="0.25">
      <c r="A65" s="27">
        <v>5250</v>
      </c>
      <c r="B65" s="29" t="s">
        <v>26</v>
      </c>
      <c r="C65" s="102"/>
      <c r="D65" s="28">
        <f t="shared" si="1"/>
        <v>0</v>
      </c>
    </row>
    <row r="66" spans="1:4" x14ac:dyDescent="0.25">
      <c r="A66" s="32"/>
      <c r="B66" s="34" t="s">
        <v>66</v>
      </c>
      <c r="C66" s="31">
        <f>SUM(C38:C65)</f>
        <v>1.0000000000000002</v>
      </c>
      <c r="D66" s="31">
        <f>SUM(D38:D65)</f>
        <v>15.269999999999998</v>
      </c>
    </row>
    <row r="67" spans="1:4" x14ac:dyDescent="0.25">
      <c r="A67" s="32"/>
      <c r="B67" s="34" t="s">
        <v>32</v>
      </c>
      <c r="C67" s="31">
        <f>C36+C66</f>
        <v>3</v>
      </c>
      <c r="D67" s="31">
        <f>D36+D66</f>
        <v>49.05</v>
      </c>
    </row>
    <row r="68" spans="1:4" x14ac:dyDescent="0.35">
      <c r="A68" s="35"/>
      <c r="B68" s="20"/>
      <c r="C68" s="103"/>
      <c r="D68" s="92"/>
    </row>
    <row r="69" spans="1:4" x14ac:dyDescent="0.25">
      <c r="A69" s="262" t="s">
        <v>45</v>
      </c>
      <c r="B69" s="262"/>
      <c r="C69" s="94">
        <v>1</v>
      </c>
      <c r="D69" s="105">
        <v>15</v>
      </c>
    </row>
    <row r="70" spans="1:4" x14ac:dyDescent="0.3">
      <c r="A70" s="262" t="s">
        <v>46</v>
      </c>
      <c r="B70" s="262"/>
      <c r="C70" s="95">
        <f>C67/C69</f>
        <v>3</v>
      </c>
      <c r="D70" s="108">
        <f>D67/D69</f>
        <v>3.27</v>
      </c>
    </row>
    <row r="71" spans="1:4" x14ac:dyDescent="0.3">
      <c r="A71" s="9"/>
      <c r="B71" s="9"/>
      <c r="C71" s="10"/>
      <c r="D71" s="36"/>
    </row>
    <row r="72" spans="1:4" x14ac:dyDescent="0.35">
      <c r="A72" s="267" t="s">
        <v>37</v>
      </c>
      <c r="B72" s="268"/>
      <c r="C72" s="104"/>
      <c r="D72" s="39"/>
    </row>
    <row r="73" spans="1:4" x14ac:dyDescent="0.35">
      <c r="A73" s="267" t="s">
        <v>54</v>
      </c>
      <c r="B73" s="268"/>
      <c r="C73" s="104"/>
      <c r="D73" s="39"/>
    </row>
    <row r="74" spans="1:4" x14ac:dyDescent="0.35">
      <c r="A74" s="17"/>
      <c r="B74" s="17"/>
      <c r="C74" s="19"/>
      <c r="D74" s="65"/>
    </row>
    <row r="75" spans="1:4" x14ac:dyDescent="0.35">
      <c r="A75" s="17" t="s">
        <v>38</v>
      </c>
      <c r="B75" s="17"/>
      <c r="C75" s="19"/>
      <c r="D75" s="17"/>
    </row>
    <row r="76" spans="1:4" x14ac:dyDescent="0.35">
      <c r="A76" s="17"/>
      <c r="B76" s="17"/>
      <c r="C76" s="19"/>
      <c r="D76" s="65"/>
    </row>
    <row r="77" spans="1:4" x14ac:dyDescent="0.35">
      <c r="A77" s="17" t="s">
        <v>47</v>
      </c>
      <c r="B77" s="18"/>
      <c r="C77" s="96"/>
      <c r="D77" s="91"/>
    </row>
    <row r="78" spans="1:4" x14ac:dyDescent="0.35">
      <c r="A78" s="17"/>
      <c r="B78" s="96"/>
      <c r="C78" s="96"/>
      <c r="D78" s="65"/>
    </row>
    <row r="79" spans="1:4" x14ac:dyDescent="0.35">
      <c r="A79" s="17"/>
      <c r="B79" s="19"/>
      <c r="C79" s="19"/>
      <c r="D79" s="17"/>
    </row>
    <row r="80" spans="1:4" x14ac:dyDescent="0.35">
      <c r="D80" s="92"/>
    </row>
  </sheetData>
  <mergeCells count="10">
    <mergeCell ref="A69:B69"/>
    <mergeCell ref="A70:B70"/>
    <mergeCell ref="A72:B72"/>
    <mergeCell ref="A73:B73"/>
    <mergeCell ref="B1:D1"/>
    <mergeCell ref="B2:D2"/>
    <mergeCell ref="B3:D3"/>
    <mergeCell ref="A7:D7"/>
    <mergeCell ref="A9:B9"/>
    <mergeCell ref="A10:B10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Footer>&amp;C&amp;"Times New Roman,Regular"LManotp1_150319_MK1002; Grozījumi MK 24.09.2013. noteikumos Nr.1002 "Sociālās integrācijas valsts aģnetūras sniegto maksas pakalpojumu cenrādis"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49" workbookViewId="0">
      <selection activeCell="A15" sqref="A15"/>
    </sheetView>
  </sheetViews>
  <sheetFormatPr defaultRowHeight="15.5" x14ac:dyDescent="0.35"/>
  <cols>
    <col min="1" max="1" width="13" style="6" customWidth="1"/>
    <col min="2" max="2" width="94.54296875" style="6" customWidth="1"/>
    <col min="3" max="3" width="17.26953125" style="100" hidden="1" customWidth="1"/>
    <col min="4" max="4" width="27.1796875" style="6" customWidth="1"/>
  </cols>
  <sheetData>
    <row r="1" spans="1:4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56</v>
      </c>
      <c r="C3" s="264"/>
      <c r="D3" s="264"/>
    </row>
    <row r="4" spans="1:4" x14ac:dyDescent="0.35">
      <c r="A4" s="12"/>
      <c r="B4" s="11"/>
      <c r="C4" s="101"/>
      <c r="D4" s="96"/>
    </row>
    <row r="5" spans="1:4" x14ac:dyDescent="0.35">
      <c r="A5" s="12"/>
      <c r="B5" s="15"/>
      <c r="C5" s="15"/>
      <c r="D5" s="11" t="s">
        <v>282</v>
      </c>
    </row>
    <row r="6" spans="1:4" x14ac:dyDescent="0.35">
      <c r="A6" s="12"/>
      <c r="B6" s="11"/>
      <c r="C6" s="10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x14ac:dyDescent="0.35">
      <c r="A9" s="262" t="s">
        <v>1</v>
      </c>
      <c r="B9" s="262"/>
      <c r="C9" s="10"/>
    </row>
    <row r="10" spans="1:4" x14ac:dyDescent="0.35">
      <c r="A10" s="262" t="s">
        <v>0</v>
      </c>
      <c r="B10" s="262"/>
      <c r="C10" s="10"/>
    </row>
    <row r="11" spans="1:4" x14ac:dyDescent="0.35">
      <c r="A11" s="9"/>
      <c r="B11" s="262" t="s">
        <v>245</v>
      </c>
      <c r="C11" s="259"/>
      <c r="D11" s="259"/>
    </row>
    <row r="12" spans="1:4" x14ac:dyDescent="0.35">
      <c r="A12" s="9"/>
      <c r="B12" s="9" t="s">
        <v>281</v>
      </c>
      <c r="C12" s="10"/>
      <c r="D12" s="14"/>
    </row>
    <row r="13" spans="1:4" x14ac:dyDescent="0.35">
      <c r="A13" s="9"/>
      <c r="B13" s="9"/>
      <c r="C13" s="10"/>
      <c r="D13" s="14"/>
    </row>
    <row r="14" spans="1:4" x14ac:dyDescent="0.35">
      <c r="A14" s="9" t="s">
        <v>2</v>
      </c>
      <c r="B14" s="9" t="s">
        <v>259</v>
      </c>
      <c r="C14" s="10"/>
    </row>
    <row r="15" spans="1:4" ht="66.75" customHeight="1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/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6">
        <v>5.33</v>
      </c>
      <c r="D18" s="28">
        <f>C18*15</f>
        <v>79.95</v>
      </c>
    </row>
    <row r="19" spans="1:4" ht="15.75" customHeight="1" x14ac:dyDescent="0.25">
      <c r="A19" s="27">
        <v>1200</v>
      </c>
      <c r="B19" s="29" t="s">
        <v>192</v>
      </c>
      <c r="C19" s="102">
        <v>1.28</v>
      </c>
      <c r="D19" s="28">
        <f t="shared" ref="D19:D37" si="0">C19*15</f>
        <v>19.2</v>
      </c>
    </row>
    <row r="20" spans="1:4" hidden="1" x14ac:dyDescent="0.25">
      <c r="A20" s="27">
        <v>2210</v>
      </c>
      <c r="B20" s="29" t="s">
        <v>27</v>
      </c>
      <c r="C20" s="102"/>
      <c r="D20" s="28">
        <f t="shared" si="0"/>
        <v>0</v>
      </c>
    </row>
    <row r="21" spans="1:4" x14ac:dyDescent="0.25">
      <c r="A21" s="27">
        <v>2222</v>
      </c>
      <c r="B21" s="29" t="s">
        <v>190</v>
      </c>
      <c r="C21" s="102">
        <v>0.01</v>
      </c>
      <c r="D21" s="28">
        <f t="shared" si="0"/>
        <v>0.15</v>
      </c>
    </row>
    <row r="22" spans="1:4" x14ac:dyDescent="0.25">
      <c r="A22" s="27">
        <v>2223</v>
      </c>
      <c r="B22" s="29" t="s">
        <v>29</v>
      </c>
      <c r="C22" s="102">
        <v>0.02</v>
      </c>
      <c r="D22" s="28">
        <f t="shared" si="0"/>
        <v>0.3</v>
      </c>
    </row>
    <row r="23" spans="1:4" hidden="1" x14ac:dyDescent="0.25">
      <c r="A23" s="27"/>
      <c r="B23" s="29"/>
      <c r="C23" s="102"/>
      <c r="D23" s="28">
        <f t="shared" si="0"/>
        <v>0</v>
      </c>
    </row>
    <row r="24" spans="1:4" hidden="1" x14ac:dyDescent="0.25">
      <c r="A24" s="27"/>
      <c r="B24" s="29"/>
      <c r="C24" s="102"/>
      <c r="D24" s="28">
        <f t="shared" si="0"/>
        <v>0</v>
      </c>
    </row>
    <row r="25" spans="1:4" hidden="1" x14ac:dyDescent="0.25">
      <c r="A25" s="27">
        <v>2243</v>
      </c>
      <c r="B25" s="29" t="s">
        <v>9</v>
      </c>
      <c r="C25" s="102"/>
      <c r="D25" s="28">
        <f t="shared" si="0"/>
        <v>0</v>
      </c>
    </row>
    <row r="26" spans="1:4" x14ac:dyDescent="0.25">
      <c r="A26" s="27">
        <v>2244</v>
      </c>
      <c r="B26" s="29" t="s">
        <v>193</v>
      </c>
      <c r="C26" s="102">
        <v>0.03</v>
      </c>
      <c r="D26" s="28">
        <f t="shared" si="0"/>
        <v>0.44999999999999996</v>
      </c>
    </row>
    <row r="27" spans="1:4" hidden="1" x14ac:dyDescent="0.25">
      <c r="A27" s="27">
        <v>2251</v>
      </c>
      <c r="B27" s="29" t="s">
        <v>60</v>
      </c>
      <c r="C27" s="102"/>
      <c r="D27" s="28">
        <f t="shared" si="0"/>
        <v>0</v>
      </c>
    </row>
    <row r="28" spans="1:4" hidden="1" x14ac:dyDescent="0.25">
      <c r="A28" s="27">
        <v>2261</v>
      </c>
      <c r="B28" s="29" t="s">
        <v>11</v>
      </c>
      <c r="C28" s="102"/>
      <c r="D28" s="28">
        <f t="shared" si="0"/>
        <v>0</v>
      </c>
    </row>
    <row r="29" spans="1:4" hidden="1" x14ac:dyDescent="0.25">
      <c r="A29" s="27">
        <v>2279</v>
      </c>
      <c r="B29" s="29" t="s">
        <v>14</v>
      </c>
      <c r="C29" s="102"/>
      <c r="D29" s="28">
        <f t="shared" si="0"/>
        <v>0</v>
      </c>
    </row>
    <row r="30" spans="1:4" x14ac:dyDescent="0.25">
      <c r="A30" s="27">
        <v>2311</v>
      </c>
      <c r="B30" s="29" t="s">
        <v>72</v>
      </c>
      <c r="C30" s="45">
        <v>0.22</v>
      </c>
      <c r="D30" s="28">
        <f t="shared" si="0"/>
        <v>3.3</v>
      </c>
    </row>
    <row r="31" spans="1:4" x14ac:dyDescent="0.25">
      <c r="A31" s="27">
        <v>2312</v>
      </c>
      <c r="B31" s="29" t="s">
        <v>16</v>
      </c>
      <c r="C31" s="102">
        <v>0.14000000000000001</v>
      </c>
      <c r="D31" s="28">
        <f t="shared" si="0"/>
        <v>2.1</v>
      </c>
    </row>
    <row r="32" spans="1:4" x14ac:dyDescent="0.25">
      <c r="A32" s="27">
        <v>2321</v>
      </c>
      <c r="B32" s="29" t="s">
        <v>17</v>
      </c>
      <c r="C32" s="102">
        <v>0.02</v>
      </c>
      <c r="D32" s="28">
        <f t="shared" si="0"/>
        <v>0.3</v>
      </c>
    </row>
    <row r="33" spans="1:4" x14ac:dyDescent="0.25">
      <c r="A33" s="27">
        <v>2350</v>
      </c>
      <c r="B33" s="29" t="s">
        <v>222</v>
      </c>
      <c r="C33" s="102">
        <v>0.46</v>
      </c>
      <c r="D33" s="28">
        <f t="shared" si="0"/>
        <v>6.9</v>
      </c>
    </row>
    <row r="34" spans="1:4" hidden="1" x14ac:dyDescent="0.25">
      <c r="A34" s="27">
        <v>2361</v>
      </c>
      <c r="B34" s="29" t="s">
        <v>20</v>
      </c>
      <c r="C34" s="102"/>
      <c r="D34" s="28">
        <f t="shared" si="0"/>
        <v>0</v>
      </c>
    </row>
    <row r="35" spans="1:4" hidden="1" x14ac:dyDescent="0.25">
      <c r="A35" s="27">
        <v>2370</v>
      </c>
      <c r="B35" s="29" t="s">
        <v>69</v>
      </c>
      <c r="C35" s="102"/>
      <c r="D35" s="28">
        <f t="shared" si="0"/>
        <v>0</v>
      </c>
    </row>
    <row r="36" spans="1:4" hidden="1" x14ac:dyDescent="0.25">
      <c r="A36" s="55">
        <v>2513</v>
      </c>
      <c r="B36" s="29" t="s">
        <v>22</v>
      </c>
      <c r="C36" s="102"/>
      <c r="D36" s="28">
        <f t="shared" si="0"/>
        <v>0</v>
      </c>
    </row>
    <row r="37" spans="1:4" x14ac:dyDescent="0.25">
      <c r="A37" s="27">
        <v>5238</v>
      </c>
      <c r="B37" s="29" t="s">
        <v>122</v>
      </c>
      <c r="C37" s="102">
        <v>0.37</v>
      </c>
      <c r="D37" s="28">
        <f t="shared" si="0"/>
        <v>5.55</v>
      </c>
    </row>
    <row r="38" spans="1:4" hidden="1" x14ac:dyDescent="0.25">
      <c r="A38" s="27">
        <v>5239</v>
      </c>
      <c r="B38" s="29" t="s">
        <v>57</v>
      </c>
      <c r="C38" s="102"/>
      <c r="D38" s="28"/>
    </row>
    <row r="39" spans="1:4" x14ac:dyDescent="0.25">
      <c r="A39" s="27"/>
      <c r="B39" s="30" t="s">
        <v>65</v>
      </c>
      <c r="C39" s="31">
        <f>SUM(C18:C37)</f>
        <v>7.879999999999999</v>
      </c>
      <c r="D39" s="31">
        <f>SUM(D18:D37)</f>
        <v>118.2</v>
      </c>
    </row>
    <row r="40" spans="1:4" x14ac:dyDescent="0.25">
      <c r="A40" s="32"/>
      <c r="B40" s="27" t="s">
        <v>64</v>
      </c>
      <c r="C40" s="26"/>
      <c r="D40" s="28"/>
    </row>
    <row r="41" spans="1:4" x14ac:dyDescent="0.25">
      <c r="A41" s="27">
        <v>1100</v>
      </c>
      <c r="B41" s="27" t="s">
        <v>63</v>
      </c>
      <c r="C41" s="28">
        <v>1.92</v>
      </c>
      <c r="D41" s="28">
        <f>C41*15</f>
        <v>28.799999999999997</v>
      </c>
    </row>
    <row r="42" spans="1:4" ht="15.75" customHeight="1" x14ac:dyDescent="0.25">
      <c r="A42" s="27">
        <v>1200</v>
      </c>
      <c r="B42" s="29" t="s">
        <v>192</v>
      </c>
      <c r="C42" s="45">
        <v>0.46</v>
      </c>
      <c r="D42" s="28">
        <f t="shared" ref="D42:D67" si="1">C42*15</f>
        <v>6.9</v>
      </c>
    </row>
    <row r="43" spans="1:4" ht="15.75" customHeight="1" x14ac:dyDescent="0.25">
      <c r="A43" s="27">
        <v>2100</v>
      </c>
      <c r="B43" s="29" t="s">
        <v>239</v>
      </c>
      <c r="C43" s="45">
        <v>0.02</v>
      </c>
      <c r="D43" s="28">
        <f t="shared" si="1"/>
        <v>0.3</v>
      </c>
    </row>
    <row r="44" spans="1:4" x14ac:dyDescent="0.25">
      <c r="A44" s="33">
        <v>2210</v>
      </c>
      <c r="B44" s="29" t="s">
        <v>142</v>
      </c>
      <c r="C44" s="102">
        <v>0.03</v>
      </c>
      <c r="D44" s="28">
        <f t="shared" si="1"/>
        <v>0.44999999999999996</v>
      </c>
    </row>
    <row r="45" spans="1:4" hidden="1" x14ac:dyDescent="0.25">
      <c r="A45" s="27">
        <v>2222</v>
      </c>
      <c r="B45" s="29" t="s">
        <v>28</v>
      </c>
      <c r="C45" s="102"/>
      <c r="D45" s="28">
        <f t="shared" si="1"/>
        <v>0</v>
      </c>
    </row>
    <row r="46" spans="1:4" x14ac:dyDescent="0.25">
      <c r="A46" s="27">
        <v>2223</v>
      </c>
      <c r="B46" s="29" t="s">
        <v>29</v>
      </c>
      <c r="C46" s="102">
        <v>0.02</v>
      </c>
      <c r="D46" s="28">
        <f t="shared" si="1"/>
        <v>0.3</v>
      </c>
    </row>
    <row r="47" spans="1:4" ht="31" x14ac:dyDescent="0.25">
      <c r="A47" s="33">
        <v>2224</v>
      </c>
      <c r="B47" s="29" t="s">
        <v>283</v>
      </c>
      <c r="C47" s="102">
        <v>0.03</v>
      </c>
      <c r="D47" s="28">
        <f t="shared" si="1"/>
        <v>0.44999999999999996</v>
      </c>
    </row>
    <row r="48" spans="1:4" hidden="1" x14ac:dyDescent="0.25">
      <c r="A48" s="27">
        <v>2231</v>
      </c>
      <c r="B48" s="29" t="s">
        <v>226</v>
      </c>
      <c r="C48" s="102">
        <v>0</v>
      </c>
      <c r="D48" s="28">
        <f t="shared" si="1"/>
        <v>0</v>
      </c>
    </row>
    <row r="49" spans="1:4" x14ac:dyDescent="0.25">
      <c r="A49" s="27">
        <v>2235</v>
      </c>
      <c r="B49" s="29" t="s">
        <v>240</v>
      </c>
      <c r="C49" s="102">
        <v>0.01</v>
      </c>
      <c r="D49" s="28">
        <f t="shared" si="1"/>
        <v>0.15</v>
      </c>
    </row>
    <row r="50" spans="1:4" x14ac:dyDescent="0.35">
      <c r="A50" s="27">
        <v>2239</v>
      </c>
      <c r="B50" s="13" t="s">
        <v>145</v>
      </c>
      <c r="C50" s="102">
        <v>0.03</v>
      </c>
      <c r="D50" s="28">
        <f t="shared" si="1"/>
        <v>0.44999999999999996</v>
      </c>
    </row>
    <row r="51" spans="1:4" hidden="1" x14ac:dyDescent="0.25">
      <c r="A51" s="27">
        <v>2242</v>
      </c>
      <c r="B51" s="29" t="s">
        <v>8</v>
      </c>
      <c r="C51" s="102">
        <v>0</v>
      </c>
      <c r="D51" s="28">
        <f t="shared" si="1"/>
        <v>0</v>
      </c>
    </row>
    <row r="52" spans="1:4" x14ac:dyDescent="0.25">
      <c r="A52" s="27">
        <v>2243</v>
      </c>
      <c r="B52" s="29" t="s">
        <v>9</v>
      </c>
      <c r="C52" s="45">
        <v>0.04</v>
      </c>
      <c r="D52" s="28">
        <f t="shared" si="1"/>
        <v>0.6</v>
      </c>
    </row>
    <row r="53" spans="1:4" x14ac:dyDescent="0.25">
      <c r="A53" s="27">
        <v>2244</v>
      </c>
      <c r="B53" s="29" t="s">
        <v>223</v>
      </c>
      <c r="C53" s="102">
        <v>0.35</v>
      </c>
      <c r="D53" s="28">
        <f t="shared" si="1"/>
        <v>5.25</v>
      </c>
    </row>
    <row r="54" spans="1:4" hidden="1" x14ac:dyDescent="0.25">
      <c r="A54" s="27">
        <v>2247</v>
      </c>
      <c r="B54" s="25" t="s">
        <v>59</v>
      </c>
      <c r="C54" s="26">
        <v>0</v>
      </c>
      <c r="D54" s="28">
        <f t="shared" si="1"/>
        <v>0</v>
      </c>
    </row>
    <row r="55" spans="1:4" x14ac:dyDescent="0.25">
      <c r="A55" s="27">
        <v>2250</v>
      </c>
      <c r="B55" s="29" t="s">
        <v>186</v>
      </c>
      <c r="C55" s="102">
        <v>0.2</v>
      </c>
      <c r="D55" s="28">
        <f t="shared" si="1"/>
        <v>3</v>
      </c>
    </row>
    <row r="56" spans="1:4" x14ac:dyDescent="0.25">
      <c r="A56" s="27">
        <v>2262</v>
      </c>
      <c r="B56" s="29" t="s">
        <v>12</v>
      </c>
      <c r="C56" s="102">
        <v>0.02</v>
      </c>
      <c r="D56" s="28">
        <f t="shared" si="1"/>
        <v>0.3</v>
      </c>
    </row>
    <row r="57" spans="1:4" hidden="1" x14ac:dyDescent="0.25">
      <c r="A57" s="27">
        <v>2264</v>
      </c>
      <c r="B57" s="29" t="s">
        <v>13</v>
      </c>
      <c r="C57" s="102"/>
      <c r="D57" s="28">
        <f t="shared" si="1"/>
        <v>0</v>
      </c>
    </row>
    <row r="58" spans="1:4" hidden="1" x14ac:dyDescent="0.25">
      <c r="A58" s="27">
        <v>2279</v>
      </c>
      <c r="B58" s="29" t="s">
        <v>14</v>
      </c>
      <c r="C58" s="102"/>
      <c r="D58" s="28">
        <f t="shared" si="1"/>
        <v>0</v>
      </c>
    </row>
    <row r="59" spans="1:4" hidden="1" x14ac:dyDescent="0.25">
      <c r="A59" s="27">
        <v>2311</v>
      </c>
      <c r="B59" s="29" t="s">
        <v>15</v>
      </c>
      <c r="C59" s="102">
        <v>0</v>
      </c>
      <c r="D59" s="28">
        <f t="shared" si="1"/>
        <v>0</v>
      </c>
    </row>
    <row r="60" spans="1:4" hidden="1" x14ac:dyDescent="0.25">
      <c r="A60" s="27">
        <v>2312</v>
      </c>
      <c r="B60" s="29" t="s">
        <v>16</v>
      </c>
      <c r="C60" s="102">
        <v>0</v>
      </c>
      <c r="D60" s="28">
        <f t="shared" si="1"/>
        <v>0</v>
      </c>
    </row>
    <row r="61" spans="1:4" hidden="1" x14ac:dyDescent="0.25">
      <c r="A61" s="27">
        <v>2314</v>
      </c>
      <c r="B61" s="29" t="s">
        <v>146</v>
      </c>
      <c r="C61" s="102">
        <v>0</v>
      </c>
      <c r="D61" s="28">
        <f t="shared" si="1"/>
        <v>0</v>
      </c>
    </row>
    <row r="62" spans="1:4" x14ac:dyDescent="0.25">
      <c r="A62" s="27">
        <v>2321</v>
      </c>
      <c r="B62" s="29" t="s">
        <v>17</v>
      </c>
      <c r="C62" s="102">
        <v>0.06</v>
      </c>
      <c r="D62" s="28">
        <f t="shared" si="1"/>
        <v>0.89999999999999991</v>
      </c>
    </row>
    <row r="63" spans="1:4" x14ac:dyDescent="0.25">
      <c r="A63" s="27">
        <v>2322</v>
      </c>
      <c r="B63" s="29" t="s">
        <v>18</v>
      </c>
      <c r="C63" s="102">
        <v>0.02</v>
      </c>
      <c r="D63" s="28">
        <f t="shared" si="1"/>
        <v>0.3</v>
      </c>
    </row>
    <row r="64" spans="1:4" x14ac:dyDescent="0.25">
      <c r="A64" s="27">
        <v>2350</v>
      </c>
      <c r="B64" s="29" t="s">
        <v>224</v>
      </c>
      <c r="C64" s="102">
        <v>0.05</v>
      </c>
      <c r="D64" s="28">
        <f t="shared" si="1"/>
        <v>0.75</v>
      </c>
    </row>
    <row r="65" spans="1:7" x14ac:dyDescent="0.25">
      <c r="A65" s="27">
        <v>2513</v>
      </c>
      <c r="B65" s="29" t="s">
        <v>238</v>
      </c>
      <c r="C65" s="102">
        <v>7.0000000000000007E-2</v>
      </c>
      <c r="D65" s="28">
        <f t="shared" si="1"/>
        <v>1.05</v>
      </c>
    </row>
    <row r="66" spans="1:7" x14ac:dyDescent="0.25">
      <c r="A66" s="27">
        <v>2515</v>
      </c>
      <c r="B66" s="29" t="s">
        <v>58</v>
      </c>
      <c r="C66" s="102">
        <v>0.01</v>
      </c>
      <c r="D66" s="28">
        <f t="shared" si="1"/>
        <v>0.15</v>
      </c>
    </row>
    <row r="67" spans="1:7" x14ac:dyDescent="0.25">
      <c r="A67" s="27">
        <v>5239</v>
      </c>
      <c r="B67" s="29" t="s">
        <v>57</v>
      </c>
      <c r="C67" s="45">
        <v>0.28000000000000003</v>
      </c>
      <c r="D67" s="28">
        <f t="shared" si="1"/>
        <v>4.2</v>
      </c>
    </row>
    <row r="68" spans="1:7" hidden="1" x14ac:dyDescent="0.25">
      <c r="A68" s="27">
        <v>5240</v>
      </c>
      <c r="B68" s="29" t="s">
        <v>25</v>
      </c>
      <c r="C68" s="102"/>
      <c r="D68" s="28">
        <f>C68*22</f>
        <v>0</v>
      </c>
    </row>
    <row r="69" spans="1:7" hidden="1" x14ac:dyDescent="0.25">
      <c r="A69" s="27">
        <v>5250</v>
      </c>
      <c r="B69" s="29" t="s">
        <v>26</v>
      </c>
      <c r="C69" s="102"/>
      <c r="D69" s="28">
        <f>C69*22</f>
        <v>0</v>
      </c>
    </row>
    <row r="70" spans="1:7" x14ac:dyDescent="0.25">
      <c r="A70" s="32"/>
      <c r="B70" s="34" t="s">
        <v>66</v>
      </c>
      <c r="C70" s="31">
        <f>SUM(C41:C69)</f>
        <v>3.6199999999999992</v>
      </c>
      <c r="D70" s="31">
        <f>SUM(D41:D69)</f>
        <v>54.29999999999999</v>
      </c>
    </row>
    <row r="71" spans="1:7" x14ac:dyDescent="0.25">
      <c r="A71" s="32"/>
      <c r="B71" s="34" t="s">
        <v>32</v>
      </c>
      <c r="C71" s="31">
        <f>C39+C70</f>
        <v>11.499999999999998</v>
      </c>
      <c r="D71" s="31">
        <f>D39+D70</f>
        <v>172.5</v>
      </c>
    </row>
    <row r="72" spans="1:7" x14ac:dyDescent="0.35">
      <c r="A72" s="35"/>
      <c r="B72" s="20"/>
      <c r="C72" s="103"/>
      <c r="D72" s="92"/>
    </row>
    <row r="73" spans="1:7" x14ac:dyDescent="0.25">
      <c r="A73" s="262" t="s">
        <v>45</v>
      </c>
      <c r="B73" s="262"/>
      <c r="C73" s="107">
        <v>1</v>
      </c>
      <c r="D73" s="105">
        <v>15</v>
      </c>
    </row>
    <row r="74" spans="1:7" x14ac:dyDescent="0.3">
      <c r="A74" s="262" t="s">
        <v>46</v>
      </c>
      <c r="B74" s="262"/>
      <c r="C74" s="108">
        <f>C71/C73</f>
        <v>11.499999999999998</v>
      </c>
      <c r="D74" s="108">
        <f>D71/D73</f>
        <v>11.5</v>
      </c>
    </row>
    <row r="75" spans="1:7" x14ac:dyDescent="0.3">
      <c r="A75" s="9"/>
      <c r="B75" s="9"/>
      <c r="C75" s="10"/>
      <c r="D75" s="36"/>
      <c r="G75" s="60"/>
    </row>
    <row r="76" spans="1:7" x14ac:dyDescent="0.35">
      <c r="A76" s="267" t="s">
        <v>37</v>
      </c>
      <c r="B76" s="268"/>
      <c r="C76" s="104"/>
      <c r="D76" s="39"/>
    </row>
    <row r="77" spans="1:7" x14ac:dyDescent="0.35">
      <c r="A77" s="267" t="s">
        <v>54</v>
      </c>
      <c r="B77" s="268"/>
      <c r="C77" s="104"/>
      <c r="D77" s="39"/>
    </row>
    <row r="78" spans="1:7" x14ac:dyDescent="0.35">
      <c r="A78" s="17"/>
      <c r="B78" s="17"/>
      <c r="C78" s="19"/>
      <c r="D78" s="65"/>
    </row>
    <row r="79" spans="1:7" x14ac:dyDescent="0.35">
      <c r="A79" s="17" t="s">
        <v>38</v>
      </c>
      <c r="B79" s="17"/>
      <c r="C79" s="19"/>
      <c r="D79" s="17"/>
    </row>
    <row r="80" spans="1:7" x14ac:dyDescent="0.35">
      <c r="A80" s="17"/>
      <c r="B80" s="17"/>
      <c r="C80" s="19"/>
      <c r="D80" s="65"/>
    </row>
    <row r="81" spans="1:4" x14ac:dyDescent="0.35">
      <c r="A81" s="17" t="s">
        <v>47</v>
      </c>
      <c r="B81" s="18"/>
      <c r="C81" s="96"/>
      <c r="D81" s="91"/>
    </row>
    <row r="82" spans="1:4" x14ac:dyDescent="0.35">
      <c r="A82" s="17"/>
      <c r="B82" s="96"/>
      <c r="C82" s="96"/>
      <c r="D82" s="65"/>
    </row>
    <row r="83" spans="1:4" x14ac:dyDescent="0.35">
      <c r="A83" s="17"/>
      <c r="B83" s="19"/>
      <c r="C83" s="19"/>
      <c r="D83" s="17"/>
    </row>
    <row r="84" spans="1:4" x14ac:dyDescent="0.35">
      <c r="D84" s="92"/>
    </row>
  </sheetData>
  <mergeCells count="11">
    <mergeCell ref="B11:D11"/>
    <mergeCell ref="A73:B73"/>
    <mergeCell ref="A74:B74"/>
    <mergeCell ref="A76:B76"/>
    <mergeCell ref="A77:B77"/>
    <mergeCell ref="B1:D1"/>
    <mergeCell ref="B2:D2"/>
    <mergeCell ref="B3:D3"/>
    <mergeCell ref="A7:D7"/>
    <mergeCell ref="A9:B9"/>
    <mergeCell ref="A10:B10"/>
  </mergeCells>
  <pageMargins left="0" right="0.11811023622047245" top="0.74803149606299213" bottom="0.74803149606299213" header="0.31496062992125984" footer="0.31496062992125984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A11" sqref="A11:IV11"/>
    </sheetView>
  </sheetViews>
  <sheetFormatPr defaultRowHeight="15.5" x14ac:dyDescent="0.35"/>
  <cols>
    <col min="1" max="1" width="12.26953125" style="6" customWidth="1"/>
    <col min="2" max="2" width="94.7265625" style="6" customWidth="1"/>
    <col min="3" max="3" width="17.26953125" style="100" hidden="1" customWidth="1"/>
    <col min="4" max="4" width="28.26953125" style="6" customWidth="1"/>
  </cols>
  <sheetData>
    <row r="1" spans="1:4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56</v>
      </c>
      <c r="C3" s="257"/>
      <c r="D3" s="257"/>
    </row>
    <row r="4" spans="1:4" ht="12.75" customHeight="1" x14ac:dyDescent="0.35">
      <c r="A4" s="12"/>
      <c r="B4" s="11"/>
      <c r="C4" s="101"/>
      <c r="D4" s="96"/>
    </row>
    <row r="5" spans="1:4" x14ac:dyDescent="0.35">
      <c r="A5" s="12"/>
      <c r="B5" s="15"/>
      <c r="C5" s="15"/>
      <c r="D5" s="11" t="s">
        <v>282</v>
      </c>
    </row>
    <row r="6" spans="1:4" ht="9.75" customHeight="1" x14ac:dyDescent="0.35">
      <c r="A6" s="12"/>
      <c r="B6" s="11"/>
      <c r="C6" s="101"/>
      <c r="D6" s="11"/>
    </row>
    <row r="7" spans="1:4" ht="15" x14ac:dyDescent="0.3">
      <c r="A7" s="263" t="s">
        <v>5</v>
      </c>
      <c r="B7" s="263"/>
      <c r="C7" s="263"/>
      <c r="D7" s="263"/>
    </row>
    <row r="8" spans="1:4" ht="10.5" customHeight="1" x14ac:dyDescent="0.35">
      <c r="A8" s="97"/>
      <c r="B8" s="97"/>
      <c r="C8" s="97"/>
    </row>
    <row r="9" spans="1:4" x14ac:dyDescent="0.35">
      <c r="A9" s="262" t="s">
        <v>1</v>
      </c>
      <c r="B9" s="262"/>
      <c r="C9" s="10"/>
    </row>
    <row r="10" spans="1:4" x14ac:dyDescent="0.35">
      <c r="A10" s="262" t="s">
        <v>0</v>
      </c>
      <c r="B10" s="262"/>
      <c r="C10" s="10"/>
    </row>
    <row r="11" spans="1:4" x14ac:dyDescent="0.25">
      <c r="A11" s="9"/>
      <c r="B11" s="262" t="s">
        <v>245</v>
      </c>
      <c r="C11" s="270"/>
      <c r="D11" s="270"/>
    </row>
    <row r="12" spans="1:4" x14ac:dyDescent="0.35">
      <c r="A12" s="9"/>
      <c r="B12" s="9" t="s">
        <v>292</v>
      </c>
      <c r="C12" s="10"/>
      <c r="D12" s="14"/>
    </row>
    <row r="13" spans="1:4" ht="9" customHeight="1" x14ac:dyDescent="0.35">
      <c r="A13" s="9"/>
      <c r="B13" s="9"/>
      <c r="C13" s="10"/>
      <c r="D13" s="14"/>
    </row>
    <row r="14" spans="1:4" x14ac:dyDescent="0.35">
      <c r="A14" s="9" t="s">
        <v>2</v>
      </c>
      <c r="B14" s="9" t="s">
        <v>259</v>
      </c>
      <c r="C14" s="10"/>
    </row>
    <row r="15" spans="1:4" ht="66.75" customHeight="1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/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6">
        <v>42.67</v>
      </c>
      <c r="D18" s="28">
        <f>C18*22</f>
        <v>938.74</v>
      </c>
    </row>
    <row r="19" spans="1:4" ht="15.75" customHeight="1" x14ac:dyDescent="0.25">
      <c r="A19" s="27">
        <v>1200</v>
      </c>
      <c r="B19" s="29" t="s">
        <v>192</v>
      </c>
      <c r="C19" s="102">
        <v>10.28</v>
      </c>
      <c r="D19" s="28">
        <f t="shared" ref="D19:D67" si="0">C19*22</f>
        <v>226.16</v>
      </c>
    </row>
    <row r="20" spans="1:4" hidden="1" x14ac:dyDescent="0.25">
      <c r="A20" s="27">
        <v>2210</v>
      </c>
      <c r="B20" s="29" t="s">
        <v>27</v>
      </c>
      <c r="C20" s="102"/>
      <c r="D20" s="28">
        <f t="shared" si="0"/>
        <v>0</v>
      </c>
    </row>
    <row r="21" spans="1:4" x14ac:dyDescent="0.25">
      <c r="A21" s="27">
        <v>2222</v>
      </c>
      <c r="B21" s="29" t="s">
        <v>190</v>
      </c>
      <c r="C21" s="102">
        <v>0.01</v>
      </c>
      <c r="D21" s="28">
        <f t="shared" si="0"/>
        <v>0.22</v>
      </c>
    </row>
    <row r="22" spans="1:4" x14ac:dyDescent="0.25">
      <c r="A22" s="27">
        <v>2223</v>
      </c>
      <c r="B22" s="29" t="s">
        <v>29</v>
      </c>
      <c r="C22" s="102">
        <v>0.11</v>
      </c>
      <c r="D22" s="28">
        <f t="shared" si="0"/>
        <v>2.42</v>
      </c>
    </row>
    <row r="23" spans="1:4" hidden="1" x14ac:dyDescent="0.25">
      <c r="A23" s="27"/>
      <c r="B23" s="29"/>
      <c r="C23" s="102"/>
      <c r="D23" s="28">
        <f t="shared" si="0"/>
        <v>0</v>
      </c>
    </row>
    <row r="24" spans="1:4" hidden="1" x14ac:dyDescent="0.25">
      <c r="A24" s="27"/>
      <c r="B24" s="29"/>
      <c r="C24" s="102"/>
      <c r="D24" s="28">
        <f t="shared" si="0"/>
        <v>0</v>
      </c>
    </row>
    <row r="25" spans="1:4" hidden="1" x14ac:dyDescent="0.25">
      <c r="A25" s="27">
        <v>2243</v>
      </c>
      <c r="B25" s="29" t="s">
        <v>9</v>
      </c>
      <c r="C25" s="102"/>
      <c r="D25" s="28">
        <f t="shared" si="0"/>
        <v>0</v>
      </c>
    </row>
    <row r="26" spans="1:4" x14ac:dyDescent="0.25">
      <c r="A26" s="27">
        <v>2244</v>
      </c>
      <c r="B26" s="29" t="s">
        <v>193</v>
      </c>
      <c r="C26" s="102">
        <v>0.27</v>
      </c>
      <c r="D26" s="28">
        <f t="shared" si="0"/>
        <v>5.94</v>
      </c>
    </row>
    <row r="27" spans="1:4" hidden="1" x14ac:dyDescent="0.25">
      <c r="A27" s="27">
        <v>2251</v>
      </c>
      <c r="B27" s="29" t="s">
        <v>60</v>
      </c>
      <c r="C27" s="102"/>
      <c r="D27" s="28">
        <f t="shared" si="0"/>
        <v>0</v>
      </c>
    </row>
    <row r="28" spans="1:4" hidden="1" x14ac:dyDescent="0.25">
      <c r="A28" s="27">
        <v>2261</v>
      </c>
      <c r="B28" s="29" t="s">
        <v>11</v>
      </c>
      <c r="C28" s="102"/>
      <c r="D28" s="28">
        <f t="shared" si="0"/>
        <v>0</v>
      </c>
    </row>
    <row r="29" spans="1:4" hidden="1" x14ac:dyDescent="0.25">
      <c r="A29" s="27">
        <v>2279</v>
      </c>
      <c r="B29" s="29" t="s">
        <v>14</v>
      </c>
      <c r="C29" s="102"/>
      <c r="D29" s="28">
        <f t="shared" si="0"/>
        <v>0</v>
      </c>
    </row>
    <row r="30" spans="1:4" x14ac:dyDescent="0.25">
      <c r="A30" s="27">
        <v>2311</v>
      </c>
      <c r="B30" s="29" t="s">
        <v>72</v>
      </c>
      <c r="C30" s="45">
        <v>2.5</v>
      </c>
      <c r="D30" s="28">
        <f t="shared" si="0"/>
        <v>55</v>
      </c>
    </row>
    <row r="31" spans="1:4" x14ac:dyDescent="0.25">
      <c r="A31" s="27">
        <v>2312</v>
      </c>
      <c r="B31" s="29" t="s">
        <v>16</v>
      </c>
      <c r="C31" s="102">
        <v>1.1299999999999999</v>
      </c>
      <c r="D31" s="28">
        <f t="shared" si="0"/>
        <v>24.86</v>
      </c>
    </row>
    <row r="32" spans="1:4" x14ac:dyDescent="0.25">
      <c r="A32" s="27">
        <v>2321</v>
      </c>
      <c r="B32" s="29" t="s">
        <v>17</v>
      </c>
      <c r="C32" s="102">
        <v>0.17</v>
      </c>
      <c r="D32" s="28">
        <f t="shared" si="0"/>
        <v>3.74</v>
      </c>
    </row>
    <row r="33" spans="1:4" x14ac:dyDescent="0.25">
      <c r="A33" s="27">
        <v>2350</v>
      </c>
      <c r="B33" s="29" t="s">
        <v>222</v>
      </c>
      <c r="C33" s="102">
        <v>2.4500000000000002</v>
      </c>
      <c r="D33" s="28">
        <f t="shared" si="0"/>
        <v>53.900000000000006</v>
      </c>
    </row>
    <row r="34" spans="1:4" hidden="1" x14ac:dyDescent="0.25">
      <c r="A34" s="27">
        <v>2361</v>
      </c>
      <c r="B34" s="29" t="s">
        <v>20</v>
      </c>
      <c r="C34" s="102"/>
      <c r="D34" s="28">
        <f t="shared" si="0"/>
        <v>0</v>
      </c>
    </row>
    <row r="35" spans="1:4" hidden="1" x14ac:dyDescent="0.25">
      <c r="A35" s="27">
        <v>2370</v>
      </c>
      <c r="B35" s="29" t="s">
        <v>69</v>
      </c>
      <c r="C35" s="102"/>
      <c r="D35" s="28">
        <f t="shared" si="0"/>
        <v>0</v>
      </c>
    </row>
    <row r="36" spans="1:4" hidden="1" x14ac:dyDescent="0.25">
      <c r="A36" s="55">
        <v>2513</v>
      </c>
      <c r="B36" s="29" t="s">
        <v>22</v>
      </c>
      <c r="C36" s="102"/>
      <c r="D36" s="28">
        <f t="shared" si="0"/>
        <v>0</v>
      </c>
    </row>
    <row r="37" spans="1:4" x14ac:dyDescent="0.25">
      <c r="A37" s="27">
        <v>5238</v>
      </c>
      <c r="B37" s="29" t="s">
        <v>122</v>
      </c>
      <c r="C37" s="102">
        <v>2.95</v>
      </c>
      <c r="D37" s="28">
        <f t="shared" si="0"/>
        <v>64.900000000000006</v>
      </c>
    </row>
    <row r="38" spans="1:4" x14ac:dyDescent="0.25">
      <c r="A38" s="27"/>
      <c r="B38" s="30" t="s">
        <v>65</v>
      </c>
      <c r="C38" s="31">
        <f>SUM(C18:C37)</f>
        <v>62.540000000000013</v>
      </c>
      <c r="D38" s="31">
        <f>SUM(D18:D37)</f>
        <v>1375.8800000000003</v>
      </c>
    </row>
    <row r="39" spans="1:4" x14ac:dyDescent="0.25">
      <c r="A39" s="32"/>
      <c r="B39" s="27" t="s">
        <v>64</v>
      </c>
      <c r="C39" s="26"/>
      <c r="D39" s="28"/>
    </row>
    <row r="40" spans="1:4" x14ac:dyDescent="0.25">
      <c r="A40" s="27">
        <v>1100</v>
      </c>
      <c r="B40" s="27" t="s">
        <v>63</v>
      </c>
      <c r="C40" s="28">
        <v>15.02</v>
      </c>
      <c r="D40" s="28">
        <f t="shared" si="0"/>
        <v>330.44</v>
      </c>
    </row>
    <row r="41" spans="1:4" ht="15.75" customHeight="1" x14ac:dyDescent="0.25">
      <c r="A41" s="27">
        <v>1200</v>
      </c>
      <c r="B41" s="29" t="s">
        <v>192</v>
      </c>
      <c r="C41" s="45">
        <v>3.62</v>
      </c>
      <c r="D41" s="28">
        <f t="shared" si="0"/>
        <v>79.64</v>
      </c>
    </row>
    <row r="42" spans="1:4" ht="15.75" customHeight="1" x14ac:dyDescent="0.25">
      <c r="A42" s="27">
        <v>2100</v>
      </c>
      <c r="B42" s="29" t="s">
        <v>239</v>
      </c>
      <c r="C42" s="45">
        <v>0.15</v>
      </c>
      <c r="D42" s="28">
        <f t="shared" si="0"/>
        <v>3.3</v>
      </c>
    </row>
    <row r="43" spans="1:4" x14ac:dyDescent="0.25">
      <c r="A43" s="33">
        <v>2210</v>
      </c>
      <c r="B43" s="29" t="s">
        <v>142</v>
      </c>
      <c r="C43" s="102">
        <v>0.24</v>
      </c>
      <c r="D43" s="28">
        <f t="shared" si="0"/>
        <v>5.2799999999999994</v>
      </c>
    </row>
    <row r="44" spans="1:4" hidden="1" x14ac:dyDescent="0.25">
      <c r="A44" s="27">
        <v>2222</v>
      </c>
      <c r="B44" s="29" t="s">
        <v>28</v>
      </c>
      <c r="C44" s="102"/>
      <c r="D44" s="28">
        <f t="shared" si="0"/>
        <v>0</v>
      </c>
    </row>
    <row r="45" spans="1:4" x14ac:dyDescent="0.25">
      <c r="A45" s="27">
        <v>2223</v>
      </c>
      <c r="B45" s="29" t="s">
        <v>29</v>
      </c>
      <c r="C45" s="102">
        <v>0.1</v>
      </c>
      <c r="D45" s="28">
        <f t="shared" si="0"/>
        <v>2.2000000000000002</v>
      </c>
    </row>
    <row r="46" spans="1:4" ht="31" x14ac:dyDescent="0.25">
      <c r="A46" s="33">
        <v>2224</v>
      </c>
      <c r="B46" s="29" t="s">
        <v>283</v>
      </c>
      <c r="C46" s="102">
        <v>0.25</v>
      </c>
      <c r="D46" s="28">
        <f t="shared" si="0"/>
        <v>5.5</v>
      </c>
    </row>
    <row r="47" spans="1:4" x14ac:dyDescent="0.25">
      <c r="A47" s="27">
        <v>2231</v>
      </c>
      <c r="B47" s="29" t="s">
        <v>226</v>
      </c>
      <c r="C47" s="102">
        <v>0.04</v>
      </c>
      <c r="D47" s="28">
        <f t="shared" si="0"/>
        <v>0.88</v>
      </c>
    </row>
    <row r="48" spans="1:4" x14ac:dyDescent="0.25">
      <c r="A48" s="27">
        <v>2235</v>
      </c>
      <c r="B48" s="29" t="s">
        <v>240</v>
      </c>
      <c r="C48" s="102">
        <v>0.1</v>
      </c>
      <c r="D48" s="28">
        <f t="shared" si="0"/>
        <v>2.2000000000000002</v>
      </c>
    </row>
    <row r="49" spans="1:4" x14ac:dyDescent="0.35">
      <c r="A49" s="27">
        <v>2239</v>
      </c>
      <c r="B49" s="13" t="s">
        <v>145</v>
      </c>
      <c r="C49" s="102">
        <v>0.22</v>
      </c>
      <c r="D49" s="28">
        <f t="shared" si="0"/>
        <v>4.84</v>
      </c>
    </row>
    <row r="50" spans="1:4" x14ac:dyDescent="0.25">
      <c r="A50" s="27">
        <v>2242</v>
      </c>
      <c r="B50" s="29" t="s">
        <v>8</v>
      </c>
      <c r="C50" s="102">
        <v>0.01</v>
      </c>
      <c r="D50" s="28">
        <f t="shared" si="0"/>
        <v>0.22</v>
      </c>
    </row>
    <row r="51" spans="1:4" x14ac:dyDescent="0.25">
      <c r="A51" s="27">
        <v>2243</v>
      </c>
      <c r="B51" s="29" t="s">
        <v>9</v>
      </c>
      <c r="C51" s="45">
        <v>0.3</v>
      </c>
      <c r="D51" s="28">
        <f t="shared" si="0"/>
        <v>6.6</v>
      </c>
    </row>
    <row r="52" spans="1:4" x14ac:dyDescent="0.25">
      <c r="A52" s="27">
        <v>2244</v>
      </c>
      <c r="B52" s="29" t="s">
        <v>223</v>
      </c>
      <c r="C52" s="102">
        <f>2.77+0.04</f>
        <v>2.81</v>
      </c>
      <c r="D52" s="28">
        <f>C52*22</f>
        <v>61.82</v>
      </c>
    </row>
    <row r="53" spans="1:4" x14ac:dyDescent="0.25">
      <c r="A53" s="27">
        <v>2250</v>
      </c>
      <c r="B53" s="29" t="s">
        <v>186</v>
      </c>
      <c r="C53" s="102">
        <v>1.04</v>
      </c>
      <c r="D53" s="28">
        <f t="shared" si="0"/>
        <v>22.880000000000003</v>
      </c>
    </row>
    <row r="54" spans="1:4" x14ac:dyDescent="0.25">
      <c r="A54" s="27">
        <v>2262</v>
      </c>
      <c r="B54" s="29" t="s">
        <v>12</v>
      </c>
      <c r="C54" s="102">
        <v>0.31</v>
      </c>
      <c r="D54" s="28">
        <f t="shared" si="0"/>
        <v>6.82</v>
      </c>
    </row>
    <row r="55" spans="1:4" hidden="1" x14ac:dyDescent="0.25">
      <c r="A55" s="27">
        <v>2264</v>
      </c>
      <c r="B55" s="29" t="s">
        <v>13</v>
      </c>
      <c r="C55" s="102"/>
      <c r="D55" s="28">
        <f t="shared" si="0"/>
        <v>0</v>
      </c>
    </row>
    <row r="56" spans="1:4" hidden="1" x14ac:dyDescent="0.25">
      <c r="A56" s="27">
        <v>2279</v>
      </c>
      <c r="B56" s="29" t="s">
        <v>14</v>
      </c>
      <c r="C56" s="102"/>
      <c r="D56" s="28">
        <f t="shared" si="0"/>
        <v>0</v>
      </c>
    </row>
    <row r="57" spans="1:4" x14ac:dyDescent="0.25">
      <c r="A57" s="27">
        <v>2311</v>
      </c>
      <c r="B57" s="29" t="s">
        <v>15</v>
      </c>
      <c r="C57" s="102">
        <v>0.03</v>
      </c>
      <c r="D57" s="28">
        <f t="shared" si="0"/>
        <v>0.65999999999999992</v>
      </c>
    </row>
    <row r="58" spans="1:4" x14ac:dyDescent="0.25">
      <c r="A58" s="27">
        <v>2312</v>
      </c>
      <c r="B58" s="29" t="s">
        <v>16</v>
      </c>
      <c r="C58" s="102">
        <v>0.02</v>
      </c>
      <c r="D58" s="28">
        <f t="shared" si="0"/>
        <v>0.44</v>
      </c>
    </row>
    <row r="59" spans="1:4" x14ac:dyDescent="0.25">
      <c r="A59" s="27">
        <v>2314</v>
      </c>
      <c r="B59" s="29" t="s">
        <v>241</v>
      </c>
      <c r="C59" s="102">
        <v>0.02</v>
      </c>
      <c r="D59" s="28">
        <f t="shared" si="0"/>
        <v>0.44</v>
      </c>
    </row>
    <row r="60" spans="1:4" x14ac:dyDescent="0.25">
      <c r="A60" s="27">
        <v>2321</v>
      </c>
      <c r="B60" s="29" t="s">
        <v>17</v>
      </c>
      <c r="C60" s="102">
        <v>0.14000000000000001</v>
      </c>
      <c r="D60" s="28">
        <f t="shared" si="0"/>
        <v>3.08</v>
      </c>
    </row>
    <row r="61" spans="1:4" x14ac:dyDescent="0.25">
      <c r="A61" s="27">
        <v>2322</v>
      </c>
      <c r="B61" s="29" t="s">
        <v>18</v>
      </c>
      <c r="C61" s="102">
        <v>0.16</v>
      </c>
      <c r="D61" s="28">
        <f t="shared" si="0"/>
        <v>3.52</v>
      </c>
    </row>
    <row r="62" spans="1:4" x14ac:dyDescent="0.25">
      <c r="A62" s="27">
        <v>2350</v>
      </c>
      <c r="B62" s="29" t="s">
        <v>224</v>
      </c>
      <c r="C62" s="102">
        <v>0.59</v>
      </c>
      <c r="D62" s="28">
        <f t="shared" si="0"/>
        <v>12.979999999999999</v>
      </c>
    </row>
    <row r="63" spans="1:4" x14ac:dyDescent="0.25">
      <c r="A63" s="27">
        <v>2513</v>
      </c>
      <c r="B63" s="29" t="s">
        <v>238</v>
      </c>
      <c r="C63" s="102">
        <v>0.54</v>
      </c>
      <c r="D63" s="28">
        <f t="shared" si="0"/>
        <v>11.88</v>
      </c>
    </row>
    <row r="64" spans="1:4" x14ac:dyDescent="0.25">
      <c r="A64" s="27">
        <v>2515</v>
      </c>
      <c r="B64" s="29" t="s">
        <v>58</v>
      </c>
      <c r="C64" s="102">
        <v>0.09</v>
      </c>
      <c r="D64" s="28">
        <f t="shared" si="0"/>
        <v>1.98</v>
      </c>
    </row>
    <row r="65" spans="1:7" x14ac:dyDescent="0.25">
      <c r="A65" s="27">
        <v>5239</v>
      </c>
      <c r="B65" s="29" t="s">
        <v>57</v>
      </c>
      <c r="C65" s="45">
        <v>2.96</v>
      </c>
      <c r="D65" s="28">
        <f t="shared" si="0"/>
        <v>65.12</v>
      </c>
    </row>
    <row r="66" spans="1:7" hidden="1" x14ac:dyDescent="0.25">
      <c r="A66" s="27">
        <v>5240</v>
      </c>
      <c r="B66" s="29" t="s">
        <v>25</v>
      </c>
      <c r="C66" s="102"/>
      <c r="D66" s="28">
        <f t="shared" si="0"/>
        <v>0</v>
      </c>
    </row>
    <row r="67" spans="1:7" hidden="1" x14ac:dyDescent="0.25">
      <c r="A67" s="27">
        <v>5250</v>
      </c>
      <c r="B67" s="29" t="s">
        <v>26</v>
      </c>
      <c r="C67" s="102"/>
      <c r="D67" s="28">
        <f t="shared" si="0"/>
        <v>0</v>
      </c>
    </row>
    <row r="68" spans="1:7" x14ac:dyDescent="0.25">
      <c r="A68" s="32"/>
      <c r="B68" s="34" t="s">
        <v>66</v>
      </c>
      <c r="C68" s="31">
        <f>SUM(C40:C67)</f>
        <v>28.759999999999998</v>
      </c>
      <c r="D68" s="31">
        <f>SUM(D40:D67)</f>
        <v>632.72000000000014</v>
      </c>
    </row>
    <row r="69" spans="1:7" x14ac:dyDescent="0.25">
      <c r="A69" s="32"/>
      <c r="B69" s="34" t="s">
        <v>32</v>
      </c>
      <c r="C69" s="31">
        <f>C38+C68</f>
        <v>91.300000000000011</v>
      </c>
      <c r="D69" s="31">
        <f>D38+D68</f>
        <v>2008.6000000000004</v>
      </c>
    </row>
    <row r="70" spans="1:7" ht="9.75" customHeight="1" x14ac:dyDescent="0.35">
      <c r="A70" s="35"/>
      <c r="B70" s="20"/>
      <c r="C70" s="103"/>
      <c r="D70" s="92"/>
    </row>
    <row r="71" spans="1:7" x14ac:dyDescent="0.25">
      <c r="A71" s="262" t="s">
        <v>45</v>
      </c>
      <c r="B71" s="262"/>
      <c r="C71" s="107">
        <v>1</v>
      </c>
      <c r="D71" s="105">
        <v>22</v>
      </c>
    </row>
    <row r="72" spans="1:7" x14ac:dyDescent="0.3">
      <c r="A72" s="262" t="s">
        <v>46</v>
      </c>
      <c r="B72" s="262"/>
      <c r="C72" s="108">
        <f>C69/C71</f>
        <v>91.300000000000011</v>
      </c>
      <c r="D72" s="108">
        <f>D69/D71</f>
        <v>91.300000000000011</v>
      </c>
    </row>
    <row r="73" spans="1:7" ht="9" customHeight="1" x14ac:dyDescent="0.3">
      <c r="A73" s="9"/>
      <c r="B73" s="9"/>
      <c r="C73" s="10"/>
      <c r="D73" s="36"/>
      <c r="G73" s="60"/>
    </row>
    <row r="74" spans="1:7" x14ac:dyDescent="0.35">
      <c r="A74" s="267" t="s">
        <v>37</v>
      </c>
      <c r="B74" s="268"/>
      <c r="C74" s="104"/>
      <c r="D74" s="39"/>
    </row>
    <row r="75" spans="1:7" x14ac:dyDescent="0.35">
      <c r="A75" s="267" t="s">
        <v>54</v>
      </c>
      <c r="B75" s="268"/>
      <c r="C75" s="104"/>
      <c r="D75" s="39"/>
    </row>
    <row r="76" spans="1:7" ht="9.75" customHeight="1" x14ac:dyDescent="0.35">
      <c r="A76" s="17"/>
      <c r="B76" s="17"/>
      <c r="C76" s="19"/>
      <c r="D76" s="65"/>
    </row>
    <row r="77" spans="1:7" x14ac:dyDescent="0.35">
      <c r="A77" s="17" t="s">
        <v>38</v>
      </c>
      <c r="B77" s="17"/>
      <c r="C77" s="19"/>
      <c r="D77" s="17"/>
    </row>
    <row r="78" spans="1:7" ht="8.25" customHeight="1" x14ac:dyDescent="0.35">
      <c r="A78" s="17"/>
      <c r="B78" s="17"/>
      <c r="C78" s="19"/>
      <c r="D78" s="65"/>
    </row>
    <row r="79" spans="1:7" x14ac:dyDescent="0.35">
      <c r="A79" s="17" t="s">
        <v>47</v>
      </c>
      <c r="B79" s="18"/>
      <c r="C79" s="96"/>
      <c r="D79" s="91"/>
    </row>
    <row r="80" spans="1:7" ht="15" customHeight="1" x14ac:dyDescent="0.35">
      <c r="A80" s="17"/>
      <c r="B80" s="96"/>
      <c r="C80" s="96"/>
      <c r="D80" s="65"/>
    </row>
    <row r="81" spans="1:4" x14ac:dyDescent="0.35">
      <c r="A81" s="17"/>
      <c r="B81" s="19"/>
      <c r="C81" s="19"/>
      <c r="D81" s="17"/>
    </row>
    <row r="82" spans="1:4" x14ac:dyDescent="0.35">
      <c r="D82" s="92"/>
    </row>
  </sheetData>
  <mergeCells count="11">
    <mergeCell ref="B11:D11"/>
    <mergeCell ref="A71:B71"/>
    <mergeCell ref="A72:B72"/>
    <mergeCell ref="A74:B74"/>
    <mergeCell ref="A75:B75"/>
    <mergeCell ref="B1:D1"/>
    <mergeCell ref="B2:D2"/>
    <mergeCell ref="B3:D3"/>
    <mergeCell ref="A7:D7"/>
    <mergeCell ref="A9:B9"/>
    <mergeCell ref="A10:B10"/>
  </mergeCells>
  <pageMargins left="0.11811023622047245" right="0.11811023622047245" top="0.74803149606299213" bottom="0.35433070866141736" header="0.31496062992125984" footer="0.31496062992125984"/>
  <pageSetup paperSize="9" scale="7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workbookViewId="0">
      <selection activeCell="B64" sqref="B64"/>
    </sheetView>
  </sheetViews>
  <sheetFormatPr defaultColWidth="9.1796875" defaultRowHeight="15.5" x14ac:dyDescent="0.35"/>
  <cols>
    <col min="1" max="1" width="11.81640625" style="6" customWidth="1"/>
    <col min="2" max="2" width="94.7265625" style="6" customWidth="1"/>
    <col min="3" max="3" width="17.26953125" style="100" hidden="1" customWidth="1"/>
    <col min="4" max="4" width="31.54296875" style="6" customWidth="1"/>
    <col min="5" max="16384" width="9.1796875" style="3"/>
  </cols>
  <sheetData>
    <row r="1" spans="1:4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135</v>
      </c>
      <c r="C3" s="257"/>
      <c r="D3" s="264"/>
    </row>
    <row r="4" spans="1:4" x14ac:dyDescent="0.35">
      <c r="A4" s="12"/>
      <c r="B4" s="11"/>
      <c r="C4" s="101"/>
      <c r="D4" s="96"/>
    </row>
    <row r="5" spans="1:4" x14ac:dyDescent="0.35">
      <c r="A5" s="12"/>
      <c r="B5" s="15"/>
      <c r="C5" s="15"/>
      <c r="D5" s="11" t="s">
        <v>148</v>
      </c>
    </row>
    <row r="6" spans="1:4" x14ac:dyDescent="0.35">
      <c r="A6" s="12"/>
      <c r="B6" s="11"/>
      <c r="C6" s="10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x14ac:dyDescent="0.35">
      <c r="A9" s="262" t="s">
        <v>1</v>
      </c>
      <c r="B9" s="262"/>
      <c r="C9" s="10"/>
    </row>
    <row r="10" spans="1:4" x14ac:dyDescent="0.35">
      <c r="A10" s="262" t="s">
        <v>0</v>
      </c>
      <c r="B10" s="262"/>
      <c r="C10" s="10"/>
    </row>
    <row r="11" spans="1:4" x14ac:dyDescent="0.35">
      <c r="A11" s="9"/>
      <c r="B11" s="9" t="s">
        <v>126</v>
      </c>
      <c r="C11" s="10"/>
    </row>
    <row r="12" spans="1:4" ht="31" x14ac:dyDescent="0.35">
      <c r="A12" s="9"/>
      <c r="B12" s="9" t="s">
        <v>152</v>
      </c>
      <c r="C12" s="10"/>
      <c r="D12" s="14"/>
    </row>
    <row r="13" spans="1:4" x14ac:dyDescent="0.35">
      <c r="A13" s="9"/>
      <c r="B13" s="9" t="s">
        <v>150</v>
      </c>
      <c r="C13" s="10"/>
      <c r="D13" s="14"/>
    </row>
    <row r="14" spans="1:4" x14ac:dyDescent="0.35">
      <c r="A14" s="9" t="s">
        <v>2</v>
      </c>
      <c r="B14" s="9" t="s">
        <v>138</v>
      </c>
      <c r="C14" s="10"/>
    </row>
    <row r="15" spans="1:4" ht="62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/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6">
        <v>85.33</v>
      </c>
      <c r="D18" s="28">
        <f>C18*22</f>
        <v>1877.26</v>
      </c>
    </row>
    <row r="19" spans="1:4" ht="15.75" customHeight="1" x14ac:dyDescent="0.25">
      <c r="A19" s="27">
        <v>1200</v>
      </c>
      <c r="B19" s="29" t="s">
        <v>192</v>
      </c>
      <c r="C19" s="102">
        <v>20.56</v>
      </c>
      <c r="D19" s="28">
        <f t="shared" ref="D19:D68" si="0">C19*22</f>
        <v>452.32</v>
      </c>
    </row>
    <row r="20" spans="1:4" hidden="1" x14ac:dyDescent="0.25">
      <c r="A20" s="27">
        <v>2210</v>
      </c>
      <c r="B20" s="29" t="s">
        <v>27</v>
      </c>
      <c r="C20" s="102"/>
      <c r="D20" s="28">
        <f t="shared" si="0"/>
        <v>0</v>
      </c>
    </row>
    <row r="21" spans="1:4" x14ac:dyDescent="0.25">
      <c r="A21" s="27">
        <v>2222</v>
      </c>
      <c r="B21" s="29" t="s">
        <v>190</v>
      </c>
      <c r="C21" s="102">
        <v>0.03</v>
      </c>
      <c r="D21" s="28">
        <f t="shared" si="0"/>
        <v>0.65999999999999992</v>
      </c>
    </row>
    <row r="22" spans="1:4" x14ac:dyDescent="0.25">
      <c r="A22" s="27">
        <v>2223</v>
      </c>
      <c r="B22" s="29" t="s">
        <v>29</v>
      </c>
      <c r="C22" s="102">
        <v>0.21</v>
      </c>
      <c r="D22" s="28">
        <f t="shared" si="0"/>
        <v>4.62</v>
      </c>
    </row>
    <row r="23" spans="1:4" hidden="1" x14ac:dyDescent="0.25">
      <c r="A23" s="27"/>
      <c r="B23" s="29"/>
      <c r="C23" s="102"/>
      <c r="D23" s="28">
        <f t="shared" si="0"/>
        <v>0</v>
      </c>
    </row>
    <row r="24" spans="1:4" hidden="1" x14ac:dyDescent="0.25">
      <c r="A24" s="27"/>
      <c r="B24" s="29"/>
      <c r="C24" s="102"/>
      <c r="D24" s="28">
        <f t="shared" si="0"/>
        <v>0</v>
      </c>
    </row>
    <row r="25" spans="1:4" hidden="1" x14ac:dyDescent="0.25">
      <c r="A25" s="27">
        <v>2243</v>
      </c>
      <c r="B25" s="29" t="s">
        <v>9</v>
      </c>
      <c r="C25" s="102"/>
      <c r="D25" s="28">
        <f t="shared" si="0"/>
        <v>0</v>
      </c>
    </row>
    <row r="26" spans="1:4" x14ac:dyDescent="0.25">
      <c r="A26" s="27">
        <v>2244</v>
      </c>
      <c r="B26" s="29" t="s">
        <v>193</v>
      </c>
      <c r="C26" s="102">
        <v>0.53</v>
      </c>
      <c r="D26" s="28">
        <f t="shared" si="0"/>
        <v>11.66</v>
      </c>
    </row>
    <row r="27" spans="1:4" hidden="1" x14ac:dyDescent="0.25">
      <c r="A27" s="27">
        <v>2251</v>
      </c>
      <c r="B27" s="29" t="s">
        <v>60</v>
      </c>
      <c r="C27" s="102"/>
      <c r="D27" s="28">
        <f t="shared" si="0"/>
        <v>0</v>
      </c>
    </row>
    <row r="28" spans="1:4" hidden="1" x14ac:dyDescent="0.25">
      <c r="A28" s="27">
        <v>2261</v>
      </c>
      <c r="B28" s="29" t="s">
        <v>11</v>
      </c>
      <c r="C28" s="102"/>
      <c r="D28" s="28">
        <f t="shared" si="0"/>
        <v>0</v>
      </c>
    </row>
    <row r="29" spans="1:4" hidden="1" x14ac:dyDescent="0.25">
      <c r="A29" s="27">
        <v>2279</v>
      </c>
      <c r="B29" s="29" t="s">
        <v>14</v>
      </c>
      <c r="C29" s="102"/>
      <c r="D29" s="28">
        <f t="shared" si="0"/>
        <v>0</v>
      </c>
    </row>
    <row r="30" spans="1:4" x14ac:dyDescent="0.25">
      <c r="A30" s="27">
        <v>2311</v>
      </c>
      <c r="B30" s="29" t="s">
        <v>72</v>
      </c>
      <c r="C30" s="45">
        <v>2.5</v>
      </c>
      <c r="D30" s="28">
        <f t="shared" si="0"/>
        <v>55</v>
      </c>
    </row>
    <row r="31" spans="1:4" x14ac:dyDescent="0.25">
      <c r="A31" s="27">
        <v>2312</v>
      </c>
      <c r="B31" s="29" t="s">
        <v>16</v>
      </c>
      <c r="C31" s="102">
        <v>2.2799999999999998</v>
      </c>
      <c r="D31" s="28">
        <f t="shared" si="0"/>
        <v>50.16</v>
      </c>
    </row>
    <row r="32" spans="1:4" x14ac:dyDescent="0.25">
      <c r="A32" s="27">
        <v>2321</v>
      </c>
      <c r="B32" s="29" t="s">
        <v>17</v>
      </c>
      <c r="C32" s="102">
        <v>0.33</v>
      </c>
      <c r="D32" s="28">
        <f t="shared" si="0"/>
        <v>7.2600000000000007</v>
      </c>
    </row>
    <row r="33" spans="1:4" x14ac:dyDescent="0.25">
      <c r="A33" s="27">
        <v>2350</v>
      </c>
      <c r="B33" s="29" t="s">
        <v>224</v>
      </c>
      <c r="C33" s="102">
        <v>2.4500000000000002</v>
      </c>
      <c r="D33" s="28">
        <f t="shared" si="0"/>
        <v>53.900000000000006</v>
      </c>
    </row>
    <row r="34" spans="1:4" hidden="1" x14ac:dyDescent="0.25">
      <c r="A34" s="27">
        <v>2361</v>
      </c>
      <c r="B34" s="29" t="s">
        <v>20</v>
      </c>
      <c r="C34" s="102"/>
      <c r="D34" s="28">
        <f t="shared" si="0"/>
        <v>0</v>
      </c>
    </row>
    <row r="35" spans="1:4" hidden="1" x14ac:dyDescent="0.25">
      <c r="A35" s="27">
        <v>2370</v>
      </c>
      <c r="B35" s="29" t="s">
        <v>69</v>
      </c>
      <c r="C35" s="102"/>
      <c r="D35" s="28">
        <f t="shared" si="0"/>
        <v>0</v>
      </c>
    </row>
    <row r="36" spans="1:4" hidden="1" x14ac:dyDescent="0.25">
      <c r="A36" s="55">
        <v>2513</v>
      </c>
      <c r="B36" s="29" t="s">
        <v>22</v>
      </c>
      <c r="C36" s="102"/>
      <c r="D36" s="28">
        <f t="shared" si="0"/>
        <v>0</v>
      </c>
    </row>
    <row r="37" spans="1:4" x14ac:dyDescent="0.25">
      <c r="A37" s="27">
        <v>5238</v>
      </c>
      <c r="B37" s="29" t="s">
        <v>122</v>
      </c>
      <c r="C37" s="45">
        <v>5.9</v>
      </c>
      <c r="D37" s="28">
        <f t="shared" si="0"/>
        <v>129.80000000000001</v>
      </c>
    </row>
    <row r="38" spans="1:4" x14ac:dyDescent="0.25">
      <c r="A38" s="27"/>
      <c r="B38" s="30" t="s">
        <v>65</v>
      </c>
      <c r="C38" s="31">
        <f>SUM(C18:C37)</f>
        <v>120.12</v>
      </c>
      <c r="D38" s="31">
        <f>SUM(D18:D37)</f>
        <v>2642.64</v>
      </c>
    </row>
    <row r="39" spans="1:4" x14ac:dyDescent="0.25">
      <c r="A39" s="32"/>
      <c r="B39" s="27" t="s">
        <v>64</v>
      </c>
      <c r="C39" s="26"/>
      <c r="D39" s="28"/>
    </row>
    <row r="40" spans="1:4" x14ac:dyDescent="0.25">
      <c r="A40" s="27">
        <v>1100</v>
      </c>
      <c r="B40" s="27" t="s">
        <v>63</v>
      </c>
      <c r="C40" s="28">
        <v>28.84</v>
      </c>
      <c r="D40" s="28">
        <f t="shared" si="0"/>
        <v>634.48</v>
      </c>
    </row>
    <row r="41" spans="1:4" ht="15.75" customHeight="1" x14ac:dyDescent="0.25">
      <c r="A41" s="27">
        <v>1200</v>
      </c>
      <c r="B41" s="29" t="s">
        <v>192</v>
      </c>
      <c r="C41" s="45">
        <v>6.95</v>
      </c>
      <c r="D41" s="28">
        <f t="shared" si="0"/>
        <v>152.9</v>
      </c>
    </row>
    <row r="42" spans="1:4" ht="15.75" customHeight="1" x14ac:dyDescent="0.25">
      <c r="A42" s="27">
        <v>2100</v>
      </c>
      <c r="B42" s="29" t="s">
        <v>239</v>
      </c>
      <c r="C42" s="45">
        <v>0.28999999999999998</v>
      </c>
      <c r="D42" s="28">
        <f t="shared" si="0"/>
        <v>6.38</v>
      </c>
    </row>
    <row r="43" spans="1:4" x14ac:dyDescent="0.25">
      <c r="A43" s="33">
        <v>2210</v>
      </c>
      <c r="B43" s="29" t="s">
        <v>142</v>
      </c>
      <c r="C43" s="102">
        <v>0.46</v>
      </c>
      <c r="D43" s="28">
        <f t="shared" si="0"/>
        <v>10.120000000000001</v>
      </c>
    </row>
    <row r="44" spans="1:4" hidden="1" x14ac:dyDescent="0.25">
      <c r="A44" s="27">
        <v>2222</v>
      </c>
      <c r="B44" s="29" t="s">
        <v>28</v>
      </c>
      <c r="C44" s="102"/>
      <c r="D44" s="28">
        <f t="shared" si="0"/>
        <v>0</v>
      </c>
    </row>
    <row r="45" spans="1:4" x14ac:dyDescent="0.25">
      <c r="A45" s="27">
        <v>2223</v>
      </c>
      <c r="B45" s="29" t="s">
        <v>29</v>
      </c>
      <c r="C45" s="102">
        <v>0.19</v>
      </c>
      <c r="D45" s="28">
        <f t="shared" si="0"/>
        <v>4.18</v>
      </c>
    </row>
    <row r="46" spans="1:4" x14ac:dyDescent="0.25">
      <c r="A46" s="33">
        <v>2224</v>
      </c>
      <c r="B46" s="29" t="s">
        <v>225</v>
      </c>
      <c r="C46" s="102">
        <v>0.48</v>
      </c>
      <c r="D46" s="28">
        <f t="shared" si="0"/>
        <v>10.559999999999999</v>
      </c>
    </row>
    <row r="47" spans="1:4" x14ac:dyDescent="0.25">
      <c r="A47" s="27">
        <v>2231</v>
      </c>
      <c r="B47" s="29" t="s">
        <v>226</v>
      </c>
      <c r="C47" s="102">
        <v>0.08</v>
      </c>
      <c r="D47" s="28">
        <f t="shared" si="0"/>
        <v>1.76</v>
      </c>
    </row>
    <row r="48" spans="1:4" x14ac:dyDescent="0.25">
      <c r="A48" s="27">
        <v>2235</v>
      </c>
      <c r="B48" s="29" t="s">
        <v>240</v>
      </c>
      <c r="C48" s="102">
        <v>0.19</v>
      </c>
      <c r="D48" s="28">
        <f t="shared" si="0"/>
        <v>4.18</v>
      </c>
    </row>
    <row r="49" spans="1:4" x14ac:dyDescent="0.3">
      <c r="A49" s="27">
        <v>2239</v>
      </c>
      <c r="B49" s="118" t="s">
        <v>145</v>
      </c>
      <c r="C49" s="102">
        <v>0.42</v>
      </c>
      <c r="D49" s="28">
        <f t="shared" si="0"/>
        <v>9.24</v>
      </c>
    </row>
    <row r="50" spans="1:4" x14ac:dyDescent="0.25">
      <c r="A50" s="27">
        <v>2242</v>
      </c>
      <c r="B50" s="29" t="s">
        <v>8</v>
      </c>
      <c r="C50" s="102">
        <v>0.04</v>
      </c>
      <c r="D50" s="28">
        <f t="shared" si="0"/>
        <v>0.88</v>
      </c>
    </row>
    <row r="51" spans="1:4" x14ac:dyDescent="0.25">
      <c r="A51" s="27">
        <v>2243</v>
      </c>
      <c r="B51" s="29" t="s">
        <v>9</v>
      </c>
      <c r="C51" s="45">
        <v>0.57999999999999996</v>
      </c>
      <c r="D51" s="28">
        <f t="shared" si="0"/>
        <v>12.76</v>
      </c>
    </row>
    <row r="52" spans="1:4" x14ac:dyDescent="0.25">
      <c r="A52" s="27">
        <v>2244</v>
      </c>
      <c r="B52" s="29" t="s">
        <v>223</v>
      </c>
      <c r="C52" s="102">
        <v>5.32</v>
      </c>
      <c r="D52" s="28">
        <f t="shared" si="0"/>
        <v>117.04</v>
      </c>
    </row>
    <row r="53" spans="1:4" x14ac:dyDescent="0.25">
      <c r="A53" s="27">
        <v>2247</v>
      </c>
      <c r="B53" s="25" t="s">
        <v>59</v>
      </c>
      <c r="C53" s="26">
        <v>0.08</v>
      </c>
      <c r="D53" s="28">
        <f t="shared" si="0"/>
        <v>1.76</v>
      </c>
    </row>
    <row r="54" spans="1:4" x14ac:dyDescent="0.25">
      <c r="A54" s="27">
        <v>2250</v>
      </c>
      <c r="B54" s="29" t="s">
        <v>186</v>
      </c>
      <c r="C54" s="45">
        <v>2</v>
      </c>
      <c r="D54" s="28">
        <f t="shared" si="0"/>
        <v>44</v>
      </c>
    </row>
    <row r="55" spans="1:4" x14ac:dyDescent="0.25">
      <c r="A55" s="27">
        <v>2262</v>
      </c>
      <c r="B55" s="29" t="s">
        <v>12</v>
      </c>
      <c r="C55" s="102">
        <v>0.6</v>
      </c>
      <c r="D55" s="28">
        <f t="shared" si="0"/>
        <v>13.2</v>
      </c>
    </row>
    <row r="56" spans="1:4" hidden="1" x14ac:dyDescent="0.25">
      <c r="A56" s="27">
        <v>2264</v>
      </c>
      <c r="B56" s="29" t="s">
        <v>13</v>
      </c>
      <c r="C56" s="102"/>
      <c r="D56" s="28">
        <f t="shared" si="0"/>
        <v>0</v>
      </c>
    </row>
    <row r="57" spans="1:4" hidden="1" x14ac:dyDescent="0.25">
      <c r="A57" s="27">
        <v>2279</v>
      </c>
      <c r="B57" s="29" t="s">
        <v>14</v>
      </c>
      <c r="C57" s="102"/>
      <c r="D57" s="28">
        <f t="shared" si="0"/>
        <v>0</v>
      </c>
    </row>
    <row r="58" spans="1:4" x14ac:dyDescent="0.25">
      <c r="A58" s="27">
        <v>2311</v>
      </c>
      <c r="B58" s="29" t="s">
        <v>15</v>
      </c>
      <c r="C58" s="102">
        <v>0.06</v>
      </c>
      <c r="D58" s="28">
        <f t="shared" si="0"/>
        <v>1.3199999999999998</v>
      </c>
    </row>
    <row r="59" spans="1:4" x14ac:dyDescent="0.25">
      <c r="A59" s="27">
        <v>2312</v>
      </c>
      <c r="B59" s="29" t="s">
        <v>16</v>
      </c>
      <c r="C59" s="102">
        <v>0.04</v>
      </c>
      <c r="D59" s="28">
        <f t="shared" si="0"/>
        <v>0.88</v>
      </c>
    </row>
    <row r="60" spans="1:4" x14ac:dyDescent="0.25">
      <c r="A60" s="27">
        <v>2314</v>
      </c>
      <c r="B60" s="29" t="s">
        <v>241</v>
      </c>
      <c r="C60" s="102">
        <v>0.04</v>
      </c>
      <c r="D60" s="28">
        <f t="shared" si="0"/>
        <v>0.88</v>
      </c>
    </row>
    <row r="61" spans="1:4" x14ac:dyDescent="0.25">
      <c r="A61" s="27">
        <v>2321</v>
      </c>
      <c r="B61" s="29" t="s">
        <v>17</v>
      </c>
      <c r="C61" s="102">
        <v>0.27</v>
      </c>
      <c r="D61" s="28">
        <f t="shared" si="0"/>
        <v>5.94</v>
      </c>
    </row>
    <row r="62" spans="1:4" x14ac:dyDescent="0.25">
      <c r="A62" s="27">
        <v>2322</v>
      </c>
      <c r="B62" s="29" t="s">
        <v>18</v>
      </c>
      <c r="C62" s="102">
        <v>0.31</v>
      </c>
      <c r="D62" s="28">
        <f t="shared" si="0"/>
        <v>6.82</v>
      </c>
    </row>
    <row r="63" spans="1:4" x14ac:dyDescent="0.25">
      <c r="A63" s="27">
        <v>2350</v>
      </c>
      <c r="B63" s="29" t="s">
        <v>224</v>
      </c>
      <c r="C63" s="102">
        <v>1.1299999999999999</v>
      </c>
      <c r="D63" s="28">
        <f t="shared" si="0"/>
        <v>24.86</v>
      </c>
    </row>
    <row r="64" spans="1:4" x14ac:dyDescent="0.25">
      <c r="A64" s="27">
        <v>2513</v>
      </c>
      <c r="B64" s="29" t="s">
        <v>238</v>
      </c>
      <c r="C64" s="102">
        <v>1.04</v>
      </c>
      <c r="D64" s="28">
        <f t="shared" si="0"/>
        <v>22.880000000000003</v>
      </c>
    </row>
    <row r="65" spans="1:7" x14ac:dyDescent="0.25">
      <c r="A65" s="27">
        <v>2515</v>
      </c>
      <c r="B65" s="29" t="s">
        <v>58</v>
      </c>
      <c r="C65" s="102">
        <v>0.17</v>
      </c>
      <c r="D65" s="28">
        <f t="shared" si="0"/>
        <v>3.74</v>
      </c>
    </row>
    <row r="66" spans="1:7" x14ac:dyDescent="0.25">
      <c r="A66" s="27">
        <v>5239</v>
      </c>
      <c r="B66" s="29" t="s">
        <v>57</v>
      </c>
      <c r="C66" s="45">
        <v>5.68</v>
      </c>
      <c r="D66" s="28">
        <f t="shared" si="0"/>
        <v>124.96</v>
      </c>
    </row>
    <row r="67" spans="1:7" hidden="1" x14ac:dyDescent="0.25">
      <c r="A67" s="27">
        <v>5240</v>
      </c>
      <c r="B67" s="29" t="s">
        <v>25</v>
      </c>
      <c r="C67" s="102"/>
      <c r="D67" s="28">
        <f t="shared" si="0"/>
        <v>0</v>
      </c>
    </row>
    <row r="68" spans="1:7" hidden="1" x14ac:dyDescent="0.25">
      <c r="A68" s="27">
        <v>5250</v>
      </c>
      <c r="B68" s="29" t="s">
        <v>26</v>
      </c>
      <c r="C68" s="102"/>
      <c r="D68" s="28">
        <f t="shared" si="0"/>
        <v>0</v>
      </c>
    </row>
    <row r="69" spans="1:7" x14ac:dyDescent="0.25">
      <c r="A69" s="32"/>
      <c r="B69" s="34" t="s">
        <v>66</v>
      </c>
      <c r="C69" s="31">
        <f>SUM(C40:C68)</f>
        <v>55.26</v>
      </c>
      <c r="D69" s="31">
        <f>SUM(D40:D68)</f>
        <v>1215.72</v>
      </c>
    </row>
    <row r="70" spans="1:7" x14ac:dyDescent="0.25">
      <c r="A70" s="32"/>
      <c r="B70" s="34" t="s">
        <v>32</v>
      </c>
      <c r="C70" s="31">
        <f>C38+C69</f>
        <v>175.38</v>
      </c>
      <c r="D70" s="31">
        <f>D38+D69</f>
        <v>3858.3599999999997</v>
      </c>
    </row>
    <row r="71" spans="1:7" x14ac:dyDescent="0.35">
      <c r="A71" s="35"/>
      <c r="B71" s="20"/>
      <c r="C71" s="103"/>
      <c r="D71" s="92"/>
    </row>
    <row r="72" spans="1:7" x14ac:dyDescent="0.25">
      <c r="A72" s="262" t="s">
        <v>45</v>
      </c>
      <c r="B72" s="262"/>
      <c r="C72" s="107">
        <v>1</v>
      </c>
      <c r="D72" s="105">
        <v>22</v>
      </c>
    </row>
    <row r="73" spans="1:7" x14ac:dyDescent="0.3">
      <c r="A73" s="262" t="s">
        <v>46</v>
      </c>
      <c r="B73" s="262"/>
      <c r="C73" s="108">
        <f>C70/C72</f>
        <v>175.38</v>
      </c>
      <c r="D73" s="108">
        <f>D70/D72</f>
        <v>175.38</v>
      </c>
    </row>
    <row r="74" spans="1:7" x14ac:dyDescent="0.3">
      <c r="A74" s="9"/>
      <c r="B74" s="9"/>
      <c r="C74" s="10"/>
      <c r="D74" s="36"/>
      <c r="G74" s="87"/>
    </row>
    <row r="75" spans="1:7" x14ac:dyDescent="0.35">
      <c r="A75" s="267" t="s">
        <v>37</v>
      </c>
      <c r="B75" s="268"/>
      <c r="C75" s="104"/>
      <c r="D75" s="119"/>
    </row>
    <row r="76" spans="1:7" x14ac:dyDescent="0.35">
      <c r="A76" s="267" t="s">
        <v>54</v>
      </c>
      <c r="B76" s="268"/>
      <c r="C76" s="104"/>
      <c r="D76" s="120"/>
    </row>
    <row r="77" spans="1:7" x14ac:dyDescent="0.35">
      <c r="A77" s="17"/>
      <c r="B77" s="17"/>
      <c r="C77" s="19"/>
      <c r="D77" s="65"/>
    </row>
    <row r="78" spans="1:7" x14ac:dyDescent="0.35">
      <c r="A78" s="17" t="s">
        <v>38</v>
      </c>
      <c r="B78" s="17"/>
      <c r="C78" s="19"/>
      <c r="D78" s="17"/>
    </row>
    <row r="79" spans="1:7" x14ac:dyDescent="0.35">
      <c r="A79" s="17"/>
      <c r="B79" s="17"/>
      <c r="C79" s="19"/>
      <c r="D79" s="65"/>
    </row>
    <row r="80" spans="1:7" x14ac:dyDescent="0.35">
      <c r="A80" s="17" t="s">
        <v>47</v>
      </c>
      <c r="B80" s="18"/>
      <c r="C80" s="96"/>
      <c r="D80" s="91"/>
    </row>
    <row r="81" spans="1:4" x14ac:dyDescent="0.35">
      <c r="A81" s="17"/>
      <c r="B81" s="96"/>
      <c r="C81" s="96"/>
      <c r="D81" s="65"/>
    </row>
    <row r="82" spans="1:4" x14ac:dyDescent="0.35">
      <c r="A82" s="17"/>
      <c r="B82" s="19"/>
      <c r="C82" s="19"/>
      <c r="D82" s="17"/>
    </row>
    <row r="83" spans="1:4" x14ac:dyDescent="0.35">
      <c r="D83" s="92"/>
    </row>
  </sheetData>
  <mergeCells count="10">
    <mergeCell ref="A72:B72"/>
    <mergeCell ref="A73:B73"/>
    <mergeCell ref="A75:B75"/>
    <mergeCell ref="A76:B76"/>
    <mergeCell ref="B1:D1"/>
    <mergeCell ref="B2:D2"/>
    <mergeCell ref="B3:D3"/>
    <mergeCell ref="A7:D7"/>
    <mergeCell ref="A9:B9"/>
    <mergeCell ref="A10:B1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opLeftCell="A26" workbookViewId="0">
      <selection activeCell="B70" sqref="B70"/>
    </sheetView>
  </sheetViews>
  <sheetFormatPr defaultColWidth="9.1796875" defaultRowHeight="15.5" x14ac:dyDescent="0.35"/>
  <cols>
    <col min="1" max="1" width="11.81640625" style="6" customWidth="1"/>
    <col min="2" max="2" width="94.7265625" style="6" customWidth="1"/>
    <col min="3" max="3" width="17.26953125" style="100" hidden="1" customWidth="1"/>
    <col min="4" max="4" width="31.54296875" style="6" customWidth="1"/>
    <col min="5" max="16384" width="9.1796875" style="3"/>
  </cols>
  <sheetData>
    <row r="1" spans="1:4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135</v>
      </c>
      <c r="C3" s="257"/>
      <c r="D3" s="264"/>
    </row>
    <row r="4" spans="1:4" x14ac:dyDescent="0.35">
      <c r="A4" s="12"/>
      <c r="B4" s="11"/>
      <c r="C4" s="101"/>
      <c r="D4" s="96"/>
    </row>
    <row r="5" spans="1:4" x14ac:dyDescent="0.35">
      <c r="A5" s="12"/>
      <c r="B5" s="15"/>
      <c r="C5" s="15"/>
      <c r="D5" s="11" t="s">
        <v>148</v>
      </c>
    </row>
    <row r="6" spans="1:4" x14ac:dyDescent="0.35">
      <c r="A6" s="12"/>
      <c r="B6" s="11"/>
      <c r="C6" s="10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x14ac:dyDescent="0.35">
      <c r="A9" s="262" t="s">
        <v>1</v>
      </c>
      <c r="B9" s="262"/>
      <c r="C9" s="10"/>
    </row>
    <row r="10" spans="1:4" x14ac:dyDescent="0.35">
      <c r="A10" s="262" t="s">
        <v>0</v>
      </c>
      <c r="B10" s="262"/>
      <c r="C10" s="10"/>
    </row>
    <row r="11" spans="1:4" x14ac:dyDescent="0.35">
      <c r="A11" s="9"/>
      <c r="B11" s="9" t="s">
        <v>126</v>
      </c>
      <c r="C11" s="10"/>
    </row>
    <row r="12" spans="1:4" ht="31" x14ac:dyDescent="0.35">
      <c r="A12" s="9"/>
      <c r="B12" s="9" t="s">
        <v>152</v>
      </c>
      <c r="C12" s="10"/>
      <c r="D12" s="14"/>
    </row>
    <row r="13" spans="1:4" x14ac:dyDescent="0.35">
      <c r="A13" s="9"/>
      <c r="B13" s="9" t="s">
        <v>151</v>
      </c>
      <c r="C13" s="10"/>
      <c r="D13" s="14"/>
    </row>
    <row r="14" spans="1:4" x14ac:dyDescent="0.35">
      <c r="A14" s="9" t="s">
        <v>2</v>
      </c>
      <c r="B14" s="9" t="s">
        <v>138</v>
      </c>
      <c r="C14" s="10"/>
    </row>
    <row r="15" spans="1:4" ht="62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/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6">
        <v>128</v>
      </c>
      <c r="D18" s="28">
        <f>C18*22</f>
        <v>2816</v>
      </c>
    </row>
    <row r="19" spans="1:4" ht="15.75" customHeight="1" x14ac:dyDescent="0.25">
      <c r="A19" s="27">
        <v>1200</v>
      </c>
      <c r="B19" s="29" t="s">
        <v>192</v>
      </c>
      <c r="C19" s="102">
        <v>30.84</v>
      </c>
      <c r="D19" s="28">
        <f t="shared" ref="D19:D68" si="0">C19*22</f>
        <v>678.48</v>
      </c>
    </row>
    <row r="20" spans="1:4" hidden="1" x14ac:dyDescent="0.25">
      <c r="A20" s="27">
        <v>2210</v>
      </c>
      <c r="B20" s="29" t="s">
        <v>27</v>
      </c>
      <c r="C20" s="102"/>
      <c r="D20" s="28">
        <f t="shared" si="0"/>
        <v>0</v>
      </c>
    </row>
    <row r="21" spans="1:4" x14ac:dyDescent="0.25">
      <c r="A21" s="27">
        <v>2222</v>
      </c>
      <c r="B21" s="29" t="s">
        <v>190</v>
      </c>
      <c r="C21" s="102">
        <v>0.04</v>
      </c>
      <c r="D21" s="28">
        <f t="shared" si="0"/>
        <v>0.88</v>
      </c>
    </row>
    <row r="22" spans="1:4" x14ac:dyDescent="0.25">
      <c r="A22" s="27">
        <v>2223</v>
      </c>
      <c r="B22" s="29" t="s">
        <v>29</v>
      </c>
      <c r="C22" s="102">
        <v>0.32</v>
      </c>
      <c r="D22" s="28">
        <f t="shared" si="0"/>
        <v>7.04</v>
      </c>
    </row>
    <row r="23" spans="1:4" hidden="1" x14ac:dyDescent="0.25">
      <c r="A23" s="27"/>
      <c r="B23" s="29"/>
      <c r="C23" s="102"/>
      <c r="D23" s="28">
        <f t="shared" si="0"/>
        <v>0</v>
      </c>
    </row>
    <row r="24" spans="1:4" hidden="1" x14ac:dyDescent="0.25">
      <c r="A24" s="27"/>
      <c r="B24" s="29"/>
      <c r="C24" s="102"/>
      <c r="D24" s="28">
        <f t="shared" si="0"/>
        <v>0</v>
      </c>
    </row>
    <row r="25" spans="1:4" hidden="1" x14ac:dyDescent="0.25">
      <c r="A25" s="27">
        <v>2243</v>
      </c>
      <c r="B25" s="29" t="s">
        <v>9</v>
      </c>
      <c r="C25" s="102"/>
      <c r="D25" s="28">
        <f t="shared" si="0"/>
        <v>0</v>
      </c>
    </row>
    <row r="26" spans="1:4" x14ac:dyDescent="0.25">
      <c r="A26" s="27">
        <v>2244</v>
      </c>
      <c r="B26" s="29" t="s">
        <v>193</v>
      </c>
      <c r="C26" s="102">
        <v>0.8</v>
      </c>
      <c r="D26" s="28">
        <f t="shared" si="0"/>
        <v>17.600000000000001</v>
      </c>
    </row>
    <row r="27" spans="1:4" hidden="1" x14ac:dyDescent="0.25">
      <c r="A27" s="27">
        <v>2251</v>
      </c>
      <c r="B27" s="29" t="s">
        <v>60</v>
      </c>
      <c r="C27" s="102"/>
      <c r="D27" s="28">
        <f t="shared" si="0"/>
        <v>0</v>
      </c>
    </row>
    <row r="28" spans="1:4" hidden="1" x14ac:dyDescent="0.25">
      <c r="A28" s="27">
        <v>2261</v>
      </c>
      <c r="B28" s="29" t="s">
        <v>11</v>
      </c>
      <c r="C28" s="102"/>
      <c r="D28" s="28">
        <f t="shared" si="0"/>
        <v>0</v>
      </c>
    </row>
    <row r="29" spans="1:4" hidden="1" x14ac:dyDescent="0.25">
      <c r="A29" s="27">
        <v>2279</v>
      </c>
      <c r="B29" s="29" t="s">
        <v>14</v>
      </c>
      <c r="C29" s="102"/>
      <c r="D29" s="28">
        <f t="shared" si="0"/>
        <v>0</v>
      </c>
    </row>
    <row r="30" spans="1:4" x14ac:dyDescent="0.25">
      <c r="A30" s="27">
        <v>2311</v>
      </c>
      <c r="B30" s="29" t="s">
        <v>72</v>
      </c>
      <c r="C30" s="45">
        <v>3.24</v>
      </c>
      <c r="D30" s="28">
        <f t="shared" si="0"/>
        <v>71.28</v>
      </c>
    </row>
    <row r="31" spans="1:4" x14ac:dyDescent="0.25">
      <c r="A31" s="27">
        <v>2312</v>
      </c>
      <c r="B31" s="29" t="s">
        <v>16</v>
      </c>
      <c r="C31" s="102">
        <v>3.41</v>
      </c>
      <c r="D31" s="28">
        <f t="shared" si="0"/>
        <v>75.02000000000001</v>
      </c>
    </row>
    <row r="32" spans="1:4" x14ac:dyDescent="0.25">
      <c r="A32" s="27">
        <v>2321</v>
      </c>
      <c r="B32" s="29" t="s">
        <v>17</v>
      </c>
      <c r="C32" s="102">
        <v>0.5</v>
      </c>
      <c r="D32" s="28">
        <f t="shared" si="0"/>
        <v>11</v>
      </c>
    </row>
    <row r="33" spans="1:4" x14ac:dyDescent="0.25">
      <c r="A33" s="27">
        <v>2350</v>
      </c>
      <c r="B33" s="29" t="s">
        <v>224</v>
      </c>
      <c r="C33" s="102">
        <v>3.85</v>
      </c>
      <c r="D33" s="28">
        <f t="shared" si="0"/>
        <v>84.7</v>
      </c>
    </row>
    <row r="34" spans="1:4" hidden="1" x14ac:dyDescent="0.25">
      <c r="A34" s="27">
        <v>2361</v>
      </c>
      <c r="B34" s="29" t="s">
        <v>20</v>
      </c>
      <c r="C34" s="102"/>
      <c r="D34" s="28">
        <f t="shared" si="0"/>
        <v>0</v>
      </c>
    </row>
    <row r="35" spans="1:4" hidden="1" x14ac:dyDescent="0.25">
      <c r="A35" s="27">
        <v>2370</v>
      </c>
      <c r="B35" s="29" t="s">
        <v>69</v>
      </c>
      <c r="C35" s="102"/>
      <c r="D35" s="28">
        <f t="shared" si="0"/>
        <v>0</v>
      </c>
    </row>
    <row r="36" spans="1:4" hidden="1" x14ac:dyDescent="0.25">
      <c r="A36" s="55">
        <v>2513</v>
      </c>
      <c r="B36" s="29" t="s">
        <v>22</v>
      </c>
      <c r="C36" s="102"/>
      <c r="D36" s="28">
        <f t="shared" si="0"/>
        <v>0</v>
      </c>
    </row>
    <row r="37" spans="1:4" x14ac:dyDescent="0.25">
      <c r="A37" s="27">
        <v>5238</v>
      </c>
      <c r="B37" s="29" t="s">
        <v>122</v>
      </c>
      <c r="C37" s="45">
        <v>8.85</v>
      </c>
      <c r="D37" s="28">
        <f t="shared" si="0"/>
        <v>194.7</v>
      </c>
    </row>
    <row r="38" spans="1:4" x14ac:dyDescent="0.25">
      <c r="A38" s="27"/>
      <c r="B38" s="30" t="s">
        <v>65</v>
      </c>
      <c r="C38" s="31">
        <f>SUM(C18:C37)</f>
        <v>179.85</v>
      </c>
      <c r="D38" s="31">
        <f>SUM(D18:D37)</f>
        <v>3956.7</v>
      </c>
    </row>
    <row r="39" spans="1:4" x14ac:dyDescent="0.25">
      <c r="A39" s="32"/>
      <c r="B39" s="27" t="s">
        <v>64</v>
      </c>
      <c r="C39" s="26"/>
      <c r="D39" s="28"/>
    </row>
    <row r="40" spans="1:4" x14ac:dyDescent="0.25">
      <c r="A40" s="27">
        <v>1100</v>
      </c>
      <c r="B40" s="27" t="s">
        <v>63</v>
      </c>
      <c r="C40" s="28">
        <v>43.26</v>
      </c>
      <c r="D40" s="28">
        <f t="shared" si="0"/>
        <v>951.71999999999991</v>
      </c>
    </row>
    <row r="41" spans="1:4" ht="15.75" customHeight="1" x14ac:dyDescent="0.25">
      <c r="A41" s="27">
        <v>1200</v>
      </c>
      <c r="B41" s="29" t="s">
        <v>192</v>
      </c>
      <c r="C41" s="45">
        <v>10.42</v>
      </c>
      <c r="D41" s="28">
        <f t="shared" si="0"/>
        <v>229.24</v>
      </c>
    </row>
    <row r="42" spans="1:4" ht="15.75" customHeight="1" x14ac:dyDescent="0.25">
      <c r="A42" s="27">
        <v>2100</v>
      </c>
      <c r="B42" s="29" t="s">
        <v>239</v>
      </c>
      <c r="C42" s="45">
        <v>0.43</v>
      </c>
      <c r="D42" s="28">
        <f t="shared" si="0"/>
        <v>9.4599999999999991</v>
      </c>
    </row>
    <row r="43" spans="1:4" x14ac:dyDescent="0.25">
      <c r="A43" s="33">
        <v>2210</v>
      </c>
      <c r="B43" s="29" t="s">
        <v>142</v>
      </c>
      <c r="C43" s="102">
        <v>0.69</v>
      </c>
      <c r="D43" s="28">
        <f t="shared" si="0"/>
        <v>15.18</v>
      </c>
    </row>
    <row r="44" spans="1:4" hidden="1" x14ac:dyDescent="0.25">
      <c r="A44" s="27">
        <v>2222</v>
      </c>
      <c r="B44" s="29" t="s">
        <v>28</v>
      </c>
      <c r="C44" s="102"/>
      <c r="D44" s="28">
        <f t="shared" si="0"/>
        <v>0</v>
      </c>
    </row>
    <row r="45" spans="1:4" x14ac:dyDescent="0.25">
      <c r="A45" s="27">
        <v>2223</v>
      </c>
      <c r="B45" s="29" t="s">
        <v>29</v>
      </c>
      <c r="C45" s="45">
        <v>0.3</v>
      </c>
      <c r="D45" s="28">
        <f t="shared" si="0"/>
        <v>6.6</v>
      </c>
    </row>
    <row r="46" spans="1:4" x14ac:dyDescent="0.25">
      <c r="A46" s="33">
        <v>2224</v>
      </c>
      <c r="B46" s="29" t="s">
        <v>225</v>
      </c>
      <c r="C46" s="102">
        <v>0.72</v>
      </c>
      <c r="D46" s="28">
        <f t="shared" si="0"/>
        <v>15.84</v>
      </c>
    </row>
    <row r="47" spans="1:4" x14ac:dyDescent="0.25">
      <c r="A47" s="27">
        <v>2231</v>
      </c>
      <c r="B47" s="29" t="s">
        <v>226</v>
      </c>
      <c r="C47" s="102">
        <v>0.12</v>
      </c>
      <c r="D47" s="28">
        <f t="shared" si="0"/>
        <v>2.6399999999999997</v>
      </c>
    </row>
    <row r="48" spans="1:4" x14ac:dyDescent="0.25">
      <c r="A48" s="27">
        <v>2235</v>
      </c>
      <c r="B48" s="29" t="s">
        <v>240</v>
      </c>
      <c r="C48" s="102">
        <v>0.28000000000000003</v>
      </c>
      <c r="D48" s="28">
        <f t="shared" si="0"/>
        <v>6.16</v>
      </c>
    </row>
    <row r="49" spans="1:4" x14ac:dyDescent="0.3">
      <c r="A49" s="27">
        <v>2239</v>
      </c>
      <c r="B49" s="118" t="s">
        <v>145</v>
      </c>
      <c r="C49" s="102">
        <v>0.63</v>
      </c>
      <c r="D49" s="28">
        <f t="shared" si="0"/>
        <v>13.86</v>
      </c>
    </row>
    <row r="50" spans="1:4" x14ac:dyDescent="0.25">
      <c r="A50" s="27">
        <v>2242</v>
      </c>
      <c r="B50" s="29" t="s">
        <v>8</v>
      </c>
      <c r="C50" s="102">
        <v>0.06</v>
      </c>
      <c r="D50" s="28">
        <f t="shared" si="0"/>
        <v>1.3199999999999998</v>
      </c>
    </row>
    <row r="51" spans="1:4" x14ac:dyDescent="0.25">
      <c r="A51" s="27">
        <v>2243</v>
      </c>
      <c r="B51" s="29" t="s">
        <v>9</v>
      </c>
      <c r="C51" s="45">
        <v>0.87</v>
      </c>
      <c r="D51" s="28">
        <f t="shared" si="0"/>
        <v>19.14</v>
      </c>
    </row>
    <row r="52" spans="1:4" x14ac:dyDescent="0.25">
      <c r="A52" s="27">
        <v>2244</v>
      </c>
      <c r="B52" s="29" t="s">
        <v>223</v>
      </c>
      <c r="C52" s="102">
        <v>7.92</v>
      </c>
      <c r="D52" s="28">
        <f t="shared" si="0"/>
        <v>174.24</v>
      </c>
    </row>
    <row r="53" spans="1:4" x14ac:dyDescent="0.25">
      <c r="A53" s="27">
        <v>2247</v>
      </c>
      <c r="B53" s="25" t="s">
        <v>59</v>
      </c>
      <c r="C53" s="26">
        <v>0.12</v>
      </c>
      <c r="D53" s="28">
        <f t="shared" si="0"/>
        <v>2.6399999999999997</v>
      </c>
    </row>
    <row r="54" spans="1:4" x14ac:dyDescent="0.25">
      <c r="A54" s="27">
        <v>2250</v>
      </c>
      <c r="B54" s="29" t="s">
        <v>186</v>
      </c>
      <c r="C54" s="45">
        <v>3</v>
      </c>
      <c r="D54" s="28">
        <f t="shared" si="0"/>
        <v>66</v>
      </c>
    </row>
    <row r="55" spans="1:4" x14ac:dyDescent="0.25">
      <c r="A55" s="27">
        <v>2262</v>
      </c>
      <c r="B55" s="29" t="s">
        <v>12</v>
      </c>
      <c r="C55" s="102">
        <v>0.89</v>
      </c>
      <c r="D55" s="28">
        <f t="shared" si="0"/>
        <v>19.580000000000002</v>
      </c>
    </row>
    <row r="56" spans="1:4" hidden="1" x14ac:dyDescent="0.25">
      <c r="A56" s="27">
        <v>2264</v>
      </c>
      <c r="B56" s="29" t="s">
        <v>13</v>
      </c>
      <c r="C56" s="102"/>
      <c r="D56" s="28">
        <f t="shared" si="0"/>
        <v>0</v>
      </c>
    </row>
    <row r="57" spans="1:4" hidden="1" x14ac:dyDescent="0.25">
      <c r="A57" s="27">
        <v>2279</v>
      </c>
      <c r="B57" s="29" t="s">
        <v>14</v>
      </c>
      <c r="C57" s="102"/>
      <c r="D57" s="28">
        <f t="shared" si="0"/>
        <v>0</v>
      </c>
    </row>
    <row r="58" spans="1:4" x14ac:dyDescent="0.25">
      <c r="A58" s="27">
        <v>2311</v>
      </c>
      <c r="B58" s="29" t="s">
        <v>15</v>
      </c>
      <c r="C58" s="102">
        <v>0.09</v>
      </c>
      <c r="D58" s="28">
        <f t="shared" si="0"/>
        <v>1.98</v>
      </c>
    </row>
    <row r="59" spans="1:4" x14ac:dyDescent="0.25">
      <c r="A59" s="27">
        <v>2312</v>
      </c>
      <c r="B59" s="29" t="s">
        <v>16</v>
      </c>
      <c r="C59" s="102">
        <v>0.06</v>
      </c>
      <c r="D59" s="28">
        <f t="shared" si="0"/>
        <v>1.3199999999999998</v>
      </c>
    </row>
    <row r="60" spans="1:4" x14ac:dyDescent="0.25">
      <c r="A60" s="27">
        <v>2314</v>
      </c>
      <c r="B60" s="29" t="s">
        <v>242</v>
      </c>
      <c r="C60" s="102">
        <v>0.06</v>
      </c>
      <c r="D60" s="28">
        <f t="shared" si="0"/>
        <v>1.3199999999999998</v>
      </c>
    </row>
    <row r="61" spans="1:4" x14ac:dyDescent="0.25">
      <c r="A61" s="27">
        <v>2321</v>
      </c>
      <c r="B61" s="29" t="s">
        <v>17</v>
      </c>
      <c r="C61" s="102">
        <v>0.42</v>
      </c>
      <c r="D61" s="28">
        <f t="shared" si="0"/>
        <v>9.24</v>
      </c>
    </row>
    <row r="62" spans="1:4" x14ac:dyDescent="0.25">
      <c r="A62" s="27">
        <v>2322</v>
      </c>
      <c r="B62" s="29" t="s">
        <v>18</v>
      </c>
      <c r="C62" s="102">
        <v>0.46</v>
      </c>
      <c r="D62" s="28">
        <f t="shared" si="0"/>
        <v>10.120000000000001</v>
      </c>
    </row>
    <row r="63" spans="1:4" x14ac:dyDescent="0.25">
      <c r="A63" s="27">
        <v>2350</v>
      </c>
      <c r="B63" s="29" t="s">
        <v>224</v>
      </c>
      <c r="C63" s="102">
        <v>1.68</v>
      </c>
      <c r="D63" s="28">
        <f t="shared" si="0"/>
        <v>36.96</v>
      </c>
    </row>
    <row r="64" spans="1:4" x14ac:dyDescent="0.25">
      <c r="A64" s="27">
        <v>2513</v>
      </c>
      <c r="B64" s="29" t="s">
        <v>238</v>
      </c>
      <c r="C64" s="102">
        <v>1.55</v>
      </c>
      <c r="D64" s="28">
        <f t="shared" si="0"/>
        <v>34.1</v>
      </c>
    </row>
    <row r="65" spans="1:7" x14ac:dyDescent="0.25">
      <c r="A65" s="27">
        <v>2515</v>
      </c>
      <c r="B65" s="29" t="s">
        <v>58</v>
      </c>
      <c r="C65" s="102">
        <v>0.25</v>
      </c>
      <c r="D65" s="28">
        <f t="shared" si="0"/>
        <v>5.5</v>
      </c>
    </row>
    <row r="66" spans="1:7" x14ac:dyDescent="0.25">
      <c r="A66" s="27">
        <v>5239</v>
      </c>
      <c r="B66" s="29" t="s">
        <v>57</v>
      </c>
      <c r="C66" s="45">
        <v>8.4600000000000009</v>
      </c>
      <c r="D66" s="28">
        <f t="shared" si="0"/>
        <v>186.12</v>
      </c>
    </row>
    <row r="67" spans="1:7" hidden="1" x14ac:dyDescent="0.25">
      <c r="A67" s="27">
        <v>5240</v>
      </c>
      <c r="B67" s="29" t="s">
        <v>25</v>
      </c>
      <c r="C67" s="102"/>
      <c r="D67" s="28">
        <f t="shared" si="0"/>
        <v>0</v>
      </c>
    </row>
    <row r="68" spans="1:7" hidden="1" x14ac:dyDescent="0.25">
      <c r="A68" s="27">
        <v>5250</v>
      </c>
      <c r="B68" s="29" t="s">
        <v>26</v>
      </c>
      <c r="C68" s="102"/>
      <c r="D68" s="28">
        <f t="shared" si="0"/>
        <v>0</v>
      </c>
    </row>
    <row r="69" spans="1:7" x14ac:dyDescent="0.25">
      <c r="A69" s="32"/>
      <c r="B69" s="34" t="s">
        <v>66</v>
      </c>
      <c r="C69" s="31">
        <f>SUM(C40:C68)</f>
        <v>82.740000000000009</v>
      </c>
      <c r="D69" s="31">
        <f>SUM(D40:D68)</f>
        <v>1820.2799999999997</v>
      </c>
    </row>
    <row r="70" spans="1:7" x14ac:dyDescent="0.25">
      <c r="A70" s="32"/>
      <c r="B70" s="34" t="s">
        <v>32</v>
      </c>
      <c r="C70" s="31">
        <f>C38+C69</f>
        <v>262.59000000000003</v>
      </c>
      <c r="D70" s="31">
        <f>D38+D69</f>
        <v>5776.98</v>
      </c>
    </row>
    <row r="71" spans="1:7" x14ac:dyDescent="0.35">
      <c r="A71" s="35"/>
      <c r="B71" s="20"/>
      <c r="C71" s="103"/>
      <c r="D71" s="92"/>
    </row>
    <row r="72" spans="1:7" x14ac:dyDescent="0.25">
      <c r="A72" s="262" t="s">
        <v>45</v>
      </c>
      <c r="B72" s="262"/>
      <c r="C72" s="107">
        <v>1</v>
      </c>
      <c r="D72" s="105">
        <v>22</v>
      </c>
    </row>
    <row r="73" spans="1:7" x14ac:dyDescent="0.3">
      <c r="A73" s="262" t="s">
        <v>46</v>
      </c>
      <c r="B73" s="262"/>
      <c r="C73" s="108">
        <f>C70/C72</f>
        <v>262.59000000000003</v>
      </c>
      <c r="D73" s="108">
        <f>D70/D72</f>
        <v>262.58999999999997</v>
      </c>
    </row>
    <row r="74" spans="1:7" x14ac:dyDescent="0.3">
      <c r="A74" s="9"/>
      <c r="B74" s="9"/>
      <c r="C74" s="10"/>
      <c r="D74" s="36"/>
      <c r="G74" s="87"/>
    </row>
    <row r="75" spans="1:7" x14ac:dyDescent="0.35">
      <c r="A75" s="267" t="s">
        <v>37</v>
      </c>
      <c r="B75" s="268"/>
      <c r="C75" s="104"/>
      <c r="D75" s="119"/>
    </row>
    <row r="76" spans="1:7" x14ac:dyDescent="0.35">
      <c r="A76" s="267" t="s">
        <v>54</v>
      </c>
      <c r="B76" s="268"/>
      <c r="C76" s="104"/>
      <c r="D76" s="120"/>
    </row>
    <row r="77" spans="1:7" x14ac:dyDescent="0.35">
      <c r="A77" s="17"/>
      <c r="B77" s="17"/>
      <c r="C77" s="19"/>
      <c r="D77" s="65"/>
    </row>
    <row r="78" spans="1:7" x14ac:dyDescent="0.35">
      <c r="A78" s="17" t="s">
        <v>38</v>
      </c>
      <c r="B78" s="17"/>
      <c r="C78" s="19"/>
      <c r="D78" s="17"/>
    </row>
    <row r="79" spans="1:7" x14ac:dyDescent="0.35">
      <c r="A79" s="17"/>
      <c r="B79" s="17"/>
      <c r="C79" s="19"/>
      <c r="D79" s="65"/>
    </row>
    <row r="80" spans="1:7" x14ac:dyDescent="0.35">
      <c r="A80" s="17" t="s">
        <v>47</v>
      </c>
      <c r="B80" s="18"/>
      <c r="C80" s="96"/>
      <c r="D80" s="91"/>
    </row>
    <row r="81" spans="1:4" x14ac:dyDescent="0.35">
      <c r="A81" s="17"/>
      <c r="B81" s="96"/>
      <c r="C81" s="96"/>
      <c r="D81" s="65"/>
    </row>
    <row r="82" spans="1:4" x14ac:dyDescent="0.35">
      <c r="A82" s="17"/>
      <c r="B82" s="19"/>
      <c r="C82" s="19"/>
      <c r="D82" s="17"/>
    </row>
    <row r="83" spans="1:4" x14ac:dyDescent="0.35">
      <c r="D83" s="92"/>
    </row>
  </sheetData>
  <mergeCells count="10">
    <mergeCell ref="A72:B72"/>
    <mergeCell ref="A73:B73"/>
    <mergeCell ref="A75:B75"/>
    <mergeCell ref="A76:B76"/>
    <mergeCell ref="B1:D1"/>
    <mergeCell ref="B2:D2"/>
    <mergeCell ref="B3:D3"/>
    <mergeCell ref="A7:D7"/>
    <mergeCell ref="A9:B9"/>
    <mergeCell ref="A10:B1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opLeftCell="A19" workbookViewId="0">
      <selection activeCell="B37" sqref="B37"/>
    </sheetView>
  </sheetViews>
  <sheetFormatPr defaultColWidth="9.1796875" defaultRowHeight="15.5" x14ac:dyDescent="0.35"/>
  <cols>
    <col min="1" max="1" width="11.81640625" style="6" customWidth="1"/>
    <col min="2" max="2" width="94.7265625" style="6" customWidth="1"/>
    <col min="3" max="3" width="17.26953125" style="100" hidden="1" customWidth="1"/>
    <col min="4" max="4" width="31.54296875" style="6" customWidth="1"/>
    <col min="5" max="16384" width="9.1796875" style="3"/>
  </cols>
  <sheetData>
    <row r="1" spans="1:4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135</v>
      </c>
      <c r="C3" s="257"/>
      <c r="D3" s="264"/>
    </row>
    <row r="4" spans="1:4" x14ac:dyDescent="0.35">
      <c r="A4" s="12"/>
      <c r="B4" s="11"/>
      <c r="C4" s="101"/>
      <c r="D4" s="96"/>
    </row>
    <row r="5" spans="1:4" x14ac:dyDescent="0.35">
      <c r="A5" s="12"/>
      <c r="B5" s="15"/>
      <c r="C5" s="15"/>
      <c r="D5" s="11" t="s">
        <v>148</v>
      </c>
    </row>
    <row r="6" spans="1:4" x14ac:dyDescent="0.35">
      <c r="A6" s="12"/>
      <c r="B6" s="11"/>
      <c r="C6" s="10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x14ac:dyDescent="0.35">
      <c r="A9" s="262" t="s">
        <v>1</v>
      </c>
      <c r="B9" s="262"/>
      <c r="C9" s="10"/>
    </row>
    <row r="10" spans="1:4" x14ac:dyDescent="0.35">
      <c r="A10" s="262" t="s">
        <v>0</v>
      </c>
      <c r="B10" s="262"/>
      <c r="C10" s="10"/>
    </row>
    <row r="11" spans="1:4" x14ac:dyDescent="0.35">
      <c r="A11" s="9"/>
      <c r="B11" s="9" t="s">
        <v>126</v>
      </c>
      <c r="C11" s="10"/>
    </row>
    <row r="12" spans="1:4" ht="31" x14ac:dyDescent="0.35">
      <c r="A12" s="9"/>
      <c r="B12" s="9" t="s">
        <v>152</v>
      </c>
      <c r="C12" s="10"/>
      <c r="D12" s="14"/>
    </row>
    <row r="13" spans="1:4" x14ac:dyDescent="0.35">
      <c r="A13" s="9"/>
      <c r="B13" s="9" t="s">
        <v>149</v>
      </c>
      <c r="C13" s="10"/>
      <c r="D13" s="14"/>
    </row>
    <row r="14" spans="1:4" x14ac:dyDescent="0.35">
      <c r="A14" s="9" t="s">
        <v>2</v>
      </c>
      <c r="B14" s="9" t="s">
        <v>138</v>
      </c>
      <c r="C14" s="10"/>
    </row>
    <row r="15" spans="1:4" ht="62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/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6">
        <v>170.67</v>
      </c>
      <c r="D18" s="28">
        <f>C18*22</f>
        <v>3754.74</v>
      </c>
    </row>
    <row r="19" spans="1:4" ht="15.75" customHeight="1" x14ac:dyDescent="0.25">
      <c r="A19" s="27">
        <v>1200</v>
      </c>
      <c r="B19" s="29" t="s">
        <v>192</v>
      </c>
      <c r="C19" s="102">
        <v>41.11</v>
      </c>
      <c r="D19" s="28">
        <f t="shared" ref="D19:D68" si="0">C19*22</f>
        <v>904.42</v>
      </c>
    </row>
    <row r="20" spans="1:4" hidden="1" x14ac:dyDescent="0.25">
      <c r="A20" s="27">
        <v>2210</v>
      </c>
      <c r="B20" s="29" t="s">
        <v>27</v>
      </c>
      <c r="C20" s="102"/>
      <c r="D20" s="28">
        <f t="shared" si="0"/>
        <v>0</v>
      </c>
    </row>
    <row r="21" spans="1:4" x14ac:dyDescent="0.25">
      <c r="A21" s="27">
        <v>2222</v>
      </c>
      <c r="B21" s="29" t="s">
        <v>190</v>
      </c>
      <c r="C21" s="102">
        <v>0.05</v>
      </c>
      <c r="D21" s="28">
        <f t="shared" si="0"/>
        <v>1.1000000000000001</v>
      </c>
    </row>
    <row r="22" spans="1:4" x14ac:dyDescent="0.25">
      <c r="A22" s="27">
        <v>2223</v>
      </c>
      <c r="B22" s="29" t="s">
        <v>29</v>
      </c>
      <c r="C22" s="102">
        <v>0.43</v>
      </c>
      <c r="D22" s="28">
        <f t="shared" si="0"/>
        <v>9.4599999999999991</v>
      </c>
    </row>
    <row r="23" spans="1:4" hidden="1" x14ac:dyDescent="0.25">
      <c r="A23" s="27"/>
      <c r="B23" s="29"/>
      <c r="C23" s="102"/>
      <c r="D23" s="28">
        <f t="shared" si="0"/>
        <v>0</v>
      </c>
    </row>
    <row r="24" spans="1:4" hidden="1" x14ac:dyDescent="0.25">
      <c r="A24" s="27"/>
      <c r="B24" s="29"/>
      <c r="C24" s="102"/>
      <c r="D24" s="28">
        <f t="shared" si="0"/>
        <v>0</v>
      </c>
    </row>
    <row r="25" spans="1:4" hidden="1" x14ac:dyDescent="0.25">
      <c r="A25" s="27">
        <v>2243</v>
      </c>
      <c r="B25" s="29" t="s">
        <v>9</v>
      </c>
      <c r="C25" s="102"/>
      <c r="D25" s="28">
        <f t="shared" si="0"/>
        <v>0</v>
      </c>
    </row>
    <row r="26" spans="1:4" x14ac:dyDescent="0.25">
      <c r="A26" s="27">
        <v>2244</v>
      </c>
      <c r="B26" s="29" t="s">
        <v>193</v>
      </c>
      <c r="C26" s="102">
        <v>1.07</v>
      </c>
      <c r="D26" s="28">
        <f t="shared" si="0"/>
        <v>23.540000000000003</v>
      </c>
    </row>
    <row r="27" spans="1:4" hidden="1" x14ac:dyDescent="0.25">
      <c r="A27" s="27">
        <v>2251</v>
      </c>
      <c r="B27" s="29" t="s">
        <v>60</v>
      </c>
      <c r="C27" s="102"/>
      <c r="D27" s="28">
        <f t="shared" si="0"/>
        <v>0</v>
      </c>
    </row>
    <row r="28" spans="1:4" hidden="1" x14ac:dyDescent="0.25">
      <c r="A28" s="27">
        <v>2261</v>
      </c>
      <c r="B28" s="29" t="s">
        <v>11</v>
      </c>
      <c r="C28" s="102"/>
      <c r="D28" s="28">
        <f t="shared" si="0"/>
        <v>0</v>
      </c>
    </row>
    <row r="29" spans="1:4" hidden="1" x14ac:dyDescent="0.25">
      <c r="A29" s="27">
        <v>2279</v>
      </c>
      <c r="B29" s="29" t="s">
        <v>14</v>
      </c>
      <c r="C29" s="102"/>
      <c r="D29" s="28">
        <f t="shared" si="0"/>
        <v>0</v>
      </c>
    </row>
    <row r="30" spans="1:4" x14ac:dyDescent="0.25">
      <c r="A30" s="27">
        <v>2311</v>
      </c>
      <c r="B30" s="29" t="s">
        <v>72</v>
      </c>
      <c r="C30" s="45">
        <v>4.75</v>
      </c>
      <c r="D30" s="28">
        <f t="shared" si="0"/>
        <v>104.5</v>
      </c>
    </row>
    <row r="31" spans="1:4" x14ac:dyDescent="0.25">
      <c r="A31" s="27">
        <v>2312</v>
      </c>
      <c r="B31" s="29" t="s">
        <v>16</v>
      </c>
      <c r="C31" s="102">
        <v>4.54</v>
      </c>
      <c r="D31" s="28">
        <f t="shared" si="0"/>
        <v>99.88</v>
      </c>
    </row>
    <row r="32" spans="1:4" x14ac:dyDescent="0.25">
      <c r="A32" s="27">
        <v>2321</v>
      </c>
      <c r="B32" s="29" t="s">
        <v>17</v>
      </c>
      <c r="C32" s="102">
        <v>0.66</v>
      </c>
      <c r="D32" s="28">
        <f t="shared" si="0"/>
        <v>14.520000000000001</v>
      </c>
    </row>
    <row r="33" spans="1:4" x14ac:dyDescent="0.25">
      <c r="A33" s="27">
        <v>2350</v>
      </c>
      <c r="B33" s="29" t="s">
        <v>224</v>
      </c>
      <c r="C33" s="102">
        <v>4.7</v>
      </c>
      <c r="D33" s="28">
        <f t="shared" si="0"/>
        <v>103.4</v>
      </c>
    </row>
    <row r="34" spans="1:4" hidden="1" x14ac:dyDescent="0.25">
      <c r="A34" s="27">
        <v>2361</v>
      </c>
      <c r="B34" s="29" t="s">
        <v>20</v>
      </c>
      <c r="C34" s="102"/>
      <c r="D34" s="28">
        <f t="shared" si="0"/>
        <v>0</v>
      </c>
    </row>
    <row r="35" spans="1:4" hidden="1" x14ac:dyDescent="0.25">
      <c r="A35" s="27">
        <v>2370</v>
      </c>
      <c r="B35" s="29" t="s">
        <v>69</v>
      </c>
      <c r="C35" s="102"/>
      <c r="D35" s="28">
        <f t="shared" si="0"/>
        <v>0</v>
      </c>
    </row>
    <row r="36" spans="1:4" hidden="1" x14ac:dyDescent="0.25">
      <c r="A36" s="55">
        <v>2513</v>
      </c>
      <c r="B36" s="29" t="s">
        <v>22</v>
      </c>
      <c r="C36" s="102"/>
      <c r="D36" s="28">
        <f t="shared" si="0"/>
        <v>0</v>
      </c>
    </row>
    <row r="37" spans="1:4" x14ac:dyDescent="0.25">
      <c r="A37" s="27">
        <v>5238</v>
      </c>
      <c r="B37" s="29" t="s">
        <v>122</v>
      </c>
      <c r="C37" s="45">
        <v>11.8</v>
      </c>
      <c r="D37" s="28">
        <f t="shared" si="0"/>
        <v>259.60000000000002</v>
      </c>
    </row>
    <row r="38" spans="1:4" x14ac:dyDescent="0.25">
      <c r="A38" s="27"/>
      <c r="B38" s="30" t="s">
        <v>65</v>
      </c>
      <c r="C38" s="31">
        <f>SUM(C18:C37)</f>
        <v>239.77999999999997</v>
      </c>
      <c r="D38" s="31">
        <f>SUM(D18:D37)</f>
        <v>5275.1600000000008</v>
      </c>
    </row>
    <row r="39" spans="1:4" x14ac:dyDescent="0.25">
      <c r="A39" s="32"/>
      <c r="B39" s="27" t="s">
        <v>64</v>
      </c>
      <c r="C39" s="26"/>
      <c r="D39" s="28"/>
    </row>
    <row r="40" spans="1:4" x14ac:dyDescent="0.25">
      <c r="A40" s="27">
        <v>1100</v>
      </c>
      <c r="B40" s="27" t="s">
        <v>63</v>
      </c>
      <c r="C40" s="28">
        <v>57.55</v>
      </c>
      <c r="D40" s="28">
        <f t="shared" si="0"/>
        <v>1266.0999999999999</v>
      </c>
    </row>
    <row r="41" spans="1:4" ht="15.75" customHeight="1" x14ac:dyDescent="0.25">
      <c r="A41" s="27">
        <v>1200</v>
      </c>
      <c r="B41" s="29" t="s">
        <v>187</v>
      </c>
      <c r="C41" s="45">
        <v>13.86</v>
      </c>
      <c r="D41" s="28">
        <f t="shared" si="0"/>
        <v>304.91999999999996</v>
      </c>
    </row>
    <row r="42" spans="1:4" ht="15.75" customHeight="1" x14ac:dyDescent="0.25">
      <c r="A42" s="27">
        <v>2100</v>
      </c>
      <c r="B42" s="29" t="s">
        <v>141</v>
      </c>
      <c r="C42" s="45">
        <v>0.56999999999999995</v>
      </c>
      <c r="D42" s="28">
        <f t="shared" si="0"/>
        <v>12.54</v>
      </c>
    </row>
    <row r="43" spans="1:4" x14ac:dyDescent="0.25">
      <c r="A43" s="33">
        <v>2210</v>
      </c>
      <c r="B43" s="29" t="s">
        <v>142</v>
      </c>
      <c r="C43" s="102">
        <v>0.92</v>
      </c>
      <c r="D43" s="28">
        <f t="shared" si="0"/>
        <v>20.240000000000002</v>
      </c>
    </row>
    <row r="44" spans="1:4" hidden="1" x14ac:dyDescent="0.25">
      <c r="A44" s="27">
        <v>2222</v>
      </c>
      <c r="B44" s="29" t="s">
        <v>28</v>
      </c>
      <c r="C44" s="102"/>
      <c r="D44" s="28">
        <f t="shared" si="0"/>
        <v>0</v>
      </c>
    </row>
    <row r="45" spans="1:4" x14ac:dyDescent="0.25">
      <c r="A45" s="27">
        <v>2223</v>
      </c>
      <c r="B45" s="29" t="s">
        <v>29</v>
      </c>
      <c r="C45" s="45">
        <v>0.4</v>
      </c>
      <c r="D45" s="28">
        <f t="shared" si="0"/>
        <v>8.8000000000000007</v>
      </c>
    </row>
    <row r="46" spans="1:4" x14ac:dyDescent="0.25">
      <c r="A46" s="33">
        <v>2224</v>
      </c>
      <c r="B46" s="29" t="s">
        <v>140</v>
      </c>
      <c r="C46" s="102">
        <v>0.96</v>
      </c>
      <c r="D46" s="28">
        <f t="shared" si="0"/>
        <v>21.119999999999997</v>
      </c>
    </row>
    <row r="47" spans="1:4" x14ac:dyDescent="0.25">
      <c r="A47" s="27">
        <v>2231</v>
      </c>
      <c r="B47" s="29" t="s">
        <v>143</v>
      </c>
      <c r="C47" s="102">
        <v>0.16</v>
      </c>
      <c r="D47" s="28">
        <f t="shared" si="0"/>
        <v>3.52</v>
      </c>
    </row>
    <row r="48" spans="1:4" x14ac:dyDescent="0.25">
      <c r="A48" s="27">
        <v>2235</v>
      </c>
      <c r="B48" s="29" t="s">
        <v>144</v>
      </c>
      <c r="C48" s="102">
        <v>0.37</v>
      </c>
      <c r="D48" s="28">
        <f t="shared" si="0"/>
        <v>8.14</v>
      </c>
    </row>
    <row r="49" spans="1:4" x14ac:dyDescent="0.3">
      <c r="A49" s="27">
        <v>2239</v>
      </c>
      <c r="B49" s="118" t="s">
        <v>145</v>
      </c>
      <c r="C49" s="102">
        <v>0.84</v>
      </c>
      <c r="D49" s="28">
        <f t="shared" si="0"/>
        <v>18.48</v>
      </c>
    </row>
    <row r="50" spans="1:4" x14ac:dyDescent="0.25">
      <c r="A50" s="27">
        <v>2242</v>
      </c>
      <c r="B50" s="29" t="s">
        <v>8</v>
      </c>
      <c r="C50" s="102">
        <v>0.08</v>
      </c>
      <c r="D50" s="28">
        <f t="shared" si="0"/>
        <v>1.76</v>
      </c>
    </row>
    <row r="51" spans="1:4" x14ac:dyDescent="0.25">
      <c r="A51" s="27">
        <v>2243</v>
      </c>
      <c r="B51" s="29" t="s">
        <v>9</v>
      </c>
      <c r="C51" s="45">
        <v>1.41</v>
      </c>
      <c r="D51" s="28">
        <f t="shared" si="0"/>
        <v>31.02</v>
      </c>
    </row>
    <row r="52" spans="1:4" x14ac:dyDescent="0.25">
      <c r="A52" s="27">
        <v>2244</v>
      </c>
      <c r="B52" s="29" t="s">
        <v>223</v>
      </c>
      <c r="C52" s="102">
        <v>10.53</v>
      </c>
      <c r="D52" s="28">
        <f t="shared" si="0"/>
        <v>231.66</v>
      </c>
    </row>
    <row r="53" spans="1:4" x14ac:dyDescent="0.25">
      <c r="A53" s="27">
        <v>2247</v>
      </c>
      <c r="B53" s="25" t="s">
        <v>59</v>
      </c>
      <c r="C53" s="26">
        <v>0.16</v>
      </c>
      <c r="D53" s="28">
        <f t="shared" si="0"/>
        <v>3.52</v>
      </c>
    </row>
    <row r="54" spans="1:4" x14ac:dyDescent="0.25">
      <c r="A54" s="27">
        <v>2250</v>
      </c>
      <c r="B54" s="29" t="s">
        <v>185</v>
      </c>
      <c r="C54" s="45">
        <v>3.99</v>
      </c>
      <c r="D54" s="28">
        <f t="shared" si="0"/>
        <v>87.78</v>
      </c>
    </row>
    <row r="55" spans="1:4" x14ac:dyDescent="0.25">
      <c r="A55" s="27">
        <v>2262</v>
      </c>
      <c r="B55" s="29" t="s">
        <v>12</v>
      </c>
      <c r="C55" s="102">
        <v>1.18</v>
      </c>
      <c r="D55" s="28">
        <f t="shared" si="0"/>
        <v>25.959999999999997</v>
      </c>
    </row>
    <row r="56" spans="1:4" hidden="1" x14ac:dyDescent="0.25">
      <c r="A56" s="27">
        <v>2264</v>
      </c>
      <c r="B56" s="29" t="s">
        <v>13</v>
      </c>
      <c r="C56" s="102"/>
      <c r="D56" s="28">
        <f t="shared" si="0"/>
        <v>0</v>
      </c>
    </row>
    <row r="57" spans="1:4" hidden="1" x14ac:dyDescent="0.25">
      <c r="A57" s="27">
        <v>2279</v>
      </c>
      <c r="B57" s="29" t="s">
        <v>14</v>
      </c>
      <c r="C57" s="102"/>
      <c r="D57" s="28">
        <f t="shared" si="0"/>
        <v>0</v>
      </c>
    </row>
    <row r="58" spans="1:4" x14ac:dyDescent="0.25">
      <c r="A58" s="27">
        <v>2311</v>
      </c>
      <c r="B58" s="29" t="s">
        <v>15</v>
      </c>
      <c r="C58" s="102">
        <v>0.12</v>
      </c>
      <c r="D58" s="28">
        <f t="shared" si="0"/>
        <v>2.6399999999999997</v>
      </c>
    </row>
    <row r="59" spans="1:4" x14ac:dyDescent="0.25">
      <c r="A59" s="27">
        <v>2312</v>
      </c>
      <c r="B59" s="29" t="s">
        <v>16</v>
      </c>
      <c r="C59" s="102">
        <v>0.08</v>
      </c>
      <c r="D59" s="28">
        <f t="shared" si="0"/>
        <v>1.76</v>
      </c>
    </row>
    <row r="60" spans="1:4" x14ac:dyDescent="0.25">
      <c r="A60" s="27">
        <v>2314</v>
      </c>
      <c r="B60" s="29" t="s">
        <v>146</v>
      </c>
      <c r="C60" s="102">
        <v>0.08</v>
      </c>
      <c r="D60" s="28">
        <f t="shared" si="0"/>
        <v>1.76</v>
      </c>
    </row>
    <row r="61" spans="1:4" x14ac:dyDescent="0.25">
      <c r="A61" s="27">
        <v>2321</v>
      </c>
      <c r="B61" s="29" t="s">
        <v>17</v>
      </c>
      <c r="C61" s="102">
        <v>0.56000000000000005</v>
      </c>
      <c r="D61" s="28">
        <f t="shared" si="0"/>
        <v>12.32</v>
      </c>
    </row>
    <row r="62" spans="1:4" x14ac:dyDescent="0.25">
      <c r="A62" s="27">
        <v>2322</v>
      </c>
      <c r="B62" s="29" t="s">
        <v>18</v>
      </c>
      <c r="C62" s="102">
        <v>0.61</v>
      </c>
      <c r="D62" s="28">
        <f t="shared" si="0"/>
        <v>13.42</v>
      </c>
    </row>
    <row r="63" spans="1:4" x14ac:dyDescent="0.25">
      <c r="A63" s="27">
        <v>2350</v>
      </c>
      <c r="B63" s="29" t="s">
        <v>224</v>
      </c>
      <c r="C63" s="102">
        <v>2.23</v>
      </c>
      <c r="D63" s="28">
        <f t="shared" si="0"/>
        <v>49.06</v>
      </c>
    </row>
    <row r="64" spans="1:4" x14ac:dyDescent="0.25">
      <c r="A64" s="27">
        <v>2513</v>
      </c>
      <c r="B64" s="29" t="s">
        <v>139</v>
      </c>
      <c r="C64" s="102">
        <v>2.06</v>
      </c>
      <c r="D64" s="28">
        <f t="shared" si="0"/>
        <v>45.32</v>
      </c>
    </row>
    <row r="65" spans="1:7" x14ac:dyDescent="0.25">
      <c r="A65" s="27">
        <v>2515</v>
      </c>
      <c r="B65" s="29" t="s">
        <v>58</v>
      </c>
      <c r="C65" s="102">
        <v>0.33</v>
      </c>
      <c r="D65" s="28">
        <f t="shared" si="0"/>
        <v>7.2600000000000007</v>
      </c>
    </row>
    <row r="66" spans="1:7" x14ac:dyDescent="0.25">
      <c r="A66" s="27">
        <v>5239</v>
      </c>
      <c r="B66" s="29" t="s">
        <v>147</v>
      </c>
      <c r="C66" s="45">
        <v>11.25</v>
      </c>
      <c r="D66" s="28">
        <f t="shared" si="0"/>
        <v>247.5</v>
      </c>
    </row>
    <row r="67" spans="1:7" hidden="1" x14ac:dyDescent="0.25">
      <c r="A67" s="27">
        <v>5240</v>
      </c>
      <c r="B67" s="29" t="s">
        <v>25</v>
      </c>
      <c r="C67" s="102"/>
      <c r="D67" s="28">
        <f t="shared" si="0"/>
        <v>0</v>
      </c>
    </row>
    <row r="68" spans="1:7" hidden="1" x14ac:dyDescent="0.25">
      <c r="A68" s="27">
        <v>5250</v>
      </c>
      <c r="B68" s="29" t="s">
        <v>26</v>
      </c>
      <c r="C68" s="102"/>
      <c r="D68" s="28">
        <f t="shared" si="0"/>
        <v>0</v>
      </c>
    </row>
    <row r="69" spans="1:7" x14ac:dyDescent="0.25">
      <c r="A69" s="32"/>
      <c r="B69" s="34" t="s">
        <v>66</v>
      </c>
      <c r="C69" s="31">
        <f>SUM(C40:C68)</f>
        <v>110.3</v>
      </c>
      <c r="D69" s="31">
        <f>SUM(D40:D68)</f>
        <v>2426.6000000000008</v>
      </c>
    </row>
    <row r="70" spans="1:7" x14ac:dyDescent="0.25">
      <c r="A70" s="32"/>
      <c r="B70" s="34" t="s">
        <v>32</v>
      </c>
      <c r="C70" s="31">
        <f>C38+C69</f>
        <v>350.08</v>
      </c>
      <c r="D70" s="31">
        <f>D38+D69</f>
        <v>7701.760000000002</v>
      </c>
    </row>
    <row r="71" spans="1:7" x14ac:dyDescent="0.35">
      <c r="A71" s="35"/>
      <c r="B71" s="20"/>
      <c r="C71" s="103"/>
      <c r="D71" s="92"/>
    </row>
    <row r="72" spans="1:7" x14ac:dyDescent="0.25">
      <c r="A72" s="262" t="s">
        <v>45</v>
      </c>
      <c r="B72" s="262"/>
      <c r="C72" s="107">
        <v>1</v>
      </c>
      <c r="D72" s="105">
        <v>22</v>
      </c>
    </row>
    <row r="73" spans="1:7" x14ac:dyDescent="0.3">
      <c r="A73" s="262" t="s">
        <v>46</v>
      </c>
      <c r="B73" s="262"/>
      <c r="C73" s="108">
        <f>C70/C72</f>
        <v>350.08</v>
      </c>
      <c r="D73" s="108">
        <f>D70/D72</f>
        <v>350.0800000000001</v>
      </c>
    </row>
    <row r="74" spans="1:7" x14ac:dyDescent="0.3">
      <c r="A74" s="9"/>
      <c r="B74" s="9"/>
      <c r="C74" s="10"/>
      <c r="D74" s="36"/>
      <c r="G74" s="87"/>
    </row>
    <row r="75" spans="1:7" x14ac:dyDescent="0.35">
      <c r="A75" s="267" t="s">
        <v>37</v>
      </c>
      <c r="B75" s="268"/>
      <c r="C75" s="104"/>
      <c r="D75" s="119"/>
    </row>
    <row r="76" spans="1:7" x14ac:dyDescent="0.35">
      <c r="A76" s="267" t="s">
        <v>54</v>
      </c>
      <c r="B76" s="268"/>
      <c r="C76" s="104"/>
      <c r="D76" s="120"/>
    </row>
    <row r="77" spans="1:7" x14ac:dyDescent="0.35">
      <c r="A77" s="17"/>
      <c r="B77" s="17"/>
      <c r="C77" s="19"/>
      <c r="D77" s="65"/>
    </row>
    <row r="78" spans="1:7" x14ac:dyDescent="0.35">
      <c r="A78" s="17" t="s">
        <v>38</v>
      </c>
      <c r="B78" s="17"/>
      <c r="C78" s="19"/>
      <c r="D78" s="17"/>
    </row>
    <row r="79" spans="1:7" x14ac:dyDescent="0.35">
      <c r="A79" s="17"/>
      <c r="B79" s="17"/>
      <c r="C79" s="19"/>
      <c r="D79" s="65"/>
    </row>
    <row r="80" spans="1:7" x14ac:dyDescent="0.35">
      <c r="A80" s="17" t="s">
        <v>47</v>
      </c>
      <c r="B80" s="18"/>
      <c r="C80" s="96"/>
      <c r="D80" s="91"/>
    </row>
    <row r="81" spans="1:4" x14ac:dyDescent="0.35">
      <c r="A81" s="17"/>
      <c r="B81" s="96"/>
      <c r="C81" s="96"/>
      <c r="D81" s="65"/>
    </row>
    <row r="82" spans="1:4" x14ac:dyDescent="0.35">
      <c r="A82" s="17"/>
      <c r="B82" s="19"/>
      <c r="C82" s="19"/>
      <c r="D82" s="17"/>
    </row>
    <row r="83" spans="1:4" x14ac:dyDescent="0.35">
      <c r="D83" s="92"/>
    </row>
  </sheetData>
  <mergeCells count="10">
    <mergeCell ref="A72:B72"/>
    <mergeCell ref="A73:B73"/>
    <mergeCell ref="A75:B75"/>
    <mergeCell ref="A76:B76"/>
    <mergeCell ref="B1:D1"/>
    <mergeCell ref="B2:D2"/>
    <mergeCell ref="B3:D3"/>
    <mergeCell ref="A7:D7"/>
    <mergeCell ref="A9:B9"/>
    <mergeCell ref="A10:B1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89"/>
  <sheetViews>
    <sheetView topLeftCell="A10" workbookViewId="0">
      <selection activeCell="E20" sqref="E20"/>
    </sheetView>
  </sheetViews>
  <sheetFormatPr defaultColWidth="9.1796875" defaultRowHeight="14" x14ac:dyDescent="0.3"/>
  <cols>
    <col min="1" max="1" width="13.26953125" style="118" customWidth="1"/>
    <col min="2" max="2" width="94.7265625" style="118" customWidth="1"/>
    <col min="3" max="3" width="22.81640625" style="118" customWidth="1"/>
    <col min="4" max="4" width="27.453125" style="118" customWidth="1"/>
    <col min="5" max="16384" width="9.1796875" style="3"/>
  </cols>
  <sheetData>
    <row r="1" spans="1:4" ht="15.5" x14ac:dyDescent="0.35">
      <c r="B1" s="257"/>
      <c r="C1" s="257"/>
      <c r="D1" s="35" t="s">
        <v>35</v>
      </c>
    </row>
    <row r="2" spans="1:4" ht="15.5" x14ac:dyDescent="0.35">
      <c r="B2" s="121"/>
      <c r="C2" s="121"/>
      <c r="D2" s="35" t="s">
        <v>39</v>
      </c>
    </row>
    <row r="3" spans="1:4" ht="15.5" x14ac:dyDescent="0.35">
      <c r="B3" s="121"/>
      <c r="C3" s="121"/>
      <c r="D3" s="122"/>
    </row>
    <row r="4" spans="1:4" ht="15.5" x14ac:dyDescent="0.35">
      <c r="B4" s="11"/>
      <c r="C4" s="11"/>
      <c r="D4" s="11"/>
    </row>
    <row r="5" spans="1:4" ht="15.5" x14ac:dyDescent="0.35">
      <c r="B5" s="116"/>
      <c r="C5" s="116"/>
      <c r="D5" s="35" t="s">
        <v>179</v>
      </c>
    </row>
    <row r="7" spans="1:4" ht="17.5" x14ac:dyDescent="0.35">
      <c r="A7" s="252" t="s">
        <v>5</v>
      </c>
      <c r="B7" s="252"/>
      <c r="C7" s="252"/>
      <c r="D7" s="252"/>
    </row>
    <row r="8" spans="1:4" x14ac:dyDescent="0.3">
      <c r="B8" s="272"/>
      <c r="C8" s="272"/>
    </row>
    <row r="9" spans="1:4" ht="15.5" x14ac:dyDescent="0.35">
      <c r="A9" s="262" t="s">
        <v>1</v>
      </c>
      <c r="B9" s="262"/>
      <c r="C9" s="262"/>
      <c r="D9" s="13"/>
    </row>
    <row r="10" spans="1:4" ht="15.5" x14ac:dyDescent="0.35">
      <c r="A10" s="262" t="s">
        <v>0</v>
      </c>
      <c r="B10" s="262"/>
      <c r="C10" s="262"/>
      <c r="D10" s="20"/>
    </row>
    <row r="11" spans="1:4" ht="15.5" x14ac:dyDescent="0.35">
      <c r="A11" s="9"/>
      <c r="B11" s="262" t="s">
        <v>153</v>
      </c>
      <c r="C11" s="262"/>
      <c r="D11" s="20"/>
    </row>
    <row r="12" spans="1:4" ht="15.5" x14ac:dyDescent="0.35">
      <c r="A12" s="9"/>
      <c r="B12" s="262" t="s">
        <v>154</v>
      </c>
      <c r="C12" s="262"/>
      <c r="D12" s="13"/>
    </row>
    <row r="13" spans="1:4" ht="15.5" x14ac:dyDescent="0.35">
      <c r="A13" s="9"/>
      <c r="B13" s="262" t="s">
        <v>178</v>
      </c>
      <c r="C13" s="262"/>
      <c r="D13" s="13"/>
    </row>
    <row r="14" spans="1:4" ht="15.5" x14ac:dyDescent="0.35">
      <c r="A14" s="9"/>
      <c r="B14" s="9" t="s">
        <v>184</v>
      </c>
      <c r="C14" s="9"/>
      <c r="D14" s="13"/>
    </row>
    <row r="15" spans="1:4" ht="15.5" x14ac:dyDescent="0.35">
      <c r="A15" s="9" t="s">
        <v>2</v>
      </c>
      <c r="B15" s="9" t="s">
        <v>138</v>
      </c>
      <c r="C15" s="9"/>
      <c r="D15" s="13"/>
    </row>
    <row r="16" spans="1:4" ht="15.5" hidden="1" x14ac:dyDescent="0.35">
      <c r="A16" s="13"/>
      <c r="B16" s="124"/>
      <c r="C16" s="124"/>
      <c r="D16" s="13"/>
    </row>
    <row r="17" spans="1:6" ht="60.75" customHeight="1" x14ac:dyDescent="0.25">
      <c r="A17" s="54" t="s">
        <v>3</v>
      </c>
      <c r="B17" s="54" t="s">
        <v>4</v>
      </c>
      <c r="C17" s="54"/>
      <c r="D17" s="54" t="s">
        <v>155</v>
      </c>
    </row>
    <row r="18" spans="1:6" ht="15" x14ac:dyDescent="0.25">
      <c r="A18" s="22">
        <v>1</v>
      </c>
      <c r="B18" s="23">
        <v>2</v>
      </c>
      <c r="C18" s="22"/>
      <c r="D18" s="23">
        <v>3</v>
      </c>
    </row>
    <row r="19" spans="1:6" ht="15.5" x14ac:dyDescent="0.35">
      <c r="A19" s="22"/>
      <c r="B19" s="125" t="s">
        <v>156</v>
      </c>
      <c r="C19" s="126"/>
      <c r="D19" s="127"/>
    </row>
    <row r="20" spans="1:6" ht="15.5" x14ac:dyDescent="0.25">
      <c r="A20" s="27">
        <v>1100</v>
      </c>
      <c r="B20" s="27" t="s">
        <v>157</v>
      </c>
      <c r="C20" s="28">
        <v>2.79</v>
      </c>
      <c r="D20" s="28">
        <f>C20*50</f>
        <v>139.5</v>
      </c>
    </row>
    <row r="21" spans="1:6" ht="15.75" customHeight="1" x14ac:dyDescent="0.25">
      <c r="A21" s="27">
        <v>1200</v>
      </c>
      <c r="B21" s="29" t="s">
        <v>158</v>
      </c>
      <c r="C21" s="26">
        <v>0.67</v>
      </c>
      <c r="D21" s="28">
        <f t="shared" ref="D21:D31" si="0">C21*50</f>
        <v>33.5</v>
      </c>
    </row>
    <row r="22" spans="1:6" ht="15.5" x14ac:dyDescent="0.25">
      <c r="A22" s="27">
        <v>2222</v>
      </c>
      <c r="B22" s="29" t="s">
        <v>28</v>
      </c>
      <c r="C22" s="28">
        <v>0.05</v>
      </c>
      <c r="D22" s="28">
        <f t="shared" si="0"/>
        <v>2.5</v>
      </c>
    </row>
    <row r="23" spans="1:6" ht="15.5" x14ac:dyDescent="0.25">
      <c r="A23" s="27">
        <v>2223</v>
      </c>
      <c r="B23" s="29" t="s">
        <v>29</v>
      </c>
      <c r="C23" s="28">
        <v>0.25</v>
      </c>
      <c r="D23" s="28">
        <f t="shared" si="0"/>
        <v>12.5</v>
      </c>
    </row>
    <row r="24" spans="1:6" ht="15.5" x14ac:dyDescent="0.25">
      <c r="A24" s="27">
        <v>2243</v>
      </c>
      <c r="B24" s="29" t="s">
        <v>9</v>
      </c>
      <c r="C24" s="28">
        <v>0.1</v>
      </c>
      <c r="D24" s="28">
        <f t="shared" si="0"/>
        <v>5</v>
      </c>
    </row>
    <row r="25" spans="1:6" ht="15.5" x14ac:dyDescent="0.25">
      <c r="A25" s="27">
        <v>2244</v>
      </c>
      <c r="B25" s="29" t="s">
        <v>10</v>
      </c>
      <c r="C25" s="28">
        <v>0.28000000000000003</v>
      </c>
      <c r="D25" s="28">
        <f t="shared" si="0"/>
        <v>14.000000000000002</v>
      </c>
    </row>
    <row r="26" spans="1:6" ht="15.5" x14ac:dyDescent="0.25">
      <c r="A26" s="27">
        <v>2311</v>
      </c>
      <c r="B26" s="29" t="s">
        <v>72</v>
      </c>
      <c r="C26" s="28">
        <v>0.02</v>
      </c>
      <c r="D26" s="28">
        <f t="shared" si="0"/>
        <v>1</v>
      </c>
    </row>
    <row r="27" spans="1:6" ht="15.5" x14ac:dyDescent="0.25">
      <c r="A27" s="27">
        <v>2312</v>
      </c>
      <c r="B27" s="29" t="s">
        <v>16</v>
      </c>
      <c r="C27" s="28">
        <v>7.0000000000000007E-2</v>
      </c>
      <c r="D27" s="28">
        <f t="shared" si="0"/>
        <v>3.5000000000000004</v>
      </c>
    </row>
    <row r="28" spans="1:6" ht="15.5" x14ac:dyDescent="0.25">
      <c r="A28" s="27">
        <v>2321</v>
      </c>
      <c r="B28" s="29" t="s">
        <v>17</v>
      </c>
      <c r="C28" s="28">
        <v>0.23</v>
      </c>
      <c r="D28" s="28">
        <f t="shared" si="0"/>
        <v>11.5</v>
      </c>
    </row>
    <row r="29" spans="1:6" ht="15.5" x14ac:dyDescent="0.25">
      <c r="A29" s="27">
        <v>2341</v>
      </c>
      <c r="B29" s="29" t="s">
        <v>180</v>
      </c>
      <c r="C29" s="28">
        <v>0.02</v>
      </c>
      <c r="D29" s="28">
        <f t="shared" si="0"/>
        <v>1</v>
      </c>
    </row>
    <row r="30" spans="1:6" ht="15.5" x14ac:dyDescent="0.25">
      <c r="A30" s="27">
        <v>2350</v>
      </c>
      <c r="B30" s="29" t="s">
        <v>19</v>
      </c>
      <c r="C30" s="28">
        <v>0.05</v>
      </c>
      <c r="D30" s="28">
        <f t="shared" si="0"/>
        <v>2.5</v>
      </c>
    </row>
    <row r="31" spans="1:6" ht="15.5" x14ac:dyDescent="0.25">
      <c r="A31" s="33">
        <v>5239</v>
      </c>
      <c r="B31" s="29" t="s">
        <v>57</v>
      </c>
      <c r="C31" s="28">
        <v>0.35</v>
      </c>
      <c r="D31" s="28">
        <f t="shared" si="0"/>
        <v>17.5</v>
      </c>
      <c r="F31" s="87"/>
    </row>
    <row r="32" spans="1:6" ht="15.5" x14ac:dyDescent="0.25">
      <c r="A32" s="27"/>
      <c r="B32" s="30" t="s">
        <v>161</v>
      </c>
      <c r="C32" s="31">
        <f>SUM(C20:C31)</f>
        <v>4.879999999999999</v>
      </c>
      <c r="D32" s="31">
        <f>SUM(D20:D31)</f>
        <v>244</v>
      </c>
    </row>
    <row r="33" spans="1:4" ht="15.5" x14ac:dyDescent="0.25">
      <c r="A33" s="32"/>
      <c r="B33" s="27" t="s">
        <v>162</v>
      </c>
      <c r="C33" s="28"/>
      <c r="D33" s="28"/>
    </row>
    <row r="34" spans="1:4" ht="15.5" x14ac:dyDescent="0.25">
      <c r="A34" s="27">
        <v>1100</v>
      </c>
      <c r="B34" s="27" t="s">
        <v>157</v>
      </c>
      <c r="C34" s="28">
        <v>0.74</v>
      </c>
      <c r="D34" s="28">
        <f>C34*50</f>
        <v>37</v>
      </c>
    </row>
    <row r="35" spans="1:4" ht="15.75" customHeight="1" x14ac:dyDescent="0.25">
      <c r="A35" s="27">
        <v>1200</v>
      </c>
      <c r="B35" s="29" t="s">
        <v>158</v>
      </c>
      <c r="C35" s="28">
        <v>0.18</v>
      </c>
      <c r="D35" s="28">
        <f t="shared" ref="D35:D67" si="1">C35*50</f>
        <v>9</v>
      </c>
    </row>
    <row r="36" spans="1:4" ht="15.75" hidden="1" customHeight="1" x14ac:dyDescent="0.25">
      <c r="A36" s="27">
        <v>2100</v>
      </c>
      <c r="B36" s="128" t="s">
        <v>163</v>
      </c>
      <c r="C36" s="28"/>
      <c r="D36" s="28">
        <f t="shared" si="1"/>
        <v>0</v>
      </c>
    </row>
    <row r="37" spans="1:4" ht="15.5" x14ac:dyDescent="0.25">
      <c r="A37" s="33">
        <v>2210</v>
      </c>
      <c r="B37" s="29" t="s">
        <v>27</v>
      </c>
      <c r="C37" s="28">
        <v>0.01</v>
      </c>
      <c r="D37" s="28">
        <f t="shared" si="1"/>
        <v>0.5</v>
      </c>
    </row>
    <row r="38" spans="1:4" ht="15.5" hidden="1" x14ac:dyDescent="0.25">
      <c r="A38" s="27">
        <v>2222</v>
      </c>
      <c r="B38" s="29" t="s">
        <v>28</v>
      </c>
      <c r="C38" s="28"/>
      <c r="D38" s="28">
        <f t="shared" si="1"/>
        <v>0</v>
      </c>
    </row>
    <row r="39" spans="1:4" ht="15.5" x14ac:dyDescent="0.25">
      <c r="A39" s="27">
        <v>2223</v>
      </c>
      <c r="B39" s="29" t="s">
        <v>29</v>
      </c>
      <c r="C39" s="28">
        <v>0.08</v>
      </c>
      <c r="D39" s="28">
        <f t="shared" si="1"/>
        <v>4</v>
      </c>
    </row>
    <row r="40" spans="1:4" ht="15.5" x14ac:dyDescent="0.25">
      <c r="A40" s="27">
        <v>2224</v>
      </c>
      <c r="B40" s="29" t="s">
        <v>181</v>
      </c>
      <c r="C40" s="28">
        <v>0.01</v>
      </c>
      <c r="D40" s="28">
        <f t="shared" si="1"/>
        <v>0.5</v>
      </c>
    </row>
    <row r="41" spans="1:4" ht="15.75" hidden="1" customHeight="1" x14ac:dyDescent="0.25">
      <c r="A41" s="27">
        <v>2231</v>
      </c>
      <c r="B41" s="29" t="s">
        <v>182</v>
      </c>
      <c r="C41" s="28">
        <v>0.02</v>
      </c>
      <c r="D41" s="28">
        <f t="shared" si="1"/>
        <v>1</v>
      </c>
    </row>
    <row r="42" spans="1:4" ht="15.5" x14ac:dyDescent="0.25">
      <c r="A42" s="27">
        <v>2239</v>
      </c>
      <c r="B42" s="29" t="s">
        <v>183</v>
      </c>
      <c r="C42" s="28">
        <v>0.01</v>
      </c>
      <c r="D42" s="28">
        <f t="shared" si="1"/>
        <v>0.5</v>
      </c>
    </row>
    <row r="43" spans="1:4" ht="15.5" hidden="1" x14ac:dyDescent="0.35">
      <c r="A43" s="127">
        <v>2241</v>
      </c>
      <c r="B43" s="129" t="s">
        <v>7</v>
      </c>
      <c r="C43" s="28"/>
      <c r="D43" s="28">
        <f t="shared" si="1"/>
        <v>0</v>
      </c>
    </row>
    <row r="44" spans="1:4" ht="15.5" x14ac:dyDescent="0.35">
      <c r="A44" s="127">
        <v>2242</v>
      </c>
      <c r="B44" s="129" t="s">
        <v>8</v>
      </c>
      <c r="C44" s="28">
        <v>0.03</v>
      </c>
      <c r="D44" s="28">
        <f t="shared" si="1"/>
        <v>1.5</v>
      </c>
    </row>
    <row r="45" spans="1:4" ht="15.5" x14ac:dyDescent="0.35">
      <c r="A45" s="127">
        <v>2243</v>
      </c>
      <c r="B45" s="129" t="s">
        <v>9</v>
      </c>
      <c r="C45" s="28">
        <v>0.03</v>
      </c>
      <c r="D45" s="28">
        <f t="shared" si="1"/>
        <v>1.5</v>
      </c>
    </row>
    <row r="46" spans="1:4" ht="15.5" x14ac:dyDescent="0.35">
      <c r="A46" s="127">
        <v>2244</v>
      </c>
      <c r="B46" s="129" t="s">
        <v>10</v>
      </c>
      <c r="C46" s="28">
        <v>0.11</v>
      </c>
      <c r="D46" s="28">
        <f t="shared" si="1"/>
        <v>5.5</v>
      </c>
    </row>
    <row r="47" spans="1:4" ht="15.5" x14ac:dyDescent="0.35">
      <c r="A47" s="127">
        <v>2247</v>
      </c>
      <c r="B47" s="125" t="s">
        <v>164</v>
      </c>
      <c r="C47" s="28">
        <v>0.01</v>
      </c>
      <c r="D47" s="28">
        <f t="shared" si="1"/>
        <v>0.5</v>
      </c>
    </row>
    <row r="48" spans="1:4" ht="15.75" hidden="1" customHeight="1" x14ac:dyDescent="0.35">
      <c r="A48" s="127">
        <v>2249</v>
      </c>
      <c r="B48" s="129" t="s">
        <v>160</v>
      </c>
      <c r="C48" s="28"/>
      <c r="D48" s="28">
        <f t="shared" si="1"/>
        <v>0</v>
      </c>
    </row>
    <row r="49" spans="1:4" ht="15.75" hidden="1" customHeight="1" x14ac:dyDescent="0.35">
      <c r="A49" s="127">
        <v>2250</v>
      </c>
      <c r="B49" s="129" t="s">
        <v>186</v>
      </c>
      <c r="C49" s="28">
        <v>0.09</v>
      </c>
      <c r="D49" s="28">
        <f t="shared" si="1"/>
        <v>4.5</v>
      </c>
    </row>
    <row r="50" spans="1:4" ht="15.5" x14ac:dyDescent="0.35">
      <c r="A50" s="127">
        <v>2262</v>
      </c>
      <c r="B50" s="129" t="s">
        <v>12</v>
      </c>
      <c r="C50" s="28">
        <v>0.01</v>
      </c>
      <c r="D50" s="28">
        <f t="shared" si="1"/>
        <v>0.5</v>
      </c>
    </row>
    <row r="51" spans="1:4" ht="15.5" x14ac:dyDescent="0.35">
      <c r="A51" s="127">
        <v>2263</v>
      </c>
      <c r="B51" s="129" t="s">
        <v>167</v>
      </c>
      <c r="C51" s="28">
        <v>0.1</v>
      </c>
      <c r="D51" s="28">
        <f t="shared" si="1"/>
        <v>5</v>
      </c>
    </row>
    <row r="52" spans="1:4" ht="15.5" hidden="1" x14ac:dyDescent="0.35">
      <c r="A52" s="127">
        <v>2264</v>
      </c>
      <c r="B52" s="129" t="s">
        <v>13</v>
      </c>
      <c r="C52" s="28"/>
      <c r="D52" s="28">
        <f t="shared" si="1"/>
        <v>0</v>
      </c>
    </row>
    <row r="53" spans="1:4" ht="15.5" x14ac:dyDescent="0.35">
      <c r="A53" s="127">
        <v>2311</v>
      </c>
      <c r="B53" s="129" t="s">
        <v>15</v>
      </c>
      <c r="C53" s="28">
        <v>0.01</v>
      </c>
      <c r="D53" s="28">
        <f t="shared" si="1"/>
        <v>0.5</v>
      </c>
    </row>
    <row r="54" spans="1:4" ht="15.5" x14ac:dyDescent="0.35">
      <c r="A54" s="127">
        <v>2312</v>
      </c>
      <c r="B54" s="129" t="s">
        <v>16</v>
      </c>
      <c r="C54" s="28">
        <v>0.01</v>
      </c>
      <c r="D54" s="28">
        <f t="shared" si="1"/>
        <v>0.5</v>
      </c>
    </row>
    <row r="55" spans="1:4" ht="15.5" x14ac:dyDescent="0.35">
      <c r="A55" s="127">
        <v>2321</v>
      </c>
      <c r="B55" s="129" t="s">
        <v>17</v>
      </c>
      <c r="C55" s="28">
        <v>0.06</v>
      </c>
      <c r="D55" s="28">
        <f t="shared" si="1"/>
        <v>3</v>
      </c>
    </row>
    <row r="56" spans="1:4" ht="15.5" x14ac:dyDescent="0.35">
      <c r="A56" s="127">
        <v>2322</v>
      </c>
      <c r="B56" s="129" t="s">
        <v>18</v>
      </c>
      <c r="C56" s="28">
        <v>0.01</v>
      </c>
      <c r="D56" s="28">
        <f t="shared" si="1"/>
        <v>0.5</v>
      </c>
    </row>
    <row r="57" spans="1:4" ht="15.5" hidden="1" x14ac:dyDescent="0.35">
      <c r="A57" s="127">
        <v>2341</v>
      </c>
      <c r="B57" s="129" t="s">
        <v>159</v>
      </c>
      <c r="C57" s="28"/>
      <c r="D57" s="28">
        <f t="shared" si="1"/>
        <v>0</v>
      </c>
    </row>
    <row r="58" spans="1:4" ht="15.5" hidden="1" x14ac:dyDescent="0.35">
      <c r="A58" s="127">
        <v>2344</v>
      </c>
      <c r="B58" s="129" t="s">
        <v>168</v>
      </c>
      <c r="C58" s="28"/>
      <c r="D58" s="28">
        <f t="shared" si="1"/>
        <v>0</v>
      </c>
    </row>
    <row r="59" spans="1:4" ht="15.5" x14ac:dyDescent="0.35">
      <c r="A59" s="127">
        <v>2350</v>
      </c>
      <c r="B59" s="129" t="s">
        <v>19</v>
      </c>
      <c r="C59" s="28">
        <v>0.03</v>
      </c>
      <c r="D59" s="28">
        <f t="shared" si="1"/>
        <v>1.5</v>
      </c>
    </row>
    <row r="60" spans="1:4" ht="15.75" hidden="1" customHeight="1" x14ac:dyDescent="0.35">
      <c r="A60" s="127">
        <v>2361</v>
      </c>
      <c r="B60" s="129" t="s">
        <v>20</v>
      </c>
      <c r="C60" s="28"/>
      <c r="D60" s="28">
        <f t="shared" si="1"/>
        <v>0</v>
      </c>
    </row>
    <row r="61" spans="1:4" ht="15.75" hidden="1" customHeight="1" x14ac:dyDescent="0.35">
      <c r="A61" s="127">
        <v>2362</v>
      </c>
      <c r="B61" s="129" t="s">
        <v>169</v>
      </c>
      <c r="C61" s="28"/>
      <c r="D61" s="28">
        <f t="shared" si="1"/>
        <v>0</v>
      </c>
    </row>
    <row r="62" spans="1:4" ht="15.75" hidden="1" customHeight="1" x14ac:dyDescent="0.35">
      <c r="A62" s="127">
        <v>2363</v>
      </c>
      <c r="B62" s="129" t="s">
        <v>170</v>
      </c>
      <c r="C62" s="28"/>
      <c r="D62" s="28">
        <f t="shared" si="1"/>
        <v>0</v>
      </c>
    </row>
    <row r="63" spans="1:4" ht="15.5" hidden="1" x14ac:dyDescent="0.35">
      <c r="A63" s="127">
        <v>2370</v>
      </c>
      <c r="B63" s="129" t="s">
        <v>21</v>
      </c>
      <c r="C63" s="28"/>
      <c r="D63" s="28">
        <f t="shared" si="1"/>
        <v>0</v>
      </c>
    </row>
    <row r="64" spans="1:4" ht="15.75" hidden="1" customHeight="1" x14ac:dyDescent="0.35">
      <c r="A64" s="127">
        <v>2400</v>
      </c>
      <c r="B64" s="129" t="s">
        <v>31</v>
      </c>
      <c r="C64" s="28"/>
      <c r="D64" s="28">
        <f t="shared" si="1"/>
        <v>0</v>
      </c>
    </row>
    <row r="65" spans="1:7" ht="15.5" hidden="1" x14ac:dyDescent="0.35">
      <c r="A65" s="127">
        <v>2512</v>
      </c>
      <c r="B65" s="129" t="s">
        <v>171</v>
      </c>
      <c r="C65" s="28"/>
      <c r="D65" s="28">
        <f t="shared" si="1"/>
        <v>0</v>
      </c>
    </row>
    <row r="66" spans="1:7" ht="15.5" hidden="1" x14ac:dyDescent="0.25">
      <c r="A66" s="27">
        <v>2513</v>
      </c>
      <c r="B66" s="29" t="s">
        <v>22</v>
      </c>
      <c r="C66" s="28"/>
      <c r="D66" s="28">
        <f t="shared" si="1"/>
        <v>0</v>
      </c>
    </row>
    <row r="67" spans="1:7" ht="15.5" x14ac:dyDescent="0.25">
      <c r="A67" s="27">
        <v>2515</v>
      </c>
      <c r="B67" s="29" t="s">
        <v>172</v>
      </c>
      <c r="C67" s="28">
        <v>0.01</v>
      </c>
      <c r="D67" s="28">
        <f t="shared" si="1"/>
        <v>0.5</v>
      </c>
    </row>
    <row r="68" spans="1:7" ht="15.75" hidden="1" customHeight="1" x14ac:dyDescent="0.25">
      <c r="A68" s="27">
        <v>2519</v>
      </c>
      <c r="B68" s="29" t="s">
        <v>24</v>
      </c>
      <c r="C68" s="28"/>
      <c r="D68" s="28"/>
      <c r="G68" s="3">
        <f t="shared" ref="G68:G74" si="2">F68*1.56</f>
        <v>0</v>
      </c>
    </row>
    <row r="69" spans="1:7" ht="15.75" hidden="1" customHeight="1" x14ac:dyDescent="0.25">
      <c r="A69" s="27">
        <v>6240</v>
      </c>
      <c r="B69" s="29"/>
      <c r="C69" s="28"/>
      <c r="D69" s="28"/>
      <c r="G69" s="3">
        <f t="shared" si="2"/>
        <v>0</v>
      </c>
    </row>
    <row r="70" spans="1:7" ht="15.5" hidden="1" x14ac:dyDescent="0.25">
      <c r="A70" s="27">
        <v>5120</v>
      </c>
      <c r="B70" s="29" t="s">
        <v>173</v>
      </c>
      <c r="C70" s="28"/>
      <c r="D70" s="28"/>
      <c r="G70" s="3">
        <f t="shared" si="2"/>
        <v>0</v>
      </c>
    </row>
    <row r="71" spans="1:7" ht="15.75" hidden="1" customHeight="1" x14ac:dyDescent="0.25">
      <c r="A71" s="27">
        <v>5232</v>
      </c>
      <c r="B71" s="29" t="s">
        <v>23</v>
      </c>
      <c r="C71" s="28">
        <v>0</v>
      </c>
      <c r="D71" s="28"/>
      <c r="G71" s="3">
        <f t="shared" si="2"/>
        <v>0</v>
      </c>
    </row>
    <row r="72" spans="1:7" ht="15.5" hidden="1" x14ac:dyDescent="0.25">
      <c r="A72" s="27">
        <v>5238</v>
      </c>
      <c r="B72" s="29" t="s">
        <v>174</v>
      </c>
      <c r="C72" s="28"/>
      <c r="D72" s="28"/>
      <c r="G72" s="3">
        <f t="shared" si="2"/>
        <v>0</v>
      </c>
    </row>
    <row r="73" spans="1:7" ht="15.75" hidden="1" customHeight="1" x14ac:dyDescent="0.25">
      <c r="A73" s="27">
        <v>5240</v>
      </c>
      <c r="B73" s="29" t="s">
        <v>25</v>
      </c>
      <c r="C73" s="28"/>
      <c r="D73" s="28"/>
      <c r="G73" s="3">
        <f t="shared" si="2"/>
        <v>0</v>
      </c>
    </row>
    <row r="74" spans="1:7" ht="15.5" hidden="1" x14ac:dyDescent="0.25">
      <c r="A74" s="27">
        <v>5250</v>
      </c>
      <c r="B74" s="29" t="s">
        <v>26</v>
      </c>
      <c r="C74" s="28"/>
      <c r="D74" s="28"/>
      <c r="G74" s="3">
        <f t="shared" si="2"/>
        <v>0</v>
      </c>
    </row>
    <row r="75" spans="1:7" ht="15.5" x14ac:dyDescent="0.25">
      <c r="A75" s="32"/>
      <c r="B75" s="34" t="s">
        <v>175</v>
      </c>
      <c r="C75" s="31">
        <f>SUM(C34:C74)</f>
        <v>1.5600000000000005</v>
      </c>
      <c r="D75" s="31">
        <f>SUM(D34:D74)</f>
        <v>78</v>
      </c>
    </row>
    <row r="76" spans="1:7" ht="15.5" x14ac:dyDescent="0.25">
      <c r="A76" s="32"/>
      <c r="B76" s="34" t="s">
        <v>32</v>
      </c>
      <c r="C76" s="31">
        <f>C32+C75</f>
        <v>6.4399999999999995</v>
      </c>
      <c r="D76" s="31">
        <f>D32+D75</f>
        <v>322</v>
      </c>
    </row>
    <row r="77" spans="1:7" ht="15.75" customHeight="1" x14ac:dyDescent="0.35">
      <c r="A77" s="35"/>
      <c r="B77" s="20"/>
      <c r="C77" s="130"/>
      <c r="D77" s="130"/>
    </row>
    <row r="78" spans="1:7" ht="15.75" customHeight="1" x14ac:dyDescent="0.35">
      <c r="A78" s="267" t="s">
        <v>176</v>
      </c>
      <c r="B78" s="268"/>
      <c r="C78" s="38">
        <v>1</v>
      </c>
      <c r="D78" s="102">
        <v>50</v>
      </c>
    </row>
    <row r="79" spans="1:7" ht="15.5" x14ac:dyDescent="0.35">
      <c r="A79" s="267" t="s">
        <v>46</v>
      </c>
      <c r="B79" s="268"/>
      <c r="C79" s="31">
        <f>ROUND(C76/C78,2)</f>
        <v>6.44</v>
      </c>
      <c r="D79" s="106">
        <f>ROUND(D76/D78,2)</f>
        <v>6.44</v>
      </c>
      <c r="F79" s="87"/>
    </row>
    <row r="80" spans="1:7" ht="15.75" customHeight="1" x14ac:dyDescent="0.35">
      <c r="A80" s="20"/>
      <c r="B80" s="103"/>
      <c r="C80" s="13"/>
      <c r="D80" s="13"/>
    </row>
    <row r="81" spans="1:4" ht="15.75" customHeight="1" x14ac:dyDescent="0.35">
      <c r="A81" s="267" t="s">
        <v>37</v>
      </c>
      <c r="B81" s="268"/>
      <c r="C81" s="39"/>
      <c r="D81" s="39"/>
    </row>
    <row r="82" spans="1:4" ht="15.5" x14ac:dyDescent="0.35">
      <c r="A82" s="267" t="s">
        <v>55</v>
      </c>
      <c r="B82" s="268"/>
      <c r="C82" s="39"/>
      <c r="D82" s="39"/>
    </row>
    <row r="83" spans="1:4" ht="15.5" x14ac:dyDescent="0.35">
      <c r="A83" s="17"/>
      <c r="B83" s="17"/>
      <c r="C83" s="17"/>
      <c r="D83" s="17"/>
    </row>
    <row r="84" spans="1:4" ht="15.5" x14ac:dyDescent="0.35">
      <c r="A84" s="17" t="s">
        <v>38</v>
      </c>
      <c r="B84" s="17"/>
      <c r="C84" s="17"/>
      <c r="D84" s="17"/>
    </row>
    <row r="85" spans="1:4" ht="15.5" x14ac:dyDescent="0.35">
      <c r="A85" s="17"/>
      <c r="B85" s="17"/>
      <c r="C85" s="17"/>
      <c r="D85" s="17"/>
    </row>
    <row r="86" spans="1:4" ht="15.5" x14ac:dyDescent="0.35">
      <c r="A86" s="17" t="s">
        <v>177</v>
      </c>
      <c r="B86" s="18"/>
      <c r="C86" s="17"/>
      <c r="D86" s="17"/>
    </row>
    <row r="87" spans="1:4" ht="15.5" x14ac:dyDescent="0.35">
      <c r="A87" s="17"/>
      <c r="B87" s="96"/>
      <c r="C87" s="17"/>
      <c r="D87" s="17"/>
    </row>
    <row r="88" spans="1:4" x14ac:dyDescent="0.3">
      <c r="B88" s="131"/>
    </row>
    <row r="89" spans="1:4" x14ac:dyDescent="0.3">
      <c r="B89" s="132"/>
    </row>
  </sheetData>
  <mergeCells count="12">
    <mergeCell ref="A81:B81"/>
    <mergeCell ref="A78:B78"/>
    <mergeCell ref="B13:C13"/>
    <mergeCell ref="B12:C12"/>
    <mergeCell ref="B11:C11"/>
    <mergeCell ref="A79:B79"/>
    <mergeCell ref="A82:B82"/>
    <mergeCell ref="B1:C1"/>
    <mergeCell ref="A7:D7"/>
    <mergeCell ref="B8:C8"/>
    <mergeCell ref="A9:C9"/>
    <mergeCell ref="A10:C1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3"/>
  <sheetViews>
    <sheetView workbookViewId="0">
      <selection activeCell="B46" sqref="B46"/>
    </sheetView>
  </sheetViews>
  <sheetFormatPr defaultColWidth="9.1796875" defaultRowHeight="15.5" x14ac:dyDescent="0.35"/>
  <cols>
    <col min="1" max="1" width="13.26953125" style="13" customWidth="1"/>
    <col min="2" max="2" width="94" style="13" customWidth="1"/>
    <col min="3" max="3" width="21.54296875" style="13" hidden="1" customWidth="1"/>
    <col min="4" max="4" width="27.7265625" style="13" customWidth="1"/>
    <col min="5" max="16384" width="9.1796875" style="3"/>
  </cols>
  <sheetData>
    <row r="1" spans="1:4" x14ac:dyDescent="0.35">
      <c r="B1" s="35"/>
      <c r="C1" s="121"/>
      <c r="D1" s="35" t="s">
        <v>35</v>
      </c>
    </row>
    <row r="2" spans="1:4" x14ac:dyDescent="0.35">
      <c r="B2" s="121"/>
      <c r="C2" s="121"/>
      <c r="D2" s="35" t="s">
        <v>39</v>
      </c>
    </row>
    <row r="3" spans="1:4" x14ac:dyDescent="0.35">
      <c r="B3" s="121"/>
      <c r="C3" s="257" t="s">
        <v>56</v>
      </c>
      <c r="D3" s="257"/>
    </row>
    <row r="4" spans="1:4" ht="9" customHeight="1" x14ac:dyDescent="0.35">
      <c r="B4" s="11"/>
      <c r="D4" s="11"/>
    </row>
    <row r="5" spans="1:4" x14ac:dyDescent="0.35">
      <c r="B5" s="116"/>
      <c r="C5" s="12"/>
      <c r="D5" s="11" t="s">
        <v>282</v>
      </c>
    </row>
    <row r="6" spans="1:4" ht="10.5" customHeight="1" x14ac:dyDescent="0.35"/>
    <row r="7" spans="1:4" ht="15" x14ac:dyDescent="0.3">
      <c r="A7" s="263" t="s">
        <v>5</v>
      </c>
      <c r="B7" s="263"/>
      <c r="C7" s="263"/>
      <c r="D7" s="263"/>
    </row>
    <row r="8" spans="1:4" ht="10.5" customHeight="1" x14ac:dyDescent="0.35">
      <c r="B8" s="135"/>
    </row>
    <row r="9" spans="1:4" x14ac:dyDescent="0.35">
      <c r="A9" s="262" t="s">
        <v>1</v>
      </c>
      <c r="B9" s="262"/>
    </row>
    <row r="10" spans="1:4" x14ac:dyDescent="0.35">
      <c r="A10" s="262" t="s">
        <v>0</v>
      </c>
      <c r="B10" s="262"/>
      <c r="D10" s="20"/>
    </row>
    <row r="11" spans="1:4" x14ac:dyDescent="0.35">
      <c r="A11" s="9"/>
      <c r="B11" s="9" t="s">
        <v>153</v>
      </c>
      <c r="C11" s="123"/>
      <c r="D11" s="20"/>
    </row>
    <row r="12" spans="1:4" x14ac:dyDescent="0.35">
      <c r="A12" s="9"/>
      <c r="B12" s="9" t="s">
        <v>154</v>
      </c>
    </row>
    <row r="13" spans="1:4" x14ac:dyDescent="0.35">
      <c r="A13" s="9"/>
      <c r="B13" s="9" t="s">
        <v>178</v>
      </c>
      <c r="C13" s="123"/>
    </row>
    <row r="14" spans="1:4" ht="18" customHeight="1" x14ac:dyDescent="0.25">
      <c r="A14" s="9"/>
      <c r="B14" s="262" t="s">
        <v>291</v>
      </c>
      <c r="C14" s="273"/>
      <c r="D14" s="273"/>
    </row>
    <row r="15" spans="1:4" x14ac:dyDescent="0.35">
      <c r="A15" s="9" t="s">
        <v>2</v>
      </c>
      <c r="B15" s="9" t="s">
        <v>259</v>
      </c>
      <c r="C15" s="123"/>
    </row>
    <row r="16" spans="1:4" hidden="1" x14ac:dyDescent="0.35">
      <c r="B16" s="124"/>
    </row>
    <row r="17" spans="1:4" ht="67.5" customHeight="1" x14ac:dyDescent="0.25">
      <c r="A17" s="54" t="s">
        <v>3</v>
      </c>
      <c r="B17" s="54" t="s">
        <v>4</v>
      </c>
      <c r="C17" s="54"/>
      <c r="D17" s="54" t="s">
        <v>155</v>
      </c>
    </row>
    <row r="18" spans="1:4" ht="15" x14ac:dyDescent="0.25">
      <c r="A18" s="22">
        <v>1</v>
      </c>
      <c r="B18" s="23">
        <v>2</v>
      </c>
      <c r="C18" s="23"/>
      <c r="D18" s="23">
        <v>3</v>
      </c>
    </row>
    <row r="19" spans="1:4" x14ac:dyDescent="0.35">
      <c r="A19" s="22"/>
      <c r="B19" s="125" t="s">
        <v>156</v>
      </c>
      <c r="C19" s="127"/>
      <c r="D19" s="127"/>
    </row>
    <row r="20" spans="1:4" x14ac:dyDescent="0.25">
      <c r="A20" s="27">
        <v>1100</v>
      </c>
      <c r="B20" s="27" t="s">
        <v>63</v>
      </c>
      <c r="C20" s="28">
        <v>4.71</v>
      </c>
      <c r="D20" s="28">
        <f>C20*170</f>
        <v>800.7</v>
      </c>
    </row>
    <row r="21" spans="1:4" ht="15.75" customHeight="1" x14ac:dyDescent="0.25">
      <c r="A21" s="27">
        <v>1200</v>
      </c>
      <c r="B21" s="29" t="s">
        <v>192</v>
      </c>
      <c r="C21" s="28">
        <v>1.1299999999999999</v>
      </c>
      <c r="D21" s="28">
        <f t="shared" ref="D21:D31" si="0">C21*170</f>
        <v>192.1</v>
      </c>
    </row>
    <row r="22" spans="1:4" x14ac:dyDescent="0.25">
      <c r="A22" s="27">
        <v>2222</v>
      </c>
      <c r="B22" s="29" t="s">
        <v>190</v>
      </c>
      <c r="C22" s="28">
        <v>0.05</v>
      </c>
      <c r="D22" s="28">
        <f t="shared" si="0"/>
        <v>8.5</v>
      </c>
    </row>
    <row r="23" spans="1:4" x14ac:dyDescent="0.25">
      <c r="A23" s="27">
        <v>2223</v>
      </c>
      <c r="B23" s="29" t="s">
        <v>29</v>
      </c>
      <c r="C23" s="28">
        <v>0.27</v>
      </c>
      <c r="D23" s="28">
        <f t="shared" si="0"/>
        <v>45.900000000000006</v>
      </c>
    </row>
    <row r="24" spans="1:4" x14ac:dyDescent="0.25">
      <c r="A24" s="27">
        <v>2243</v>
      </c>
      <c r="B24" s="29" t="s">
        <v>9</v>
      </c>
      <c r="C24" s="28">
        <v>0.1</v>
      </c>
      <c r="D24" s="28">
        <f t="shared" si="0"/>
        <v>17</v>
      </c>
    </row>
    <row r="25" spans="1:4" x14ac:dyDescent="0.25">
      <c r="A25" s="27">
        <v>2244</v>
      </c>
      <c r="B25" s="29" t="s">
        <v>193</v>
      </c>
      <c r="C25" s="28">
        <v>0.38</v>
      </c>
      <c r="D25" s="28">
        <f t="shared" si="0"/>
        <v>64.599999999999994</v>
      </c>
    </row>
    <row r="26" spans="1:4" hidden="1" x14ac:dyDescent="0.25">
      <c r="A26" s="27">
        <v>2311</v>
      </c>
      <c r="B26" s="29" t="s">
        <v>72</v>
      </c>
      <c r="C26" s="28">
        <v>0</v>
      </c>
      <c r="D26" s="28">
        <f t="shared" si="0"/>
        <v>0</v>
      </c>
    </row>
    <row r="27" spans="1:4" x14ac:dyDescent="0.25">
      <c r="A27" s="27">
        <v>2312</v>
      </c>
      <c r="B27" s="29" t="s">
        <v>16</v>
      </c>
      <c r="C27" s="28">
        <v>0.06</v>
      </c>
      <c r="D27" s="28">
        <f t="shared" si="0"/>
        <v>10.199999999999999</v>
      </c>
    </row>
    <row r="28" spans="1:4" x14ac:dyDescent="0.25">
      <c r="A28" s="27">
        <v>2321</v>
      </c>
      <c r="B28" s="29" t="s">
        <v>17</v>
      </c>
      <c r="C28" s="28">
        <v>0.28000000000000003</v>
      </c>
      <c r="D28" s="28">
        <f t="shared" si="0"/>
        <v>47.6</v>
      </c>
    </row>
    <row r="29" spans="1:4" x14ac:dyDescent="0.25">
      <c r="A29" s="27">
        <v>2341</v>
      </c>
      <c r="B29" s="29" t="s">
        <v>180</v>
      </c>
      <c r="C29" s="28">
        <v>0.15</v>
      </c>
      <c r="D29" s="28">
        <f t="shared" si="0"/>
        <v>25.5</v>
      </c>
    </row>
    <row r="30" spans="1:4" x14ac:dyDescent="0.25">
      <c r="A30" s="27">
        <v>2350</v>
      </c>
      <c r="B30" s="29" t="s">
        <v>224</v>
      </c>
      <c r="C30" s="28">
        <v>0.09</v>
      </c>
      <c r="D30" s="28">
        <f t="shared" si="0"/>
        <v>15.299999999999999</v>
      </c>
    </row>
    <row r="31" spans="1:4" x14ac:dyDescent="0.25">
      <c r="A31" s="33">
        <v>5239</v>
      </c>
      <c r="B31" s="29" t="s">
        <v>57</v>
      </c>
      <c r="C31" s="28">
        <v>0.42</v>
      </c>
      <c r="D31" s="28">
        <f t="shared" si="0"/>
        <v>71.399999999999991</v>
      </c>
    </row>
    <row r="32" spans="1:4" x14ac:dyDescent="0.25">
      <c r="A32" s="27"/>
      <c r="B32" s="30" t="s">
        <v>161</v>
      </c>
      <c r="C32" s="31">
        <f>SUM(C20:C31)</f>
        <v>7.64</v>
      </c>
      <c r="D32" s="31">
        <f>SUM(D20:D31)</f>
        <v>1298.8</v>
      </c>
    </row>
    <row r="33" spans="1:9" x14ac:dyDescent="0.25">
      <c r="A33" s="32"/>
      <c r="B33" s="27" t="s">
        <v>162</v>
      </c>
      <c r="C33" s="28"/>
      <c r="D33" s="28"/>
      <c r="F33" s="133"/>
      <c r="G33" s="133"/>
      <c r="H33" s="133"/>
      <c r="I33" s="133"/>
    </row>
    <row r="34" spans="1:9" x14ac:dyDescent="0.35">
      <c r="A34" s="27">
        <v>1100</v>
      </c>
      <c r="B34" s="27" t="s">
        <v>63</v>
      </c>
      <c r="C34" s="28">
        <v>1.25</v>
      </c>
      <c r="D34" s="28">
        <f>C34*170</f>
        <v>212.5</v>
      </c>
      <c r="F34" s="133"/>
      <c r="G34" s="134"/>
      <c r="H34" s="133"/>
      <c r="I34" s="133"/>
    </row>
    <row r="35" spans="1:9" ht="15.75" customHeight="1" x14ac:dyDescent="0.35">
      <c r="A35" s="27">
        <v>1200</v>
      </c>
      <c r="B35" s="29" t="s">
        <v>192</v>
      </c>
      <c r="C35" s="28">
        <v>0.3</v>
      </c>
      <c r="D35" s="28">
        <f t="shared" ref="D35:D70" si="1">C35*170</f>
        <v>51</v>
      </c>
      <c r="F35" s="133"/>
      <c r="G35" s="134"/>
      <c r="H35" s="133"/>
      <c r="I35" s="133"/>
    </row>
    <row r="36" spans="1:9" hidden="1" x14ac:dyDescent="0.35">
      <c r="A36" s="27">
        <v>2100</v>
      </c>
      <c r="B36" s="128" t="s">
        <v>163</v>
      </c>
      <c r="C36" s="28"/>
      <c r="D36" s="28">
        <f t="shared" si="1"/>
        <v>0</v>
      </c>
      <c r="F36" s="133"/>
      <c r="G36" s="134"/>
      <c r="H36" s="133"/>
      <c r="I36" s="133"/>
    </row>
    <row r="37" spans="1:9" x14ac:dyDescent="0.35">
      <c r="A37" s="33">
        <v>2210</v>
      </c>
      <c r="B37" s="29" t="s">
        <v>142</v>
      </c>
      <c r="C37" s="28">
        <v>0.02</v>
      </c>
      <c r="D37" s="28">
        <f t="shared" si="1"/>
        <v>3.4</v>
      </c>
      <c r="F37" s="133"/>
      <c r="G37" s="134"/>
      <c r="H37" s="133"/>
      <c r="I37" s="133"/>
    </row>
    <row r="38" spans="1:9" hidden="1" x14ac:dyDescent="0.35">
      <c r="A38" s="27">
        <v>2222</v>
      </c>
      <c r="B38" s="29" t="s">
        <v>28</v>
      </c>
      <c r="C38" s="28"/>
      <c r="D38" s="28">
        <f t="shared" si="1"/>
        <v>0</v>
      </c>
      <c r="F38" s="133"/>
      <c r="G38" s="134"/>
      <c r="H38" s="133"/>
      <c r="I38" s="133"/>
    </row>
    <row r="39" spans="1:9" x14ac:dyDescent="0.35">
      <c r="A39" s="27">
        <v>2223</v>
      </c>
      <c r="B39" s="29" t="s">
        <v>29</v>
      </c>
      <c r="C39" s="28">
        <v>0.1</v>
      </c>
      <c r="D39" s="28">
        <f t="shared" si="1"/>
        <v>17</v>
      </c>
      <c r="F39" s="133"/>
      <c r="G39" s="134"/>
      <c r="H39" s="133"/>
      <c r="I39" s="133"/>
    </row>
    <row r="40" spans="1:9" ht="31" x14ac:dyDescent="0.35">
      <c r="A40" s="27">
        <v>2224</v>
      </c>
      <c r="B40" s="29" t="s">
        <v>283</v>
      </c>
      <c r="C40" s="28">
        <v>0.02</v>
      </c>
      <c r="D40" s="28">
        <f t="shared" si="1"/>
        <v>3.4</v>
      </c>
      <c r="F40" s="133"/>
      <c r="G40" s="134"/>
      <c r="H40" s="133"/>
      <c r="I40" s="133"/>
    </row>
    <row r="41" spans="1:9" x14ac:dyDescent="0.35">
      <c r="A41" s="27">
        <v>2231</v>
      </c>
      <c r="B41" s="29" t="s">
        <v>286</v>
      </c>
      <c r="C41" s="28">
        <v>0.02</v>
      </c>
      <c r="D41" s="28">
        <f t="shared" si="1"/>
        <v>3.4</v>
      </c>
      <c r="F41" s="133"/>
      <c r="G41" s="134"/>
      <c r="H41" s="133"/>
      <c r="I41" s="133"/>
    </row>
    <row r="42" spans="1:9" x14ac:dyDescent="0.35">
      <c r="A42" s="27">
        <v>2239</v>
      </c>
      <c r="B42" s="29" t="s">
        <v>145</v>
      </c>
      <c r="C42" s="28">
        <v>0.01</v>
      </c>
      <c r="D42" s="28">
        <f t="shared" si="1"/>
        <v>1.7</v>
      </c>
      <c r="F42" s="133"/>
      <c r="G42" s="134"/>
      <c r="H42" s="133"/>
      <c r="I42" s="133"/>
    </row>
    <row r="43" spans="1:9" hidden="1" x14ac:dyDescent="0.35">
      <c r="A43" s="127">
        <v>2241</v>
      </c>
      <c r="B43" s="129" t="s">
        <v>219</v>
      </c>
      <c r="C43" s="28"/>
      <c r="D43" s="28">
        <f t="shared" si="1"/>
        <v>0</v>
      </c>
      <c r="F43" s="133"/>
      <c r="G43" s="134"/>
      <c r="H43" s="133"/>
      <c r="I43" s="133"/>
    </row>
    <row r="44" spans="1:9" x14ac:dyDescent="0.35">
      <c r="A44" s="127">
        <v>2242</v>
      </c>
      <c r="B44" s="129" t="s">
        <v>8</v>
      </c>
      <c r="C44" s="28">
        <v>0.04</v>
      </c>
      <c r="D44" s="28">
        <f t="shared" si="1"/>
        <v>6.8</v>
      </c>
      <c r="F44" s="133"/>
      <c r="G44" s="134"/>
      <c r="H44" s="133"/>
      <c r="I44" s="133"/>
    </row>
    <row r="45" spans="1:9" x14ac:dyDescent="0.35">
      <c r="A45" s="127">
        <v>2243</v>
      </c>
      <c r="B45" s="129" t="s">
        <v>9</v>
      </c>
      <c r="C45" s="28">
        <v>0.04</v>
      </c>
      <c r="D45" s="28">
        <f t="shared" si="1"/>
        <v>6.8</v>
      </c>
      <c r="F45" s="133"/>
      <c r="G45" s="134"/>
      <c r="H45" s="133"/>
      <c r="I45" s="133"/>
    </row>
    <row r="46" spans="1:9" x14ac:dyDescent="0.35">
      <c r="A46" s="127">
        <v>2244</v>
      </c>
      <c r="B46" s="29" t="s">
        <v>193</v>
      </c>
      <c r="C46" s="28">
        <v>0.15</v>
      </c>
      <c r="D46" s="28">
        <f t="shared" si="1"/>
        <v>25.5</v>
      </c>
      <c r="F46" s="133"/>
      <c r="G46" s="134"/>
      <c r="H46" s="133"/>
      <c r="I46" s="133"/>
    </row>
    <row r="47" spans="1:9" x14ac:dyDescent="0.35">
      <c r="A47" s="127">
        <v>2247</v>
      </c>
      <c r="B47" s="125" t="s">
        <v>59</v>
      </c>
      <c r="C47" s="28">
        <v>0.01</v>
      </c>
      <c r="D47" s="28">
        <f t="shared" si="1"/>
        <v>1.7</v>
      </c>
      <c r="F47" s="133"/>
      <c r="G47" s="134"/>
      <c r="H47" s="133"/>
      <c r="I47" s="133"/>
    </row>
    <row r="48" spans="1:9" hidden="1" x14ac:dyDescent="0.35">
      <c r="A48" s="127">
        <v>2249</v>
      </c>
      <c r="B48" s="129" t="s">
        <v>160</v>
      </c>
      <c r="C48" s="28"/>
      <c r="D48" s="28">
        <f t="shared" si="1"/>
        <v>0</v>
      </c>
      <c r="F48" s="133"/>
      <c r="G48" s="134"/>
      <c r="H48" s="133"/>
      <c r="I48" s="133"/>
    </row>
    <row r="49" spans="1:9" x14ac:dyDescent="0.35">
      <c r="A49" s="127">
        <v>2250</v>
      </c>
      <c r="B49" s="129" t="s">
        <v>186</v>
      </c>
      <c r="C49" s="28">
        <v>0.08</v>
      </c>
      <c r="D49" s="28">
        <f t="shared" si="1"/>
        <v>13.6</v>
      </c>
      <c r="F49" s="133"/>
      <c r="G49" s="134"/>
      <c r="H49" s="133"/>
      <c r="I49" s="133"/>
    </row>
    <row r="50" spans="1:9" hidden="1" x14ac:dyDescent="0.35">
      <c r="A50" s="127">
        <v>2252</v>
      </c>
      <c r="B50" s="129" t="s">
        <v>165</v>
      </c>
      <c r="C50" s="28"/>
      <c r="D50" s="28">
        <f t="shared" si="1"/>
        <v>0</v>
      </c>
      <c r="F50" s="133"/>
      <c r="G50" s="134"/>
      <c r="H50" s="133"/>
      <c r="I50" s="133"/>
    </row>
    <row r="51" spans="1:9" hidden="1" x14ac:dyDescent="0.35">
      <c r="A51" s="127">
        <v>2259</v>
      </c>
      <c r="B51" s="129" t="s">
        <v>166</v>
      </c>
      <c r="C51" s="28"/>
      <c r="D51" s="28">
        <f t="shared" si="1"/>
        <v>0</v>
      </c>
      <c r="F51" s="133"/>
      <c r="G51" s="134"/>
      <c r="H51" s="133"/>
      <c r="I51" s="133"/>
    </row>
    <row r="52" spans="1:9" hidden="1" x14ac:dyDescent="0.35">
      <c r="A52" s="127">
        <v>2261</v>
      </c>
      <c r="B52" s="129" t="s">
        <v>11</v>
      </c>
      <c r="C52" s="28"/>
      <c r="D52" s="28">
        <f t="shared" si="1"/>
        <v>0</v>
      </c>
      <c r="F52" s="133"/>
      <c r="G52" s="134"/>
      <c r="H52" s="133"/>
      <c r="I52" s="133"/>
    </row>
    <row r="53" spans="1:9" x14ac:dyDescent="0.35">
      <c r="A53" s="127">
        <v>2262</v>
      </c>
      <c r="B53" s="129" t="s">
        <v>12</v>
      </c>
      <c r="C53" s="28">
        <v>0.02</v>
      </c>
      <c r="D53" s="28">
        <f t="shared" si="1"/>
        <v>3.4</v>
      </c>
      <c r="F53" s="133"/>
      <c r="G53" s="134"/>
      <c r="H53" s="133"/>
      <c r="I53" s="133"/>
    </row>
    <row r="54" spans="1:9" x14ac:dyDescent="0.35">
      <c r="A54" s="127">
        <v>2263</v>
      </c>
      <c r="B54" s="129" t="s">
        <v>167</v>
      </c>
      <c r="C54" s="28">
        <v>0.16</v>
      </c>
      <c r="D54" s="28">
        <f t="shared" si="1"/>
        <v>27.2</v>
      </c>
      <c r="F54" s="133"/>
      <c r="G54" s="134"/>
      <c r="H54" s="133"/>
      <c r="I54" s="133"/>
    </row>
    <row r="55" spans="1:9" hidden="1" x14ac:dyDescent="0.35">
      <c r="A55" s="127">
        <v>2264</v>
      </c>
      <c r="B55" s="129" t="s">
        <v>13</v>
      </c>
      <c r="C55" s="28"/>
      <c r="D55" s="28">
        <f t="shared" si="1"/>
        <v>0</v>
      </c>
      <c r="F55" s="133"/>
      <c r="G55" s="134"/>
      <c r="H55" s="133"/>
      <c r="I55" s="133"/>
    </row>
    <row r="56" spans="1:9" x14ac:dyDescent="0.35">
      <c r="A56" s="127">
        <v>2311</v>
      </c>
      <c r="B56" s="129" t="s">
        <v>15</v>
      </c>
      <c r="C56" s="28">
        <v>0.01</v>
      </c>
      <c r="D56" s="28">
        <f t="shared" si="1"/>
        <v>1.7</v>
      </c>
      <c r="F56" s="133"/>
      <c r="G56" s="134"/>
      <c r="H56" s="133"/>
      <c r="I56" s="133"/>
    </row>
    <row r="57" spans="1:9" x14ac:dyDescent="0.35">
      <c r="A57" s="127">
        <v>2312</v>
      </c>
      <c r="B57" s="129" t="s">
        <v>16</v>
      </c>
      <c r="C57" s="28">
        <v>0.02</v>
      </c>
      <c r="D57" s="28">
        <f t="shared" si="1"/>
        <v>3.4</v>
      </c>
      <c r="F57" s="133"/>
      <c r="G57" s="134"/>
      <c r="H57" s="133"/>
      <c r="I57" s="133"/>
    </row>
    <row r="58" spans="1:9" x14ac:dyDescent="0.35">
      <c r="A58" s="127">
        <v>2321</v>
      </c>
      <c r="B58" s="129" t="s">
        <v>17</v>
      </c>
      <c r="C58" s="28">
        <v>0.1</v>
      </c>
      <c r="D58" s="28">
        <f t="shared" si="1"/>
        <v>17</v>
      </c>
      <c r="F58" s="133"/>
      <c r="G58" s="134"/>
      <c r="H58" s="133"/>
      <c r="I58" s="133"/>
    </row>
    <row r="59" spans="1:9" x14ac:dyDescent="0.35">
      <c r="A59" s="127">
        <v>2322</v>
      </c>
      <c r="B59" s="129" t="s">
        <v>18</v>
      </c>
      <c r="C59" s="28">
        <v>0.02</v>
      </c>
      <c r="D59" s="28">
        <f t="shared" si="1"/>
        <v>3.4</v>
      </c>
      <c r="F59" s="133"/>
      <c r="G59" s="134"/>
      <c r="H59" s="133"/>
      <c r="I59" s="133"/>
    </row>
    <row r="60" spans="1:9" hidden="1" x14ac:dyDescent="0.35">
      <c r="A60" s="127">
        <v>2341</v>
      </c>
      <c r="B60" s="129" t="s">
        <v>159</v>
      </c>
      <c r="C60" s="28"/>
      <c r="D60" s="28">
        <f t="shared" si="1"/>
        <v>0</v>
      </c>
      <c r="F60" s="133"/>
      <c r="G60" s="134"/>
      <c r="H60" s="133"/>
      <c r="I60" s="133"/>
    </row>
    <row r="61" spans="1:9" hidden="1" x14ac:dyDescent="0.35">
      <c r="A61" s="127">
        <v>2344</v>
      </c>
      <c r="B61" s="129" t="s">
        <v>168</v>
      </c>
      <c r="C61" s="28"/>
      <c r="D61" s="28">
        <f t="shared" si="1"/>
        <v>0</v>
      </c>
      <c r="F61" s="133"/>
      <c r="G61" s="134"/>
      <c r="H61" s="133"/>
      <c r="I61" s="133"/>
    </row>
    <row r="62" spans="1:9" x14ac:dyDescent="0.35">
      <c r="A62" s="127">
        <v>2350</v>
      </c>
      <c r="B62" s="129" t="s">
        <v>224</v>
      </c>
      <c r="C62" s="28">
        <v>0.05</v>
      </c>
      <c r="D62" s="28">
        <f t="shared" si="1"/>
        <v>8.5</v>
      </c>
      <c r="F62" s="133"/>
      <c r="G62" s="134"/>
      <c r="H62" s="133"/>
      <c r="I62" s="133"/>
    </row>
    <row r="63" spans="1:9" hidden="1" x14ac:dyDescent="0.35">
      <c r="A63" s="127">
        <v>2361</v>
      </c>
      <c r="B63" s="129" t="s">
        <v>20</v>
      </c>
      <c r="C63" s="28"/>
      <c r="D63" s="28">
        <f t="shared" si="1"/>
        <v>0</v>
      </c>
      <c r="F63" s="133"/>
      <c r="G63" s="134"/>
      <c r="H63" s="133"/>
      <c r="I63" s="133"/>
    </row>
    <row r="64" spans="1:9" hidden="1" x14ac:dyDescent="0.35">
      <c r="A64" s="127">
        <v>2362</v>
      </c>
      <c r="B64" s="129" t="s">
        <v>169</v>
      </c>
      <c r="C64" s="28"/>
      <c r="D64" s="28">
        <f t="shared" si="1"/>
        <v>0</v>
      </c>
      <c r="F64" s="133"/>
      <c r="G64" s="134"/>
      <c r="H64" s="133"/>
      <c r="I64" s="133"/>
    </row>
    <row r="65" spans="1:9" hidden="1" x14ac:dyDescent="0.35">
      <c r="A65" s="127">
        <v>2363</v>
      </c>
      <c r="B65" s="129" t="s">
        <v>170</v>
      </c>
      <c r="C65" s="28"/>
      <c r="D65" s="28">
        <f t="shared" si="1"/>
        <v>0</v>
      </c>
      <c r="F65" s="133"/>
      <c r="G65" s="134"/>
      <c r="H65" s="133"/>
      <c r="I65" s="133"/>
    </row>
    <row r="66" spans="1:9" hidden="1" x14ac:dyDescent="0.35">
      <c r="A66" s="127">
        <v>2370</v>
      </c>
      <c r="B66" s="129" t="s">
        <v>21</v>
      </c>
      <c r="C66" s="28"/>
      <c r="D66" s="28">
        <f t="shared" si="1"/>
        <v>0</v>
      </c>
      <c r="F66" s="133"/>
      <c r="G66" s="134"/>
      <c r="H66" s="133"/>
      <c r="I66" s="133"/>
    </row>
    <row r="67" spans="1:9" hidden="1" x14ac:dyDescent="0.35">
      <c r="A67" s="127">
        <v>2400</v>
      </c>
      <c r="B67" s="129" t="s">
        <v>31</v>
      </c>
      <c r="C67" s="28"/>
      <c r="D67" s="28">
        <f t="shared" si="1"/>
        <v>0</v>
      </c>
      <c r="F67" s="133"/>
      <c r="G67" s="134"/>
      <c r="H67" s="133"/>
      <c r="I67" s="133"/>
    </row>
    <row r="68" spans="1:9" hidden="1" x14ac:dyDescent="0.35">
      <c r="A68" s="127">
        <v>2512</v>
      </c>
      <c r="B68" s="129" t="s">
        <v>171</v>
      </c>
      <c r="C68" s="28"/>
      <c r="D68" s="28">
        <f t="shared" si="1"/>
        <v>0</v>
      </c>
      <c r="F68" s="133"/>
      <c r="G68" s="134"/>
      <c r="H68" s="133"/>
      <c r="I68" s="133"/>
    </row>
    <row r="69" spans="1:9" hidden="1" x14ac:dyDescent="0.35">
      <c r="A69" s="27">
        <v>2513</v>
      </c>
      <c r="B69" s="29" t="s">
        <v>22</v>
      </c>
      <c r="C69" s="28"/>
      <c r="D69" s="28">
        <f t="shared" si="1"/>
        <v>0</v>
      </c>
      <c r="F69" s="133"/>
      <c r="G69" s="134"/>
      <c r="H69" s="133"/>
      <c r="I69" s="133"/>
    </row>
    <row r="70" spans="1:9" x14ac:dyDescent="0.35">
      <c r="A70" s="27">
        <v>2515</v>
      </c>
      <c r="B70" s="29" t="s">
        <v>58</v>
      </c>
      <c r="C70" s="28">
        <v>0.02</v>
      </c>
      <c r="D70" s="28">
        <f t="shared" si="1"/>
        <v>3.4</v>
      </c>
      <c r="F70" s="133"/>
      <c r="G70" s="134"/>
      <c r="H70" s="133"/>
      <c r="I70" s="133"/>
    </row>
    <row r="71" spans="1:9" hidden="1" x14ac:dyDescent="0.25">
      <c r="A71" s="27">
        <v>2519</v>
      </c>
      <c r="B71" s="29" t="s">
        <v>24</v>
      </c>
      <c r="C71" s="28"/>
      <c r="D71" s="28">
        <f>C71*50</f>
        <v>0</v>
      </c>
      <c r="F71" s="133"/>
      <c r="G71" s="133"/>
      <c r="H71" s="133"/>
      <c r="I71" s="133"/>
    </row>
    <row r="72" spans="1:9" hidden="1" x14ac:dyDescent="0.25">
      <c r="A72" s="27">
        <v>6240</v>
      </c>
      <c r="B72" s="29"/>
      <c r="C72" s="28"/>
      <c r="D72" s="28">
        <f>C72*50</f>
        <v>0</v>
      </c>
      <c r="F72" s="133"/>
      <c r="G72" s="133"/>
      <c r="H72" s="133"/>
      <c r="I72" s="133"/>
    </row>
    <row r="73" spans="1:9" hidden="1" x14ac:dyDescent="0.25">
      <c r="A73" s="27">
        <v>6290</v>
      </c>
      <c r="B73" s="29"/>
      <c r="C73" s="28"/>
      <c r="D73" s="28">
        <f>C73*50</f>
        <v>0</v>
      </c>
      <c r="F73" s="133"/>
      <c r="G73" s="133"/>
      <c r="H73" s="133"/>
      <c r="I73" s="133"/>
    </row>
    <row r="74" spans="1:9" hidden="1" x14ac:dyDescent="0.25">
      <c r="A74" s="27">
        <v>5120</v>
      </c>
      <c r="B74" s="29" t="s">
        <v>173</v>
      </c>
      <c r="C74" s="28"/>
      <c r="D74" s="28">
        <f>C74*50</f>
        <v>0</v>
      </c>
      <c r="F74" s="133"/>
      <c r="G74" s="133"/>
      <c r="H74" s="133"/>
      <c r="I74" s="133"/>
    </row>
    <row r="75" spans="1:9" hidden="1" x14ac:dyDescent="0.25">
      <c r="A75" s="27">
        <v>5232</v>
      </c>
      <c r="B75" s="29" t="s">
        <v>23</v>
      </c>
      <c r="C75" s="28">
        <v>0</v>
      </c>
      <c r="D75" s="28">
        <f>C75*50</f>
        <v>0</v>
      </c>
      <c r="F75" s="133"/>
      <c r="G75" s="133"/>
      <c r="H75" s="133"/>
      <c r="I75" s="133"/>
    </row>
    <row r="76" spans="1:9" hidden="1" x14ac:dyDescent="0.25">
      <c r="A76" s="27">
        <v>5238</v>
      </c>
      <c r="B76" s="29" t="s">
        <v>174</v>
      </c>
      <c r="C76" s="28"/>
      <c r="D76" s="28"/>
      <c r="F76" s="133"/>
      <c r="G76" s="133"/>
      <c r="H76" s="133"/>
      <c r="I76" s="133"/>
    </row>
    <row r="77" spans="1:9" hidden="1" x14ac:dyDescent="0.25">
      <c r="A77" s="27">
        <v>5240</v>
      </c>
      <c r="B77" s="29" t="s">
        <v>25</v>
      </c>
      <c r="C77" s="28"/>
      <c r="D77" s="28"/>
      <c r="F77" s="133"/>
      <c r="G77" s="133"/>
      <c r="H77" s="133"/>
      <c r="I77" s="133"/>
    </row>
    <row r="78" spans="1:9" hidden="1" x14ac:dyDescent="0.25">
      <c r="A78" s="27">
        <v>5250</v>
      </c>
      <c r="B78" s="29" t="s">
        <v>26</v>
      </c>
      <c r="C78" s="28"/>
      <c r="D78" s="28">
        <f>C78/345*50</f>
        <v>0</v>
      </c>
      <c r="F78" s="133"/>
      <c r="G78" s="133"/>
      <c r="H78" s="133"/>
      <c r="I78" s="133"/>
    </row>
    <row r="79" spans="1:9" x14ac:dyDescent="0.25">
      <c r="A79" s="32"/>
      <c r="B79" s="34" t="s">
        <v>175</v>
      </c>
      <c r="C79" s="31">
        <f>SUM(C34:C78)</f>
        <v>2.44</v>
      </c>
      <c r="D79" s="31">
        <f>SUM(D34:D78)</f>
        <v>414.79999999999984</v>
      </c>
      <c r="F79" s="133"/>
      <c r="G79" s="133"/>
      <c r="H79" s="133"/>
      <c r="I79" s="133"/>
    </row>
    <row r="80" spans="1:9" x14ac:dyDescent="0.25">
      <c r="A80" s="32"/>
      <c r="B80" s="34" t="s">
        <v>32</v>
      </c>
      <c r="C80" s="31">
        <f>C79+C32</f>
        <v>10.08</v>
      </c>
      <c r="D80" s="31">
        <f>D79+D32</f>
        <v>1713.6</v>
      </c>
    </row>
    <row r="81" spans="1:7" ht="9.75" customHeight="1" x14ac:dyDescent="0.35">
      <c r="A81" s="35"/>
      <c r="B81" s="20"/>
      <c r="C81" s="130"/>
      <c r="D81" s="130"/>
      <c r="G81" s="87"/>
    </row>
    <row r="82" spans="1:7" x14ac:dyDescent="0.35">
      <c r="A82" s="267" t="s">
        <v>176</v>
      </c>
      <c r="B82" s="268"/>
      <c r="C82" s="38">
        <v>1</v>
      </c>
      <c r="D82" s="102">
        <v>170</v>
      </c>
    </row>
    <row r="83" spans="1:7" x14ac:dyDescent="0.35">
      <c r="A83" s="267" t="s">
        <v>46</v>
      </c>
      <c r="B83" s="268"/>
      <c r="C83" s="31">
        <f>ROUND(C80/C82,2)</f>
        <v>10.08</v>
      </c>
      <c r="D83" s="106">
        <f>ROUND(D80/D82,2)</f>
        <v>10.08</v>
      </c>
      <c r="F83" s="87"/>
    </row>
    <row r="84" spans="1:7" ht="9.75" customHeight="1" x14ac:dyDescent="0.35">
      <c r="A84" s="20"/>
      <c r="B84" s="103"/>
    </row>
    <row r="85" spans="1:7" x14ac:dyDescent="0.35">
      <c r="A85" s="267" t="s">
        <v>37</v>
      </c>
      <c r="B85" s="268"/>
      <c r="C85" s="39"/>
      <c r="D85" s="39"/>
    </row>
    <row r="86" spans="1:7" x14ac:dyDescent="0.35">
      <c r="A86" s="267" t="s">
        <v>55</v>
      </c>
      <c r="B86" s="268"/>
      <c r="C86" s="39"/>
      <c r="D86" s="39"/>
    </row>
    <row r="87" spans="1:7" ht="6.75" customHeight="1" x14ac:dyDescent="0.35">
      <c r="A87" s="17"/>
      <c r="B87" s="17"/>
      <c r="C87" s="17"/>
      <c r="D87" s="17"/>
    </row>
    <row r="88" spans="1:7" x14ac:dyDescent="0.35">
      <c r="A88" s="17" t="s">
        <v>38</v>
      </c>
      <c r="B88" s="17"/>
      <c r="C88" s="17"/>
      <c r="D88" s="17"/>
    </row>
    <row r="89" spans="1:7" ht="9.75" customHeight="1" x14ac:dyDescent="0.35">
      <c r="A89" s="17"/>
      <c r="B89" s="17"/>
      <c r="C89" s="17"/>
      <c r="D89" s="17"/>
    </row>
    <row r="90" spans="1:7" x14ac:dyDescent="0.35">
      <c r="A90" s="17" t="s">
        <v>177</v>
      </c>
      <c r="B90" s="18"/>
      <c r="C90" s="17"/>
      <c r="D90" s="17"/>
    </row>
    <row r="91" spans="1:7" x14ac:dyDescent="0.35">
      <c r="A91" s="17"/>
      <c r="B91" s="96"/>
      <c r="C91" s="17"/>
      <c r="D91" s="17"/>
    </row>
    <row r="92" spans="1:7" x14ac:dyDescent="0.35">
      <c r="B92" s="35"/>
    </row>
    <row r="93" spans="1:7" x14ac:dyDescent="0.35">
      <c r="B93" s="20"/>
    </row>
  </sheetData>
  <mergeCells count="9">
    <mergeCell ref="A86:B86"/>
    <mergeCell ref="A82:B82"/>
    <mergeCell ref="A83:B83"/>
    <mergeCell ref="A85:B85"/>
    <mergeCell ref="C3:D3"/>
    <mergeCell ref="A7:D7"/>
    <mergeCell ref="A9:B9"/>
    <mergeCell ref="A10:B10"/>
    <mergeCell ref="B14:D14"/>
  </mergeCells>
  <pageMargins left="0.27559055118110237" right="0.19685039370078741" top="0.74803149606299213" bottom="0.35433070866141736" header="0.31496062992125984" footer="0.31496062992125984"/>
  <pageSetup paperSize="9" scale="75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1"/>
  <sheetViews>
    <sheetView topLeftCell="A49" workbookViewId="0">
      <selection activeCell="B25" sqref="B25"/>
    </sheetView>
  </sheetViews>
  <sheetFormatPr defaultColWidth="9.1796875" defaultRowHeight="15.5" x14ac:dyDescent="0.35"/>
  <cols>
    <col min="1" max="1" width="13.81640625" style="13" customWidth="1"/>
    <col min="2" max="2" width="95.81640625" style="13" customWidth="1"/>
    <col min="3" max="3" width="21.54296875" style="13" hidden="1" customWidth="1"/>
    <col min="4" max="4" width="28.54296875" style="13" customWidth="1"/>
    <col min="5" max="6" width="10.1796875" style="3" customWidth="1"/>
    <col min="7" max="16384" width="9.1796875" style="3"/>
  </cols>
  <sheetData>
    <row r="1" spans="1:4" x14ac:dyDescent="0.35">
      <c r="B1" s="35"/>
      <c r="C1" s="121"/>
      <c r="D1" s="35" t="s">
        <v>35</v>
      </c>
    </row>
    <row r="2" spans="1:4" x14ac:dyDescent="0.35">
      <c r="B2" s="121"/>
      <c r="C2" s="121"/>
      <c r="D2" s="35" t="s">
        <v>39</v>
      </c>
    </row>
    <row r="3" spans="1:4" x14ac:dyDescent="0.35">
      <c r="B3" s="121"/>
      <c r="C3" s="257" t="s">
        <v>56</v>
      </c>
      <c r="D3" s="257"/>
    </row>
    <row r="4" spans="1:4" ht="12.75" customHeight="1" x14ac:dyDescent="0.35">
      <c r="B4" s="11"/>
      <c r="D4" s="11"/>
    </row>
    <row r="5" spans="1:4" x14ac:dyDescent="0.35">
      <c r="B5" s="116"/>
      <c r="C5" s="12"/>
      <c r="D5" s="11" t="s">
        <v>282</v>
      </c>
    </row>
    <row r="6" spans="1:4" ht="12" customHeight="1" x14ac:dyDescent="0.35"/>
    <row r="7" spans="1:4" ht="15" x14ac:dyDescent="0.3">
      <c r="A7" s="263" t="s">
        <v>5</v>
      </c>
      <c r="B7" s="263"/>
      <c r="C7" s="263"/>
      <c r="D7" s="263"/>
    </row>
    <row r="8" spans="1:4" x14ac:dyDescent="0.35">
      <c r="B8" s="135"/>
    </row>
    <row r="9" spans="1:4" x14ac:dyDescent="0.35">
      <c r="A9" s="262" t="s">
        <v>1</v>
      </c>
      <c r="B9" s="262"/>
    </row>
    <row r="10" spans="1:4" x14ac:dyDescent="0.35">
      <c r="A10" s="262" t="s">
        <v>0</v>
      </c>
      <c r="B10" s="262"/>
      <c r="D10" s="20"/>
    </row>
    <row r="11" spans="1:4" x14ac:dyDescent="0.35">
      <c r="A11" s="9"/>
      <c r="B11" s="9" t="s">
        <v>153</v>
      </c>
      <c r="C11" s="123"/>
      <c r="D11" s="20"/>
    </row>
    <row r="12" spans="1:4" x14ac:dyDescent="0.35">
      <c r="A12" s="9"/>
      <c r="B12" s="9" t="s">
        <v>154</v>
      </c>
    </row>
    <row r="13" spans="1:4" x14ac:dyDescent="0.35">
      <c r="A13" s="9"/>
      <c r="B13" s="9" t="s">
        <v>178</v>
      </c>
      <c r="C13" s="123"/>
    </row>
    <row r="14" spans="1:4" x14ac:dyDescent="0.35">
      <c r="A14" s="9"/>
      <c r="B14" s="9" t="s">
        <v>274</v>
      </c>
      <c r="C14" s="123"/>
    </row>
    <row r="15" spans="1:4" x14ac:dyDescent="0.35">
      <c r="A15" s="9" t="s">
        <v>2</v>
      </c>
      <c r="B15" s="9" t="s">
        <v>259</v>
      </c>
      <c r="C15" s="123"/>
    </row>
    <row r="16" spans="1:4" hidden="1" x14ac:dyDescent="0.35">
      <c r="B16" s="124"/>
    </row>
    <row r="17" spans="1:10" ht="67.5" customHeight="1" x14ac:dyDescent="0.25">
      <c r="A17" s="54" t="s">
        <v>3</v>
      </c>
      <c r="B17" s="54" t="s">
        <v>4</v>
      </c>
      <c r="C17" s="54"/>
      <c r="D17" s="54" t="s">
        <v>155</v>
      </c>
    </row>
    <row r="18" spans="1:10" ht="15" customHeight="1" x14ac:dyDescent="0.25">
      <c r="A18" s="22">
        <v>1</v>
      </c>
      <c r="B18" s="23">
        <v>2</v>
      </c>
      <c r="C18" s="23"/>
      <c r="D18" s="23">
        <v>3</v>
      </c>
    </row>
    <row r="19" spans="1:10" ht="15" customHeight="1" x14ac:dyDescent="0.35">
      <c r="A19" s="22"/>
      <c r="B19" s="125" t="s">
        <v>156</v>
      </c>
      <c r="C19" s="127"/>
      <c r="D19" s="127"/>
    </row>
    <row r="20" spans="1:10" x14ac:dyDescent="0.25">
      <c r="A20" s="27">
        <v>1100</v>
      </c>
      <c r="B20" s="27" t="s">
        <v>63</v>
      </c>
      <c r="C20" s="28">
        <v>10.59</v>
      </c>
      <c r="D20" s="28">
        <f>C20*150</f>
        <v>1588.5</v>
      </c>
    </row>
    <row r="21" spans="1:10" ht="15.75" customHeight="1" x14ac:dyDescent="0.25">
      <c r="A21" s="27">
        <v>1200</v>
      </c>
      <c r="B21" s="29" t="s">
        <v>192</v>
      </c>
      <c r="C21" s="28">
        <v>2.5499999999999998</v>
      </c>
      <c r="D21" s="28">
        <f t="shared" ref="D21:D31" si="0">C21*150</f>
        <v>382.5</v>
      </c>
    </row>
    <row r="22" spans="1:10" x14ac:dyDescent="0.25">
      <c r="A22" s="27">
        <v>2222</v>
      </c>
      <c r="B22" s="29" t="s">
        <v>190</v>
      </c>
      <c r="C22" s="28">
        <v>0.05</v>
      </c>
      <c r="D22" s="28">
        <f t="shared" si="0"/>
        <v>7.5</v>
      </c>
    </row>
    <row r="23" spans="1:10" x14ac:dyDescent="0.25">
      <c r="A23" s="27">
        <v>2223</v>
      </c>
      <c r="B23" s="29" t="s">
        <v>29</v>
      </c>
      <c r="C23" s="28">
        <v>0.27</v>
      </c>
      <c r="D23" s="28">
        <f t="shared" si="0"/>
        <v>40.5</v>
      </c>
    </row>
    <row r="24" spans="1:10" x14ac:dyDescent="0.25">
      <c r="A24" s="27">
        <v>2243</v>
      </c>
      <c r="B24" s="29" t="s">
        <v>9</v>
      </c>
      <c r="C24" s="28">
        <v>0.25</v>
      </c>
      <c r="D24" s="28">
        <f t="shared" si="0"/>
        <v>37.5</v>
      </c>
    </row>
    <row r="25" spans="1:10" x14ac:dyDescent="0.25">
      <c r="A25" s="27">
        <v>2244</v>
      </c>
      <c r="B25" s="29" t="s">
        <v>193</v>
      </c>
      <c r="C25" s="28">
        <v>0.35</v>
      </c>
      <c r="D25" s="28">
        <f t="shared" si="0"/>
        <v>52.5</v>
      </c>
    </row>
    <row r="26" spans="1:10" x14ac:dyDescent="0.25">
      <c r="A26" s="27">
        <v>2311</v>
      </c>
      <c r="B26" s="29" t="s">
        <v>72</v>
      </c>
      <c r="C26" s="28">
        <v>0.1</v>
      </c>
      <c r="D26" s="28">
        <f t="shared" si="0"/>
        <v>15</v>
      </c>
    </row>
    <row r="27" spans="1:10" x14ac:dyDescent="0.25">
      <c r="A27" s="27">
        <v>2312</v>
      </c>
      <c r="B27" s="29" t="s">
        <v>16</v>
      </c>
      <c r="C27" s="28">
        <v>0.06</v>
      </c>
      <c r="D27" s="28">
        <f t="shared" si="0"/>
        <v>9</v>
      </c>
    </row>
    <row r="28" spans="1:10" x14ac:dyDescent="0.25">
      <c r="A28" s="27">
        <v>2321</v>
      </c>
      <c r="B28" s="29" t="s">
        <v>17</v>
      </c>
      <c r="C28" s="28">
        <v>0.28000000000000003</v>
      </c>
      <c r="D28" s="28">
        <f t="shared" si="0"/>
        <v>42.000000000000007</v>
      </c>
    </row>
    <row r="29" spans="1:10" x14ac:dyDescent="0.25">
      <c r="A29" s="27">
        <v>2341</v>
      </c>
      <c r="B29" s="29" t="s">
        <v>180</v>
      </c>
      <c r="C29" s="28">
        <v>0.15</v>
      </c>
      <c r="D29" s="28">
        <f t="shared" si="0"/>
        <v>22.5</v>
      </c>
    </row>
    <row r="30" spans="1:10" hidden="1" x14ac:dyDescent="0.25">
      <c r="A30" s="27">
        <v>2350</v>
      </c>
      <c r="B30" s="29" t="s">
        <v>19</v>
      </c>
      <c r="C30" s="28"/>
      <c r="D30" s="28">
        <f t="shared" si="0"/>
        <v>0</v>
      </c>
    </row>
    <row r="31" spans="1:10" x14ac:dyDescent="0.25">
      <c r="A31" s="33">
        <v>5239</v>
      </c>
      <c r="B31" s="29" t="s">
        <v>57</v>
      </c>
      <c r="C31" s="28">
        <v>0.42</v>
      </c>
      <c r="D31" s="28">
        <f t="shared" si="0"/>
        <v>63</v>
      </c>
      <c r="F31" s="133"/>
      <c r="G31" s="133"/>
      <c r="H31" s="133"/>
      <c r="I31" s="133"/>
      <c r="J31" s="133"/>
    </row>
    <row r="32" spans="1:10" x14ac:dyDescent="0.25">
      <c r="A32" s="27"/>
      <c r="B32" s="30" t="s">
        <v>161</v>
      </c>
      <c r="C32" s="31">
        <f>SUM(C20:C31)</f>
        <v>15.07</v>
      </c>
      <c r="D32" s="31">
        <f>SUM(D20:D31)</f>
        <v>2260.5</v>
      </c>
      <c r="F32" s="133"/>
      <c r="G32" s="133"/>
      <c r="H32" s="133"/>
      <c r="I32" s="133"/>
      <c r="J32" s="133"/>
    </row>
    <row r="33" spans="1:10" x14ac:dyDescent="0.25">
      <c r="A33" s="32"/>
      <c r="B33" s="27" t="s">
        <v>162</v>
      </c>
      <c r="C33" s="28"/>
      <c r="D33" s="28"/>
      <c r="F33" s="133"/>
      <c r="G33" s="133"/>
      <c r="H33" s="133"/>
      <c r="I33" s="133"/>
      <c r="J33" s="133"/>
    </row>
    <row r="34" spans="1:10" x14ac:dyDescent="0.35">
      <c r="A34" s="27">
        <v>1100</v>
      </c>
      <c r="B34" s="27" t="s">
        <v>63</v>
      </c>
      <c r="C34" s="28">
        <v>2.23</v>
      </c>
      <c r="D34" s="28">
        <f>C34*150</f>
        <v>334.5</v>
      </c>
      <c r="F34" s="147"/>
      <c r="G34" s="134"/>
      <c r="H34" s="41"/>
      <c r="I34" s="134"/>
      <c r="J34" s="133"/>
    </row>
    <row r="35" spans="1:10" ht="15.75" customHeight="1" x14ac:dyDescent="0.35">
      <c r="A35" s="27">
        <v>1200</v>
      </c>
      <c r="B35" s="29" t="s">
        <v>192</v>
      </c>
      <c r="C35" s="28">
        <v>0.54</v>
      </c>
      <c r="D35" s="28">
        <f t="shared" ref="D35:D68" si="1">C35*150</f>
        <v>81</v>
      </c>
      <c r="F35" s="147"/>
      <c r="G35" s="134"/>
      <c r="H35" s="41"/>
      <c r="I35" s="134"/>
      <c r="J35" s="133"/>
    </row>
    <row r="36" spans="1:10" hidden="1" x14ac:dyDescent="0.35">
      <c r="A36" s="27">
        <v>2100</v>
      </c>
      <c r="B36" s="128" t="s">
        <v>163</v>
      </c>
      <c r="C36" s="28">
        <v>0</v>
      </c>
      <c r="D36" s="28">
        <f t="shared" si="1"/>
        <v>0</v>
      </c>
      <c r="F36" s="147"/>
      <c r="G36" s="134"/>
      <c r="H36" s="41"/>
      <c r="I36" s="134"/>
      <c r="J36" s="133"/>
    </row>
    <row r="37" spans="1:10" x14ac:dyDescent="0.35">
      <c r="A37" s="33">
        <v>2210</v>
      </c>
      <c r="B37" s="29" t="s">
        <v>58</v>
      </c>
      <c r="C37" s="28">
        <v>0.06</v>
      </c>
      <c r="D37" s="28">
        <f t="shared" si="1"/>
        <v>9</v>
      </c>
      <c r="F37" s="147"/>
      <c r="G37" s="134"/>
      <c r="H37" s="148"/>
      <c r="I37" s="134"/>
      <c r="J37" s="133"/>
    </row>
    <row r="38" spans="1:10" hidden="1" x14ac:dyDescent="0.35">
      <c r="A38" s="27">
        <v>2222</v>
      </c>
      <c r="B38" s="29" t="s">
        <v>28</v>
      </c>
      <c r="C38" s="28">
        <v>0</v>
      </c>
      <c r="D38" s="28">
        <f t="shared" si="1"/>
        <v>0</v>
      </c>
      <c r="F38" s="147"/>
      <c r="G38" s="134"/>
      <c r="H38" s="41"/>
      <c r="I38" s="134"/>
      <c r="J38" s="133"/>
    </row>
    <row r="39" spans="1:10" x14ac:dyDescent="0.35">
      <c r="A39" s="27">
        <v>2223</v>
      </c>
      <c r="B39" s="29" t="s">
        <v>29</v>
      </c>
      <c r="C39" s="28">
        <v>0.23</v>
      </c>
      <c r="D39" s="28">
        <f t="shared" si="1"/>
        <v>34.5</v>
      </c>
      <c r="F39" s="147"/>
      <c r="G39" s="134"/>
      <c r="H39" s="41"/>
      <c r="I39" s="134"/>
      <c r="J39" s="133"/>
    </row>
    <row r="40" spans="1:10" ht="31" x14ac:dyDescent="0.35">
      <c r="A40" s="27">
        <v>2224</v>
      </c>
      <c r="B40" s="29" t="s">
        <v>283</v>
      </c>
      <c r="C40" s="28">
        <v>0.06</v>
      </c>
      <c r="D40" s="28">
        <f t="shared" si="1"/>
        <v>9</v>
      </c>
      <c r="F40" s="147"/>
      <c r="G40" s="134"/>
      <c r="H40" s="41"/>
      <c r="I40" s="134"/>
      <c r="J40" s="133"/>
    </row>
    <row r="41" spans="1:10" x14ac:dyDescent="0.35">
      <c r="A41" s="27">
        <v>2231</v>
      </c>
      <c r="B41" s="29" t="s">
        <v>226</v>
      </c>
      <c r="C41" s="28">
        <v>0.05</v>
      </c>
      <c r="D41" s="28">
        <f t="shared" si="1"/>
        <v>7.5</v>
      </c>
      <c r="F41" s="147"/>
      <c r="G41" s="134"/>
      <c r="H41" s="41"/>
      <c r="I41" s="134"/>
      <c r="J41" s="133"/>
    </row>
    <row r="42" spans="1:10" x14ac:dyDescent="0.35">
      <c r="A42" s="27">
        <v>2239</v>
      </c>
      <c r="B42" s="29" t="s">
        <v>145</v>
      </c>
      <c r="C42" s="28">
        <v>0.05</v>
      </c>
      <c r="D42" s="28">
        <f t="shared" si="1"/>
        <v>7.5</v>
      </c>
      <c r="F42" s="147"/>
      <c r="G42" s="134"/>
      <c r="H42" s="41"/>
      <c r="I42" s="134"/>
      <c r="J42" s="133"/>
    </row>
    <row r="43" spans="1:10" x14ac:dyDescent="0.35">
      <c r="A43" s="127">
        <v>2241</v>
      </c>
      <c r="B43" s="129" t="s">
        <v>215</v>
      </c>
      <c r="C43" s="28">
        <v>0.06</v>
      </c>
      <c r="D43" s="28">
        <f t="shared" si="1"/>
        <v>9</v>
      </c>
      <c r="F43" s="147"/>
      <c r="G43" s="134"/>
      <c r="H43" s="20"/>
      <c r="I43" s="134"/>
      <c r="J43" s="133"/>
    </row>
    <row r="44" spans="1:10" x14ac:dyDescent="0.35">
      <c r="A44" s="127">
        <v>2242</v>
      </c>
      <c r="B44" s="129" t="s">
        <v>8</v>
      </c>
      <c r="C44" s="28">
        <v>0.05</v>
      </c>
      <c r="D44" s="28">
        <f t="shared" si="1"/>
        <v>7.5</v>
      </c>
      <c r="F44" s="147"/>
      <c r="G44" s="134"/>
      <c r="H44" s="20"/>
      <c r="I44" s="134"/>
      <c r="J44" s="133"/>
    </row>
    <row r="45" spans="1:10" x14ac:dyDescent="0.35">
      <c r="A45" s="127">
        <v>2243</v>
      </c>
      <c r="B45" s="129" t="s">
        <v>9</v>
      </c>
      <c r="C45" s="28">
        <v>0.09</v>
      </c>
      <c r="D45" s="28">
        <f t="shared" si="1"/>
        <v>13.5</v>
      </c>
      <c r="F45" s="147"/>
      <c r="G45" s="134"/>
      <c r="H45" s="20"/>
      <c r="I45" s="134"/>
      <c r="J45" s="133"/>
    </row>
    <row r="46" spans="1:10" x14ac:dyDescent="0.35">
      <c r="A46" s="127">
        <v>2244</v>
      </c>
      <c r="B46" s="29" t="s">
        <v>193</v>
      </c>
      <c r="C46" s="28">
        <v>0.45</v>
      </c>
      <c r="D46" s="28">
        <f t="shared" si="1"/>
        <v>67.5</v>
      </c>
      <c r="F46" s="147"/>
      <c r="G46" s="134"/>
      <c r="H46" s="20"/>
      <c r="I46" s="134"/>
      <c r="J46" s="133"/>
    </row>
    <row r="47" spans="1:10" x14ac:dyDescent="0.35">
      <c r="A47" s="127">
        <v>2247</v>
      </c>
      <c r="B47" s="125" t="s">
        <v>59</v>
      </c>
      <c r="C47" s="28">
        <v>0.01</v>
      </c>
      <c r="D47" s="28">
        <f t="shared" si="1"/>
        <v>1.5</v>
      </c>
      <c r="F47" s="147"/>
      <c r="G47" s="134"/>
      <c r="H47" s="20"/>
      <c r="I47" s="134"/>
      <c r="J47" s="133"/>
    </row>
    <row r="48" spans="1:10" hidden="1" x14ac:dyDescent="0.35">
      <c r="A48" s="127">
        <v>2249</v>
      </c>
      <c r="B48" s="129" t="s">
        <v>227</v>
      </c>
      <c r="C48" s="28">
        <v>0</v>
      </c>
      <c r="D48" s="28">
        <f t="shared" si="1"/>
        <v>0</v>
      </c>
      <c r="F48" s="147"/>
      <c r="G48" s="134"/>
      <c r="H48" s="20"/>
      <c r="I48" s="134"/>
      <c r="J48" s="133"/>
    </row>
    <row r="49" spans="1:10" x14ac:dyDescent="0.35">
      <c r="A49" s="127">
        <v>2250</v>
      </c>
      <c r="B49" s="129" t="s">
        <v>186</v>
      </c>
      <c r="C49" s="28">
        <v>0.18</v>
      </c>
      <c r="D49" s="28">
        <f t="shared" si="1"/>
        <v>27</v>
      </c>
      <c r="F49" s="147"/>
      <c r="G49" s="134"/>
      <c r="H49" s="20"/>
      <c r="I49" s="134"/>
      <c r="J49" s="133"/>
    </row>
    <row r="50" spans="1:10" hidden="1" x14ac:dyDescent="0.35">
      <c r="A50" s="127">
        <v>2261</v>
      </c>
      <c r="B50" s="129" t="s">
        <v>11</v>
      </c>
      <c r="C50" s="28">
        <v>0</v>
      </c>
      <c r="D50" s="28">
        <f t="shared" si="1"/>
        <v>0</v>
      </c>
      <c r="F50" s="147"/>
      <c r="G50" s="134"/>
      <c r="H50" s="20"/>
      <c r="I50" s="134"/>
      <c r="J50" s="133"/>
    </row>
    <row r="51" spans="1:10" x14ac:dyDescent="0.35">
      <c r="A51" s="127">
        <v>2262</v>
      </c>
      <c r="B51" s="129" t="s">
        <v>12</v>
      </c>
      <c r="C51" s="28">
        <v>0.03</v>
      </c>
      <c r="D51" s="28">
        <f t="shared" si="1"/>
        <v>4.5</v>
      </c>
      <c r="F51" s="147"/>
      <c r="G51" s="134"/>
      <c r="H51" s="20"/>
      <c r="I51" s="134"/>
      <c r="J51" s="133"/>
    </row>
    <row r="52" spans="1:10" x14ac:dyDescent="0.35">
      <c r="A52" s="127">
        <v>2263</v>
      </c>
      <c r="B52" s="129" t="s">
        <v>167</v>
      </c>
      <c r="C52" s="28">
        <v>0.34</v>
      </c>
      <c r="D52" s="28">
        <f t="shared" si="1"/>
        <v>51.000000000000007</v>
      </c>
      <c r="F52" s="147"/>
      <c r="G52" s="134"/>
      <c r="H52" s="20"/>
      <c r="I52" s="134"/>
      <c r="J52" s="133"/>
    </row>
    <row r="53" spans="1:10" hidden="1" x14ac:dyDescent="0.35">
      <c r="A53" s="127">
        <v>2264</v>
      </c>
      <c r="B53" s="129" t="s">
        <v>13</v>
      </c>
      <c r="C53" s="28">
        <v>0</v>
      </c>
      <c r="D53" s="28">
        <f t="shared" si="1"/>
        <v>0</v>
      </c>
      <c r="F53" s="147"/>
      <c r="G53" s="134"/>
      <c r="H53" s="20"/>
      <c r="I53" s="134"/>
      <c r="J53" s="133"/>
    </row>
    <row r="54" spans="1:10" x14ac:dyDescent="0.35">
      <c r="A54" s="127">
        <v>2311</v>
      </c>
      <c r="B54" s="129" t="s">
        <v>15</v>
      </c>
      <c r="C54" s="28">
        <v>0.03</v>
      </c>
      <c r="D54" s="28">
        <f t="shared" si="1"/>
        <v>4.5</v>
      </c>
      <c r="F54" s="147"/>
      <c r="G54" s="134"/>
      <c r="H54" s="20"/>
      <c r="I54" s="134"/>
      <c r="J54" s="133"/>
    </row>
    <row r="55" spans="1:10" x14ac:dyDescent="0.35">
      <c r="A55" s="127">
        <v>2312</v>
      </c>
      <c r="B55" s="129" t="s">
        <v>16</v>
      </c>
      <c r="C55" s="28">
        <v>0.03</v>
      </c>
      <c r="D55" s="28">
        <f t="shared" si="1"/>
        <v>4.5</v>
      </c>
      <c r="F55" s="147"/>
      <c r="G55" s="134"/>
      <c r="H55" s="20"/>
      <c r="I55" s="134"/>
      <c r="J55" s="133"/>
    </row>
    <row r="56" spans="1:10" x14ac:dyDescent="0.35">
      <c r="A56" s="127">
        <v>2321</v>
      </c>
      <c r="B56" s="129" t="s">
        <v>17</v>
      </c>
      <c r="C56" s="28">
        <v>0.18</v>
      </c>
      <c r="D56" s="28">
        <f t="shared" si="1"/>
        <v>27</v>
      </c>
      <c r="F56" s="147"/>
      <c r="G56" s="134"/>
      <c r="H56" s="20"/>
      <c r="I56" s="134"/>
      <c r="J56" s="133"/>
    </row>
    <row r="57" spans="1:10" x14ac:dyDescent="0.35">
      <c r="A57" s="127">
        <v>2322</v>
      </c>
      <c r="B57" s="129" t="s">
        <v>18</v>
      </c>
      <c r="C57" s="28">
        <v>0.03</v>
      </c>
      <c r="D57" s="28">
        <f t="shared" si="1"/>
        <v>4.5</v>
      </c>
      <c r="F57" s="147"/>
      <c r="G57" s="134"/>
      <c r="H57" s="20"/>
      <c r="I57" s="134"/>
      <c r="J57" s="133"/>
    </row>
    <row r="58" spans="1:10" hidden="1" x14ac:dyDescent="0.35">
      <c r="A58" s="127">
        <v>2341</v>
      </c>
      <c r="B58" s="129" t="s">
        <v>159</v>
      </c>
      <c r="C58" s="28">
        <v>0</v>
      </c>
      <c r="D58" s="28">
        <f t="shared" si="1"/>
        <v>0</v>
      </c>
      <c r="F58" s="147"/>
      <c r="G58" s="134"/>
      <c r="H58" s="20"/>
      <c r="I58" s="134"/>
      <c r="J58" s="133"/>
    </row>
    <row r="59" spans="1:10" hidden="1" x14ac:dyDescent="0.35">
      <c r="A59" s="127">
        <v>2344</v>
      </c>
      <c r="B59" s="129" t="s">
        <v>168</v>
      </c>
      <c r="C59" s="28">
        <v>0</v>
      </c>
      <c r="D59" s="28">
        <f t="shared" si="1"/>
        <v>0</v>
      </c>
      <c r="F59" s="147"/>
      <c r="G59" s="134"/>
      <c r="H59" s="20"/>
      <c r="I59" s="134"/>
      <c r="J59" s="133"/>
    </row>
    <row r="60" spans="1:10" x14ac:dyDescent="0.35">
      <c r="A60" s="127">
        <v>2350</v>
      </c>
      <c r="B60" s="129" t="s">
        <v>224</v>
      </c>
      <c r="C60" s="28">
        <v>0.09</v>
      </c>
      <c r="D60" s="28">
        <f t="shared" si="1"/>
        <v>13.5</v>
      </c>
      <c r="F60" s="147"/>
      <c r="G60" s="134"/>
      <c r="H60" s="20"/>
      <c r="I60" s="134"/>
      <c r="J60" s="133"/>
    </row>
    <row r="61" spans="1:10" hidden="1" x14ac:dyDescent="0.35">
      <c r="A61" s="127">
        <v>2361</v>
      </c>
      <c r="B61" s="129" t="s">
        <v>20</v>
      </c>
      <c r="C61" s="28">
        <v>0</v>
      </c>
      <c r="D61" s="28">
        <f t="shared" si="1"/>
        <v>0</v>
      </c>
      <c r="F61" s="147"/>
      <c r="G61" s="134"/>
      <c r="H61" s="20"/>
      <c r="I61" s="134"/>
      <c r="J61" s="133"/>
    </row>
    <row r="62" spans="1:10" hidden="1" x14ac:dyDescent="0.35">
      <c r="A62" s="127">
        <v>2362</v>
      </c>
      <c r="B62" s="129" t="s">
        <v>169</v>
      </c>
      <c r="C62" s="28">
        <v>0</v>
      </c>
      <c r="D62" s="28">
        <f t="shared" si="1"/>
        <v>0</v>
      </c>
      <c r="F62" s="147"/>
      <c r="G62" s="134"/>
      <c r="H62" s="20"/>
      <c r="I62" s="134"/>
      <c r="J62" s="133"/>
    </row>
    <row r="63" spans="1:10" hidden="1" x14ac:dyDescent="0.35">
      <c r="A63" s="127">
        <v>2363</v>
      </c>
      <c r="B63" s="129" t="s">
        <v>170</v>
      </c>
      <c r="C63" s="28">
        <v>0</v>
      </c>
      <c r="D63" s="28">
        <f t="shared" si="1"/>
        <v>0</v>
      </c>
      <c r="F63" s="147"/>
      <c r="G63" s="134"/>
      <c r="H63" s="20"/>
      <c r="I63" s="134"/>
      <c r="J63" s="133"/>
    </row>
    <row r="64" spans="1:10" hidden="1" x14ac:dyDescent="0.35">
      <c r="A64" s="127">
        <v>2370</v>
      </c>
      <c r="B64" s="129" t="s">
        <v>21</v>
      </c>
      <c r="C64" s="28">
        <v>0</v>
      </c>
      <c r="D64" s="28">
        <f t="shared" si="1"/>
        <v>0</v>
      </c>
      <c r="F64" s="147"/>
      <c r="G64" s="134"/>
      <c r="H64" s="20"/>
      <c r="I64" s="134"/>
      <c r="J64" s="133"/>
    </row>
    <row r="65" spans="1:10" hidden="1" x14ac:dyDescent="0.35">
      <c r="A65" s="127">
        <v>2400</v>
      </c>
      <c r="B65" s="129" t="s">
        <v>31</v>
      </c>
      <c r="C65" s="28">
        <v>0</v>
      </c>
      <c r="D65" s="28">
        <f t="shared" si="1"/>
        <v>0</v>
      </c>
      <c r="F65" s="147"/>
      <c r="G65" s="134"/>
      <c r="H65" s="20"/>
      <c r="I65" s="134"/>
      <c r="J65" s="133"/>
    </row>
    <row r="66" spans="1:10" hidden="1" x14ac:dyDescent="0.35">
      <c r="A66" s="127">
        <v>2512</v>
      </c>
      <c r="B66" s="129" t="s">
        <v>171</v>
      </c>
      <c r="C66" s="28">
        <v>0</v>
      </c>
      <c r="D66" s="28">
        <f t="shared" si="1"/>
        <v>0</v>
      </c>
      <c r="F66" s="147"/>
      <c r="G66" s="134"/>
      <c r="H66" s="20"/>
      <c r="I66" s="134"/>
      <c r="J66" s="133"/>
    </row>
    <row r="67" spans="1:10" hidden="1" x14ac:dyDescent="0.35">
      <c r="A67" s="27">
        <v>2513</v>
      </c>
      <c r="B67" s="29" t="s">
        <v>22</v>
      </c>
      <c r="C67" s="28">
        <v>0</v>
      </c>
      <c r="D67" s="28">
        <f t="shared" si="1"/>
        <v>0</v>
      </c>
      <c r="F67" s="147"/>
      <c r="G67" s="134"/>
      <c r="H67" s="41"/>
      <c r="I67" s="134"/>
      <c r="J67" s="133"/>
    </row>
    <row r="68" spans="1:10" x14ac:dyDescent="0.35">
      <c r="A68" s="27">
        <v>2515</v>
      </c>
      <c r="B68" s="29" t="s">
        <v>58</v>
      </c>
      <c r="C68" s="28">
        <v>0.03</v>
      </c>
      <c r="D68" s="28">
        <f t="shared" si="1"/>
        <v>4.5</v>
      </c>
      <c r="E68" s="58"/>
      <c r="F68" s="147"/>
      <c r="G68" s="134"/>
      <c r="H68" s="41"/>
      <c r="I68" s="134"/>
      <c r="J68" s="133"/>
    </row>
    <row r="69" spans="1:10" hidden="1" x14ac:dyDescent="0.25">
      <c r="A69" s="27">
        <v>2519</v>
      </c>
      <c r="B69" s="29" t="s">
        <v>24</v>
      </c>
      <c r="C69" s="28"/>
      <c r="D69" s="67">
        <f>C69*50</f>
        <v>0</v>
      </c>
      <c r="E69" s="58"/>
      <c r="F69" s="147"/>
      <c r="G69" s="133"/>
      <c r="H69" s="133"/>
      <c r="I69" s="133"/>
      <c r="J69" s="133"/>
    </row>
    <row r="70" spans="1:10" hidden="1" x14ac:dyDescent="0.25">
      <c r="A70" s="27">
        <v>6240</v>
      </c>
      <c r="B70" s="29"/>
      <c r="C70" s="28"/>
      <c r="D70" s="67">
        <f>C70*50</f>
        <v>0</v>
      </c>
      <c r="E70" s="58"/>
      <c r="F70" s="147"/>
      <c r="G70" s="133"/>
      <c r="H70" s="133"/>
      <c r="I70" s="133"/>
      <c r="J70" s="133"/>
    </row>
    <row r="71" spans="1:10" hidden="1" x14ac:dyDescent="0.25">
      <c r="A71" s="27">
        <v>6290</v>
      </c>
      <c r="B71" s="29"/>
      <c r="C71" s="28"/>
      <c r="D71" s="67">
        <f>C71*50</f>
        <v>0</v>
      </c>
      <c r="E71" s="58"/>
      <c r="F71" s="147"/>
      <c r="G71" s="133"/>
      <c r="H71" s="133"/>
      <c r="I71" s="133"/>
      <c r="J71" s="133"/>
    </row>
    <row r="72" spans="1:10" hidden="1" x14ac:dyDescent="0.25">
      <c r="A72" s="27">
        <v>5120</v>
      </c>
      <c r="B72" s="29" t="s">
        <v>173</v>
      </c>
      <c r="C72" s="28"/>
      <c r="D72" s="67">
        <f>C72*50</f>
        <v>0</v>
      </c>
      <c r="E72" s="58"/>
      <c r="F72" s="147"/>
      <c r="G72" s="133"/>
      <c r="H72" s="133"/>
      <c r="I72" s="133"/>
      <c r="J72" s="133"/>
    </row>
    <row r="73" spans="1:10" hidden="1" x14ac:dyDescent="0.25">
      <c r="A73" s="27">
        <v>5232</v>
      </c>
      <c r="B73" s="29" t="s">
        <v>23</v>
      </c>
      <c r="C73" s="28"/>
      <c r="D73" s="67">
        <f>C73*50</f>
        <v>0</v>
      </c>
      <c r="E73" s="58"/>
      <c r="F73" s="147"/>
      <c r="G73" s="133"/>
      <c r="H73" s="133"/>
      <c r="I73" s="133"/>
      <c r="J73" s="133"/>
    </row>
    <row r="74" spans="1:10" hidden="1" x14ac:dyDescent="0.25">
      <c r="A74" s="27">
        <v>5238</v>
      </c>
      <c r="B74" s="29" t="s">
        <v>174</v>
      </c>
      <c r="C74" s="28"/>
      <c r="D74" s="67"/>
      <c r="E74" s="58"/>
      <c r="F74" s="147"/>
      <c r="G74" s="133"/>
      <c r="H74" s="133"/>
      <c r="I74" s="133"/>
      <c r="J74" s="133"/>
    </row>
    <row r="75" spans="1:10" hidden="1" x14ac:dyDescent="0.25">
      <c r="A75" s="27">
        <v>5240</v>
      </c>
      <c r="B75" s="29" t="s">
        <v>25</v>
      </c>
      <c r="C75" s="28"/>
      <c r="D75" s="67"/>
      <c r="E75" s="58"/>
      <c r="F75" s="147"/>
      <c r="G75" s="133"/>
      <c r="H75" s="133"/>
      <c r="I75" s="133"/>
      <c r="J75" s="133"/>
    </row>
    <row r="76" spans="1:10" hidden="1" x14ac:dyDescent="0.25">
      <c r="A76" s="27">
        <v>5250</v>
      </c>
      <c r="B76" s="29" t="s">
        <v>26</v>
      </c>
      <c r="C76" s="28"/>
      <c r="D76" s="67">
        <f>C76/345*50</f>
        <v>0</v>
      </c>
      <c r="E76" s="58"/>
      <c r="F76" s="147"/>
      <c r="G76" s="133"/>
      <c r="H76" s="133"/>
      <c r="I76" s="133"/>
      <c r="J76" s="133"/>
    </row>
    <row r="77" spans="1:10" x14ac:dyDescent="0.25">
      <c r="A77" s="32"/>
      <c r="B77" s="34" t="s">
        <v>175</v>
      </c>
      <c r="C77" s="31">
        <f>SUM(C34:C76)</f>
        <v>4.82</v>
      </c>
      <c r="D77" s="31">
        <f>SUM(D34:D76)</f>
        <v>723</v>
      </c>
      <c r="E77" s="58"/>
      <c r="F77" s="144"/>
      <c r="G77" s="133"/>
      <c r="H77" s="133"/>
      <c r="I77" s="133"/>
      <c r="J77" s="133"/>
    </row>
    <row r="78" spans="1:10" x14ac:dyDescent="0.25">
      <c r="A78" s="32"/>
      <c r="B78" s="34" t="s">
        <v>32</v>
      </c>
      <c r="C78" s="31">
        <f>C77+C32</f>
        <v>19.89</v>
      </c>
      <c r="D78" s="31">
        <f>D32+D77</f>
        <v>2983.5</v>
      </c>
      <c r="E78" s="58"/>
      <c r="F78" s="144"/>
      <c r="G78" s="133"/>
      <c r="H78" s="133"/>
      <c r="I78" s="133"/>
      <c r="J78" s="133"/>
    </row>
    <row r="79" spans="1:10" ht="9.75" customHeight="1" x14ac:dyDescent="0.35">
      <c r="A79" s="35"/>
      <c r="B79" s="20"/>
      <c r="C79" s="130"/>
      <c r="D79" s="145"/>
    </row>
    <row r="80" spans="1:10" x14ac:dyDescent="0.35">
      <c r="A80" s="267" t="s">
        <v>176</v>
      </c>
      <c r="B80" s="268"/>
      <c r="C80" s="38">
        <v>1</v>
      </c>
      <c r="D80" s="102">
        <v>150</v>
      </c>
    </row>
    <row r="81" spans="1:6" x14ac:dyDescent="0.35">
      <c r="A81" s="267" t="s">
        <v>46</v>
      </c>
      <c r="B81" s="268"/>
      <c r="C81" s="31">
        <f>ROUND(C78/C80,2)</f>
        <v>19.89</v>
      </c>
      <c r="D81" s="106">
        <f>ROUND(D78/D80,2)</f>
        <v>19.89</v>
      </c>
      <c r="F81" s="87"/>
    </row>
    <row r="82" spans="1:6" ht="12.75" customHeight="1" x14ac:dyDescent="0.35">
      <c r="A82" s="20"/>
      <c r="B82" s="103"/>
      <c r="D82" s="143"/>
    </row>
    <row r="83" spans="1:6" x14ac:dyDescent="0.35">
      <c r="A83" s="267" t="s">
        <v>37</v>
      </c>
      <c r="B83" s="268"/>
      <c r="C83" s="39"/>
      <c r="D83" s="79"/>
    </row>
    <row r="84" spans="1:6" x14ac:dyDescent="0.35">
      <c r="A84" s="267" t="s">
        <v>55</v>
      </c>
      <c r="B84" s="268"/>
      <c r="C84" s="39"/>
      <c r="D84" s="79"/>
      <c r="E84" s="58"/>
      <c r="F84" s="58"/>
    </row>
    <row r="85" spans="1:6" ht="8.25" customHeight="1" x14ac:dyDescent="0.35">
      <c r="A85" s="17"/>
      <c r="B85" s="17"/>
      <c r="C85" s="17"/>
      <c r="D85" s="17"/>
    </row>
    <row r="86" spans="1:6" x14ac:dyDescent="0.35">
      <c r="A86" s="17" t="s">
        <v>38</v>
      </c>
      <c r="B86" s="17"/>
      <c r="C86" s="17"/>
      <c r="D86" s="17"/>
    </row>
    <row r="87" spans="1:6" ht="9" customHeight="1" x14ac:dyDescent="0.35">
      <c r="A87" s="17"/>
      <c r="B87" s="17"/>
      <c r="C87" s="17"/>
      <c r="D87" s="17"/>
    </row>
    <row r="88" spans="1:6" x14ac:dyDescent="0.35">
      <c r="A88" s="17" t="s">
        <v>177</v>
      </c>
      <c r="B88" s="18"/>
      <c r="C88" s="17"/>
      <c r="D88" s="17"/>
    </row>
    <row r="89" spans="1:6" x14ac:dyDescent="0.35">
      <c r="A89" s="17"/>
      <c r="B89" s="96"/>
      <c r="C89" s="17"/>
      <c r="D89" s="17"/>
    </row>
    <row r="90" spans="1:6" x14ac:dyDescent="0.35">
      <c r="B90" s="35"/>
    </row>
    <row r="91" spans="1:6" x14ac:dyDescent="0.35">
      <c r="B91" s="20"/>
    </row>
  </sheetData>
  <mergeCells count="8">
    <mergeCell ref="A80:B80"/>
    <mergeCell ref="A81:B81"/>
    <mergeCell ref="A83:B83"/>
    <mergeCell ref="A84:B84"/>
    <mergeCell ref="C3:D3"/>
    <mergeCell ref="A7:D7"/>
    <mergeCell ref="A9:B9"/>
    <mergeCell ref="A10:B10"/>
  </mergeCells>
  <pageMargins left="0.19685039370078741" right="0.19685039370078741" top="0.74803149606299213" bottom="0.35433070866141736" header="0.31496062992125984" footer="0.31496062992125984"/>
  <pageSetup paperSize="9" scale="73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topLeftCell="A38" workbookViewId="0">
      <selection activeCell="A37" sqref="A37:IV37"/>
    </sheetView>
  </sheetViews>
  <sheetFormatPr defaultRowHeight="15.5" x14ac:dyDescent="0.35"/>
  <cols>
    <col min="1" max="1" width="13.26953125" style="13" customWidth="1"/>
    <col min="2" max="2" width="94.7265625" style="13" customWidth="1"/>
    <col min="3" max="3" width="24" style="13" hidden="1" customWidth="1"/>
    <col min="4" max="4" width="28.26953125" style="6" customWidth="1"/>
    <col min="5" max="5" width="9.54296875" customWidth="1"/>
  </cols>
  <sheetData>
    <row r="1" spans="1:5" x14ac:dyDescent="0.35">
      <c r="B1" s="11"/>
      <c r="C1" s="11" t="s">
        <v>35</v>
      </c>
      <c r="D1" s="35" t="s">
        <v>35</v>
      </c>
    </row>
    <row r="2" spans="1:5" x14ac:dyDescent="0.35">
      <c r="B2" s="12"/>
      <c r="C2" s="35" t="s">
        <v>39</v>
      </c>
      <c r="D2" s="35" t="s">
        <v>39</v>
      </c>
    </row>
    <row r="3" spans="1:5" x14ac:dyDescent="0.35">
      <c r="B3" s="12"/>
      <c r="C3" s="35"/>
      <c r="D3" s="35" t="s">
        <v>56</v>
      </c>
      <c r="E3" s="121"/>
    </row>
    <row r="4" spans="1:5" x14ac:dyDescent="0.35">
      <c r="B4" s="11"/>
      <c r="C4" s="11"/>
      <c r="D4" s="13"/>
    </row>
    <row r="5" spans="1:5" x14ac:dyDescent="0.35">
      <c r="B5" s="116"/>
      <c r="C5" s="35" t="s">
        <v>188</v>
      </c>
      <c r="D5" s="11" t="s">
        <v>282</v>
      </c>
    </row>
    <row r="7" spans="1:5" x14ac:dyDescent="0.35">
      <c r="A7" s="263" t="s">
        <v>5</v>
      </c>
      <c r="B7" s="263"/>
      <c r="C7" s="263"/>
    </row>
    <row r="8" spans="1:5" x14ac:dyDescent="0.35">
      <c r="B8" s="135"/>
    </row>
    <row r="9" spans="1:5" x14ac:dyDescent="0.35">
      <c r="A9" s="262" t="s">
        <v>1</v>
      </c>
      <c r="B9" s="262"/>
    </row>
    <row r="10" spans="1:5" x14ac:dyDescent="0.35">
      <c r="A10" s="262" t="s">
        <v>0</v>
      </c>
      <c r="B10" s="262"/>
      <c r="C10" s="20"/>
    </row>
    <row r="11" spans="1:5" x14ac:dyDescent="0.35">
      <c r="A11" s="9"/>
      <c r="B11" s="9" t="s">
        <v>153</v>
      </c>
      <c r="C11" s="20"/>
    </row>
    <row r="12" spans="1:5" x14ac:dyDescent="0.35">
      <c r="A12" s="9"/>
      <c r="B12" s="9" t="s">
        <v>154</v>
      </c>
    </row>
    <row r="13" spans="1:5" x14ac:dyDescent="0.35">
      <c r="A13" s="9"/>
      <c r="B13" s="9" t="s">
        <v>254</v>
      </c>
    </row>
    <row r="14" spans="1:5" x14ac:dyDescent="0.35">
      <c r="A14" s="9" t="s">
        <v>2</v>
      </c>
      <c r="B14" s="136" t="s">
        <v>259</v>
      </c>
    </row>
    <row r="15" spans="1:5" hidden="1" x14ac:dyDescent="0.35">
      <c r="B15" s="124"/>
    </row>
    <row r="16" spans="1:5" ht="66.75" customHeight="1" x14ac:dyDescent="0.25">
      <c r="A16" s="54" t="s">
        <v>3</v>
      </c>
      <c r="B16" s="54" t="s">
        <v>4</v>
      </c>
      <c r="C16" s="54"/>
      <c r="D16" s="54" t="s">
        <v>155</v>
      </c>
    </row>
    <row r="17" spans="1:4" ht="15" x14ac:dyDescent="0.25">
      <c r="A17" s="22">
        <v>1</v>
      </c>
      <c r="B17" s="23">
        <v>2</v>
      </c>
      <c r="C17" s="23"/>
      <c r="D17" s="23">
        <v>3</v>
      </c>
    </row>
    <row r="18" spans="1:4" x14ac:dyDescent="0.25">
      <c r="A18" s="24"/>
      <c r="B18" s="25" t="s">
        <v>156</v>
      </c>
      <c r="C18" s="27"/>
      <c r="D18" s="27"/>
    </row>
    <row r="19" spans="1:4" x14ac:dyDescent="0.25">
      <c r="A19" s="27">
        <v>1100</v>
      </c>
      <c r="B19" s="25" t="s">
        <v>63</v>
      </c>
      <c r="C19" s="28">
        <v>8.82</v>
      </c>
      <c r="D19" s="28">
        <f>C19*550</f>
        <v>4851</v>
      </c>
    </row>
    <row r="20" spans="1:4" ht="15.75" customHeight="1" x14ac:dyDescent="0.25">
      <c r="A20" s="27">
        <v>1200</v>
      </c>
      <c r="B20" s="29" t="s">
        <v>192</v>
      </c>
      <c r="C20" s="28">
        <v>2.12</v>
      </c>
      <c r="D20" s="28">
        <f t="shared" ref="D20:D30" si="0">C20*550</f>
        <v>1166</v>
      </c>
    </row>
    <row r="21" spans="1:4" x14ac:dyDescent="0.25">
      <c r="A21" s="27">
        <v>2222</v>
      </c>
      <c r="B21" s="29" t="s">
        <v>190</v>
      </c>
      <c r="C21" s="28">
        <v>0.02</v>
      </c>
      <c r="D21" s="28">
        <f t="shared" si="0"/>
        <v>11</v>
      </c>
    </row>
    <row r="22" spans="1:4" x14ac:dyDescent="0.25">
      <c r="A22" s="27">
        <v>2223</v>
      </c>
      <c r="B22" s="29" t="s">
        <v>29</v>
      </c>
      <c r="C22" s="28">
        <v>0.11</v>
      </c>
      <c r="D22" s="28">
        <f t="shared" si="0"/>
        <v>60.5</v>
      </c>
    </row>
    <row r="23" spans="1:4" hidden="1" x14ac:dyDescent="0.25">
      <c r="A23" s="27">
        <v>2243</v>
      </c>
      <c r="B23" s="29" t="s">
        <v>9</v>
      </c>
      <c r="C23" s="28">
        <v>0</v>
      </c>
      <c r="D23" s="28">
        <f t="shared" si="0"/>
        <v>0</v>
      </c>
    </row>
    <row r="24" spans="1:4" x14ac:dyDescent="0.25">
      <c r="A24" s="27">
        <v>2244</v>
      </c>
      <c r="B24" s="29" t="s">
        <v>193</v>
      </c>
      <c r="C24" s="28">
        <v>0.23</v>
      </c>
      <c r="D24" s="28">
        <f t="shared" si="0"/>
        <v>126.5</v>
      </c>
    </row>
    <row r="25" spans="1:4" x14ac:dyDescent="0.25">
      <c r="A25" s="27">
        <v>2311</v>
      </c>
      <c r="B25" s="29" t="s">
        <v>72</v>
      </c>
      <c r="C25" s="28">
        <v>0.05</v>
      </c>
      <c r="D25" s="28">
        <f t="shared" si="0"/>
        <v>27.5</v>
      </c>
    </row>
    <row r="26" spans="1:4" x14ac:dyDescent="0.25">
      <c r="A26" s="27">
        <v>2312</v>
      </c>
      <c r="B26" s="29" t="s">
        <v>16</v>
      </c>
      <c r="C26" s="28">
        <v>0.08</v>
      </c>
      <c r="D26" s="28">
        <f t="shared" si="0"/>
        <v>44</v>
      </c>
    </row>
    <row r="27" spans="1:4" x14ac:dyDescent="0.25">
      <c r="A27" s="27">
        <v>2321</v>
      </c>
      <c r="B27" s="29" t="s">
        <v>17</v>
      </c>
      <c r="C27" s="28">
        <v>0.21</v>
      </c>
      <c r="D27" s="28">
        <f t="shared" si="0"/>
        <v>115.5</v>
      </c>
    </row>
    <row r="28" spans="1:4" x14ac:dyDescent="0.25">
      <c r="A28" s="27">
        <v>2341</v>
      </c>
      <c r="B28" s="29" t="s">
        <v>180</v>
      </c>
      <c r="C28" s="28">
        <f>0.14+1.78</f>
        <v>1.92</v>
      </c>
      <c r="D28" s="28">
        <f t="shared" si="0"/>
        <v>1056</v>
      </c>
    </row>
    <row r="29" spans="1:4" x14ac:dyDescent="0.35">
      <c r="A29" s="27">
        <v>2350</v>
      </c>
      <c r="B29" s="129" t="s">
        <v>224</v>
      </c>
      <c r="C29" s="28">
        <v>0.1</v>
      </c>
      <c r="D29" s="28">
        <f t="shared" si="0"/>
        <v>55</v>
      </c>
    </row>
    <row r="30" spans="1:4" x14ac:dyDescent="0.25">
      <c r="A30" s="33">
        <v>5239</v>
      </c>
      <c r="B30" s="29" t="s">
        <v>57</v>
      </c>
      <c r="C30" s="28">
        <v>0.59</v>
      </c>
      <c r="D30" s="28">
        <f t="shared" si="0"/>
        <v>324.5</v>
      </c>
    </row>
    <row r="31" spans="1:4" x14ac:dyDescent="0.25">
      <c r="A31" s="27"/>
      <c r="B31" s="30" t="s">
        <v>161</v>
      </c>
      <c r="C31" s="31">
        <f>SUM(C19:C30)</f>
        <v>14.250000000000002</v>
      </c>
      <c r="D31" s="31">
        <f>SUM(D19:D30)</f>
        <v>7837.5</v>
      </c>
    </row>
    <row r="32" spans="1:4" x14ac:dyDescent="0.25">
      <c r="A32" s="32"/>
      <c r="B32" s="27" t="s">
        <v>162</v>
      </c>
      <c r="C32" s="28"/>
      <c r="D32" s="28"/>
    </row>
    <row r="33" spans="1:4" x14ac:dyDescent="0.25">
      <c r="A33" s="27">
        <v>1100</v>
      </c>
      <c r="B33" s="27" t="s">
        <v>63</v>
      </c>
      <c r="C33" s="28">
        <v>2.11</v>
      </c>
      <c r="D33" s="28">
        <f>C33*550</f>
        <v>1160.5</v>
      </c>
    </row>
    <row r="34" spans="1:4" ht="15.75" customHeight="1" x14ac:dyDescent="0.25">
      <c r="A34" s="27">
        <v>1200</v>
      </c>
      <c r="B34" s="29" t="s">
        <v>192</v>
      </c>
      <c r="C34" s="28">
        <v>0.51</v>
      </c>
      <c r="D34" s="28">
        <f t="shared" ref="D34:D67" si="1">C34*550</f>
        <v>280.5</v>
      </c>
    </row>
    <row r="35" spans="1:4" hidden="1" x14ac:dyDescent="0.25">
      <c r="A35" s="27">
        <v>2100</v>
      </c>
      <c r="B35" s="128" t="s">
        <v>163</v>
      </c>
      <c r="C35" s="28">
        <v>0</v>
      </c>
      <c r="D35" s="28">
        <f t="shared" si="1"/>
        <v>0</v>
      </c>
    </row>
    <row r="36" spans="1:4" x14ac:dyDescent="0.25">
      <c r="A36" s="33">
        <v>2210</v>
      </c>
      <c r="B36" s="29" t="s">
        <v>142</v>
      </c>
      <c r="C36" s="28">
        <v>0.06</v>
      </c>
      <c r="D36" s="28">
        <f t="shared" si="1"/>
        <v>33</v>
      </c>
    </row>
    <row r="37" spans="1:4" hidden="1" x14ac:dyDescent="0.25">
      <c r="A37" s="27">
        <v>2222</v>
      </c>
      <c r="B37" s="29" t="s">
        <v>28</v>
      </c>
      <c r="C37" s="28">
        <v>0</v>
      </c>
      <c r="D37" s="28">
        <f t="shared" si="1"/>
        <v>0</v>
      </c>
    </row>
    <row r="38" spans="1:4" x14ac:dyDescent="0.25">
      <c r="A38" s="27">
        <v>2223</v>
      </c>
      <c r="B38" s="29" t="s">
        <v>29</v>
      </c>
      <c r="C38" s="28">
        <v>0.22</v>
      </c>
      <c r="D38" s="28">
        <f t="shared" si="1"/>
        <v>121</v>
      </c>
    </row>
    <row r="39" spans="1:4" ht="31" x14ac:dyDescent="0.25">
      <c r="A39" s="27">
        <v>2224</v>
      </c>
      <c r="B39" s="29" t="s">
        <v>283</v>
      </c>
      <c r="C39" s="28">
        <v>0.06</v>
      </c>
      <c r="D39" s="28">
        <f t="shared" si="1"/>
        <v>33</v>
      </c>
    </row>
    <row r="40" spans="1:4" hidden="1" x14ac:dyDescent="0.25">
      <c r="A40" s="27">
        <v>2231</v>
      </c>
      <c r="B40" s="29" t="s">
        <v>182</v>
      </c>
      <c r="C40" s="28">
        <v>0.06</v>
      </c>
      <c r="D40" s="28">
        <f t="shared" si="1"/>
        <v>33</v>
      </c>
    </row>
    <row r="41" spans="1:4" x14ac:dyDescent="0.25">
      <c r="A41" s="27">
        <v>2239</v>
      </c>
      <c r="B41" s="29" t="s">
        <v>145</v>
      </c>
      <c r="C41" s="28">
        <v>0.05</v>
      </c>
      <c r="D41" s="28">
        <f t="shared" si="1"/>
        <v>27.5</v>
      </c>
    </row>
    <row r="42" spans="1:4" x14ac:dyDescent="0.35">
      <c r="A42" s="127">
        <v>2241</v>
      </c>
      <c r="B42" s="129" t="s">
        <v>215</v>
      </c>
      <c r="C42" s="28">
        <v>0.06</v>
      </c>
      <c r="D42" s="28">
        <f t="shared" si="1"/>
        <v>33</v>
      </c>
    </row>
    <row r="43" spans="1:4" x14ac:dyDescent="0.35">
      <c r="A43" s="127">
        <v>2242</v>
      </c>
      <c r="B43" s="129" t="s">
        <v>8</v>
      </c>
      <c r="C43" s="28">
        <v>0.04</v>
      </c>
      <c r="D43" s="28">
        <f t="shared" si="1"/>
        <v>22</v>
      </c>
    </row>
    <row r="44" spans="1:4" x14ac:dyDescent="0.35">
      <c r="A44" s="127">
        <v>2243</v>
      </c>
      <c r="B44" s="129" t="s">
        <v>9</v>
      </c>
      <c r="C44" s="28">
        <v>0.09</v>
      </c>
      <c r="D44" s="28">
        <f t="shared" si="1"/>
        <v>49.5</v>
      </c>
    </row>
    <row r="45" spans="1:4" x14ac:dyDescent="0.35">
      <c r="A45" s="127">
        <v>2244</v>
      </c>
      <c r="B45" s="29" t="s">
        <v>193</v>
      </c>
      <c r="C45" s="28">
        <v>0.38</v>
      </c>
      <c r="D45" s="28">
        <f t="shared" si="1"/>
        <v>209</v>
      </c>
    </row>
    <row r="46" spans="1:4" x14ac:dyDescent="0.35">
      <c r="A46" s="127">
        <v>2247</v>
      </c>
      <c r="B46" s="125" t="s">
        <v>59</v>
      </c>
      <c r="C46" s="28">
        <v>0.01</v>
      </c>
      <c r="D46" s="28">
        <f t="shared" si="1"/>
        <v>5.5</v>
      </c>
    </row>
    <row r="47" spans="1:4" hidden="1" x14ac:dyDescent="0.35">
      <c r="A47" s="127">
        <v>2249</v>
      </c>
      <c r="B47" s="129" t="s">
        <v>160</v>
      </c>
      <c r="C47" s="28">
        <v>0</v>
      </c>
      <c r="D47" s="28">
        <f t="shared" si="1"/>
        <v>0</v>
      </c>
    </row>
    <row r="48" spans="1:4" hidden="1" x14ac:dyDescent="0.35">
      <c r="A48" s="127">
        <v>2250</v>
      </c>
      <c r="B48" s="129" t="s">
        <v>186</v>
      </c>
      <c r="C48" s="28">
        <v>0.2</v>
      </c>
      <c r="D48" s="28">
        <f t="shared" si="1"/>
        <v>110</v>
      </c>
    </row>
    <row r="49" spans="1:4" hidden="1" x14ac:dyDescent="0.35">
      <c r="A49" s="127">
        <v>2261</v>
      </c>
      <c r="B49" s="129" t="s">
        <v>11</v>
      </c>
      <c r="C49" s="28">
        <v>0</v>
      </c>
      <c r="D49" s="28">
        <f t="shared" si="1"/>
        <v>0</v>
      </c>
    </row>
    <row r="50" spans="1:4" x14ac:dyDescent="0.35">
      <c r="A50" s="127">
        <v>2262</v>
      </c>
      <c r="B50" s="129" t="s">
        <v>12</v>
      </c>
      <c r="C50" s="28">
        <v>0.03</v>
      </c>
      <c r="D50" s="28">
        <f t="shared" si="1"/>
        <v>16.5</v>
      </c>
    </row>
    <row r="51" spans="1:4" x14ac:dyDescent="0.35">
      <c r="A51" s="127">
        <v>2263</v>
      </c>
      <c r="B51" s="129" t="s">
        <v>167</v>
      </c>
      <c r="C51" s="28">
        <v>0.32</v>
      </c>
      <c r="D51" s="28">
        <f t="shared" si="1"/>
        <v>176</v>
      </c>
    </row>
    <row r="52" spans="1:4" hidden="1" x14ac:dyDescent="0.35">
      <c r="A52" s="127">
        <v>2264</v>
      </c>
      <c r="B52" s="129" t="s">
        <v>13</v>
      </c>
      <c r="C52" s="28">
        <v>0</v>
      </c>
      <c r="D52" s="28">
        <f t="shared" si="1"/>
        <v>0</v>
      </c>
    </row>
    <row r="53" spans="1:4" x14ac:dyDescent="0.35">
      <c r="A53" s="127">
        <v>2311</v>
      </c>
      <c r="B53" s="129" t="s">
        <v>15</v>
      </c>
      <c r="C53" s="28">
        <v>0.03</v>
      </c>
      <c r="D53" s="28">
        <f t="shared" si="1"/>
        <v>16.5</v>
      </c>
    </row>
    <row r="54" spans="1:4" x14ac:dyDescent="0.35">
      <c r="A54" s="127">
        <v>2312</v>
      </c>
      <c r="B54" s="129" t="s">
        <v>16</v>
      </c>
      <c r="C54" s="28">
        <v>0.03</v>
      </c>
      <c r="D54" s="28">
        <f t="shared" si="1"/>
        <v>16.5</v>
      </c>
    </row>
    <row r="55" spans="1:4" x14ac:dyDescent="0.35">
      <c r="A55" s="127">
        <v>2321</v>
      </c>
      <c r="B55" s="129" t="s">
        <v>17</v>
      </c>
      <c r="C55" s="28">
        <v>0.17</v>
      </c>
      <c r="D55" s="28">
        <f t="shared" si="1"/>
        <v>93.5</v>
      </c>
    </row>
    <row r="56" spans="1:4" x14ac:dyDescent="0.35">
      <c r="A56" s="127">
        <v>2322</v>
      </c>
      <c r="B56" s="129" t="s">
        <v>18</v>
      </c>
      <c r="C56" s="28">
        <v>0.03</v>
      </c>
      <c r="D56" s="28">
        <f t="shared" si="1"/>
        <v>16.5</v>
      </c>
    </row>
    <row r="57" spans="1:4" hidden="1" x14ac:dyDescent="0.35">
      <c r="A57" s="127">
        <v>2341</v>
      </c>
      <c r="B57" s="129" t="s">
        <v>159</v>
      </c>
      <c r="C57" s="28">
        <v>0</v>
      </c>
      <c r="D57" s="28">
        <f t="shared" si="1"/>
        <v>0</v>
      </c>
    </row>
    <row r="58" spans="1:4" hidden="1" x14ac:dyDescent="0.35">
      <c r="A58" s="127">
        <v>2344</v>
      </c>
      <c r="B58" s="129" t="s">
        <v>168</v>
      </c>
      <c r="C58" s="28">
        <v>0</v>
      </c>
      <c r="D58" s="28">
        <f t="shared" si="1"/>
        <v>0</v>
      </c>
    </row>
    <row r="59" spans="1:4" x14ac:dyDescent="0.35">
      <c r="A59" s="127">
        <v>2350</v>
      </c>
      <c r="B59" s="129" t="s">
        <v>224</v>
      </c>
      <c r="C59" s="28">
        <v>0.08</v>
      </c>
      <c r="D59" s="28">
        <f t="shared" si="1"/>
        <v>44</v>
      </c>
    </row>
    <row r="60" spans="1:4" hidden="1" x14ac:dyDescent="0.35">
      <c r="A60" s="127">
        <v>2361</v>
      </c>
      <c r="B60" s="129" t="s">
        <v>20</v>
      </c>
      <c r="C60" s="28">
        <v>0</v>
      </c>
      <c r="D60" s="28">
        <f t="shared" si="1"/>
        <v>0</v>
      </c>
    </row>
    <row r="61" spans="1:4" hidden="1" x14ac:dyDescent="0.35">
      <c r="A61" s="127">
        <v>2362</v>
      </c>
      <c r="B61" s="129" t="s">
        <v>169</v>
      </c>
      <c r="C61" s="28">
        <v>0</v>
      </c>
      <c r="D61" s="28">
        <f t="shared" si="1"/>
        <v>0</v>
      </c>
    </row>
    <row r="62" spans="1:4" hidden="1" x14ac:dyDescent="0.35">
      <c r="A62" s="127">
        <v>2363</v>
      </c>
      <c r="B62" s="129" t="s">
        <v>170</v>
      </c>
      <c r="C62" s="28">
        <v>0</v>
      </c>
      <c r="D62" s="28">
        <f t="shared" si="1"/>
        <v>0</v>
      </c>
    </row>
    <row r="63" spans="1:4" hidden="1" x14ac:dyDescent="0.35">
      <c r="A63" s="127">
        <v>2370</v>
      </c>
      <c r="B63" s="129" t="s">
        <v>21</v>
      </c>
      <c r="C63" s="28">
        <v>0</v>
      </c>
      <c r="D63" s="28">
        <f t="shared" si="1"/>
        <v>0</v>
      </c>
    </row>
    <row r="64" spans="1:4" hidden="1" x14ac:dyDescent="0.35">
      <c r="A64" s="127">
        <v>2400</v>
      </c>
      <c r="B64" s="129" t="s">
        <v>31</v>
      </c>
      <c r="C64" s="28">
        <v>0</v>
      </c>
      <c r="D64" s="28">
        <f t="shared" si="1"/>
        <v>0</v>
      </c>
    </row>
    <row r="65" spans="1:6" hidden="1" x14ac:dyDescent="0.35">
      <c r="A65" s="127">
        <v>2512</v>
      </c>
      <c r="B65" s="129" t="s">
        <v>171</v>
      </c>
      <c r="C65" s="28">
        <v>0</v>
      </c>
      <c r="D65" s="28">
        <f t="shared" si="1"/>
        <v>0</v>
      </c>
    </row>
    <row r="66" spans="1:6" hidden="1" x14ac:dyDescent="0.25">
      <c r="A66" s="27">
        <v>2513</v>
      </c>
      <c r="B66" s="29" t="s">
        <v>22</v>
      </c>
      <c r="C66" s="28">
        <v>0</v>
      </c>
      <c r="D66" s="28">
        <f t="shared" si="1"/>
        <v>0</v>
      </c>
    </row>
    <row r="67" spans="1:6" x14ac:dyDescent="0.25">
      <c r="A67" s="27">
        <v>2515</v>
      </c>
      <c r="B67" s="29" t="s">
        <v>58</v>
      </c>
      <c r="C67" s="28">
        <v>0.02</v>
      </c>
      <c r="D67" s="28">
        <f t="shared" si="1"/>
        <v>11</v>
      </c>
    </row>
    <row r="68" spans="1:6" hidden="1" x14ac:dyDescent="0.25">
      <c r="A68" s="27">
        <v>2519</v>
      </c>
      <c r="B68" s="29" t="s">
        <v>24</v>
      </c>
      <c r="C68" s="28"/>
      <c r="D68" s="28">
        <f>C68/50*550</f>
        <v>0</v>
      </c>
    </row>
    <row r="69" spans="1:6" hidden="1" x14ac:dyDescent="0.25">
      <c r="A69" s="27">
        <v>5120</v>
      </c>
      <c r="B69" s="29" t="s">
        <v>173</v>
      </c>
      <c r="C69" s="28"/>
      <c r="D69" s="28">
        <f>C69/50*550</f>
        <v>0</v>
      </c>
    </row>
    <row r="70" spans="1:6" hidden="1" x14ac:dyDescent="0.25">
      <c r="A70" s="27">
        <v>5239</v>
      </c>
      <c r="B70" s="29" t="s">
        <v>194</v>
      </c>
      <c r="C70" s="28"/>
      <c r="D70" s="28">
        <f>C70/50*550</f>
        <v>0</v>
      </c>
    </row>
    <row r="71" spans="1:6" hidden="1" x14ac:dyDescent="0.25">
      <c r="A71" s="27">
        <v>5238</v>
      </c>
      <c r="B71" s="29" t="s">
        <v>174</v>
      </c>
      <c r="C71" s="28"/>
      <c r="D71" s="28">
        <f>C71/50*550</f>
        <v>0</v>
      </c>
    </row>
    <row r="72" spans="1:6" hidden="1" x14ac:dyDescent="0.25">
      <c r="A72" s="27">
        <v>5240</v>
      </c>
      <c r="B72" s="29" t="s">
        <v>25</v>
      </c>
      <c r="C72" s="28"/>
      <c r="D72" s="28">
        <f>C72/50*550</f>
        <v>0</v>
      </c>
    </row>
    <row r="73" spans="1:6" hidden="1" x14ac:dyDescent="0.25">
      <c r="A73" s="27">
        <v>5250</v>
      </c>
      <c r="B73" s="29" t="s">
        <v>26</v>
      </c>
      <c r="C73" s="28"/>
      <c r="D73" s="28">
        <f>C73/50*50</f>
        <v>0</v>
      </c>
    </row>
    <row r="74" spans="1:6" x14ac:dyDescent="0.25">
      <c r="A74" s="32"/>
      <c r="B74" s="34" t="s">
        <v>175</v>
      </c>
      <c r="C74" s="31">
        <f>SUM(C33:C73)</f>
        <v>4.5600000000000005</v>
      </c>
      <c r="D74" s="31">
        <f>SUM(D33:D73)</f>
        <v>2508</v>
      </c>
    </row>
    <row r="75" spans="1:6" x14ac:dyDescent="0.25">
      <c r="A75" s="32"/>
      <c r="B75" s="34" t="s">
        <v>32</v>
      </c>
      <c r="C75" s="31"/>
      <c r="D75" s="31">
        <f>D74+D31</f>
        <v>10345.5</v>
      </c>
      <c r="F75" s="60"/>
    </row>
    <row r="76" spans="1:6" x14ac:dyDescent="0.35">
      <c r="A76" s="35"/>
      <c r="B76" s="20"/>
      <c r="C76" s="130"/>
      <c r="D76" s="130"/>
    </row>
    <row r="77" spans="1:6" ht="15" customHeight="1" x14ac:dyDescent="0.35">
      <c r="A77" s="267" t="s">
        <v>176</v>
      </c>
      <c r="B77" s="268"/>
      <c r="C77" s="107">
        <v>50</v>
      </c>
      <c r="D77" s="107">
        <v>550</v>
      </c>
      <c r="E77" s="3"/>
    </row>
    <row r="78" spans="1:6" ht="15" customHeight="1" x14ac:dyDescent="0.35">
      <c r="A78" s="267" t="s">
        <v>189</v>
      </c>
      <c r="B78" s="268"/>
      <c r="C78" s="108">
        <f>C31+C74</f>
        <v>18.810000000000002</v>
      </c>
      <c r="D78" s="108">
        <f>D75/D77</f>
        <v>18.809999999999999</v>
      </c>
      <c r="E78" s="60"/>
    </row>
    <row r="79" spans="1:6" x14ac:dyDescent="0.35">
      <c r="A79" s="20"/>
      <c r="B79" s="103"/>
      <c r="D79" s="13"/>
    </row>
    <row r="80" spans="1:6" ht="15" customHeight="1" x14ac:dyDescent="0.35">
      <c r="A80" s="267" t="s">
        <v>37</v>
      </c>
      <c r="B80" s="268"/>
      <c r="C80" s="39"/>
      <c r="D80" s="39"/>
    </row>
    <row r="81" spans="1:4" ht="15" customHeight="1" x14ac:dyDescent="0.35">
      <c r="A81" s="267" t="s">
        <v>54</v>
      </c>
      <c r="B81" s="268"/>
      <c r="C81" s="39"/>
      <c r="D81" s="39"/>
    </row>
    <row r="82" spans="1:4" x14ac:dyDescent="0.35">
      <c r="A82" s="17"/>
      <c r="B82" s="17"/>
      <c r="C82" s="17"/>
    </row>
    <row r="83" spans="1:4" x14ac:dyDescent="0.35">
      <c r="A83" s="17" t="s">
        <v>38</v>
      </c>
      <c r="B83" s="17"/>
      <c r="C83" s="17"/>
    </row>
    <row r="84" spans="1:4" x14ac:dyDescent="0.35">
      <c r="A84" s="17"/>
      <c r="B84" s="17"/>
      <c r="C84" s="17"/>
    </row>
    <row r="85" spans="1:4" x14ac:dyDescent="0.35">
      <c r="A85" s="17" t="s">
        <v>177</v>
      </c>
      <c r="B85" s="18"/>
      <c r="C85" s="17"/>
    </row>
    <row r="86" spans="1:4" x14ac:dyDescent="0.35">
      <c r="A86" s="17"/>
      <c r="B86" s="96"/>
      <c r="C86" s="17"/>
    </row>
    <row r="87" spans="1:4" x14ac:dyDescent="0.35">
      <c r="B87" s="11"/>
    </row>
  </sheetData>
  <mergeCells count="7">
    <mergeCell ref="A81:B81"/>
    <mergeCell ref="A77:B77"/>
    <mergeCell ref="A78:B78"/>
    <mergeCell ref="A80:B80"/>
    <mergeCell ref="A7:C7"/>
    <mergeCell ref="A9:B9"/>
    <mergeCell ref="A10:B10"/>
  </mergeCells>
  <pageMargins left="0.2" right="0.2" top="0.41" bottom="0.75" header="0.3" footer="0.3"/>
  <pageSetup paperSize="9" scale="75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1"/>
  <sheetViews>
    <sheetView topLeftCell="A41" workbookViewId="0">
      <selection activeCell="B60" sqref="B60"/>
    </sheetView>
  </sheetViews>
  <sheetFormatPr defaultColWidth="9.1796875" defaultRowHeight="15.5" x14ac:dyDescent="0.35"/>
  <cols>
    <col min="1" max="1" width="13.26953125" style="13" customWidth="1"/>
    <col min="2" max="2" width="95" style="13" customWidth="1"/>
    <col min="3" max="3" width="21.54296875" style="13" hidden="1" customWidth="1"/>
    <col min="4" max="4" width="28.453125" style="13" customWidth="1"/>
    <col min="5" max="6" width="10.1796875" style="3" customWidth="1"/>
    <col min="7" max="16384" width="9.1796875" style="3"/>
  </cols>
  <sheetData>
    <row r="1" spans="1:4" x14ac:dyDescent="0.35">
      <c r="B1" s="35"/>
      <c r="C1" s="121"/>
      <c r="D1" s="35" t="s">
        <v>35</v>
      </c>
    </row>
    <row r="2" spans="1:4" x14ac:dyDescent="0.35">
      <c r="B2" s="121"/>
      <c r="C2" s="121"/>
      <c r="D2" s="35" t="s">
        <v>39</v>
      </c>
    </row>
    <row r="3" spans="1:4" x14ac:dyDescent="0.35">
      <c r="B3" s="121"/>
      <c r="C3" s="257" t="s">
        <v>56</v>
      </c>
      <c r="D3" s="274"/>
    </row>
    <row r="4" spans="1:4" x14ac:dyDescent="0.35">
      <c r="B4" s="11"/>
      <c r="D4" s="11"/>
    </row>
    <row r="5" spans="1:4" x14ac:dyDescent="0.35">
      <c r="B5" s="116"/>
      <c r="C5" s="12"/>
      <c r="D5" s="11" t="s">
        <v>282</v>
      </c>
    </row>
    <row r="6" spans="1:4" ht="12.75" customHeight="1" x14ac:dyDescent="0.35"/>
    <row r="7" spans="1:4" ht="15" x14ac:dyDescent="0.3">
      <c r="A7" s="263" t="s">
        <v>5</v>
      </c>
      <c r="B7" s="263"/>
      <c r="C7" s="263"/>
      <c r="D7" s="263"/>
    </row>
    <row r="8" spans="1:4" ht="9.75" customHeight="1" x14ac:dyDescent="0.35">
      <c r="B8" s="135"/>
    </row>
    <row r="9" spans="1:4" x14ac:dyDescent="0.35">
      <c r="A9" s="262" t="s">
        <v>1</v>
      </c>
      <c r="B9" s="262"/>
    </row>
    <row r="10" spans="1:4" x14ac:dyDescent="0.35">
      <c r="A10" s="262" t="s">
        <v>0</v>
      </c>
      <c r="B10" s="262"/>
      <c r="D10" s="20"/>
    </row>
    <row r="11" spans="1:4" x14ac:dyDescent="0.35">
      <c r="A11" s="9"/>
      <c r="B11" s="9" t="s">
        <v>153</v>
      </c>
      <c r="C11" s="123"/>
      <c r="D11" s="20"/>
    </row>
    <row r="12" spans="1:4" x14ac:dyDescent="0.35">
      <c r="A12" s="9"/>
      <c r="B12" s="9" t="s">
        <v>154</v>
      </c>
    </row>
    <row r="13" spans="1:4" x14ac:dyDescent="0.35">
      <c r="A13" s="9"/>
      <c r="B13" s="9" t="s">
        <v>255</v>
      </c>
      <c r="C13" s="123"/>
    </row>
    <row r="14" spans="1:4" hidden="1" x14ac:dyDescent="0.35">
      <c r="A14" s="9"/>
      <c r="B14" s="9"/>
      <c r="C14" s="123"/>
    </row>
    <row r="15" spans="1:4" x14ac:dyDescent="0.35">
      <c r="A15" s="9" t="s">
        <v>2</v>
      </c>
      <c r="B15" s="9" t="s">
        <v>259</v>
      </c>
      <c r="C15" s="123"/>
    </row>
    <row r="16" spans="1:4" hidden="1" x14ac:dyDescent="0.35">
      <c r="B16" s="124"/>
    </row>
    <row r="17" spans="1:4" ht="67.5" customHeight="1" x14ac:dyDescent="0.25">
      <c r="A17" s="54" t="s">
        <v>3</v>
      </c>
      <c r="B17" s="54" t="s">
        <v>4</v>
      </c>
      <c r="C17" s="54"/>
      <c r="D17" s="54" t="s">
        <v>155</v>
      </c>
    </row>
    <row r="18" spans="1:4" ht="15" x14ac:dyDescent="0.25">
      <c r="A18" s="22">
        <v>1</v>
      </c>
      <c r="B18" s="23">
        <v>2</v>
      </c>
      <c r="C18" s="23"/>
      <c r="D18" s="23">
        <v>3</v>
      </c>
    </row>
    <row r="19" spans="1:4" x14ac:dyDescent="0.35">
      <c r="A19" s="22"/>
      <c r="B19" s="125" t="s">
        <v>156</v>
      </c>
      <c r="C19" s="127"/>
      <c r="D19" s="127"/>
    </row>
    <row r="20" spans="1:4" x14ac:dyDescent="0.25">
      <c r="A20" s="27">
        <v>1100</v>
      </c>
      <c r="B20" s="27" t="s">
        <v>63</v>
      </c>
      <c r="C20" s="28">
        <v>10.59</v>
      </c>
      <c r="D20" s="28">
        <f>C20*30</f>
        <v>317.7</v>
      </c>
    </row>
    <row r="21" spans="1:4" ht="15.75" customHeight="1" x14ac:dyDescent="0.25">
      <c r="A21" s="27">
        <v>1200</v>
      </c>
      <c r="B21" s="29" t="s">
        <v>192</v>
      </c>
      <c r="C21" s="28">
        <v>2.5499999999999998</v>
      </c>
      <c r="D21" s="28">
        <f t="shared" ref="D21:D31" si="0">C21*30</f>
        <v>76.5</v>
      </c>
    </row>
    <row r="22" spans="1:4" x14ac:dyDescent="0.25">
      <c r="A22" s="27">
        <v>2222</v>
      </c>
      <c r="B22" s="29" t="s">
        <v>190</v>
      </c>
      <c r="C22" s="28">
        <v>0.02</v>
      </c>
      <c r="D22" s="28">
        <f t="shared" si="0"/>
        <v>0.6</v>
      </c>
    </row>
    <row r="23" spans="1:4" x14ac:dyDescent="0.25">
      <c r="A23" s="27">
        <v>2223</v>
      </c>
      <c r="B23" s="29" t="s">
        <v>29</v>
      </c>
      <c r="C23" s="28">
        <v>0.11</v>
      </c>
      <c r="D23" s="28">
        <f t="shared" si="0"/>
        <v>3.3</v>
      </c>
    </row>
    <row r="24" spans="1:4" x14ac:dyDescent="0.25">
      <c r="A24" s="27">
        <v>2243</v>
      </c>
      <c r="B24" s="29" t="s">
        <v>9</v>
      </c>
      <c r="C24" s="28">
        <v>0.1</v>
      </c>
      <c r="D24" s="28">
        <f t="shared" si="0"/>
        <v>3</v>
      </c>
    </row>
    <row r="25" spans="1:4" x14ac:dyDescent="0.25">
      <c r="A25" s="27">
        <v>2244</v>
      </c>
      <c r="B25" s="29" t="s">
        <v>193</v>
      </c>
      <c r="C25" s="28">
        <v>0.23</v>
      </c>
      <c r="D25" s="28">
        <f t="shared" si="0"/>
        <v>6.9</v>
      </c>
    </row>
    <row r="26" spans="1:4" x14ac:dyDescent="0.25">
      <c r="A26" s="27">
        <v>2311</v>
      </c>
      <c r="B26" s="29" t="s">
        <v>72</v>
      </c>
      <c r="C26" s="28">
        <v>0.1</v>
      </c>
      <c r="D26" s="28">
        <f t="shared" si="0"/>
        <v>3</v>
      </c>
    </row>
    <row r="27" spans="1:4" x14ac:dyDescent="0.25">
      <c r="A27" s="27">
        <v>2312</v>
      </c>
      <c r="B27" s="29" t="s">
        <v>16</v>
      </c>
      <c r="C27" s="28">
        <v>0.26</v>
      </c>
      <c r="D27" s="28">
        <f t="shared" si="0"/>
        <v>7.8000000000000007</v>
      </c>
    </row>
    <row r="28" spans="1:4" x14ac:dyDescent="0.25">
      <c r="A28" s="27">
        <v>2321</v>
      </c>
      <c r="B28" s="29" t="s">
        <v>17</v>
      </c>
      <c r="C28" s="28">
        <v>0.21</v>
      </c>
      <c r="D28" s="28">
        <f t="shared" si="0"/>
        <v>6.3</v>
      </c>
    </row>
    <row r="29" spans="1:4" x14ac:dyDescent="0.25">
      <c r="A29" s="27">
        <v>2341</v>
      </c>
      <c r="B29" s="29" t="s">
        <v>180</v>
      </c>
      <c r="C29" s="28">
        <f>0.19+1.78</f>
        <v>1.97</v>
      </c>
      <c r="D29" s="28">
        <f t="shared" si="0"/>
        <v>59.1</v>
      </c>
    </row>
    <row r="30" spans="1:4" x14ac:dyDescent="0.35">
      <c r="A30" s="27">
        <v>2350</v>
      </c>
      <c r="B30" s="129" t="s">
        <v>224</v>
      </c>
      <c r="C30" s="28">
        <v>0.1</v>
      </c>
      <c r="D30" s="28">
        <f t="shared" si="0"/>
        <v>3</v>
      </c>
    </row>
    <row r="31" spans="1:4" x14ac:dyDescent="0.25">
      <c r="A31" s="33">
        <v>5239</v>
      </c>
      <c r="B31" s="29" t="s">
        <v>57</v>
      </c>
      <c r="C31" s="28">
        <v>0.46</v>
      </c>
      <c r="D31" s="28">
        <f t="shared" si="0"/>
        <v>13.8</v>
      </c>
    </row>
    <row r="32" spans="1:4" x14ac:dyDescent="0.25">
      <c r="A32" s="27"/>
      <c r="B32" s="30" t="s">
        <v>161</v>
      </c>
      <c r="C32" s="31">
        <f>SUM(C20:C31)</f>
        <v>16.700000000000003</v>
      </c>
      <c r="D32" s="31">
        <f>SUM(D20:D31)</f>
        <v>501.00000000000006</v>
      </c>
    </row>
    <row r="33" spans="1:6" x14ac:dyDescent="0.25">
      <c r="A33" s="32"/>
      <c r="B33" s="27" t="s">
        <v>162</v>
      </c>
      <c r="C33" s="28"/>
      <c r="D33" s="28"/>
    </row>
    <row r="34" spans="1:6" x14ac:dyDescent="0.25">
      <c r="A34" s="27">
        <v>1100</v>
      </c>
      <c r="B34" s="27" t="s">
        <v>63</v>
      </c>
      <c r="C34" s="28">
        <v>2.48</v>
      </c>
      <c r="D34" s="28">
        <f>C34*30</f>
        <v>74.400000000000006</v>
      </c>
      <c r="F34" s="87"/>
    </row>
    <row r="35" spans="1:6" ht="15.75" customHeight="1" x14ac:dyDescent="0.25">
      <c r="A35" s="27">
        <v>1200</v>
      </c>
      <c r="B35" s="29" t="s">
        <v>192</v>
      </c>
      <c r="C35" s="28">
        <v>0.6</v>
      </c>
      <c r="D35" s="28">
        <f t="shared" ref="D35:D68" si="1">C35*30</f>
        <v>18</v>
      </c>
    </row>
    <row r="36" spans="1:6" hidden="1" x14ac:dyDescent="0.25">
      <c r="A36" s="27">
        <v>2100</v>
      </c>
      <c r="B36" s="128" t="s">
        <v>163</v>
      </c>
      <c r="C36" s="28">
        <v>0</v>
      </c>
      <c r="D36" s="28">
        <f t="shared" si="1"/>
        <v>0</v>
      </c>
    </row>
    <row r="37" spans="1:6" x14ac:dyDescent="0.25">
      <c r="A37" s="33">
        <v>2210</v>
      </c>
      <c r="B37" s="29" t="s">
        <v>142</v>
      </c>
      <c r="C37" s="28">
        <v>7.0000000000000007E-2</v>
      </c>
      <c r="D37" s="28">
        <f t="shared" si="1"/>
        <v>2.1</v>
      </c>
    </row>
    <row r="38" spans="1:6" hidden="1" x14ac:dyDescent="0.25">
      <c r="A38" s="27">
        <v>2222</v>
      </c>
      <c r="B38" s="29" t="s">
        <v>28</v>
      </c>
      <c r="C38" s="28">
        <v>0</v>
      </c>
      <c r="D38" s="28">
        <f t="shared" si="1"/>
        <v>0</v>
      </c>
    </row>
    <row r="39" spans="1:6" x14ac:dyDescent="0.25">
      <c r="A39" s="27">
        <v>2223</v>
      </c>
      <c r="B39" s="29" t="s">
        <v>29</v>
      </c>
      <c r="C39" s="28">
        <v>0.26</v>
      </c>
      <c r="D39" s="28">
        <f t="shared" si="1"/>
        <v>7.8000000000000007</v>
      </c>
    </row>
    <row r="40" spans="1:6" ht="31" x14ac:dyDescent="0.25">
      <c r="A40" s="27">
        <v>2224</v>
      </c>
      <c r="B40" s="29" t="s">
        <v>283</v>
      </c>
      <c r="C40" s="28">
        <v>7.0000000000000007E-2</v>
      </c>
      <c r="D40" s="28">
        <f t="shared" si="1"/>
        <v>2.1</v>
      </c>
    </row>
    <row r="41" spans="1:6" x14ac:dyDescent="0.25">
      <c r="A41" s="27">
        <v>2231</v>
      </c>
      <c r="B41" s="29" t="s">
        <v>286</v>
      </c>
      <c r="C41" s="28">
        <v>0.06</v>
      </c>
      <c r="D41" s="28">
        <f t="shared" si="1"/>
        <v>1.7999999999999998</v>
      </c>
    </row>
    <row r="42" spans="1:6" x14ac:dyDescent="0.25">
      <c r="A42" s="27">
        <v>2239</v>
      </c>
      <c r="B42" s="29" t="s">
        <v>145</v>
      </c>
      <c r="C42" s="28">
        <v>0.06</v>
      </c>
      <c r="D42" s="28">
        <f t="shared" si="1"/>
        <v>1.7999999999999998</v>
      </c>
    </row>
    <row r="43" spans="1:6" x14ac:dyDescent="0.35">
      <c r="A43" s="127">
        <v>2241</v>
      </c>
      <c r="B43" s="129" t="s">
        <v>215</v>
      </c>
      <c r="C43" s="28">
        <v>7.0000000000000007E-2</v>
      </c>
      <c r="D43" s="28">
        <f t="shared" si="1"/>
        <v>2.1</v>
      </c>
    </row>
    <row r="44" spans="1:6" x14ac:dyDescent="0.35">
      <c r="A44" s="127">
        <v>2242</v>
      </c>
      <c r="B44" s="129" t="s">
        <v>8</v>
      </c>
      <c r="C44" s="28">
        <v>0.05</v>
      </c>
      <c r="D44" s="28">
        <f t="shared" si="1"/>
        <v>1.5</v>
      </c>
    </row>
    <row r="45" spans="1:6" x14ac:dyDescent="0.35">
      <c r="A45" s="127">
        <v>2243</v>
      </c>
      <c r="B45" s="129" t="s">
        <v>9</v>
      </c>
      <c r="C45" s="28">
        <v>0.1</v>
      </c>
      <c r="D45" s="28">
        <f t="shared" si="1"/>
        <v>3</v>
      </c>
    </row>
    <row r="46" spans="1:6" x14ac:dyDescent="0.35">
      <c r="A46" s="127">
        <v>2244</v>
      </c>
      <c r="B46" s="29" t="s">
        <v>193</v>
      </c>
      <c r="C46" s="28">
        <v>0.5</v>
      </c>
      <c r="D46" s="28">
        <f t="shared" si="1"/>
        <v>15</v>
      </c>
    </row>
    <row r="47" spans="1:6" x14ac:dyDescent="0.35">
      <c r="A47" s="127">
        <v>2247</v>
      </c>
      <c r="B47" s="125" t="s">
        <v>59</v>
      </c>
      <c r="C47" s="28">
        <v>0.01</v>
      </c>
      <c r="D47" s="28">
        <f t="shared" si="1"/>
        <v>0.3</v>
      </c>
    </row>
    <row r="48" spans="1:6" x14ac:dyDescent="0.35">
      <c r="A48" s="127">
        <v>2249</v>
      </c>
      <c r="B48" s="129" t="s">
        <v>160</v>
      </c>
      <c r="C48" s="28">
        <v>0</v>
      </c>
      <c r="D48" s="28">
        <f t="shared" si="1"/>
        <v>0</v>
      </c>
    </row>
    <row r="49" spans="1:4" x14ac:dyDescent="0.35">
      <c r="A49" s="127">
        <v>2250</v>
      </c>
      <c r="B49" s="129" t="s">
        <v>186</v>
      </c>
      <c r="C49" s="28">
        <v>0.2</v>
      </c>
      <c r="D49" s="28">
        <f t="shared" si="1"/>
        <v>6</v>
      </c>
    </row>
    <row r="50" spans="1:4" x14ac:dyDescent="0.35">
      <c r="A50" s="127">
        <v>2261</v>
      </c>
      <c r="B50" s="129" t="s">
        <v>11</v>
      </c>
      <c r="C50" s="28">
        <v>0</v>
      </c>
      <c r="D50" s="28">
        <f t="shared" si="1"/>
        <v>0</v>
      </c>
    </row>
    <row r="51" spans="1:4" x14ac:dyDescent="0.35">
      <c r="A51" s="127">
        <v>2262</v>
      </c>
      <c r="B51" s="129" t="s">
        <v>12</v>
      </c>
      <c r="C51" s="28">
        <v>0.03</v>
      </c>
      <c r="D51" s="28">
        <f t="shared" si="1"/>
        <v>0.89999999999999991</v>
      </c>
    </row>
    <row r="52" spans="1:4" x14ac:dyDescent="0.35">
      <c r="A52" s="127">
        <v>2263</v>
      </c>
      <c r="B52" s="129" t="s">
        <v>167</v>
      </c>
      <c r="C52" s="28">
        <v>0.38</v>
      </c>
      <c r="D52" s="28">
        <f t="shared" si="1"/>
        <v>11.4</v>
      </c>
    </row>
    <row r="53" spans="1:4" hidden="1" x14ac:dyDescent="0.35">
      <c r="A53" s="127">
        <v>2264</v>
      </c>
      <c r="B53" s="129" t="s">
        <v>13</v>
      </c>
      <c r="C53" s="28">
        <v>0</v>
      </c>
      <c r="D53" s="28">
        <f t="shared" si="1"/>
        <v>0</v>
      </c>
    </row>
    <row r="54" spans="1:4" x14ac:dyDescent="0.35">
      <c r="A54" s="127">
        <v>2311</v>
      </c>
      <c r="B54" s="129" t="s">
        <v>15</v>
      </c>
      <c r="C54" s="28">
        <v>0.03</v>
      </c>
      <c r="D54" s="28">
        <f t="shared" si="1"/>
        <v>0.89999999999999991</v>
      </c>
    </row>
    <row r="55" spans="1:4" x14ac:dyDescent="0.35">
      <c r="A55" s="127">
        <v>2312</v>
      </c>
      <c r="B55" s="129" t="s">
        <v>16</v>
      </c>
      <c r="C55" s="28">
        <v>0.03</v>
      </c>
      <c r="D55" s="28">
        <f t="shared" si="1"/>
        <v>0.89999999999999991</v>
      </c>
    </row>
    <row r="56" spans="1:4" x14ac:dyDescent="0.35">
      <c r="A56" s="127">
        <v>2321</v>
      </c>
      <c r="B56" s="129" t="s">
        <v>17</v>
      </c>
      <c r="C56" s="28">
        <v>0.2</v>
      </c>
      <c r="D56" s="28">
        <f t="shared" si="1"/>
        <v>6</v>
      </c>
    </row>
    <row r="57" spans="1:4" x14ac:dyDescent="0.35">
      <c r="A57" s="127">
        <v>2322</v>
      </c>
      <c r="B57" s="129" t="s">
        <v>18</v>
      </c>
      <c r="C57" s="28">
        <v>0.03</v>
      </c>
      <c r="D57" s="28">
        <f t="shared" si="1"/>
        <v>0.89999999999999991</v>
      </c>
    </row>
    <row r="58" spans="1:4" hidden="1" x14ac:dyDescent="0.35">
      <c r="A58" s="127">
        <v>2341</v>
      </c>
      <c r="B58" s="129" t="s">
        <v>159</v>
      </c>
      <c r="C58" s="28">
        <v>0</v>
      </c>
      <c r="D58" s="28">
        <f t="shared" si="1"/>
        <v>0</v>
      </c>
    </row>
    <row r="59" spans="1:4" hidden="1" x14ac:dyDescent="0.35">
      <c r="A59" s="127">
        <v>2344</v>
      </c>
      <c r="B59" s="129" t="s">
        <v>168</v>
      </c>
      <c r="C59" s="28">
        <v>0</v>
      </c>
      <c r="D59" s="28">
        <f t="shared" si="1"/>
        <v>0</v>
      </c>
    </row>
    <row r="60" spans="1:4" x14ac:dyDescent="0.35">
      <c r="A60" s="127">
        <v>2350</v>
      </c>
      <c r="B60" s="129" t="s">
        <v>224</v>
      </c>
      <c r="C60" s="28">
        <v>0.09</v>
      </c>
      <c r="D60" s="28">
        <f t="shared" si="1"/>
        <v>2.6999999999999997</v>
      </c>
    </row>
    <row r="61" spans="1:4" hidden="1" x14ac:dyDescent="0.35">
      <c r="A61" s="127">
        <v>2361</v>
      </c>
      <c r="B61" s="129" t="s">
        <v>20</v>
      </c>
      <c r="C61" s="28">
        <v>0</v>
      </c>
      <c r="D61" s="28">
        <f t="shared" si="1"/>
        <v>0</v>
      </c>
    </row>
    <row r="62" spans="1:4" hidden="1" x14ac:dyDescent="0.35">
      <c r="A62" s="127">
        <v>2362</v>
      </c>
      <c r="B62" s="129" t="s">
        <v>169</v>
      </c>
      <c r="C62" s="28">
        <v>0</v>
      </c>
      <c r="D62" s="28">
        <f t="shared" si="1"/>
        <v>0</v>
      </c>
    </row>
    <row r="63" spans="1:4" hidden="1" x14ac:dyDescent="0.35">
      <c r="A63" s="127">
        <v>2363</v>
      </c>
      <c r="B63" s="129" t="s">
        <v>170</v>
      </c>
      <c r="C63" s="28">
        <v>0</v>
      </c>
      <c r="D63" s="28">
        <f t="shared" si="1"/>
        <v>0</v>
      </c>
    </row>
    <row r="64" spans="1:4" hidden="1" x14ac:dyDescent="0.35">
      <c r="A64" s="127">
        <v>2370</v>
      </c>
      <c r="B64" s="129" t="s">
        <v>21</v>
      </c>
      <c r="C64" s="28">
        <v>0</v>
      </c>
      <c r="D64" s="28">
        <f t="shared" si="1"/>
        <v>0</v>
      </c>
    </row>
    <row r="65" spans="1:5" hidden="1" x14ac:dyDescent="0.35">
      <c r="A65" s="127">
        <v>2400</v>
      </c>
      <c r="B65" s="129" t="s">
        <v>31</v>
      </c>
      <c r="C65" s="28">
        <v>0</v>
      </c>
      <c r="D65" s="28">
        <f t="shared" si="1"/>
        <v>0</v>
      </c>
    </row>
    <row r="66" spans="1:5" hidden="1" x14ac:dyDescent="0.35">
      <c r="A66" s="127">
        <v>2512</v>
      </c>
      <c r="B66" s="129" t="s">
        <v>171</v>
      </c>
      <c r="C66" s="28">
        <v>0</v>
      </c>
      <c r="D66" s="28">
        <f t="shared" si="1"/>
        <v>0</v>
      </c>
    </row>
    <row r="67" spans="1:5" hidden="1" x14ac:dyDescent="0.25">
      <c r="A67" s="27">
        <v>2513</v>
      </c>
      <c r="B67" s="29" t="s">
        <v>22</v>
      </c>
      <c r="C67" s="28">
        <v>0</v>
      </c>
      <c r="D67" s="28">
        <f t="shared" si="1"/>
        <v>0</v>
      </c>
    </row>
    <row r="68" spans="1:5" x14ac:dyDescent="0.25">
      <c r="A68" s="27">
        <v>2515</v>
      </c>
      <c r="B68" s="29" t="s">
        <v>58</v>
      </c>
      <c r="C68" s="28">
        <v>0.03</v>
      </c>
      <c r="D68" s="28">
        <f t="shared" si="1"/>
        <v>0.89999999999999991</v>
      </c>
    </row>
    <row r="69" spans="1:5" hidden="1" x14ac:dyDescent="0.25">
      <c r="A69" s="27">
        <v>2519</v>
      </c>
      <c r="B69" s="29" t="s">
        <v>24</v>
      </c>
      <c r="C69" s="28"/>
      <c r="D69" s="28">
        <f>C69*50</f>
        <v>0</v>
      </c>
    </row>
    <row r="70" spans="1:5" hidden="1" x14ac:dyDescent="0.25">
      <c r="A70" s="27">
        <v>6240</v>
      </c>
      <c r="B70" s="29"/>
      <c r="C70" s="28"/>
      <c r="D70" s="28">
        <f>C70*50</f>
        <v>0</v>
      </c>
    </row>
    <row r="71" spans="1:5" hidden="1" x14ac:dyDescent="0.25">
      <c r="A71" s="27">
        <v>6290</v>
      </c>
      <c r="B71" s="29"/>
      <c r="C71" s="28"/>
      <c r="D71" s="28">
        <f>C71*50</f>
        <v>0</v>
      </c>
    </row>
    <row r="72" spans="1:5" hidden="1" x14ac:dyDescent="0.25">
      <c r="A72" s="27">
        <v>5120</v>
      </c>
      <c r="B72" s="29" t="s">
        <v>173</v>
      </c>
      <c r="C72" s="28"/>
      <c r="D72" s="28">
        <f>C72*50</f>
        <v>0</v>
      </c>
    </row>
    <row r="73" spans="1:5" hidden="1" x14ac:dyDescent="0.25">
      <c r="A73" s="27">
        <v>5232</v>
      </c>
      <c r="B73" s="29" t="s">
        <v>23</v>
      </c>
      <c r="C73" s="28"/>
      <c r="D73" s="28">
        <f>C73*50</f>
        <v>0</v>
      </c>
    </row>
    <row r="74" spans="1:5" hidden="1" x14ac:dyDescent="0.25">
      <c r="A74" s="27">
        <v>5238</v>
      </c>
      <c r="B74" s="29" t="s">
        <v>174</v>
      </c>
      <c r="C74" s="28"/>
      <c r="D74" s="28"/>
    </row>
    <row r="75" spans="1:5" hidden="1" x14ac:dyDescent="0.25">
      <c r="A75" s="27">
        <v>5240</v>
      </c>
      <c r="B75" s="29" t="s">
        <v>25</v>
      </c>
      <c r="C75" s="28"/>
      <c r="D75" s="28"/>
    </row>
    <row r="76" spans="1:5" hidden="1" x14ac:dyDescent="0.25">
      <c r="A76" s="27">
        <v>5250</v>
      </c>
      <c r="B76" s="29" t="s">
        <v>26</v>
      </c>
      <c r="C76" s="28"/>
      <c r="D76" s="28">
        <f>C76/345*50</f>
        <v>0</v>
      </c>
    </row>
    <row r="77" spans="1:5" x14ac:dyDescent="0.25">
      <c r="A77" s="32"/>
      <c r="B77" s="34" t="s">
        <v>175</v>
      </c>
      <c r="C77" s="31">
        <f>SUM(C34:C76)</f>
        <v>5.3500000000000014</v>
      </c>
      <c r="D77" s="31">
        <f>SUM(D34:D76)</f>
        <v>160.5</v>
      </c>
    </row>
    <row r="78" spans="1:5" x14ac:dyDescent="0.25">
      <c r="A78" s="32"/>
      <c r="B78" s="34" t="s">
        <v>32</v>
      </c>
      <c r="C78" s="31">
        <f>C77+C32</f>
        <v>22.050000000000004</v>
      </c>
      <c r="D78" s="31">
        <f>D32+D77</f>
        <v>661.5</v>
      </c>
    </row>
    <row r="79" spans="1:5" ht="9" customHeight="1" x14ac:dyDescent="0.35">
      <c r="A79" s="35"/>
      <c r="B79" s="20"/>
      <c r="C79" s="130"/>
      <c r="D79" s="130"/>
    </row>
    <row r="80" spans="1:5" x14ac:dyDescent="0.35">
      <c r="A80" s="267" t="s">
        <v>176</v>
      </c>
      <c r="B80" s="268"/>
      <c r="C80" s="38">
        <v>1</v>
      </c>
      <c r="D80" s="102">
        <v>30</v>
      </c>
      <c r="E80" s="58"/>
    </row>
    <row r="81" spans="1:4" x14ac:dyDescent="0.35">
      <c r="A81" s="267" t="s">
        <v>46</v>
      </c>
      <c r="B81" s="268"/>
      <c r="C81" s="31">
        <f>ROUND(C78/C80,2)</f>
        <v>22.05</v>
      </c>
      <c r="D81" s="106">
        <f>ROUND(D78/D80,2)</f>
        <v>22.05</v>
      </c>
    </row>
    <row r="82" spans="1:4" ht="5.25" customHeight="1" x14ac:dyDescent="0.35">
      <c r="A82" s="20"/>
      <c r="B82" s="103"/>
      <c r="C82" s="123"/>
    </row>
    <row r="83" spans="1:4" x14ac:dyDescent="0.35">
      <c r="A83" s="267" t="s">
        <v>37</v>
      </c>
      <c r="B83" s="268"/>
      <c r="C83" s="39"/>
      <c r="D83" s="39"/>
    </row>
    <row r="84" spans="1:4" x14ac:dyDescent="0.35">
      <c r="A84" s="267" t="s">
        <v>55</v>
      </c>
      <c r="B84" s="268"/>
      <c r="C84" s="39"/>
      <c r="D84" s="39"/>
    </row>
    <row r="85" spans="1:4" ht="5.25" customHeight="1" x14ac:dyDescent="0.35">
      <c r="A85" s="17"/>
      <c r="B85" s="17"/>
      <c r="C85" s="17"/>
      <c r="D85" s="17"/>
    </row>
    <row r="86" spans="1:4" x14ac:dyDescent="0.35">
      <c r="A86" s="17" t="s">
        <v>38</v>
      </c>
      <c r="B86" s="17"/>
      <c r="C86" s="17"/>
      <c r="D86" s="17"/>
    </row>
    <row r="87" spans="1:4" ht="6" customHeight="1" x14ac:dyDescent="0.35">
      <c r="A87" s="17"/>
      <c r="B87" s="17"/>
      <c r="C87" s="17"/>
      <c r="D87" s="17"/>
    </row>
    <row r="88" spans="1:4" ht="13.5" customHeight="1" x14ac:dyDescent="0.35">
      <c r="A88" s="17" t="s">
        <v>177</v>
      </c>
      <c r="B88" s="18"/>
      <c r="C88" s="17"/>
      <c r="D88" s="17"/>
    </row>
    <row r="89" spans="1:4" x14ac:dyDescent="0.35">
      <c r="A89" s="17"/>
      <c r="B89" s="96"/>
      <c r="C89" s="17"/>
      <c r="D89" s="17"/>
    </row>
    <row r="90" spans="1:4" x14ac:dyDescent="0.35">
      <c r="B90" s="35"/>
    </row>
    <row r="91" spans="1:4" x14ac:dyDescent="0.35">
      <c r="B91" s="20"/>
    </row>
  </sheetData>
  <mergeCells count="8">
    <mergeCell ref="A83:B83"/>
    <mergeCell ref="A84:B84"/>
    <mergeCell ref="C3:D3"/>
    <mergeCell ref="A7:D7"/>
    <mergeCell ref="A9:B9"/>
    <mergeCell ref="A10:B10"/>
    <mergeCell ref="A80:B80"/>
    <mergeCell ref="A81:B81"/>
  </mergeCells>
  <pageMargins left="0.23622047244094491" right="0.19685039370078741" top="0.47244094488188981" bottom="0.15748031496062992" header="0.31496062992125984" footer="0.31496062992125984"/>
  <pageSetup paperSize="9" scale="74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1"/>
  <sheetViews>
    <sheetView topLeftCell="A49" workbookViewId="0">
      <selection activeCell="B54" sqref="B54"/>
    </sheetView>
  </sheetViews>
  <sheetFormatPr defaultColWidth="9.1796875" defaultRowHeight="15.5" x14ac:dyDescent="0.35"/>
  <cols>
    <col min="1" max="1" width="13.26953125" style="13" customWidth="1"/>
    <col min="2" max="2" width="94.7265625" style="13" customWidth="1"/>
    <col min="3" max="3" width="21" style="13" hidden="1" customWidth="1"/>
    <col min="4" max="4" width="28.1796875" style="13" customWidth="1"/>
    <col min="5" max="6" width="10.1796875" style="3" customWidth="1"/>
    <col min="7" max="16384" width="9.1796875" style="3"/>
  </cols>
  <sheetData>
    <row r="1" spans="1:4" x14ac:dyDescent="0.35">
      <c r="B1" s="35"/>
      <c r="C1" s="121"/>
      <c r="D1" s="35" t="s">
        <v>35</v>
      </c>
    </row>
    <row r="2" spans="1:4" x14ac:dyDescent="0.35">
      <c r="B2" s="121"/>
      <c r="C2" s="121"/>
      <c r="D2" s="35" t="s">
        <v>39</v>
      </c>
    </row>
    <row r="3" spans="1:4" x14ac:dyDescent="0.35">
      <c r="B3" s="121"/>
      <c r="C3" s="257" t="s">
        <v>56</v>
      </c>
      <c r="D3" s="274"/>
    </row>
    <row r="4" spans="1:4" ht="11.25" customHeight="1" x14ac:dyDescent="0.35">
      <c r="B4" s="11"/>
      <c r="D4" s="11"/>
    </row>
    <row r="5" spans="1:4" x14ac:dyDescent="0.35">
      <c r="B5" s="116"/>
      <c r="C5" s="12"/>
      <c r="D5" s="11" t="s">
        <v>282</v>
      </c>
    </row>
    <row r="6" spans="1:4" ht="10.5" customHeight="1" x14ac:dyDescent="0.35"/>
    <row r="7" spans="1:4" ht="15" x14ac:dyDescent="0.3">
      <c r="A7" s="263" t="s">
        <v>5</v>
      </c>
      <c r="B7" s="263"/>
      <c r="C7" s="263"/>
      <c r="D7" s="263"/>
    </row>
    <row r="8" spans="1:4" ht="10.5" customHeight="1" x14ac:dyDescent="0.35">
      <c r="B8" s="135"/>
    </row>
    <row r="9" spans="1:4" x14ac:dyDescent="0.35">
      <c r="A9" s="262" t="s">
        <v>1</v>
      </c>
      <c r="B9" s="262"/>
    </row>
    <row r="10" spans="1:4" x14ac:dyDescent="0.35">
      <c r="A10" s="262" t="s">
        <v>0</v>
      </c>
      <c r="B10" s="262"/>
      <c r="D10" s="20"/>
    </row>
    <row r="11" spans="1:4" x14ac:dyDescent="0.35">
      <c r="A11" s="9"/>
      <c r="B11" s="9" t="s">
        <v>153</v>
      </c>
      <c r="C11" s="123"/>
      <c r="D11" s="20"/>
    </row>
    <row r="12" spans="1:4" x14ac:dyDescent="0.35">
      <c r="A12" s="9"/>
      <c r="B12" s="9" t="s">
        <v>154</v>
      </c>
    </row>
    <row r="13" spans="1:4" x14ac:dyDescent="0.35">
      <c r="A13" s="9"/>
      <c r="B13" s="9" t="s">
        <v>195</v>
      </c>
      <c r="C13" s="123"/>
    </row>
    <row r="14" spans="1:4" x14ac:dyDescent="0.35">
      <c r="A14" s="9"/>
      <c r="B14" s="9" t="s">
        <v>290</v>
      </c>
      <c r="C14" s="123"/>
    </row>
    <row r="15" spans="1:4" x14ac:dyDescent="0.35">
      <c r="A15" s="9" t="s">
        <v>2</v>
      </c>
      <c r="B15" s="9" t="s">
        <v>259</v>
      </c>
      <c r="C15" s="123"/>
    </row>
    <row r="16" spans="1:4" hidden="1" x14ac:dyDescent="0.35">
      <c r="B16" s="124"/>
    </row>
    <row r="17" spans="1:6" ht="67.5" customHeight="1" x14ac:dyDescent="0.25">
      <c r="A17" s="54" t="s">
        <v>3</v>
      </c>
      <c r="B17" s="54" t="s">
        <v>4</v>
      </c>
      <c r="C17" s="54"/>
      <c r="D17" s="54" t="s">
        <v>155</v>
      </c>
    </row>
    <row r="18" spans="1:6" ht="15" x14ac:dyDescent="0.25">
      <c r="A18" s="22">
        <v>1</v>
      </c>
      <c r="B18" s="23">
        <v>2</v>
      </c>
      <c r="C18" s="23"/>
      <c r="D18" s="23">
        <v>3</v>
      </c>
    </row>
    <row r="19" spans="1:6" x14ac:dyDescent="0.35">
      <c r="A19" s="22"/>
      <c r="B19" s="125" t="s">
        <v>156</v>
      </c>
      <c r="C19" s="127"/>
      <c r="D19" s="127"/>
    </row>
    <row r="20" spans="1:6" x14ac:dyDescent="0.25">
      <c r="A20" s="27">
        <v>1100</v>
      </c>
      <c r="B20" s="27" t="s">
        <v>63</v>
      </c>
      <c r="C20" s="28">
        <v>8.82</v>
      </c>
      <c r="D20" s="28">
        <f>C20*20</f>
        <v>176.4</v>
      </c>
    </row>
    <row r="21" spans="1:6" ht="15.75" customHeight="1" x14ac:dyDescent="0.25">
      <c r="A21" s="27">
        <v>1200</v>
      </c>
      <c r="B21" s="29" t="s">
        <v>192</v>
      </c>
      <c r="C21" s="28">
        <v>2.12</v>
      </c>
      <c r="D21" s="28">
        <f t="shared" ref="D21:D31" si="0">C21*20</f>
        <v>42.400000000000006</v>
      </c>
    </row>
    <row r="22" spans="1:6" x14ac:dyDescent="0.25">
      <c r="A22" s="27">
        <v>2222</v>
      </c>
      <c r="B22" s="29" t="s">
        <v>190</v>
      </c>
      <c r="C22" s="28">
        <v>0.02</v>
      </c>
      <c r="D22" s="28">
        <f t="shared" si="0"/>
        <v>0.4</v>
      </c>
    </row>
    <row r="23" spans="1:6" x14ac:dyDescent="0.25">
      <c r="A23" s="27">
        <v>2223</v>
      </c>
      <c r="B23" s="29" t="s">
        <v>29</v>
      </c>
      <c r="C23" s="28">
        <v>0.14000000000000001</v>
      </c>
      <c r="D23" s="28">
        <f t="shared" si="0"/>
        <v>2.8000000000000003</v>
      </c>
    </row>
    <row r="24" spans="1:6" x14ac:dyDescent="0.25">
      <c r="A24" s="27">
        <v>2243</v>
      </c>
      <c r="B24" s="29" t="s">
        <v>9</v>
      </c>
      <c r="C24" s="28">
        <v>0.1</v>
      </c>
      <c r="D24" s="28">
        <f t="shared" si="0"/>
        <v>2</v>
      </c>
    </row>
    <row r="25" spans="1:6" x14ac:dyDescent="0.25">
      <c r="A25" s="27">
        <v>2244</v>
      </c>
      <c r="B25" s="29" t="s">
        <v>193</v>
      </c>
      <c r="C25" s="28">
        <v>0.38</v>
      </c>
      <c r="D25" s="28">
        <f t="shared" si="0"/>
        <v>7.6</v>
      </c>
    </row>
    <row r="26" spans="1:6" hidden="1" x14ac:dyDescent="0.25">
      <c r="A26" s="27">
        <v>2311</v>
      </c>
      <c r="B26" s="29" t="s">
        <v>72</v>
      </c>
      <c r="C26" s="28">
        <v>0</v>
      </c>
      <c r="D26" s="28">
        <f t="shared" si="0"/>
        <v>0</v>
      </c>
    </row>
    <row r="27" spans="1:6" x14ac:dyDescent="0.25">
      <c r="A27" s="27">
        <v>2312</v>
      </c>
      <c r="B27" s="29" t="s">
        <v>16</v>
      </c>
      <c r="C27" s="28">
        <v>0.04</v>
      </c>
      <c r="D27" s="28">
        <f t="shared" si="0"/>
        <v>0.8</v>
      </c>
    </row>
    <row r="28" spans="1:6" x14ac:dyDescent="0.25">
      <c r="A28" s="27">
        <v>2321</v>
      </c>
      <c r="B28" s="29" t="s">
        <v>17</v>
      </c>
      <c r="C28" s="28">
        <v>0.14000000000000001</v>
      </c>
      <c r="D28" s="28">
        <f t="shared" si="0"/>
        <v>2.8000000000000003</v>
      </c>
    </row>
    <row r="29" spans="1:6" x14ac:dyDescent="0.25">
      <c r="A29" s="27">
        <v>2341</v>
      </c>
      <c r="B29" s="29" t="s">
        <v>180</v>
      </c>
      <c r="C29" s="28">
        <v>0.24</v>
      </c>
      <c r="D29" s="28">
        <f t="shared" si="0"/>
        <v>4.8</v>
      </c>
      <c r="F29" s="87"/>
    </row>
    <row r="30" spans="1:6" x14ac:dyDescent="0.35">
      <c r="A30" s="27">
        <v>2350</v>
      </c>
      <c r="B30" s="129" t="s">
        <v>224</v>
      </c>
      <c r="C30" s="28">
        <v>0.16</v>
      </c>
      <c r="D30" s="28">
        <f t="shared" si="0"/>
        <v>3.2</v>
      </c>
    </row>
    <row r="31" spans="1:6" x14ac:dyDescent="0.25">
      <c r="A31" s="33">
        <v>5239</v>
      </c>
      <c r="B31" s="29" t="s">
        <v>57</v>
      </c>
      <c r="C31" s="28">
        <v>0.39</v>
      </c>
      <c r="D31" s="28">
        <f t="shared" si="0"/>
        <v>7.8000000000000007</v>
      </c>
    </row>
    <row r="32" spans="1:6" x14ac:dyDescent="0.25">
      <c r="A32" s="27"/>
      <c r="B32" s="30" t="s">
        <v>161</v>
      </c>
      <c r="C32" s="31">
        <f>SUM(C20:C31)</f>
        <v>12.550000000000002</v>
      </c>
      <c r="D32" s="31">
        <f>SUM(D20:D31)</f>
        <v>251.00000000000006</v>
      </c>
    </row>
    <row r="33" spans="1:6" x14ac:dyDescent="0.25">
      <c r="A33" s="32"/>
      <c r="B33" s="27" t="s">
        <v>162</v>
      </c>
      <c r="C33" s="28"/>
      <c r="D33" s="28"/>
    </row>
    <row r="34" spans="1:6" x14ac:dyDescent="0.25">
      <c r="A34" s="27">
        <v>1100</v>
      </c>
      <c r="B34" s="27" t="s">
        <v>63</v>
      </c>
      <c r="C34" s="28">
        <v>1.87</v>
      </c>
      <c r="D34" s="28">
        <f>C34*20</f>
        <v>37.400000000000006</v>
      </c>
      <c r="F34" s="87"/>
    </row>
    <row r="35" spans="1:6" ht="15.75" customHeight="1" x14ac:dyDescent="0.25">
      <c r="A35" s="27">
        <v>1200</v>
      </c>
      <c r="B35" s="29" t="s">
        <v>192</v>
      </c>
      <c r="C35" s="28">
        <v>0.45</v>
      </c>
      <c r="D35" s="28">
        <f t="shared" ref="D35:D68" si="1">C35*20</f>
        <v>9</v>
      </c>
      <c r="F35" s="87"/>
    </row>
    <row r="36" spans="1:6" hidden="1" x14ac:dyDescent="0.25">
      <c r="A36" s="27">
        <v>2100</v>
      </c>
      <c r="B36" s="128" t="s">
        <v>163</v>
      </c>
      <c r="C36" s="28">
        <v>0</v>
      </c>
      <c r="D36" s="28">
        <f t="shared" si="1"/>
        <v>0</v>
      </c>
      <c r="F36" s="87"/>
    </row>
    <row r="37" spans="1:6" x14ac:dyDescent="0.25">
      <c r="A37" s="33">
        <v>2210</v>
      </c>
      <c r="B37" s="29" t="s">
        <v>142</v>
      </c>
      <c r="C37" s="28">
        <v>0.05</v>
      </c>
      <c r="D37" s="28">
        <f t="shared" si="1"/>
        <v>1</v>
      </c>
      <c r="F37" s="87"/>
    </row>
    <row r="38" spans="1:6" hidden="1" x14ac:dyDescent="0.25">
      <c r="A38" s="27">
        <v>2222</v>
      </c>
      <c r="B38" s="29" t="s">
        <v>28</v>
      </c>
      <c r="C38" s="28">
        <v>0</v>
      </c>
      <c r="D38" s="28">
        <f t="shared" si="1"/>
        <v>0</v>
      </c>
      <c r="F38" s="87"/>
    </row>
    <row r="39" spans="1:6" x14ac:dyDescent="0.25">
      <c r="A39" s="27">
        <v>2223</v>
      </c>
      <c r="B39" s="29" t="s">
        <v>29</v>
      </c>
      <c r="C39" s="28">
        <v>0.19</v>
      </c>
      <c r="D39" s="28">
        <f t="shared" si="1"/>
        <v>3.8</v>
      </c>
      <c r="F39" s="87"/>
    </row>
    <row r="40" spans="1:6" ht="31" x14ac:dyDescent="0.25">
      <c r="A40" s="27">
        <v>2224</v>
      </c>
      <c r="B40" s="29" t="s">
        <v>283</v>
      </c>
      <c r="C40" s="28">
        <v>0.05</v>
      </c>
      <c r="D40" s="28">
        <f t="shared" si="1"/>
        <v>1</v>
      </c>
      <c r="F40" s="87"/>
    </row>
    <row r="41" spans="1:6" x14ac:dyDescent="0.25">
      <c r="A41" s="27">
        <v>2231</v>
      </c>
      <c r="B41" s="29" t="s">
        <v>286</v>
      </c>
      <c r="C41" s="28">
        <v>0.04</v>
      </c>
      <c r="D41" s="28">
        <f t="shared" si="1"/>
        <v>0.8</v>
      </c>
      <c r="F41" s="87"/>
    </row>
    <row r="42" spans="1:6" x14ac:dyDescent="0.25">
      <c r="A42" s="27">
        <v>2239</v>
      </c>
      <c r="B42" s="29" t="s">
        <v>145</v>
      </c>
      <c r="C42" s="28">
        <v>0.04</v>
      </c>
      <c r="D42" s="28">
        <f t="shared" si="1"/>
        <v>0.8</v>
      </c>
      <c r="F42" s="87"/>
    </row>
    <row r="43" spans="1:6" x14ac:dyDescent="0.35">
      <c r="A43" s="127">
        <v>2241</v>
      </c>
      <c r="B43" s="129" t="s">
        <v>215</v>
      </c>
      <c r="C43" s="28">
        <v>0.05</v>
      </c>
      <c r="D43" s="28">
        <f t="shared" si="1"/>
        <v>1</v>
      </c>
      <c r="F43" s="87"/>
    </row>
    <row r="44" spans="1:6" x14ac:dyDescent="0.35">
      <c r="A44" s="127">
        <v>2242</v>
      </c>
      <c r="B44" s="129" t="s">
        <v>8</v>
      </c>
      <c r="C44" s="28">
        <v>0.04</v>
      </c>
      <c r="D44" s="28">
        <f t="shared" si="1"/>
        <v>0.8</v>
      </c>
      <c r="F44" s="87"/>
    </row>
    <row r="45" spans="1:6" x14ac:dyDescent="0.35">
      <c r="A45" s="127">
        <v>2243</v>
      </c>
      <c r="B45" s="129" t="s">
        <v>9</v>
      </c>
      <c r="C45" s="28">
        <v>7.0000000000000007E-2</v>
      </c>
      <c r="D45" s="28">
        <f t="shared" si="1"/>
        <v>1.4000000000000001</v>
      </c>
      <c r="F45" s="87"/>
    </row>
    <row r="46" spans="1:6" x14ac:dyDescent="0.35">
      <c r="A46" s="127">
        <v>2244</v>
      </c>
      <c r="B46" s="29" t="s">
        <v>193</v>
      </c>
      <c r="C46" s="28">
        <v>0.37</v>
      </c>
      <c r="D46" s="28">
        <f t="shared" si="1"/>
        <v>7.4</v>
      </c>
      <c r="F46" s="87"/>
    </row>
    <row r="47" spans="1:6" x14ac:dyDescent="0.35">
      <c r="A47" s="127">
        <v>2247</v>
      </c>
      <c r="B47" s="125" t="s">
        <v>59</v>
      </c>
      <c r="C47" s="28">
        <v>0.01</v>
      </c>
      <c r="D47" s="28">
        <f t="shared" si="1"/>
        <v>0.2</v>
      </c>
      <c r="F47" s="87"/>
    </row>
    <row r="48" spans="1:6" hidden="1" x14ac:dyDescent="0.35">
      <c r="A48" s="127">
        <v>2249</v>
      </c>
      <c r="B48" s="129" t="s">
        <v>160</v>
      </c>
      <c r="C48" s="28">
        <v>0</v>
      </c>
      <c r="D48" s="28">
        <f t="shared" si="1"/>
        <v>0</v>
      </c>
      <c r="F48" s="87"/>
    </row>
    <row r="49" spans="1:6" x14ac:dyDescent="0.35">
      <c r="A49" s="127">
        <v>2250</v>
      </c>
      <c r="B49" s="129" t="s">
        <v>186</v>
      </c>
      <c r="C49" s="28">
        <v>0.15</v>
      </c>
      <c r="D49" s="28">
        <f t="shared" si="1"/>
        <v>3</v>
      </c>
      <c r="F49" s="87"/>
    </row>
    <row r="50" spans="1:6" hidden="1" x14ac:dyDescent="0.35">
      <c r="A50" s="127">
        <v>2261</v>
      </c>
      <c r="B50" s="129" t="s">
        <v>11</v>
      </c>
      <c r="C50" s="28">
        <v>0</v>
      </c>
      <c r="D50" s="28">
        <f t="shared" si="1"/>
        <v>0</v>
      </c>
      <c r="F50" s="87"/>
    </row>
    <row r="51" spans="1:6" x14ac:dyDescent="0.35">
      <c r="A51" s="127">
        <v>2262</v>
      </c>
      <c r="B51" s="129" t="s">
        <v>12</v>
      </c>
      <c r="C51" s="28">
        <v>0.02</v>
      </c>
      <c r="D51" s="28">
        <f t="shared" si="1"/>
        <v>0.4</v>
      </c>
      <c r="F51" s="87"/>
    </row>
    <row r="52" spans="1:6" x14ac:dyDescent="0.35">
      <c r="A52" s="127">
        <v>2263</v>
      </c>
      <c r="B52" s="129" t="s">
        <v>167</v>
      </c>
      <c r="C52" s="28">
        <v>0.28000000000000003</v>
      </c>
      <c r="D52" s="28">
        <f t="shared" si="1"/>
        <v>5.6000000000000005</v>
      </c>
      <c r="F52" s="87"/>
    </row>
    <row r="53" spans="1:6" hidden="1" x14ac:dyDescent="0.35">
      <c r="A53" s="127">
        <v>2264</v>
      </c>
      <c r="B53" s="129" t="s">
        <v>13</v>
      </c>
      <c r="C53" s="28">
        <v>0</v>
      </c>
      <c r="D53" s="28">
        <f t="shared" si="1"/>
        <v>0</v>
      </c>
      <c r="F53" s="87"/>
    </row>
    <row r="54" spans="1:6" x14ac:dyDescent="0.35">
      <c r="A54" s="127">
        <v>2311</v>
      </c>
      <c r="B54" s="129" t="s">
        <v>15</v>
      </c>
      <c r="C54" s="28">
        <v>0.02</v>
      </c>
      <c r="D54" s="28">
        <f t="shared" si="1"/>
        <v>0.4</v>
      </c>
      <c r="F54" s="87"/>
    </row>
    <row r="55" spans="1:6" x14ac:dyDescent="0.35">
      <c r="A55" s="127">
        <v>2312</v>
      </c>
      <c r="B55" s="129" t="s">
        <v>16</v>
      </c>
      <c r="C55" s="28">
        <v>0.03</v>
      </c>
      <c r="D55" s="28">
        <f t="shared" si="1"/>
        <v>0.6</v>
      </c>
      <c r="F55" s="87"/>
    </row>
    <row r="56" spans="1:6" x14ac:dyDescent="0.35">
      <c r="A56" s="127">
        <v>2321</v>
      </c>
      <c r="B56" s="129" t="s">
        <v>17</v>
      </c>
      <c r="C56" s="28">
        <v>0.15</v>
      </c>
      <c r="D56" s="28">
        <f t="shared" si="1"/>
        <v>3</v>
      </c>
      <c r="F56" s="87"/>
    </row>
    <row r="57" spans="1:6" x14ac:dyDescent="0.35">
      <c r="A57" s="127">
        <v>2322</v>
      </c>
      <c r="B57" s="129" t="s">
        <v>18</v>
      </c>
      <c r="C57" s="28">
        <v>0.04</v>
      </c>
      <c r="D57" s="28">
        <f t="shared" si="1"/>
        <v>0.8</v>
      </c>
      <c r="F57" s="87"/>
    </row>
    <row r="58" spans="1:6" hidden="1" x14ac:dyDescent="0.35">
      <c r="A58" s="127">
        <v>2341</v>
      </c>
      <c r="B58" s="129" t="s">
        <v>159</v>
      </c>
      <c r="C58" s="28">
        <v>0</v>
      </c>
      <c r="D58" s="28">
        <f t="shared" si="1"/>
        <v>0</v>
      </c>
      <c r="F58" s="87"/>
    </row>
    <row r="59" spans="1:6" hidden="1" x14ac:dyDescent="0.35">
      <c r="A59" s="127">
        <v>2344</v>
      </c>
      <c r="B59" s="129" t="s">
        <v>168</v>
      </c>
      <c r="C59" s="28">
        <v>0</v>
      </c>
      <c r="D59" s="28">
        <f t="shared" si="1"/>
        <v>0</v>
      </c>
      <c r="F59" s="87"/>
    </row>
    <row r="60" spans="1:6" x14ac:dyDescent="0.35">
      <c r="A60" s="127">
        <v>2350</v>
      </c>
      <c r="B60" s="129" t="s">
        <v>224</v>
      </c>
      <c r="C60" s="28">
        <v>7.0000000000000007E-2</v>
      </c>
      <c r="D60" s="28">
        <f t="shared" si="1"/>
        <v>1.4000000000000001</v>
      </c>
      <c r="F60" s="87"/>
    </row>
    <row r="61" spans="1:6" hidden="1" x14ac:dyDescent="0.35">
      <c r="A61" s="127">
        <v>2361</v>
      </c>
      <c r="B61" s="129" t="s">
        <v>20</v>
      </c>
      <c r="C61" s="28">
        <v>0</v>
      </c>
      <c r="D61" s="28">
        <f t="shared" si="1"/>
        <v>0</v>
      </c>
      <c r="F61" s="87"/>
    </row>
    <row r="62" spans="1:6" hidden="1" x14ac:dyDescent="0.35">
      <c r="A62" s="127">
        <v>2362</v>
      </c>
      <c r="B62" s="129" t="s">
        <v>169</v>
      </c>
      <c r="C62" s="28">
        <v>0</v>
      </c>
      <c r="D62" s="28">
        <f t="shared" si="1"/>
        <v>0</v>
      </c>
      <c r="F62" s="87"/>
    </row>
    <row r="63" spans="1:6" hidden="1" x14ac:dyDescent="0.35">
      <c r="A63" s="127">
        <v>2363</v>
      </c>
      <c r="B63" s="129" t="s">
        <v>170</v>
      </c>
      <c r="C63" s="28">
        <v>0</v>
      </c>
      <c r="D63" s="28">
        <f t="shared" si="1"/>
        <v>0</v>
      </c>
      <c r="F63" s="87"/>
    </row>
    <row r="64" spans="1:6" hidden="1" x14ac:dyDescent="0.35">
      <c r="A64" s="127">
        <v>2370</v>
      </c>
      <c r="B64" s="129" t="s">
        <v>21</v>
      </c>
      <c r="C64" s="28">
        <v>0</v>
      </c>
      <c r="D64" s="28">
        <f t="shared" si="1"/>
        <v>0</v>
      </c>
      <c r="F64" s="87"/>
    </row>
    <row r="65" spans="1:6" hidden="1" x14ac:dyDescent="0.35">
      <c r="A65" s="127">
        <v>2400</v>
      </c>
      <c r="B65" s="129" t="s">
        <v>31</v>
      </c>
      <c r="C65" s="28">
        <v>0</v>
      </c>
      <c r="D65" s="28">
        <f t="shared" si="1"/>
        <v>0</v>
      </c>
      <c r="F65" s="87"/>
    </row>
    <row r="66" spans="1:6" hidden="1" x14ac:dyDescent="0.35">
      <c r="A66" s="127">
        <v>2512</v>
      </c>
      <c r="B66" s="129" t="s">
        <v>171</v>
      </c>
      <c r="C66" s="28">
        <v>0</v>
      </c>
      <c r="D66" s="28">
        <f t="shared" si="1"/>
        <v>0</v>
      </c>
      <c r="F66" s="87"/>
    </row>
    <row r="67" spans="1:6" hidden="1" x14ac:dyDescent="0.25">
      <c r="A67" s="27">
        <v>2513</v>
      </c>
      <c r="B67" s="29" t="s">
        <v>22</v>
      </c>
      <c r="C67" s="28">
        <v>0</v>
      </c>
      <c r="D67" s="28">
        <f t="shared" si="1"/>
        <v>0</v>
      </c>
      <c r="F67" s="87"/>
    </row>
    <row r="68" spans="1:6" x14ac:dyDescent="0.25">
      <c r="A68" s="27">
        <v>2515</v>
      </c>
      <c r="B68" s="29" t="s">
        <v>58</v>
      </c>
      <c r="C68" s="28">
        <v>0.02</v>
      </c>
      <c r="D68" s="28">
        <f t="shared" si="1"/>
        <v>0.4</v>
      </c>
      <c r="F68" s="87"/>
    </row>
    <row r="69" spans="1:6" hidden="1" x14ac:dyDescent="0.25">
      <c r="A69" s="27">
        <v>2519</v>
      </c>
      <c r="B69" s="29" t="s">
        <v>24</v>
      </c>
      <c r="C69" s="28"/>
      <c r="D69" s="28">
        <f>C69*50</f>
        <v>0</v>
      </c>
    </row>
    <row r="70" spans="1:6" hidden="1" x14ac:dyDescent="0.25">
      <c r="A70" s="27">
        <v>6240</v>
      </c>
      <c r="B70" s="29"/>
      <c r="C70" s="28"/>
      <c r="D70" s="28">
        <f>C70*50</f>
        <v>0</v>
      </c>
    </row>
    <row r="71" spans="1:6" hidden="1" x14ac:dyDescent="0.25">
      <c r="A71" s="27">
        <v>6290</v>
      </c>
      <c r="B71" s="29"/>
      <c r="C71" s="28"/>
      <c r="D71" s="28">
        <f>C71*50</f>
        <v>0</v>
      </c>
    </row>
    <row r="72" spans="1:6" hidden="1" x14ac:dyDescent="0.25">
      <c r="A72" s="27">
        <v>5120</v>
      </c>
      <c r="B72" s="29" t="s">
        <v>173</v>
      </c>
      <c r="C72" s="28"/>
      <c r="D72" s="28">
        <f>C72*50</f>
        <v>0</v>
      </c>
    </row>
    <row r="73" spans="1:6" hidden="1" x14ac:dyDescent="0.25">
      <c r="A73" s="27">
        <v>5232</v>
      </c>
      <c r="B73" s="29" t="s">
        <v>23</v>
      </c>
      <c r="C73" s="28"/>
      <c r="D73" s="28">
        <f>C73*50</f>
        <v>0</v>
      </c>
    </row>
    <row r="74" spans="1:6" hidden="1" x14ac:dyDescent="0.25">
      <c r="A74" s="27">
        <v>5238</v>
      </c>
      <c r="B74" s="29" t="s">
        <v>174</v>
      </c>
      <c r="C74" s="28"/>
      <c r="D74" s="28"/>
    </row>
    <row r="75" spans="1:6" hidden="1" x14ac:dyDescent="0.25">
      <c r="A75" s="27">
        <v>5240</v>
      </c>
      <c r="B75" s="29" t="s">
        <v>25</v>
      </c>
      <c r="C75" s="28"/>
      <c r="D75" s="28"/>
    </row>
    <row r="76" spans="1:6" hidden="1" x14ac:dyDescent="0.25">
      <c r="A76" s="27">
        <v>5250</v>
      </c>
      <c r="B76" s="29" t="s">
        <v>26</v>
      </c>
      <c r="C76" s="28"/>
      <c r="D76" s="28">
        <f>C76/345*50</f>
        <v>0</v>
      </c>
    </row>
    <row r="77" spans="1:6" x14ac:dyDescent="0.25">
      <c r="A77" s="32"/>
      <c r="B77" s="34" t="s">
        <v>175</v>
      </c>
      <c r="C77" s="31">
        <f>SUM(C34:C76)</f>
        <v>4.0099999999999989</v>
      </c>
      <c r="D77" s="31">
        <f>SUM(D34:D76)</f>
        <v>80.2</v>
      </c>
    </row>
    <row r="78" spans="1:6" x14ac:dyDescent="0.25">
      <c r="A78" s="32"/>
      <c r="B78" s="34" t="s">
        <v>32</v>
      </c>
      <c r="C78" s="31">
        <f>C77+C32</f>
        <v>16.560000000000002</v>
      </c>
      <c r="D78" s="31">
        <f>D32+D77</f>
        <v>331.20000000000005</v>
      </c>
    </row>
    <row r="79" spans="1:6" ht="9" customHeight="1" x14ac:dyDescent="0.35">
      <c r="A79" s="35"/>
      <c r="B79" s="20"/>
      <c r="C79" s="130"/>
      <c r="D79" s="130"/>
    </row>
    <row r="80" spans="1:6" x14ac:dyDescent="0.35">
      <c r="A80" s="267" t="s">
        <v>176</v>
      </c>
      <c r="B80" s="268"/>
      <c r="C80" s="38">
        <v>1</v>
      </c>
      <c r="D80" s="102">
        <v>20</v>
      </c>
      <c r="E80" s="58"/>
    </row>
    <row r="81" spans="1:4" x14ac:dyDescent="0.35">
      <c r="A81" s="267" t="s">
        <v>46</v>
      </c>
      <c r="B81" s="268"/>
      <c r="C81" s="31">
        <f>ROUND(C78/C80,2)</f>
        <v>16.559999999999999</v>
      </c>
      <c r="D81" s="106">
        <f>ROUND(D78/D80,2)</f>
        <v>16.559999999999999</v>
      </c>
    </row>
    <row r="82" spans="1:4" ht="9" customHeight="1" x14ac:dyDescent="0.35">
      <c r="A82" s="20"/>
      <c r="B82" s="103"/>
      <c r="C82" s="123"/>
    </row>
    <row r="83" spans="1:4" x14ac:dyDescent="0.35">
      <c r="A83" s="267" t="s">
        <v>37</v>
      </c>
      <c r="B83" s="268"/>
      <c r="C83" s="39"/>
      <c r="D83" s="39"/>
    </row>
    <row r="84" spans="1:4" x14ac:dyDescent="0.35">
      <c r="A84" s="267" t="s">
        <v>55</v>
      </c>
      <c r="B84" s="268"/>
      <c r="C84" s="39"/>
      <c r="D84" s="39"/>
    </row>
    <row r="85" spans="1:4" ht="8.25" customHeight="1" x14ac:dyDescent="0.35">
      <c r="A85" s="17"/>
      <c r="B85" s="17"/>
      <c r="C85" s="17"/>
      <c r="D85" s="17"/>
    </row>
    <row r="86" spans="1:4" x14ac:dyDescent="0.35">
      <c r="A86" s="17" t="s">
        <v>38</v>
      </c>
      <c r="B86" s="17"/>
      <c r="C86" s="17"/>
      <c r="D86" s="17"/>
    </row>
    <row r="87" spans="1:4" ht="9" customHeight="1" x14ac:dyDescent="0.35">
      <c r="A87" s="17"/>
      <c r="B87" s="17"/>
      <c r="C87" s="17"/>
      <c r="D87" s="17"/>
    </row>
    <row r="88" spans="1:4" ht="13.5" customHeight="1" x14ac:dyDescent="0.35">
      <c r="A88" s="17" t="s">
        <v>177</v>
      </c>
      <c r="B88" s="18"/>
      <c r="C88" s="17"/>
      <c r="D88" s="17"/>
    </row>
    <row r="89" spans="1:4" x14ac:dyDescent="0.35">
      <c r="A89" s="17"/>
      <c r="B89" s="96"/>
      <c r="C89" s="17"/>
      <c r="D89" s="17"/>
    </row>
    <row r="90" spans="1:4" x14ac:dyDescent="0.35">
      <c r="B90" s="35"/>
    </row>
    <row r="91" spans="1:4" x14ac:dyDescent="0.35">
      <c r="B91" s="20"/>
    </row>
  </sheetData>
  <mergeCells count="8">
    <mergeCell ref="A83:B83"/>
    <mergeCell ref="A84:B84"/>
    <mergeCell ref="C3:D3"/>
    <mergeCell ref="A7:D7"/>
    <mergeCell ref="A9:B9"/>
    <mergeCell ref="A10:B10"/>
    <mergeCell ref="A80:B80"/>
    <mergeCell ref="A81:B81"/>
  </mergeCells>
  <pageMargins left="0.21" right="0.2" top="0.48" bottom="0.75" header="0.3" footer="0.3"/>
  <pageSetup paperSize="9" scale="75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4"/>
  <sheetViews>
    <sheetView topLeftCell="A59" workbookViewId="0">
      <selection activeCell="A6" sqref="A6"/>
    </sheetView>
  </sheetViews>
  <sheetFormatPr defaultRowHeight="15.5" x14ac:dyDescent="0.35"/>
  <cols>
    <col min="1" max="1" width="13.453125" style="13" customWidth="1"/>
    <col min="2" max="2" width="94.7265625" style="13" customWidth="1"/>
    <col min="3" max="3" width="0.26953125" style="13" hidden="1" customWidth="1"/>
    <col min="4" max="4" width="28.54296875" style="101" customWidth="1"/>
  </cols>
  <sheetData>
    <row r="1" spans="1:4" x14ac:dyDescent="0.35">
      <c r="C1" s="151" t="s">
        <v>35</v>
      </c>
      <c r="D1" s="151" t="s">
        <v>35</v>
      </c>
    </row>
    <row r="2" spans="1:4" x14ac:dyDescent="0.35">
      <c r="C2" s="115" t="s">
        <v>39</v>
      </c>
      <c r="D2" s="115" t="s">
        <v>39</v>
      </c>
    </row>
    <row r="3" spans="1:4" ht="310" x14ac:dyDescent="0.35">
      <c r="C3" s="152" t="s">
        <v>56</v>
      </c>
      <c r="D3" s="35" t="s">
        <v>56</v>
      </c>
    </row>
    <row r="4" spans="1:4" ht="8.25" customHeight="1" x14ac:dyDescent="0.35">
      <c r="C4" s="115"/>
      <c r="D4" s="161"/>
    </row>
    <row r="5" spans="1:4" x14ac:dyDescent="0.35">
      <c r="B5" s="114"/>
      <c r="C5" s="115" t="s">
        <v>256</v>
      </c>
      <c r="D5" s="11" t="s">
        <v>282</v>
      </c>
    </row>
    <row r="6" spans="1:4" ht="9.75" customHeight="1" x14ac:dyDescent="0.35"/>
    <row r="7" spans="1:4" ht="15" x14ac:dyDescent="0.3">
      <c r="A7" s="263" t="s">
        <v>5</v>
      </c>
      <c r="B7" s="263"/>
      <c r="C7" s="263"/>
      <c r="D7" s="158"/>
    </row>
    <row r="8" spans="1:4" ht="12" customHeight="1" x14ac:dyDescent="0.35">
      <c r="B8" s="135"/>
    </row>
    <row r="9" spans="1:4" ht="15" customHeight="1" x14ac:dyDescent="0.35">
      <c r="A9" s="262" t="s">
        <v>1</v>
      </c>
      <c r="B9" s="262"/>
    </row>
    <row r="10" spans="1:4" ht="15" customHeight="1" x14ac:dyDescent="0.35">
      <c r="A10" s="262" t="s">
        <v>0</v>
      </c>
      <c r="B10" s="262"/>
    </row>
    <row r="11" spans="1:4" x14ac:dyDescent="0.35">
      <c r="A11" s="9"/>
      <c r="B11" s="9" t="s">
        <v>257</v>
      </c>
    </row>
    <row r="12" spans="1:4" x14ac:dyDescent="0.25">
      <c r="A12" s="9"/>
      <c r="B12" s="262" t="s">
        <v>258</v>
      </c>
      <c r="C12" s="262"/>
      <c r="D12" s="158"/>
    </row>
    <row r="13" spans="1:4" x14ac:dyDescent="0.25">
      <c r="A13" s="9"/>
      <c r="B13" s="9" t="s">
        <v>275</v>
      </c>
      <c r="C13" s="9"/>
      <c r="D13" s="158"/>
    </row>
    <row r="14" spans="1:4" x14ac:dyDescent="0.35">
      <c r="A14" s="9" t="s">
        <v>2</v>
      </c>
      <c r="B14" s="9" t="s">
        <v>259</v>
      </c>
    </row>
    <row r="15" spans="1:4" hidden="1" x14ac:dyDescent="0.35">
      <c r="B15" s="124"/>
    </row>
    <row r="16" spans="1:4" ht="62.25" customHeight="1" x14ac:dyDescent="0.25">
      <c r="A16" s="54" t="s">
        <v>3</v>
      </c>
      <c r="B16" s="54" t="s">
        <v>4</v>
      </c>
      <c r="C16" s="54" t="s">
        <v>53</v>
      </c>
      <c r="D16" s="54" t="s">
        <v>53</v>
      </c>
    </row>
    <row r="17" spans="1:4" ht="15" x14ac:dyDescent="0.25">
      <c r="A17" s="22">
        <v>1</v>
      </c>
      <c r="B17" s="23">
        <v>2</v>
      </c>
      <c r="C17" s="22">
        <v>3</v>
      </c>
      <c r="D17" s="22">
        <v>3</v>
      </c>
    </row>
    <row r="18" spans="1:4" x14ac:dyDescent="0.25">
      <c r="A18" s="24"/>
      <c r="B18" s="25" t="s">
        <v>156</v>
      </c>
      <c r="C18" s="27"/>
      <c r="D18" s="26"/>
    </row>
    <row r="19" spans="1:4" ht="17.25" customHeight="1" x14ac:dyDescent="0.35">
      <c r="A19" s="27">
        <v>1100</v>
      </c>
      <c r="B19" s="27" t="s">
        <v>63</v>
      </c>
      <c r="C19" s="154">
        <v>3034.7</v>
      </c>
      <c r="D19" s="93">
        <v>263.33</v>
      </c>
    </row>
    <row r="20" spans="1:4" ht="15" customHeight="1" x14ac:dyDescent="0.35">
      <c r="A20" s="27">
        <v>1200</v>
      </c>
      <c r="B20" s="29" t="s">
        <v>192</v>
      </c>
      <c r="C20" s="154">
        <v>715.87</v>
      </c>
      <c r="D20" s="93">
        <v>63.44</v>
      </c>
    </row>
    <row r="21" spans="1:4" ht="15.75" customHeight="1" x14ac:dyDescent="0.35">
      <c r="A21" s="27">
        <v>2210</v>
      </c>
      <c r="B21" s="29" t="s">
        <v>142</v>
      </c>
      <c r="C21" s="154">
        <v>153.78</v>
      </c>
      <c r="D21" s="93">
        <v>15.55</v>
      </c>
    </row>
    <row r="22" spans="1:4" ht="15.75" customHeight="1" x14ac:dyDescent="0.35">
      <c r="A22" s="27">
        <v>2222</v>
      </c>
      <c r="B22" s="29" t="s">
        <v>28</v>
      </c>
      <c r="C22" s="154">
        <v>2549.5700000000002</v>
      </c>
      <c r="D22" s="93">
        <v>355.42</v>
      </c>
    </row>
    <row r="23" spans="1:4" ht="15.75" customHeight="1" x14ac:dyDescent="0.35">
      <c r="A23" s="27">
        <v>2223</v>
      </c>
      <c r="B23" s="29" t="s">
        <v>29</v>
      </c>
      <c r="C23" s="154">
        <v>1184.2</v>
      </c>
      <c r="D23" s="93">
        <v>165.07</v>
      </c>
    </row>
    <row r="24" spans="1:4" ht="29.25" customHeight="1" x14ac:dyDescent="0.35">
      <c r="A24" s="27">
        <v>2224</v>
      </c>
      <c r="B24" s="129" t="s">
        <v>285</v>
      </c>
      <c r="C24" s="154"/>
      <c r="D24" s="93">
        <v>80.900000000000006</v>
      </c>
    </row>
    <row r="25" spans="1:4" x14ac:dyDescent="0.35">
      <c r="A25" s="27">
        <v>2243</v>
      </c>
      <c r="B25" s="129" t="s">
        <v>9</v>
      </c>
      <c r="C25" s="154">
        <v>141.49</v>
      </c>
      <c r="D25" s="93">
        <v>25.73</v>
      </c>
    </row>
    <row r="26" spans="1:4" x14ac:dyDescent="0.35">
      <c r="A26" s="27">
        <v>2244</v>
      </c>
      <c r="B26" s="29" t="s">
        <v>193</v>
      </c>
      <c r="C26" s="154">
        <v>3095.49</v>
      </c>
      <c r="D26" s="93">
        <v>280.37</v>
      </c>
    </row>
    <row r="27" spans="1:4" hidden="1" x14ac:dyDescent="0.35">
      <c r="A27" s="27">
        <v>2250</v>
      </c>
      <c r="B27" s="129" t="s">
        <v>186</v>
      </c>
      <c r="C27" s="154">
        <v>0.94</v>
      </c>
      <c r="D27" s="93"/>
    </row>
    <row r="28" spans="1:4" hidden="1" x14ac:dyDescent="0.35">
      <c r="A28" s="27">
        <v>2261</v>
      </c>
      <c r="B28" s="29" t="s">
        <v>260</v>
      </c>
      <c r="C28" s="154">
        <v>0</v>
      </c>
      <c r="D28" s="93">
        <v>0</v>
      </c>
    </row>
    <row r="29" spans="1:4" x14ac:dyDescent="0.35">
      <c r="A29" s="27">
        <v>2263</v>
      </c>
      <c r="B29" s="29" t="s">
        <v>234</v>
      </c>
      <c r="C29" s="154">
        <v>1311.76</v>
      </c>
      <c r="D29" s="93">
        <v>127.08</v>
      </c>
    </row>
    <row r="30" spans="1:4" x14ac:dyDescent="0.35">
      <c r="A30" s="27">
        <v>2312</v>
      </c>
      <c r="B30" s="29" t="s">
        <v>16</v>
      </c>
      <c r="C30" s="154">
        <v>391.92</v>
      </c>
      <c r="D30" s="93">
        <v>54.63</v>
      </c>
    </row>
    <row r="31" spans="1:4" x14ac:dyDescent="0.35">
      <c r="A31" s="27">
        <v>2321</v>
      </c>
      <c r="B31" s="29" t="s">
        <v>17</v>
      </c>
      <c r="C31" s="154">
        <v>5398.86</v>
      </c>
      <c r="D31" s="93">
        <v>376.28</v>
      </c>
    </row>
    <row r="32" spans="1:4" x14ac:dyDescent="0.35">
      <c r="A32" s="27">
        <v>2350</v>
      </c>
      <c r="B32" s="129" t="s">
        <v>224</v>
      </c>
      <c r="C32" s="154">
        <v>327.51</v>
      </c>
      <c r="D32" s="93">
        <v>45.67</v>
      </c>
    </row>
    <row r="33" spans="1:4" x14ac:dyDescent="0.35">
      <c r="A33" s="27">
        <v>2361</v>
      </c>
      <c r="B33" s="29" t="s">
        <v>261</v>
      </c>
      <c r="C33" s="154">
        <v>274.92</v>
      </c>
      <c r="D33" s="93">
        <v>38.36</v>
      </c>
    </row>
    <row r="34" spans="1:4" x14ac:dyDescent="0.35">
      <c r="A34" s="27">
        <v>2513</v>
      </c>
      <c r="B34" s="29" t="s">
        <v>238</v>
      </c>
      <c r="C34" s="154">
        <v>617.46</v>
      </c>
      <c r="D34" s="93">
        <v>43.04</v>
      </c>
    </row>
    <row r="35" spans="1:4" x14ac:dyDescent="0.35">
      <c r="A35" s="27">
        <v>2519</v>
      </c>
      <c r="B35" s="29" t="s">
        <v>24</v>
      </c>
      <c r="C35" s="154">
        <v>437.23</v>
      </c>
      <c r="D35" s="93">
        <v>30.48</v>
      </c>
    </row>
    <row r="36" spans="1:4" x14ac:dyDescent="0.25">
      <c r="A36" s="27"/>
      <c r="B36" s="30" t="s">
        <v>161</v>
      </c>
      <c r="C36" s="155">
        <f>SUM(C19:C35)</f>
        <v>19635.699999999993</v>
      </c>
      <c r="D36" s="31">
        <f>SUM(D19:D35)</f>
        <v>1965.35</v>
      </c>
    </row>
    <row r="37" spans="1:4" x14ac:dyDescent="0.25">
      <c r="A37" s="32"/>
      <c r="B37" s="27" t="s">
        <v>162</v>
      </c>
      <c r="C37" s="154"/>
      <c r="D37" s="28"/>
    </row>
    <row r="38" spans="1:4" x14ac:dyDescent="0.35">
      <c r="A38" s="27">
        <v>1100</v>
      </c>
      <c r="B38" s="27" t="s">
        <v>63</v>
      </c>
      <c r="C38" s="154">
        <v>2930.86</v>
      </c>
      <c r="D38" s="93">
        <v>406.9</v>
      </c>
    </row>
    <row r="39" spans="1:4" ht="15.75" customHeight="1" x14ac:dyDescent="0.35">
      <c r="A39" s="27">
        <v>1200</v>
      </c>
      <c r="B39" s="29" t="s">
        <v>192</v>
      </c>
      <c r="C39" s="154">
        <v>691.39</v>
      </c>
      <c r="D39" s="93">
        <v>98.02</v>
      </c>
    </row>
    <row r="40" spans="1:4" ht="15.75" customHeight="1" x14ac:dyDescent="0.35">
      <c r="A40" s="27">
        <v>2210</v>
      </c>
      <c r="B40" s="29" t="s">
        <v>142</v>
      </c>
      <c r="C40" s="154">
        <v>28.33</v>
      </c>
      <c r="D40" s="93">
        <v>3.95</v>
      </c>
    </row>
    <row r="41" spans="1:4" x14ac:dyDescent="0.35">
      <c r="A41" s="27">
        <v>2234</v>
      </c>
      <c r="B41" s="29" t="s">
        <v>287</v>
      </c>
      <c r="C41" s="154">
        <v>6.5</v>
      </c>
      <c r="D41" s="93">
        <v>0.91</v>
      </c>
    </row>
    <row r="42" spans="1:4" ht="15.75" customHeight="1" x14ac:dyDescent="0.35">
      <c r="A42" s="27">
        <v>2239</v>
      </c>
      <c r="B42" s="29" t="s">
        <v>145</v>
      </c>
      <c r="C42" s="154">
        <v>35.14</v>
      </c>
      <c r="D42" s="93">
        <v>4.9000000000000004</v>
      </c>
    </row>
    <row r="43" spans="1:4" x14ac:dyDescent="0.35">
      <c r="A43" s="27">
        <v>2241</v>
      </c>
      <c r="B43" s="129" t="s">
        <v>215</v>
      </c>
      <c r="C43" s="154">
        <v>7.36</v>
      </c>
      <c r="D43" s="93">
        <v>1.03</v>
      </c>
    </row>
    <row r="44" spans="1:4" x14ac:dyDescent="0.35">
      <c r="A44" s="27">
        <v>2242</v>
      </c>
      <c r="B44" s="29" t="s">
        <v>8</v>
      </c>
      <c r="C44" s="154">
        <v>28.64</v>
      </c>
      <c r="D44" s="93">
        <v>3.99</v>
      </c>
    </row>
    <row r="45" spans="1:4" x14ac:dyDescent="0.35">
      <c r="A45" s="27">
        <v>2243</v>
      </c>
      <c r="B45" s="129" t="s">
        <v>9</v>
      </c>
      <c r="C45" s="154">
        <v>28.09</v>
      </c>
      <c r="D45" s="93">
        <v>6.47</v>
      </c>
    </row>
    <row r="46" spans="1:4" x14ac:dyDescent="0.35">
      <c r="A46" s="27">
        <v>2244</v>
      </c>
      <c r="B46" s="29" t="s">
        <v>193</v>
      </c>
      <c r="C46" s="154">
        <v>5.95</v>
      </c>
      <c r="D46" s="93">
        <v>4.21</v>
      </c>
    </row>
    <row r="47" spans="1:4" x14ac:dyDescent="0.35">
      <c r="A47" s="27">
        <v>2250</v>
      </c>
      <c r="B47" s="129" t="s">
        <v>186</v>
      </c>
      <c r="C47" s="154">
        <v>64.95</v>
      </c>
      <c r="D47" s="93">
        <v>9.4499999999999993</v>
      </c>
    </row>
    <row r="48" spans="1:4" x14ac:dyDescent="0.35">
      <c r="A48" s="27">
        <v>2262</v>
      </c>
      <c r="B48" s="29" t="s">
        <v>12</v>
      </c>
      <c r="C48" s="154">
        <v>68.319999999999993</v>
      </c>
      <c r="D48" s="93">
        <v>6.93</v>
      </c>
    </row>
    <row r="49" spans="1:4" x14ac:dyDescent="0.35">
      <c r="A49" s="27">
        <v>2264</v>
      </c>
      <c r="B49" s="29" t="s">
        <v>262</v>
      </c>
      <c r="C49" s="154">
        <v>0.63</v>
      </c>
      <c r="D49" s="93">
        <v>0.1</v>
      </c>
    </row>
    <row r="50" spans="1:4" x14ac:dyDescent="0.35">
      <c r="A50" s="27">
        <v>2311</v>
      </c>
      <c r="B50" s="29" t="s">
        <v>15</v>
      </c>
      <c r="C50" s="154">
        <v>37.33</v>
      </c>
      <c r="D50" s="93">
        <v>5.2</v>
      </c>
    </row>
    <row r="51" spans="1:4" x14ac:dyDescent="0.35">
      <c r="A51" s="27">
        <v>2312</v>
      </c>
      <c r="B51" s="29" t="s">
        <v>16</v>
      </c>
      <c r="C51" s="154">
        <v>8.4499999999999993</v>
      </c>
      <c r="D51" s="93">
        <f>1.19+2.6</f>
        <v>3.79</v>
      </c>
    </row>
    <row r="52" spans="1:4" x14ac:dyDescent="0.35">
      <c r="A52" s="27">
        <v>2321</v>
      </c>
      <c r="B52" s="29" t="s">
        <v>17</v>
      </c>
      <c r="C52" s="154"/>
      <c r="D52" s="93">
        <v>4.5999999999999996</v>
      </c>
    </row>
    <row r="53" spans="1:4" x14ac:dyDescent="0.35">
      <c r="A53" s="27">
        <v>2322</v>
      </c>
      <c r="B53" s="29" t="s">
        <v>18</v>
      </c>
      <c r="C53" s="154">
        <v>174.59</v>
      </c>
      <c r="D53" s="93">
        <v>24.34</v>
      </c>
    </row>
    <row r="54" spans="1:4" x14ac:dyDescent="0.35">
      <c r="A54" s="27">
        <v>2350</v>
      </c>
      <c r="B54" s="129" t="s">
        <v>224</v>
      </c>
      <c r="C54" s="154">
        <v>174.28</v>
      </c>
      <c r="D54" s="93">
        <v>24.29</v>
      </c>
    </row>
    <row r="55" spans="1:4" x14ac:dyDescent="0.35">
      <c r="A55" s="27">
        <v>2361</v>
      </c>
      <c r="B55" s="29" t="s">
        <v>20</v>
      </c>
      <c r="C55" s="154">
        <v>53.45</v>
      </c>
      <c r="D55" s="93">
        <v>7.45</v>
      </c>
    </row>
    <row r="56" spans="1:4" x14ac:dyDescent="0.35">
      <c r="A56" s="27">
        <v>2512</v>
      </c>
      <c r="B56" s="29" t="s">
        <v>201</v>
      </c>
      <c r="C56" s="154">
        <v>3060.16</v>
      </c>
      <c r="D56" s="93">
        <v>324.8</v>
      </c>
    </row>
    <row r="57" spans="1:4" x14ac:dyDescent="0.35">
      <c r="A57" s="27">
        <v>2515</v>
      </c>
      <c r="B57" s="29" t="s">
        <v>58</v>
      </c>
      <c r="C57" s="154">
        <v>11.97</v>
      </c>
      <c r="D57" s="93">
        <v>1.67</v>
      </c>
    </row>
    <row r="58" spans="1:4" x14ac:dyDescent="0.35">
      <c r="A58" s="27">
        <v>2519</v>
      </c>
      <c r="B58" s="29" t="s">
        <v>24</v>
      </c>
      <c r="C58" s="154">
        <v>0.55000000000000004</v>
      </c>
      <c r="D58" s="93">
        <v>0.08</v>
      </c>
    </row>
    <row r="59" spans="1:4" x14ac:dyDescent="0.35">
      <c r="A59" s="27">
        <v>5120</v>
      </c>
      <c r="B59" s="29" t="s">
        <v>288</v>
      </c>
      <c r="C59" s="154"/>
      <c r="D59" s="93">
        <v>9.6</v>
      </c>
    </row>
    <row r="60" spans="1:4" x14ac:dyDescent="0.35">
      <c r="A60" s="27">
        <v>5239</v>
      </c>
      <c r="B60" s="29" t="s">
        <v>57</v>
      </c>
      <c r="C60" s="154">
        <v>480.39</v>
      </c>
      <c r="D60" s="93">
        <v>66.94</v>
      </c>
    </row>
    <row r="61" spans="1:4" x14ac:dyDescent="0.35">
      <c r="A61" s="27">
        <v>5250</v>
      </c>
      <c r="B61" s="29" t="s">
        <v>263</v>
      </c>
      <c r="C61" s="154">
        <v>337.53</v>
      </c>
      <c r="D61" s="159">
        <v>47.03</v>
      </c>
    </row>
    <row r="62" spans="1:4" x14ac:dyDescent="0.25">
      <c r="A62" s="32"/>
      <c r="B62" s="34" t="s">
        <v>175</v>
      </c>
      <c r="C62" s="155">
        <f>SUM(C38:C61)</f>
        <v>8234.86</v>
      </c>
      <c r="D62" s="31">
        <f>SUM(D38:D61)</f>
        <v>1066.6500000000001</v>
      </c>
    </row>
    <row r="63" spans="1:4" x14ac:dyDescent="0.25">
      <c r="A63" s="32"/>
      <c r="B63" s="34" t="s">
        <v>32</v>
      </c>
      <c r="C63" s="155">
        <f>C62+C36</f>
        <v>27870.559999999994</v>
      </c>
      <c r="D63" s="153">
        <f>D36+D62</f>
        <v>3032</v>
      </c>
    </row>
    <row r="64" spans="1:4" ht="8.25" customHeight="1" x14ac:dyDescent="0.35">
      <c r="A64" s="35"/>
      <c r="B64" s="20"/>
      <c r="D64" s="159"/>
    </row>
    <row r="65" spans="1:4" ht="15" customHeight="1" x14ac:dyDescent="0.25">
      <c r="A65" s="262" t="s">
        <v>45</v>
      </c>
      <c r="B65" s="262"/>
      <c r="C65" s="112">
        <v>330</v>
      </c>
      <c r="D65" s="107">
        <v>20</v>
      </c>
    </row>
    <row r="66" spans="1:4" ht="18.75" customHeight="1" x14ac:dyDescent="0.3">
      <c r="A66" s="262" t="s">
        <v>46</v>
      </c>
      <c r="B66" s="262"/>
      <c r="C66" s="156">
        <f>C63/C65</f>
        <v>84.456242424242404</v>
      </c>
      <c r="D66" s="108">
        <f>D63/D65</f>
        <v>151.6</v>
      </c>
    </row>
    <row r="67" spans="1:4" ht="6.75" customHeight="1" x14ac:dyDescent="0.35">
      <c r="A67" s="20"/>
      <c r="B67" s="103"/>
      <c r="D67" s="159"/>
    </row>
    <row r="68" spans="1:4" x14ac:dyDescent="0.35">
      <c r="A68" s="267" t="s">
        <v>37</v>
      </c>
      <c r="B68" s="268"/>
      <c r="C68" s="157"/>
      <c r="D68" s="119"/>
    </row>
    <row r="69" spans="1:4" x14ac:dyDescent="0.35">
      <c r="A69" s="267" t="s">
        <v>54</v>
      </c>
      <c r="B69" s="268"/>
      <c r="C69" s="157"/>
      <c r="D69" s="119"/>
    </row>
    <row r="70" spans="1:4" ht="7.5" customHeight="1" x14ac:dyDescent="0.35">
      <c r="A70" s="17"/>
      <c r="B70" s="17"/>
      <c r="C70" s="17"/>
      <c r="D70" s="119"/>
    </row>
    <row r="71" spans="1:4" x14ac:dyDescent="0.35">
      <c r="A71" s="17" t="s">
        <v>38</v>
      </c>
      <c r="B71" s="17"/>
      <c r="C71" s="17"/>
      <c r="D71" s="19"/>
    </row>
    <row r="72" spans="1:4" ht="9" customHeight="1" x14ac:dyDescent="0.35">
      <c r="A72" s="17"/>
      <c r="B72" s="17"/>
      <c r="C72" s="17"/>
      <c r="D72" s="19"/>
    </row>
    <row r="73" spans="1:4" x14ac:dyDescent="0.35">
      <c r="A73" s="17" t="s">
        <v>177</v>
      </c>
      <c r="B73" s="18"/>
      <c r="C73" s="17"/>
      <c r="D73" s="19"/>
    </row>
    <row r="74" spans="1:4" x14ac:dyDescent="0.35">
      <c r="A74" s="17"/>
      <c r="B74" s="19"/>
      <c r="C74" s="17"/>
      <c r="D74" s="19"/>
    </row>
  </sheetData>
  <mergeCells count="8">
    <mergeCell ref="A68:B68"/>
    <mergeCell ref="A69:B69"/>
    <mergeCell ref="A7:C7"/>
    <mergeCell ref="A9:B9"/>
    <mergeCell ref="A10:B10"/>
    <mergeCell ref="B12:C12"/>
    <mergeCell ref="A65:B65"/>
    <mergeCell ref="A66:B66"/>
  </mergeCells>
  <pageMargins left="0.27559055118110237" right="0.19685039370078741" top="0.31496062992125984" bottom="0" header="0.31496062992125984" footer="0.31496062992125984"/>
  <pageSetup paperSize="9" scale="74" fitToHeight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topLeftCell="A23" workbookViewId="0">
      <selection activeCell="B24" sqref="B24"/>
    </sheetView>
  </sheetViews>
  <sheetFormatPr defaultColWidth="9.1796875" defaultRowHeight="15.5" x14ac:dyDescent="0.35"/>
  <cols>
    <col min="1" max="1" width="13.26953125" style="13" customWidth="1"/>
    <col min="2" max="2" width="95.1796875" style="13" customWidth="1"/>
    <col min="3" max="3" width="24" style="13" hidden="1" customWidth="1"/>
    <col min="4" max="4" width="28.54296875" style="101" customWidth="1"/>
    <col min="5" max="16384" width="9.1796875" style="3"/>
  </cols>
  <sheetData>
    <row r="1" spans="1:4" x14ac:dyDescent="0.35">
      <c r="C1" s="151" t="s">
        <v>35</v>
      </c>
      <c r="D1" s="151" t="s">
        <v>35</v>
      </c>
    </row>
    <row r="2" spans="1:4" x14ac:dyDescent="0.35">
      <c r="C2" s="115" t="s">
        <v>39</v>
      </c>
      <c r="D2" s="115" t="s">
        <v>39</v>
      </c>
    </row>
    <row r="3" spans="1:4" x14ac:dyDescent="0.35">
      <c r="C3" s="152" t="s">
        <v>56</v>
      </c>
      <c r="D3" s="35" t="s">
        <v>56</v>
      </c>
    </row>
    <row r="4" spans="1:4" ht="12" customHeight="1" x14ac:dyDescent="0.35">
      <c r="C4" s="115"/>
      <c r="D4" s="115"/>
    </row>
    <row r="5" spans="1:4" x14ac:dyDescent="0.35">
      <c r="B5" s="114"/>
      <c r="C5" s="115" t="s">
        <v>256</v>
      </c>
      <c r="D5" s="11" t="s">
        <v>282</v>
      </c>
    </row>
    <row r="6" spans="1:4" ht="10.5" customHeight="1" x14ac:dyDescent="0.35"/>
    <row r="7" spans="1:4" x14ac:dyDescent="0.35">
      <c r="A7" s="263" t="s">
        <v>5</v>
      </c>
      <c r="B7" s="263"/>
      <c r="C7" s="263"/>
      <c r="D7" s="100"/>
    </row>
    <row r="8" spans="1:4" ht="9" customHeight="1" x14ac:dyDescent="0.35">
      <c r="B8" s="135"/>
    </row>
    <row r="9" spans="1:4" ht="15" customHeight="1" x14ac:dyDescent="0.35">
      <c r="A9" s="262" t="s">
        <v>1</v>
      </c>
      <c r="B9" s="262"/>
    </row>
    <row r="10" spans="1:4" ht="15" customHeight="1" x14ac:dyDescent="0.35">
      <c r="A10" s="262" t="s">
        <v>0</v>
      </c>
      <c r="B10" s="262"/>
    </row>
    <row r="11" spans="1:4" x14ac:dyDescent="0.35">
      <c r="A11" s="9"/>
      <c r="B11" s="9" t="s">
        <v>257</v>
      </c>
    </row>
    <row r="12" spans="1:4" x14ac:dyDescent="0.35">
      <c r="A12" s="9"/>
      <c r="B12" s="262" t="s">
        <v>264</v>
      </c>
      <c r="C12" s="262"/>
      <c r="D12" s="100"/>
    </row>
    <row r="13" spans="1:4" x14ac:dyDescent="0.35">
      <c r="A13" s="9"/>
      <c r="B13" s="9" t="s">
        <v>276</v>
      </c>
      <c r="C13" s="9"/>
      <c r="D13" s="100"/>
    </row>
    <row r="14" spans="1:4" x14ac:dyDescent="0.35">
      <c r="A14" s="9" t="s">
        <v>2</v>
      </c>
      <c r="B14" s="9" t="s">
        <v>259</v>
      </c>
    </row>
    <row r="15" spans="1:4" hidden="1" x14ac:dyDescent="0.35">
      <c r="B15" s="124"/>
    </row>
    <row r="16" spans="1:4" ht="63" customHeight="1" x14ac:dyDescent="0.25">
      <c r="A16" s="54" t="s">
        <v>3</v>
      </c>
      <c r="B16" s="54" t="s">
        <v>4</v>
      </c>
      <c r="C16" s="54" t="s">
        <v>53</v>
      </c>
      <c r="D16" s="54" t="s">
        <v>53</v>
      </c>
    </row>
    <row r="17" spans="1:4" ht="15" customHeight="1" x14ac:dyDescent="0.25">
      <c r="A17" s="22">
        <v>1</v>
      </c>
      <c r="B17" s="23">
        <v>2</v>
      </c>
      <c r="C17" s="22">
        <v>3</v>
      </c>
      <c r="D17" s="22">
        <v>3</v>
      </c>
    </row>
    <row r="18" spans="1:4" x14ac:dyDescent="0.25">
      <c r="A18" s="24"/>
      <c r="B18" s="25" t="s">
        <v>156</v>
      </c>
      <c r="C18" s="27"/>
      <c r="D18" s="26"/>
    </row>
    <row r="19" spans="1:4" ht="17.25" customHeight="1" x14ac:dyDescent="0.35">
      <c r="A19" s="27">
        <v>1100</v>
      </c>
      <c r="B19" s="27" t="s">
        <v>63</v>
      </c>
      <c r="C19" s="154">
        <v>3034.7</v>
      </c>
      <c r="D19" s="93">
        <v>157.5</v>
      </c>
    </row>
    <row r="20" spans="1:4" ht="15.75" customHeight="1" x14ac:dyDescent="0.35">
      <c r="A20" s="27">
        <v>1200</v>
      </c>
      <c r="B20" s="29" t="s">
        <v>192</v>
      </c>
      <c r="C20" s="154">
        <v>715.87</v>
      </c>
      <c r="D20" s="159">
        <v>37.94</v>
      </c>
    </row>
    <row r="21" spans="1:4" ht="15.75" customHeight="1" x14ac:dyDescent="0.35">
      <c r="A21" s="27">
        <v>2210</v>
      </c>
      <c r="B21" s="29" t="s">
        <v>142</v>
      </c>
      <c r="C21" s="154">
        <v>153.78</v>
      </c>
      <c r="D21" s="159">
        <v>10.039999999999999</v>
      </c>
    </row>
    <row r="22" spans="1:4" ht="15.75" customHeight="1" x14ac:dyDescent="0.35">
      <c r="A22" s="27">
        <v>2222</v>
      </c>
      <c r="B22" s="29" t="s">
        <v>28</v>
      </c>
      <c r="C22" s="154">
        <v>2549.5700000000002</v>
      </c>
      <c r="D22" s="159">
        <v>248.29</v>
      </c>
    </row>
    <row r="23" spans="1:4" ht="15.75" customHeight="1" x14ac:dyDescent="0.35">
      <c r="A23" s="27">
        <v>2223</v>
      </c>
      <c r="B23" s="29" t="s">
        <v>29</v>
      </c>
      <c r="C23" s="154">
        <v>1184.2</v>
      </c>
      <c r="D23" s="159">
        <v>159.31</v>
      </c>
    </row>
    <row r="24" spans="1:4" ht="28.5" customHeight="1" x14ac:dyDescent="0.35">
      <c r="A24" s="27">
        <v>2224</v>
      </c>
      <c r="B24" s="129" t="s">
        <v>285</v>
      </c>
      <c r="C24" s="154"/>
      <c r="D24" s="159">
        <v>29.41</v>
      </c>
    </row>
    <row r="25" spans="1:4" x14ac:dyDescent="0.35">
      <c r="A25" s="27">
        <v>2243</v>
      </c>
      <c r="B25" s="129" t="s">
        <v>9</v>
      </c>
      <c r="C25" s="154">
        <v>141.49</v>
      </c>
      <c r="D25" s="159">
        <v>12.87</v>
      </c>
    </row>
    <row r="26" spans="1:4" x14ac:dyDescent="0.35">
      <c r="A26" s="27">
        <v>2244</v>
      </c>
      <c r="B26" s="29" t="s">
        <v>193</v>
      </c>
      <c r="C26" s="154">
        <v>3095.49</v>
      </c>
      <c r="D26" s="159">
        <v>203.91</v>
      </c>
    </row>
    <row r="27" spans="1:4" hidden="1" x14ac:dyDescent="0.35">
      <c r="A27" s="27">
        <v>2250</v>
      </c>
      <c r="B27" s="129" t="s">
        <v>186</v>
      </c>
      <c r="C27" s="154">
        <v>0.94</v>
      </c>
      <c r="D27" s="159"/>
    </row>
    <row r="28" spans="1:4" hidden="1" x14ac:dyDescent="0.35">
      <c r="A28" s="27">
        <v>2261</v>
      </c>
      <c r="B28" s="29" t="s">
        <v>260</v>
      </c>
      <c r="C28" s="154">
        <v>0</v>
      </c>
      <c r="D28" s="159"/>
    </row>
    <row r="29" spans="1:4" x14ac:dyDescent="0.35">
      <c r="A29" s="27">
        <v>2263</v>
      </c>
      <c r="B29" s="29" t="s">
        <v>234</v>
      </c>
      <c r="C29" s="154">
        <v>1311.76</v>
      </c>
      <c r="D29" s="159">
        <v>61.59</v>
      </c>
    </row>
    <row r="30" spans="1:4" x14ac:dyDescent="0.35">
      <c r="A30" s="27">
        <v>2312</v>
      </c>
      <c r="B30" s="29" t="s">
        <v>16</v>
      </c>
      <c r="C30" s="154">
        <v>391.92</v>
      </c>
      <c r="D30" s="159">
        <v>22.84</v>
      </c>
    </row>
    <row r="31" spans="1:4" x14ac:dyDescent="0.35">
      <c r="A31" s="27">
        <v>2321</v>
      </c>
      <c r="B31" s="29" t="s">
        <v>17</v>
      </c>
      <c r="C31" s="154">
        <v>5398.86</v>
      </c>
      <c r="D31" s="159">
        <v>273.57</v>
      </c>
    </row>
    <row r="32" spans="1:4" x14ac:dyDescent="0.35">
      <c r="A32" s="27">
        <v>2350</v>
      </c>
      <c r="B32" s="129" t="s">
        <v>224</v>
      </c>
      <c r="C32" s="154">
        <v>327.51</v>
      </c>
      <c r="D32" s="159">
        <v>34.25</v>
      </c>
    </row>
    <row r="33" spans="1:4" x14ac:dyDescent="0.35">
      <c r="A33" s="27">
        <v>2361</v>
      </c>
      <c r="B33" s="29" t="s">
        <v>261</v>
      </c>
      <c r="C33" s="154">
        <v>274.92</v>
      </c>
      <c r="D33" s="159">
        <v>28.89</v>
      </c>
    </row>
    <row r="34" spans="1:4" x14ac:dyDescent="0.35">
      <c r="A34" s="27">
        <v>2513</v>
      </c>
      <c r="B34" s="29" t="s">
        <v>238</v>
      </c>
      <c r="C34" s="154">
        <v>617.46</v>
      </c>
      <c r="D34" s="159">
        <v>20.86</v>
      </c>
    </row>
    <row r="35" spans="1:4" x14ac:dyDescent="0.35">
      <c r="A35" s="27">
        <v>2519</v>
      </c>
      <c r="B35" s="29" t="s">
        <v>24</v>
      </c>
      <c r="C35" s="154">
        <v>437.23</v>
      </c>
      <c r="D35" s="159">
        <v>14.77</v>
      </c>
    </row>
    <row r="36" spans="1:4" x14ac:dyDescent="0.25">
      <c r="A36" s="27"/>
      <c r="B36" s="30" t="s">
        <v>161</v>
      </c>
      <c r="C36" s="155">
        <f>SUM(C19:C35)</f>
        <v>19635.699999999993</v>
      </c>
      <c r="D36" s="31">
        <f>SUM(D19:D35)</f>
        <v>1316.04</v>
      </c>
    </row>
    <row r="37" spans="1:4" x14ac:dyDescent="0.25">
      <c r="A37" s="32"/>
      <c r="B37" s="27" t="s">
        <v>162</v>
      </c>
      <c r="C37" s="154"/>
      <c r="D37" s="28"/>
    </row>
    <row r="38" spans="1:4" x14ac:dyDescent="0.35">
      <c r="A38" s="27">
        <v>1100</v>
      </c>
      <c r="B38" s="27" t="s">
        <v>63</v>
      </c>
      <c r="C38" s="154">
        <v>2930.86</v>
      </c>
      <c r="D38" s="159">
        <v>202.18</v>
      </c>
    </row>
    <row r="39" spans="1:4" ht="15.75" customHeight="1" x14ac:dyDescent="0.35">
      <c r="A39" s="27">
        <v>1200</v>
      </c>
      <c r="B39" s="29" t="s">
        <v>192</v>
      </c>
      <c r="C39" s="154">
        <v>691.39</v>
      </c>
      <c r="D39" s="159">
        <v>48.71</v>
      </c>
    </row>
    <row r="40" spans="1:4" ht="15.75" customHeight="1" x14ac:dyDescent="0.35">
      <c r="A40" s="27">
        <v>2210</v>
      </c>
      <c r="B40" s="29" t="s">
        <v>142</v>
      </c>
      <c r="C40" s="154">
        <v>28.33</v>
      </c>
      <c r="D40" s="159">
        <v>6.65</v>
      </c>
    </row>
    <row r="41" spans="1:4" x14ac:dyDescent="0.35">
      <c r="A41" s="27">
        <v>2234</v>
      </c>
      <c r="B41" s="29" t="s">
        <v>287</v>
      </c>
      <c r="C41" s="154">
        <v>6.5</v>
      </c>
      <c r="D41" s="159">
        <v>0.68</v>
      </c>
    </row>
    <row r="42" spans="1:4" ht="15.75" customHeight="1" x14ac:dyDescent="0.35">
      <c r="A42" s="27">
        <v>2239</v>
      </c>
      <c r="B42" s="29" t="s">
        <v>145</v>
      </c>
      <c r="C42" s="154">
        <v>35.14</v>
      </c>
      <c r="D42" s="159">
        <v>2.68</v>
      </c>
    </row>
    <row r="43" spans="1:4" x14ac:dyDescent="0.35">
      <c r="A43" s="27">
        <v>2241</v>
      </c>
      <c r="B43" s="129" t="s">
        <v>215</v>
      </c>
      <c r="C43" s="154">
        <v>7.36</v>
      </c>
      <c r="D43" s="159">
        <v>0.77</v>
      </c>
    </row>
    <row r="44" spans="1:4" x14ac:dyDescent="0.35">
      <c r="A44" s="27">
        <v>2242</v>
      </c>
      <c r="B44" s="29" t="s">
        <v>8</v>
      </c>
      <c r="C44" s="154">
        <v>28.64</v>
      </c>
      <c r="D44" s="159">
        <v>2.16</v>
      </c>
    </row>
    <row r="45" spans="1:4" x14ac:dyDescent="0.35">
      <c r="A45" s="27">
        <v>2243</v>
      </c>
      <c r="B45" s="129" t="s">
        <v>9</v>
      </c>
      <c r="C45" s="154">
        <v>28.09</v>
      </c>
      <c r="D45" s="159">
        <v>4.8499999999999996</v>
      </c>
    </row>
    <row r="46" spans="1:4" x14ac:dyDescent="0.35">
      <c r="A46" s="27">
        <v>2244</v>
      </c>
      <c r="B46" s="29" t="s">
        <v>193</v>
      </c>
      <c r="C46" s="154">
        <v>5.95</v>
      </c>
      <c r="D46" s="159">
        <v>3.16</v>
      </c>
    </row>
    <row r="47" spans="1:4" x14ac:dyDescent="0.35">
      <c r="A47" s="27">
        <v>2250</v>
      </c>
      <c r="B47" s="129" t="s">
        <v>186</v>
      </c>
      <c r="C47" s="154">
        <v>64.95</v>
      </c>
      <c r="D47" s="159">
        <v>7.09</v>
      </c>
    </row>
    <row r="48" spans="1:4" x14ac:dyDescent="0.35">
      <c r="A48" s="27">
        <v>2262</v>
      </c>
      <c r="B48" s="29" t="s">
        <v>12</v>
      </c>
      <c r="C48" s="154">
        <v>68.319999999999993</v>
      </c>
      <c r="D48" s="93">
        <v>5.2</v>
      </c>
    </row>
    <row r="49" spans="1:5" x14ac:dyDescent="0.35">
      <c r="A49" s="27">
        <v>2264</v>
      </c>
      <c r="B49" s="29" t="s">
        <v>262</v>
      </c>
      <c r="C49" s="154">
        <v>0.63</v>
      </c>
      <c r="D49" s="93">
        <v>0.1</v>
      </c>
    </row>
    <row r="50" spans="1:5" x14ac:dyDescent="0.35">
      <c r="A50" s="27">
        <v>2311</v>
      </c>
      <c r="B50" s="29" t="s">
        <v>15</v>
      </c>
      <c r="C50" s="154">
        <v>37.33</v>
      </c>
      <c r="D50" s="93">
        <v>5.2</v>
      </c>
    </row>
    <row r="51" spans="1:5" x14ac:dyDescent="0.35">
      <c r="A51" s="27">
        <v>2312</v>
      </c>
      <c r="B51" s="29" t="s">
        <v>16</v>
      </c>
      <c r="C51" s="154">
        <v>8.4499999999999993</v>
      </c>
      <c r="D51" s="159">
        <v>3.79</v>
      </c>
    </row>
    <row r="52" spans="1:5" x14ac:dyDescent="0.35">
      <c r="A52" s="27">
        <v>2321</v>
      </c>
      <c r="B52" s="29" t="s">
        <v>17</v>
      </c>
      <c r="C52" s="154"/>
      <c r="D52" s="93">
        <v>3.45</v>
      </c>
    </row>
    <row r="53" spans="1:5" x14ac:dyDescent="0.35">
      <c r="A53" s="27">
        <v>2322</v>
      </c>
      <c r="B53" s="29" t="s">
        <v>18</v>
      </c>
      <c r="C53" s="154">
        <v>174.59</v>
      </c>
      <c r="D53" s="159">
        <v>14.56</v>
      </c>
    </row>
    <row r="54" spans="1:5" x14ac:dyDescent="0.35">
      <c r="A54" s="27">
        <v>2350</v>
      </c>
      <c r="B54" s="129" t="s">
        <v>224</v>
      </c>
      <c r="C54" s="154">
        <v>174.28</v>
      </c>
      <c r="D54" s="159">
        <v>18.21</v>
      </c>
    </row>
    <row r="55" spans="1:5" x14ac:dyDescent="0.35">
      <c r="A55" s="27">
        <v>2361</v>
      </c>
      <c r="B55" s="29" t="s">
        <v>20</v>
      </c>
      <c r="C55" s="154">
        <v>53.45</v>
      </c>
      <c r="D55" s="159">
        <v>5.59</v>
      </c>
    </row>
    <row r="56" spans="1:5" x14ac:dyDescent="0.35">
      <c r="A56" s="27">
        <v>2512</v>
      </c>
      <c r="B56" s="29" t="s">
        <v>201</v>
      </c>
      <c r="C56" s="154">
        <v>3060.16</v>
      </c>
      <c r="D56" s="93">
        <v>203.4</v>
      </c>
    </row>
    <row r="57" spans="1:5" x14ac:dyDescent="0.35">
      <c r="A57" s="27">
        <v>2515</v>
      </c>
      <c r="B57" s="29" t="s">
        <v>58</v>
      </c>
      <c r="C57" s="154">
        <v>11.97</v>
      </c>
      <c r="D57" s="159">
        <v>1.25</v>
      </c>
    </row>
    <row r="58" spans="1:5" x14ac:dyDescent="0.35">
      <c r="A58" s="27">
        <v>2519</v>
      </c>
      <c r="B58" s="29" t="s">
        <v>24</v>
      </c>
      <c r="C58" s="154">
        <v>0.55000000000000004</v>
      </c>
      <c r="D58" s="159">
        <f>0.08</f>
        <v>0.08</v>
      </c>
    </row>
    <row r="59" spans="1:5" x14ac:dyDescent="0.35">
      <c r="A59" s="27">
        <v>5120</v>
      </c>
      <c r="B59" s="29" t="s">
        <v>288</v>
      </c>
      <c r="C59" s="154"/>
      <c r="D59" s="93">
        <v>7.2</v>
      </c>
    </row>
    <row r="60" spans="1:5" x14ac:dyDescent="0.35">
      <c r="A60" s="27">
        <v>5239</v>
      </c>
      <c r="B60" s="29" t="s">
        <v>57</v>
      </c>
      <c r="C60" s="154">
        <v>480.39</v>
      </c>
      <c r="D60" s="159">
        <v>20.329999999999998</v>
      </c>
    </row>
    <row r="61" spans="1:5" x14ac:dyDescent="0.35">
      <c r="A61" s="27">
        <v>5250</v>
      </c>
      <c r="B61" s="29" t="s">
        <v>263</v>
      </c>
      <c r="C61" s="154">
        <v>337.53</v>
      </c>
      <c r="D61" s="159">
        <v>15.27</v>
      </c>
    </row>
    <row r="62" spans="1:5" x14ac:dyDescent="0.25">
      <c r="A62" s="32"/>
      <c r="B62" s="34" t="s">
        <v>175</v>
      </c>
      <c r="C62" s="155">
        <f>SUM(C38:C61)</f>
        <v>8234.86</v>
      </c>
      <c r="D62" s="31">
        <f>SUM(D38:D61)</f>
        <v>582.56000000000017</v>
      </c>
    </row>
    <row r="63" spans="1:5" x14ac:dyDescent="0.25">
      <c r="A63" s="32"/>
      <c r="B63" s="34" t="s">
        <v>32</v>
      </c>
      <c r="C63" s="155">
        <f>C62+C36</f>
        <v>27870.559999999994</v>
      </c>
      <c r="D63" s="153">
        <f>D36+D62</f>
        <v>1898.6000000000001</v>
      </c>
      <c r="E63" s="87"/>
    </row>
    <row r="64" spans="1:5" ht="7.5" customHeight="1" x14ac:dyDescent="0.35">
      <c r="A64" s="35"/>
      <c r="B64" s="20"/>
      <c r="D64" s="159"/>
    </row>
    <row r="65" spans="1:6" ht="15" customHeight="1" x14ac:dyDescent="0.25">
      <c r="A65" s="262" t="s">
        <v>45</v>
      </c>
      <c r="B65" s="262"/>
      <c r="C65" s="112">
        <v>330</v>
      </c>
      <c r="D65" s="107">
        <v>20</v>
      </c>
    </row>
    <row r="66" spans="1:6" ht="17.25" customHeight="1" x14ac:dyDescent="0.3">
      <c r="A66" s="262" t="s">
        <v>46</v>
      </c>
      <c r="B66" s="262"/>
      <c r="C66" s="156">
        <f>C63/C65</f>
        <v>84.456242424242404</v>
      </c>
      <c r="D66" s="108">
        <f>D63/D65</f>
        <v>94.93</v>
      </c>
      <c r="F66" s="87"/>
    </row>
    <row r="67" spans="1:6" ht="3.75" customHeight="1" x14ac:dyDescent="0.35">
      <c r="A67" s="20"/>
      <c r="B67" s="103"/>
      <c r="D67" s="159"/>
    </row>
    <row r="68" spans="1:6" x14ac:dyDescent="0.35">
      <c r="A68" s="267" t="s">
        <v>37</v>
      </c>
      <c r="B68" s="268"/>
      <c r="C68" s="157"/>
      <c r="D68" s="119"/>
    </row>
    <row r="69" spans="1:6" x14ac:dyDescent="0.35">
      <c r="A69" s="267" t="s">
        <v>54</v>
      </c>
      <c r="B69" s="268"/>
      <c r="C69" s="157"/>
      <c r="D69" s="119"/>
    </row>
    <row r="70" spans="1:6" ht="5.25" customHeight="1" x14ac:dyDescent="0.35">
      <c r="A70" s="17"/>
      <c r="B70" s="17"/>
      <c r="C70" s="17"/>
      <c r="D70" s="119"/>
    </row>
    <row r="71" spans="1:6" x14ac:dyDescent="0.35">
      <c r="A71" s="17" t="s">
        <v>38</v>
      </c>
      <c r="B71" s="17"/>
      <c r="C71" s="17"/>
      <c r="D71" s="19"/>
    </row>
    <row r="72" spans="1:6" ht="5.25" customHeight="1" x14ac:dyDescent="0.35">
      <c r="A72" s="17"/>
      <c r="B72" s="17"/>
      <c r="C72" s="17"/>
      <c r="D72" s="19"/>
    </row>
    <row r="73" spans="1:6" x14ac:dyDescent="0.35">
      <c r="A73" s="17" t="s">
        <v>177</v>
      </c>
      <c r="B73" s="18"/>
      <c r="C73" s="17"/>
      <c r="D73" s="19"/>
    </row>
    <row r="74" spans="1:6" x14ac:dyDescent="0.35">
      <c r="A74" s="17"/>
      <c r="B74" s="19"/>
      <c r="C74" s="17"/>
      <c r="D74" s="19"/>
    </row>
  </sheetData>
  <mergeCells count="8">
    <mergeCell ref="A68:B68"/>
    <mergeCell ref="A69:B69"/>
    <mergeCell ref="A65:B65"/>
    <mergeCell ref="A66:B66"/>
    <mergeCell ref="A7:C7"/>
    <mergeCell ref="A9:B9"/>
    <mergeCell ref="A10:B10"/>
    <mergeCell ref="B12:C12"/>
  </mergeCells>
  <pageMargins left="0.23622047244094491" right="0.19685039370078741" top="0.47244094488188981" bottom="0" header="0.31496062992125984" footer="0.31496062992125984"/>
  <pageSetup paperSize="9" scale="74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4"/>
  <sheetViews>
    <sheetView topLeftCell="A14" workbookViewId="0">
      <selection activeCell="B24" sqref="B24"/>
    </sheetView>
  </sheetViews>
  <sheetFormatPr defaultColWidth="9.1796875" defaultRowHeight="15.5" x14ac:dyDescent="0.35"/>
  <cols>
    <col min="1" max="1" width="13.26953125" style="13" customWidth="1"/>
    <col min="2" max="2" width="95" style="13" customWidth="1"/>
    <col min="3" max="3" width="24" style="13" hidden="1" customWidth="1"/>
    <col min="4" max="4" width="28.54296875" style="101" customWidth="1"/>
    <col min="5" max="5" width="10.26953125" style="3" customWidth="1"/>
    <col min="6" max="16384" width="9.1796875" style="3"/>
  </cols>
  <sheetData>
    <row r="1" spans="1:4" x14ac:dyDescent="0.35">
      <c r="C1" s="151" t="s">
        <v>35</v>
      </c>
      <c r="D1" s="151" t="s">
        <v>35</v>
      </c>
    </row>
    <row r="2" spans="1:4" x14ac:dyDescent="0.35">
      <c r="C2" s="115" t="s">
        <v>39</v>
      </c>
      <c r="D2" s="115" t="s">
        <v>39</v>
      </c>
    </row>
    <row r="3" spans="1:4" x14ac:dyDescent="0.35">
      <c r="C3" s="152" t="s">
        <v>56</v>
      </c>
      <c r="D3" s="35" t="s">
        <v>56</v>
      </c>
    </row>
    <row r="4" spans="1:4" x14ac:dyDescent="0.35">
      <c r="C4" s="115"/>
      <c r="D4" s="115"/>
    </row>
    <row r="5" spans="1:4" x14ac:dyDescent="0.35">
      <c r="B5" s="114"/>
      <c r="C5" s="115" t="s">
        <v>256</v>
      </c>
      <c r="D5" s="11" t="s">
        <v>282</v>
      </c>
    </row>
    <row r="6" spans="1:4" ht="12" customHeight="1" x14ac:dyDescent="0.35"/>
    <row r="7" spans="1:4" x14ac:dyDescent="0.35">
      <c r="A7" s="263" t="s">
        <v>5</v>
      </c>
      <c r="B7" s="263"/>
      <c r="C7" s="263"/>
      <c r="D7" s="100"/>
    </row>
    <row r="8" spans="1:4" ht="6" customHeight="1" x14ac:dyDescent="0.35">
      <c r="B8" s="135"/>
    </row>
    <row r="9" spans="1:4" ht="15" customHeight="1" x14ac:dyDescent="0.35">
      <c r="A9" s="262" t="s">
        <v>1</v>
      </c>
      <c r="B9" s="262"/>
    </row>
    <row r="10" spans="1:4" ht="15" customHeight="1" x14ac:dyDescent="0.35">
      <c r="A10" s="262" t="s">
        <v>0</v>
      </c>
      <c r="B10" s="262"/>
    </row>
    <row r="11" spans="1:4" x14ac:dyDescent="0.35">
      <c r="A11" s="9"/>
      <c r="B11" s="9" t="s">
        <v>257</v>
      </c>
    </row>
    <row r="12" spans="1:4" x14ac:dyDescent="0.35">
      <c r="A12" s="9"/>
      <c r="B12" s="262" t="s">
        <v>265</v>
      </c>
      <c r="C12" s="262"/>
      <c r="D12" s="100"/>
    </row>
    <row r="13" spans="1:4" x14ac:dyDescent="0.35">
      <c r="A13" s="9"/>
      <c r="B13" s="9" t="s">
        <v>277</v>
      </c>
      <c r="C13" s="9"/>
      <c r="D13" s="100"/>
    </row>
    <row r="14" spans="1:4" x14ac:dyDescent="0.35">
      <c r="A14" s="9" t="s">
        <v>2</v>
      </c>
      <c r="B14" s="9" t="s">
        <v>259</v>
      </c>
    </row>
    <row r="15" spans="1:4" hidden="1" x14ac:dyDescent="0.35">
      <c r="B15" s="124"/>
    </row>
    <row r="16" spans="1:4" ht="67.5" customHeight="1" x14ac:dyDescent="0.25">
      <c r="A16" s="54" t="s">
        <v>3</v>
      </c>
      <c r="B16" s="54" t="s">
        <v>4</v>
      </c>
      <c r="C16" s="54" t="s">
        <v>53</v>
      </c>
      <c r="D16" s="54" t="s">
        <v>53</v>
      </c>
    </row>
    <row r="17" spans="1:4" ht="15" x14ac:dyDescent="0.25">
      <c r="A17" s="22">
        <v>1</v>
      </c>
      <c r="B17" s="23">
        <v>2</v>
      </c>
      <c r="C17" s="22">
        <v>3</v>
      </c>
      <c r="D17" s="22">
        <v>3</v>
      </c>
    </row>
    <row r="18" spans="1:4" x14ac:dyDescent="0.25">
      <c r="A18" s="24"/>
      <c r="B18" s="25" t="s">
        <v>156</v>
      </c>
      <c r="C18" s="27"/>
      <c r="D18" s="26"/>
    </row>
    <row r="19" spans="1:4" ht="15.75" customHeight="1" x14ac:dyDescent="0.35">
      <c r="A19" s="27">
        <v>1100</v>
      </c>
      <c r="B19" s="27" t="s">
        <v>63</v>
      </c>
      <c r="C19" s="154">
        <v>3034.7</v>
      </c>
      <c r="D19" s="93">
        <f>157.5</f>
        <v>157.5</v>
      </c>
    </row>
    <row r="20" spans="1:4" ht="15.75" customHeight="1" x14ac:dyDescent="0.35">
      <c r="A20" s="27">
        <v>1200</v>
      </c>
      <c r="B20" s="29" t="s">
        <v>192</v>
      </c>
      <c r="C20" s="154">
        <v>715.87</v>
      </c>
      <c r="D20" s="159">
        <v>37.94</v>
      </c>
    </row>
    <row r="21" spans="1:4" ht="15.75" customHeight="1" x14ac:dyDescent="0.35">
      <c r="A21" s="27">
        <v>2210</v>
      </c>
      <c r="B21" s="29" t="s">
        <v>142</v>
      </c>
      <c r="C21" s="154">
        <v>153.78</v>
      </c>
      <c r="D21" s="159">
        <v>10.039999999999999</v>
      </c>
    </row>
    <row r="22" spans="1:4" ht="15.75" customHeight="1" x14ac:dyDescent="0.35">
      <c r="A22" s="27">
        <v>2222</v>
      </c>
      <c r="B22" s="29" t="s">
        <v>28</v>
      </c>
      <c r="C22" s="154">
        <v>2549.5700000000002</v>
      </c>
      <c r="D22" s="159">
        <v>216.21</v>
      </c>
    </row>
    <row r="23" spans="1:4" ht="15.75" customHeight="1" x14ac:dyDescent="0.35">
      <c r="A23" s="27">
        <v>2223</v>
      </c>
      <c r="B23" s="29" t="s">
        <v>29</v>
      </c>
      <c r="C23" s="154">
        <v>1184.2</v>
      </c>
      <c r="D23" s="159">
        <v>159.31</v>
      </c>
    </row>
    <row r="24" spans="1:4" ht="30" customHeight="1" x14ac:dyDescent="0.35">
      <c r="A24" s="27">
        <v>2224</v>
      </c>
      <c r="B24" s="129" t="s">
        <v>285</v>
      </c>
      <c r="C24" s="154"/>
      <c r="D24" s="159">
        <v>29.41</v>
      </c>
    </row>
    <row r="25" spans="1:4" x14ac:dyDescent="0.35">
      <c r="A25" s="27">
        <v>2243</v>
      </c>
      <c r="B25" s="129" t="s">
        <v>9</v>
      </c>
      <c r="C25" s="154">
        <v>141.49</v>
      </c>
      <c r="D25" s="159">
        <v>12.87</v>
      </c>
    </row>
    <row r="26" spans="1:4" x14ac:dyDescent="0.35">
      <c r="A26" s="27">
        <v>2244</v>
      </c>
      <c r="B26" s="29" t="s">
        <v>193</v>
      </c>
      <c r="C26" s="154">
        <v>3095.49</v>
      </c>
      <c r="D26" s="159">
        <v>203.91</v>
      </c>
    </row>
    <row r="27" spans="1:4" hidden="1" x14ac:dyDescent="0.35">
      <c r="A27" s="27">
        <v>2250</v>
      </c>
      <c r="B27" s="129" t="s">
        <v>186</v>
      </c>
      <c r="C27" s="154">
        <v>0.94</v>
      </c>
      <c r="D27" s="159"/>
    </row>
    <row r="28" spans="1:4" hidden="1" x14ac:dyDescent="0.35">
      <c r="A28" s="27">
        <v>2261</v>
      </c>
      <c r="B28" s="29" t="s">
        <v>260</v>
      </c>
      <c r="C28" s="154">
        <v>0</v>
      </c>
      <c r="D28" s="159">
        <v>0</v>
      </c>
    </row>
    <row r="29" spans="1:4" x14ac:dyDescent="0.35">
      <c r="A29" s="27">
        <v>2263</v>
      </c>
      <c r="B29" s="29" t="s">
        <v>234</v>
      </c>
      <c r="C29" s="154">
        <v>1311.76</v>
      </c>
      <c r="D29" s="159">
        <v>61.59</v>
      </c>
    </row>
    <row r="30" spans="1:4" x14ac:dyDescent="0.35">
      <c r="A30" s="27">
        <v>2312</v>
      </c>
      <c r="B30" s="29" t="s">
        <v>16</v>
      </c>
      <c r="C30" s="154">
        <v>391.92</v>
      </c>
      <c r="D30" s="159">
        <v>28.84</v>
      </c>
    </row>
    <row r="31" spans="1:4" x14ac:dyDescent="0.35">
      <c r="A31" s="27">
        <v>2321</v>
      </c>
      <c r="B31" s="29" t="s">
        <v>17</v>
      </c>
      <c r="C31" s="154">
        <v>5398.86</v>
      </c>
      <c r="D31" s="159">
        <v>273.57</v>
      </c>
    </row>
    <row r="32" spans="1:4" x14ac:dyDescent="0.35">
      <c r="A32" s="27">
        <v>2350</v>
      </c>
      <c r="B32" s="129" t="s">
        <v>224</v>
      </c>
      <c r="C32" s="154">
        <v>327.51</v>
      </c>
      <c r="D32" s="159">
        <v>34.25</v>
      </c>
    </row>
    <row r="33" spans="1:4" x14ac:dyDescent="0.35">
      <c r="A33" s="27">
        <v>2361</v>
      </c>
      <c r="B33" s="29" t="s">
        <v>261</v>
      </c>
      <c r="C33" s="154">
        <v>274.92</v>
      </c>
      <c r="D33" s="159">
        <v>28.89</v>
      </c>
    </row>
    <row r="34" spans="1:4" x14ac:dyDescent="0.35">
      <c r="A34" s="27">
        <v>2513</v>
      </c>
      <c r="B34" s="29" t="s">
        <v>238</v>
      </c>
      <c r="C34" s="154">
        <v>617.46</v>
      </c>
      <c r="D34" s="159">
        <v>20.86</v>
      </c>
    </row>
    <row r="35" spans="1:4" x14ac:dyDescent="0.35">
      <c r="A35" s="27">
        <v>2519</v>
      </c>
      <c r="B35" s="29" t="s">
        <v>24</v>
      </c>
      <c r="C35" s="154">
        <v>437.23</v>
      </c>
      <c r="D35" s="159">
        <v>14.77</v>
      </c>
    </row>
    <row r="36" spans="1:4" x14ac:dyDescent="0.25">
      <c r="A36" s="27"/>
      <c r="B36" s="30" t="s">
        <v>161</v>
      </c>
      <c r="C36" s="155">
        <f>SUM(C19:C35)</f>
        <v>19635.699999999993</v>
      </c>
      <c r="D36" s="31">
        <f>SUM(D19:D35)</f>
        <v>1289.96</v>
      </c>
    </row>
    <row r="37" spans="1:4" x14ac:dyDescent="0.25">
      <c r="A37" s="32"/>
      <c r="B37" s="27" t="s">
        <v>162</v>
      </c>
      <c r="C37" s="154"/>
      <c r="D37" s="28"/>
    </row>
    <row r="38" spans="1:4" x14ac:dyDescent="0.35">
      <c r="A38" s="27">
        <v>1100</v>
      </c>
      <c r="B38" s="27" t="s">
        <v>63</v>
      </c>
      <c r="C38" s="154">
        <v>2930.86</v>
      </c>
      <c r="D38" s="93">
        <v>196.2</v>
      </c>
    </row>
    <row r="39" spans="1:4" ht="15.75" customHeight="1" x14ac:dyDescent="0.35">
      <c r="A39" s="27">
        <v>1200</v>
      </c>
      <c r="B39" s="29" t="s">
        <v>192</v>
      </c>
      <c r="C39" s="154">
        <v>691.39</v>
      </c>
      <c r="D39" s="159">
        <v>47.26</v>
      </c>
    </row>
    <row r="40" spans="1:4" ht="15.75" customHeight="1" x14ac:dyDescent="0.35">
      <c r="A40" s="27">
        <v>2210</v>
      </c>
      <c r="B40" s="29" t="s">
        <v>142</v>
      </c>
      <c r="C40" s="154">
        <v>28.33</v>
      </c>
      <c r="D40" s="159">
        <v>4.99</v>
      </c>
    </row>
    <row r="41" spans="1:4" x14ac:dyDescent="0.35">
      <c r="A41" s="27">
        <v>2234</v>
      </c>
      <c r="B41" s="29" t="s">
        <v>287</v>
      </c>
      <c r="C41" s="154">
        <v>6.5</v>
      </c>
      <c r="D41" s="159">
        <v>0.51</v>
      </c>
    </row>
    <row r="42" spans="1:4" ht="15.75" customHeight="1" x14ac:dyDescent="0.35">
      <c r="A42" s="27">
        <v>2239</v>
      </c>
      <c r="B42" s="29" t="s">
        <v>145</v>
      </c>
      <c r="C42" s="154">
        <v>35.14</v>
      </c>
      <c r="D42" s="159">
        <v>2.0099999999999998</v>
      </c>
    </row>
    <row r="43" spans="1:4" x14ac:dyDescent="0.35">
      <c r="A43" s="27">
        <v>2241</v>
      </c>
      <c r="B43" s="129" t="s">
        <v>215</v>
      </c>
      <c r="C43" s="154">
        <v>7.36</v>
      </c>
      <c r="D43" s="159">
        <v>0.57999999999999996</v>
      </c>
    </row>
    <row r="44" spans="1:4" x14ac:dyDescent="0.35">
      <c r="A44" s="27">
        <v>2242</v>
      </c>
      <c r="B44" s="29" t="s">
        <v>8</v>
      </c>
      <c r="C44" s="154">
        <v>28.64</v>
      </c>
      <c r="D44" s="159">
        <v>1.62</v>
      </c>
    </row>
    <row r="45" spans="1:4" x14ac:dyDescent="0.35">
      <c r="A45" s="27">
        <v>2243</v>
      </c>
      <c r="B45" s="129" t="s">
        <v>9</v>
      </c>
      <c r="C45" s="154">
        <v>28.09</v>
      </c>
      <c r="D45" s="159">
        <v>3.64</v>
      </c>
    </row>
    <row r="46" spans="1:4" x14ac:dyDescent="0.35">
      <c r="A46" s="27">
        <v>2244</v>
      </c>
      <c r="B46" s="29" t="s">
        <v>193</v>
      </c>
      <c r="C46" s="154">
        <v>5.95</v>
      </c>
      <c r="D46" s="159">
        <v>2.37</v>
      </c>
    </row>
    <row r="47" spans="1:4" x14ac:dyDescent="0.35">
      <c r="A47" s="27">
        <v>2250</v>
      </c>
      <c r="B47" s="129" t="s">
        <v>186</v>
      </c>
      <c r="C47" s="154">
        <v>64.95</v>
      </c>
      <c r="D47" s="159">
        <v>5.32</v>
      </c>
    </row>
    <row r="48" spans="1:4" x14ac:dyDescent="0.35">
      <c r="A48" s="27">
        <v>2262</v>
      </c>
      <c r="B48" s="29" t="s">
        <v>12</v>
      </c>
      <c r="C48" s="154">
        <v>68.319999999999993</v>
      </c>
      <c r="D48" s="93">
        <v>3.9</v>
      </c>
    </row>
    <row r="49" spans="1:4" x14ac:dyDescent="0.35">
      <c r="A49" s="27">
        <v>2264</v>
      </c>
      <c r="B49" s="29" t="s">
        <v>262</v>
      </c>
      <c r="C49" s="154">
        <v>0.63</v>
      </c>
      <c r="D49" s="93">
        <v>0.08</v>
      </c>
    </row>
    <row r="50" spans="1:4" x14ac:dyDescent="0.35">
      <c r="A50" s="27">
        <v>2311</v>
      </c>
      <c r="B50" s="29" t="s">
        <v>15</v>
      </c>
      <c r="C50" s="154">
        <v>37.33</v>
      </c>
      <c r="D50" s="93">
        <v>3.9</v>
      </c>
    </row>
    <row r="51" spans="1:4" x14ac:dyDescent="0.35">
      <c r="A51" s="27">
        <v>2312</v>
      </c>
      <c r="B51" s="29" t="s">
        <v>16</v>
      </c>
      <c r="C51" s="154">
        <v>8.4499999999999993</v>
      </c>
      <c r="D51" s="93">
        <v>2.84</v>
      </c>
    </row>
    <row r="52" spans="1:4" x14ac:dyDescent="0.35">
      <c r="A52" s="27">
        <v>2321</v>
      </c>
      <c r="B52" s="29" t="s">
        <v>17</v>
      </c>
      <c r="C52" s="154"/>
      <c r="D52" s="93">
        <v>2.59</v>
      </c>
    </row>
    <row r="53" spans="1:4" x14ac:dyDescent="0.35">
      <c r="A53" s="27">
        <v>2322</v>
      </c>
      <c r="B53" s="29" t="s">
        <v>18</v>
      </c>
      <c r="C53" s="154">
        <v>174.59</v>
      </c>
      <c r="D53" s="159">
        <v>10.92</v>
      </c>
    </row>
    <row r="54" spans="1:4" x14ac:dyDescent="0.35">
      <c r="A54" s="27">
        <v>2350</v>
      </c>
      <c r="B54" s="129" t="s">
        <v>224</v>
      </c>
      <c r="C54" s="154">
        <v>174.28</v>
      </c>
      <c r="D54" s="159">
        <v>13.66</v>
      </c>
    </row>
    <row r="55" spans="1:4" x14ac:dyDescent="0.35">
      <c r="A55" s="27">
        <v>2361</v>
      </c>
      <c r="B55" s="29" t="s">
        <v>20</v>
      </c>
      <c r="C55" s="154">
        <v>53.45</v>
      </c>
      <c r="D55" s="93">
        <v>4.1900000000000004</v>
      </c>
    </row>
    <row r="56" spans="1:4" x14ac:dyDescent="0.35">
      <c r="A56" s="27">
        <v>2512</v>
      </c>
      <c r="B56" s="29" t="s">
        <v>201</v>
      </c>
      <c r="C56" s="154">
        <v>3060.16</v>
      </c>
      <c r="D56" s="93">
        <v>195.6</v>
      </c>
    </row>
    <row r="57" spans="1:4" x14ac:dyDescent="0.35">
      <c r="A57" s="27">
        <v>2515</v>
      </c>
      <c r="B57" s="29" t="s">
        <v>58</v>
      </c>
      <c r="C57" s="154">
        <v>11.97</v>
      </c>
      <c r="D57" s="159">
        <v>0.94</v>
      </c>
    </row>
    <row r="58" spans="1:4" x14ac:dyDescent="0.35">
      <c r="A58" s="27">
        <v>2519</v>
      </c>
      <c r="B58" s="29" t="s">
        <v>24</v>
      </c>
      <c r="C58" s="154">
        <v>0.55000000000000004</v>
      </c>
      <c r="D58" s="159">
        <v>0.06</v>
      </c>
    </row>
    <row r="59" spans="1:4" x14ac:dyDescent="0.35">
      <c r="A59" s="27">
        <v>5120</v>
      </c>
      <c r="B59" s="29" t="s">
        <v>288</v>
      </c>
      <c r="C59" s="154"/>
      <c r="D59" s="159">
        <v>5.41</v>
      </c>
    </row>
    <row r="60" spans="1:4" x14ac:dyDescent="0.35">
      <c r="A60" s="27">
        <v>5239</v>
      </c>
      <c r="B60" s="29" t="s">
        <v>57</v>
      </c>
      <c r="C60" s="154">
        <v>480.39</v>
      </c>
      <c r="D60" s="159">
        <v>15.23</v>
      </c>
    </row>
    <row r="61" spans="1:4" x14ac:dyDescent="0.35">
      <c r="A61" s="27">
        <v>5250</v>
      </c>
      <c r="B61" s="29" t="s">
        <v>263</v>
      </c>
      <c r="C61" s="154">
        <v>337.53</v>
      </c>
      <c r="D61" s="159">
        <v>11.42</v>
      </c>
    </row>
    <row r="62" spans="1:4" x14ac:dyDescent="0.25">
      <c r="A62" s="32"/>
      <c r="B62" s="34" t="s">
        <v>175</v>
      </c>
      <c r="C62" s="155">
        <f>SUM(C38:C61)</f>
        <v>8234.86</v>
      </c>
      <c r="D62" s="31">
        <f>SUM(D38:D61)</f>
        <v>535.2399999999999</v>
      </c>
    </row>
    <row r="63" spans="1:4" x14ac:dyDescent="0.25">
      <c r="A63" s="32"/>
      <c r="B63" s="34" t="s">
        <v>32</v>
      </c>
      <c r="C63" s="155">
        <f>C62+C36</f>
        <v>27870.559999999994</v>
      </c>
      <c r="D63" s="153">
        <f>D36+D62</f>
        <v>1825.1999999999998</v>
      </c>
    </row>
    <row r="64" spans="1:4" ht="8.25" customHeight="1" x14ac:dyDescent="0.35">
      <c r="A64" s="35"/>
      <c r="B64" s="20"/>
      <c r="D64" s="159"/>
    </row>
    <row r="65" spans="1:4" ht="15" customHeight="1" x14ac:dyDescent="0.25">
      <c r="A65" s="262" t="s">
        <v>45</v>
      </c>
      <c r="B65" s="262"/>
      <c r="C65" s="112">
        <v>330</v>
      </c>
      <c r="D65" s="107">
        <v>30</v>
      </c>
    </row>
    <row r="66" spans="1:4" ht="18" customHeight="1" x14ac:dyDescent="0.3">
      <c r="A66" s="262" t="s">
        <v>46</v>
      </c>
      <c r="B66" s="262"/>
      <c r="C66" s="156">
        <f>C63/C65</f>
        <v>84.456242424242404</v>
      </c>
      <c r="D66" s="108">
        <f>D63/D65</f>
        <v>60.839999999999996</v>
      </c>
    </row>
    <row r="67" spans="1:4" ht="6.75" customHeight="1" x14ac:dyDescent="0.35">
      <c r="A67" s="20"/>
      <c r="B67" s="103"/>
      <c r="D67" s="159"/>
    </row>
    <row r="68" spans="1:4" x14ac:dyDescent="0.35">
      <c r="A68" s="267" t="s">
        <v>37</v>
      </c>
      <c r="B68" s="268"/>
      <c r="C68" s="157"/>
      <c r="D68" s="119"/>
    </row>
    <row r="69" spans="1:4" x14ac:dyDescent="0.35">
      <c r="A69" s="267" t="s">
        <v>54</v>
      </c>
      <c r="B69" s="268"/>
      <c r="C69" s="157"/>
      <c r="D69" s="119"/>
    </row>
    <row r="70" spans="1:4" ht="5.25" customHeight="1" x14ac:dyDescent="0.35">
      <c r="A70" s="17"/>
      <c r="B70" s="17"/>
      <c r="C70" s="17"/>
      <c r="D70" s="119"/>
    </row>
    <row r="71" spans="1:4" x14ac:dyDescent="0.35">
      <c r="A71" s="17" t="s">
        <v>38</v>
      </c>
      <c r="B71" s="17"/>
      <c r="C71" s="17"/>
      <c r="D71" s="19"/>
    </row>
    <row r="72" spans="1:4" ht="6.75" customHeight="1" x14ac:dyDescent="0.35">
      <c r="A72" s="17"/>
      <c r="B72" s="17"/>
      <c r="C72" s="17"/>
      <c r="D72" s="19"/>
    </row>
    <row r="73" spans="1:4" x14ac:dyDescent="0.35">
      <c r="A73" s="17" t="s">
        <v>177</v>
      </c>
      <c r="B73" s="18"/>
      <c r="C73" s="17"/>
      <c r="D73" s="19"/>
    </row>
    <row r="74" spans="1:4" x14ac:dyDescent="0.35">
      <c r="A74" s="17"/>
      <c r="B74" s="19"/>
      <c r="C74" s="17"/>
      <c r="D74" s="19"/>
    </row>
  </sheetData>
  <mergeCells count="8">
    <mergeCell ref="A68:B68"/>
    <mergeCell ref="A69:B69"/>
    <mergeCell ref="A65:B65"/>
    <mergeCell ref="A66:B66"/>
    <mergeCell ref="A7:C7"/>
    <mergeCell ref="A9:B9"/>
    <mergeCell ref="A10:B10"/>
    <mergeCell ref="B12:C12"/>
  </mergeCells>
  <pageMargins left="0.19685039370078741" right="0.19685039370078741" top="0.31496062992125984" bottom="0" header="0.31496062992125984" footer="0.31496062992125984"/>
  <pageSetup paperSize="9" scale="74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topLeftCell="A17" workbookViewId="0">
      <selection activeCell="B23" sqref="B23"/>
    </sheetView>
  </sheetViews>
  <sheetFormatPr defaultColWidth="9.1796875" defaultRowHeight="15.5" x14ac:dyDescent="0.35"/>
  <cols>
    <col min="1" max="1" width="13.453125" style="13" customWidth="1"/>
    <col min="2" max="2" width="94.54296875" style="13" customWidth="1"/>
    <col min="3" max="3" width="24" style="13" hidden="1" customWidth="1"/>
    <col min="4" max="4" width="28.54296875" style="101" customWidth="1"/>
    <col min="5" max="16384" width="9.1796875" style="3"/>
  </cols>
  <sheetData>
    <row r="1" spans="1:4" x14ac:dyDescent="0.35">
      <c r="C1" s="151" t="s">
        <v>35</v>
      </c>
      <c r="D1" s="151" t="s">
        <v>35</v>
      </c>
    </row>
    <row r="2" spans="1:4" x14ac:dyDescent="0.35">
      <c r="C2" s="115" t="s">
        <v>39</v>
      </c>
      <c r="D2" s="115" t="s">
        <v>39</v>
      </c>
    </row>
    <row r="3" spans="1:4" x14ac:dyDescent="0.35">
      <c r="C3" s="152" t="s">
        <v>56</v>
      </c>
      <c r="D3" s="35" t="s">
        <v>56</v>
      </c>
    </row>
    <row r="4" spans="1:4" x14ac:dyDescent="0.35">
      <c r="C4" s="115"/>
      <c r="D4" s="115"/>
    </row>
    <row r="5" spans="1:4" x14ac:dyDescent="0.35">
      <c r="B5" s="114"/>
      <c r="C5" s="115" t="s">
        <v>256</v>
      </c>
      <c r="D5" s="11" t="s">
        <v>282</v>
      </c>
    </row>
    <row r="7" spans="1:4" x14ac:dyDescent="0.35">
      <c r="A7" s="263" t="s">
        <v>5</v>
      </c>
      <c r="B7" s="263"/>
      <c r="C7" s="263"/>
      <c r="D7" s="100"/>
    </row>
    <row r="8" spans="1:4" ht="12.75" customHeight="1" x14ac:dyDescent="0.35">
      <c r="B8" s="135"/>
    </row>
    <row r="9" spans="1:4" ht="15" customHeight="1" x14ac:dyDescent="0.35">
      <c r="A9" s="262" t="s">
        <v>1</v>
      </c>
      <c r="B9" s="262"/>
    </row>
    <row r="10" spans="1:4" ht="15" customHeight="1" x14ac:dyDescent="0.35">
      <c r="A10" s="262" t="s">
        <v>0</v>
      </c>
      <c r="B10" s="262"/>
    </row>
    <row r="11" spans="1:4" x14ac:dyDescent="0.35">
      <c r="A11" s="9"/>
      <c r="B11" s="9" t="s">
        <v>257</v>
      </c>
    </row>
    <row r="12" spans="1:4" x14ac:dyDescent="0.35">
      <c r="A12" s="9"/>
      <c r="B12" s="262" t="s">
        <v>289</v>
      </c>
      <c r="C12" s="262"/>
      <c r="D12" s="100"/>
    </row>
    <row r="13" spans="1:4" ht="8.25" customHeight="1" x14ac:dyDescent="0.35">
      <c r="A13" s="9"/>
      <c r="B13" s="9"/>
      <c r="C13" s="9"/>
      <c r="D13" s="100"/>
    </row>
    <row r="14" spans="1:4" x14ac:dyDescent="0.35">
      <c r="A14" s="9" t="s">
        <v>2</v>
      </c>
      <c r="B14" s="9" t="s">
        <v>259</v>
      </c>
    </row>
    <row r="15" spans="1:4" hidden="1" x14ac:dyDescent="0.35">
      <c r="B15" s="124"/>
    </row>
    <row r="16" spans="1:4" ht="67.5" customHeight="1" x14ac:dyDescent="0.25">
      <c r="A16" s="54" t="s">
        <v>3</v>
      </c>
      <c r="B16" s="54" t="s">
        <v>4</v>
      </c>
      <c r="C16" s="54" t="s">
        <v>53</v>
      </c>
      <c r="D16" s="54" t="s">
        <v>53</v>
      </c>
    </row>
    <row r="17" spans="1:4" ht="15" x14ac:dyDescent="0.25">
      <c r="A17" s="22">
        <v>1</v>
      </c>
      <c r="B17" s="23">
        <v>2</v>
      </c>
      <c r="C17" s="22">
        <v>3</v>
      </c>
      <c r="D17" s="22">
        <v>3</v>
      </c>
    </row>
    <row r="18" spans="1:4" x14ac:dyDescent="0.25">
      <c r="A18" s="24"/>
      <c r="B18" s="25" t="s">
        <v>156</v>
      </c>
      <c r="C18" s="27"/>
      <c r="D18" s="26"/>
    </row>
    <row r="19" spans="1:4" ht="17.25" customHeight="1" x14ac:dyDescent="0.35">
      <c r="A19" s="27">
        <v>1100</v>
      </c>
      <c r="B19" s="27" t="s">
        <v>63</v>
      </c>
      <c r="C19" s="154">
        <v>3034.7</v>
      </c>
      <c r="D19" s="93">
        <v>192.49</v>
      </c>
    </row>
    <row r="20" spans="1:4" ht="15" customHeight="1" x14ac:dyDescent="0.35">
      <c r="A20" s="27">
        <v>1200</v>
      </c>
      <c r="B20" s="29" t="s">
        <v>192</v>
      </c>
      <c r="C20" s="154">
        <v>715.87</v>
      </c>
      <c r="D20" s="93">
        <v>46.37</v>
      </c>
    </row>
    <row r="21" spans="1:4" ht="15.75" customHeight="1" x14ac:dyDescent="0.35">
      <c r="A21" s="27">
        <v>2210</v>
      </c>
      <c r="B21" s="29" t="s">
        <v>142</v>
      </c>
      <c r="C21" s="154">
        <v>153.78</v>
      </c>
      <c r="D21" s="93">
        <v>8.8800000000000008</v>
      </c>
    </row>
    <row r="22" spans="1:4" ht="15.75" customHeight="1" x14ac:dyDescent="0.35">
      <c r="A22" s="27">
        <v>2222</v>
      </c>
      <c r="B22" s="29" t="s">
        <v>28</v>
      </c>
      <c r="C22" s="154">
        <v>2549.5700000000002</v>
      </c>
      <c r="D22" s="93">
        <v>198.09</v>
      </c>
    </row>
    <row r="23" spans="1:4" ht="31.5" customHeight="1" x14ac:dyDescent="0.35">
      <c r="A23" s="27">
        <v>2224</v>
      </c>
      <c r="B23" s="129" t="s">
        <v>285</v>
      </c>
      <c r="C23" s="154"/>
      <c r="D23" s="93">
        <v>33.53</v>
      </c>
    </row>
    <row r="24" spans="1:4" ht="15.75" customHeight="1" x14ac:dyDescent="0.35">
      <c r="A24" s="27">
        <v>2223</v>
      </c>
      <c r="B24" s="29" t="s">
        <v>29</v>
      </c>
      <c r="C24" s="154">
        <v>1184.2</v>
      </c>
      <c r="D24" s="93">
        <v>114.85</v>
      </c>
    </row>
    <row r="25" spans="1:4" x14ac:dyDescent="0.35">
      <c r="A25" s="27">
        <v>2243</v>
      </c>
      <c r="B25" s="129" t="s">
        <v>9</v>
      </c>
      <c r="C25" s="154">
        <v>141.49</v>
      </c>
      <c r="D25" s="93">
        <v>8.17</v>
      </c>
    </row>
    <row r="26" spans="1:4" x14ac:dyDescent="0.35">
      <c r="A26" s="27">
        <v>2244</v>
      </c>
      <c r="B26" s="29" t="s">
        <v>193</v>
      </c>
      <c r="C26" s="154">
        <v>3095.49</v>
      </c>
      <c r="D26" s="93">
        <v>228.87</v>
      </c>
    </row>
    <row r="27" spans="1:4" hidden="1" x14ac:dyDescent="0.35">
      <c r="A27" s="27">
        <v>2261</v>
      </c>
      <c r="B27" s="29" t="s">
        <v>260</v>
      </c>
      <c r="C27" s="154">
        <v>0</v>
      </c>
      <c r="D27" s="93"/>
    </row>
    <row r="28" spans="1:4" x14ac:dyDescent="0.35">
      <c r="A28" s="27">
        <v>2263</v>
      </c>
      <c r="B28" s="29" t="s">
        <v>234</v>
      </c>
      <c r="C28" s="154">
        <v>1311.76</v>
      </c>
      <c r="D28" s="93">
        <v>105.33</v>
      </c>
    </row>
    <row r="29" spans="1:4" x14ac:dyDescent="0.35">
      <c r="A29" s="27">
        <v>2312</v>
      </c>
      <c r="B29" s="29" t="s">
        <v>16</v>
      </c>
      <c r="C29" s="154">
        <v>391.92</v>
      </c>
      <c r="D29" s="93">
        <v>22.64</v>
      </c>
    </row>
    <row r="30" spans="1:4" x14ac:dyDescent="0.35">
      <c r="A30" s="27">
        <v>2321</v>
      </c>
      <c r="B30" s="29" t="s">
        <v>17</v>
      </c>
      <c r="C30" s="154">
        <v>5398.86</v>
      </c>
      <c r="D30" s="93">
        <v>354.69</v>
      </c>
    </row>
    <row r="31" spans="1:4" x14ac:dyDescent="0.35">
      <c r="A31" s="27">
        <v>2350</v>
      </c>
      <c r="B31" s="129" t="s">
        <v>224</v>
      </c>
      <c r="C31" s="154">
        <v>327.51</v>
      </c>
      <c r="D31" s="159">
        <v>18.920000000000002</v>
      </c>
    </row>
    <row r="32" spans="1:4" x14ac:dyDescent="0.35">
      <c r="A32" s="27">
        <v>2361</v>
      </c>
      <c r="B32" s="29" t="s">
        <v>261</v>
      </c>
      <c r="C32" s="154">
        <v>274.92</v>
      </c>
      <c r="D32" s="159">
        <v>15.89</v>
      </c>
    </row>
    <row r="33" spans="1:4" x14ac:dyDescent="0.35">
      <c r="A33" s="27">
        <v>2513</v>
      </c>
      <c r="B33" s="29" t="s">
        <v>238</v>
      </c>
      <c r="C33" s="154">
        <v>617.46</v>
      </c>
      <c r="D33" s="159">
        <v>35.67</v>
      </c>
    </row>
    <row r="34" spans="1:4" x14ac:dyDescent="0.35">
      <c r="A34" s="27">
        <v>2519</v>
      </c>
      <c r="B34" s="29" t="s">
        <v>24</v>
      </c>
      <c r="C34" s="154">
        <v>437.23</v>
      </c>
      <c r="D34" s="159">
        <v>25.26</v>
      </c>
    </row>
    <row r="35" spans="1:4" x14ac:dyDescent="0.25">
      <c r="A35" s="27"/>
      <c r="B35" s="30" t="s">
        <v>161</v>
      </c>
      <c r="C35" s="155">
        <f>SUM(C19:C34)</f>
        <v>19634.759999999995</v>
      </c>
      <c r="D35" s="31">
        <f>SUM(D19:D34)</f>
        <v>1409.6500000000003</v>
      </c>
    </row>
    <row r="36" spans="1:4" x14ac:dyDescent="0.25">
      <c r="A36" s="32"/>
      <c r="B36" s="27" t="s">
        <v>162</v>
      </c>
      <c r="C36" s="154"/>
      <c r="D36" s="28"/>
    </row>
    <row r="37" spans="1:4" x14ac:dyDescent="0.35">
      <c r="A37" s="27">
        <v>1100</v>
      </c>
      <c r="B37" s="27" t="s">
        <v>63</v>
      </c>
      <c r="C37" s="154">
        <v>2930.86</v>
      </c>
      <c r="D37" s="93">
        <v>190.4</v>
      </c>
    </row>
    <row r="38" spans="1:4" ht="15.75" customHeight="1" x14ac:dyDescent="0.35">
      <c r="A38" s="27">
        <v>1200</v>
      </c>
      <c r="B38" s="29" t="s">
        <v>192</v>
      </c>
      <c r="C38" s="154">
        <v>691.39</v>
      </c>
      <c r="D38" s="159">
        <v>45.87</v>
      </c>
    </row>
    <row r="39" spans="1:4" ht="15.75" customHeight="1" x14ac:dyDescent="0.35">
      <c r="A39" s="27">
        <v>2210</v>
      </c>
      <c r="B39" s="29" t="s">
        <v>142</v>
      </c>
      <c r="C39" s="154">
        <v>28.33</v>
      </c>
      <c r="D39" s="159">
        <v>3.91</v>
      </c>
    </row>
    <row r="40" spans="1:4" x14ac:dyDescent="0.35">
      <c r="A40" s="27">
        <v>2234</v>
      </c>
      <c r="B40" s="29" t="s">
        <v>287</v>
      </c>
      <c r="C40" s="154">
        <v>6.5</v>
      </c>
      <c r="D40" s="159">
        <v>0.42</v>
      </c>
    </row>
    <row r="41" spans="1:4" ht="15.75" customHeight="1" x14ac:dyDescent="0.35">
      <c r="A41" s="27">
        <v>2239</v>
      </c>
      <c r="B41" s="29" t="s">
        <v>145</v>
      </c>
      <c r="C41" s="154">
        <v>35.14</v>
      </c>
      <c r="D41" s="159">
        <v>2.29</v>
      </c>
    </row>
    <row r="42" spans="1:4" x14ac:dyDescent="0.35">
      <c r="A42" s="27">
        <v>2241</v>
      </c>
      <c r="B42" s="129" t="s">
        <v>215</v>
      </c>
      <c r="C42" s="154">
        <v>7.36</v>
      </c>
      <c r="D42" s="159">
        <v>0.48</v>
      </c>
    </row>
    <row r="43" spans="1:4" x14ac:dyDescent="0.35">
      <c r="A43" s="27">
        <v>2242</v>
      </c>
      <c r="B43" s="29" t="s">
        <v>8</v>
      </c>
      <c r="C43" s="154">
        <v>28.64</v>
      </c>
      <c r="D43" s="159">
        <v>1.86</v>
      </c>
    </row>
    <row r="44" spans="1:4" x14ac:dyDescent="0.35">
      <c r="A44" s="27">
        <v>2243</v>
      </c>
      <c r="B44" s="129" t="s">
        <v>9</v>
      </c>
      <c r="C44" s="154">
        <v>28.09</v>
      </c>
      <c r="D44" s="159">
        <v>1.83</v>
      </c>
    </row>
    <row r="45" spans="1:4" x14ac:dyDescent="0.35">
      <c r="A45" s="27">
        <v>2244</v>
      </c>
      <c r="B45" s="29" t="s">
        <v>193</v>
      </c>
      <c r="C45" s="154">
        <v>5.95</v>
      </c>
      <c r="D45" s="93">
        <v>0.6</v>
      </c>
    </row>
    <row r="46" spans="1:4" x14ac:dyDescent="0.35">
      <c r="A46" s="27">
        <v>2250</v>
      </c>
      <c r="B46" s="129" t="s">
        <v>186</v>
      </c>
      <c r="C46" s="154">
        <v>64.95</v>
      </c>
      <c r="D46" s="159">
        <v>7.04</v>
      </c>
    </row>
    <row r="47" spans="1:4" x14ac:dyDescent="0.35">
      <c r="A47" s="27">
        <v>2262</v>
      </c>
      <c r="B47" s="29" t="s">
        <v>12</v>
      </c>
      <c r="C47" s="154">
        <v>68.319999999999993</v>
      </c>
      <c r="D47" s="159">
        <v>4.46</v>
      </c>
    </row>
    <row r="48" spans="1:4" x14ac:dyDescent="0.35">
      <c r="A48" s="27">
        <v>2264</v>
      </c>
      <c r="B48" s="29" t="s">
        <v>262</v>
      </c>
      <c r="C48" s="154">
        <v>0.63</v>
      </c>
      <c r="D48" s="93">
        <v>0.04</v>
      </c>
    </row>
    <row r="49" spans="1:4" x14ac:dyDescent="0.35">
      <c r="A49" s="27">
        <v>2311</v>
      </c>
      <c r="B49" s="29" t="s">
        <v>15</v>
      </c>
      <c r="C49" s="154">
        <v>37.33</v>
      </c>
      <c r="D49" s="93">
        <v>2.4300000000000002</v>
      </c>
    </row>
    <row r="50" spans="1:4" x14ac:dyDescent="0.35">
      <c r="A50" s="27">
        <v>2312</v>
      </c>
      <c r="B50" s="29" t="s">
        <v>16</v>
      </c>
      <c r="C50" s="154">
        <v>8.4499999999999993</v>
      </c>
      <c r="D50" s="159">
        <v>0.55000000000000004</v>
      </c>
    </row>
    <row r="51" spans="1:4" x14ac:dyDescent="0.35">
      <c r="A51" s="27">
        <v>2321</v>
      </c>
      <c r="B51" s="29" t="s">
        <v>17</v>
      </c>
      <c r="C51" s="154"/>
      <c r="D51" s="93">
        <v>5.25</v>
      </c>
    </row>
    <row r="52" spans="1:4" x14ac:dyDescent="0.35">
      <c r="A52" s="27">
        <v>2322</v>
      </c>
      <c r="B52" s="29" t="s">
        <v>18</v>
      </c>
      <c r="C52" s="154">
        <v>174.59</v>
      </c>
      <c r="D52" s="159">
        <v>6.38</v>
      </c>
    </row>
    <row r="53" spans="1:4" x14ac:dyDescent="0.35">
      <c r="A53" s="27">
        <v>2350</v>
      </c>
      <c r="B53" s="129" t="s">
        <v>224</v>
      </c>
      <c r="C53" s="154">
        <v>174.28</v>
      </c>
      <c r="D53" s="159">
        <v>11.37</v>
      </c>
    </row>
    <row r="54" spans="1:4" x14ac:dyDescent="0.35">
      <c r="A54" s="27">
        <v>2361</v>
      </c>
      <c r="B54" s="29" t="s">
        <v>20</v>
      </c>
      <c r="C54" s="154">
        <v>53.45</v>
      </c>
      <c r="D54" s="159">
        <v>3.48</v>
      </c>
    </row>
    <row r="55" spans="1:4" x14ac:dyDescent="0.35">
      <c r="A55" s="27">
        <v>2512</v>
      </c>
      <c r="B55" s="29" t="s">
        <v>201</v>
      </c>
      <c r="C55" s="154">
        <v>3060.16</v>
      </c>
      <c r="D55" s="159">
        <v>210.65</v>
      </c>
    </row>
    <row r="56" spans="1:4" x14ac:dyDescent="0.35">
      <c r="A56" s="27">
        <v>2515</v>
      </c>
      <c r="B56" s="29" t="s">
        <v>58</v>
      </c>
      <c r="C56" s="154">
        <v>11.97</v>
      </c>
      <c r="D56" s="159">
        <v>0.78</v>
      </c>
    </row>
    <row r="57" spans="1:4" x14ac:dyDescent="0.35">
      <c r="A57" s="27">
        <v>2519</v>
      </c>
      <c r="B57" s="29" t="s">
        <v>24</v>
      </c>
      <c r="C57" s="154">
        <v>0.55000000000000004</v>
      </c>
      <c r="D57" s="159">
        <v>0.04</v>
      </c>
    </row>
    <row r="58" spans="1:4" x14ac:dyDescent="0.35">
      <c r="A58" s="27">
        <v>5120</v>
      </c>
      <c r="B58" s="29" t="s">
        <v>288</v>
      </c>
      <c r="C58" s="154"/>
      <c r="D58" s="159">
        <v>4.22</v>
      </c>
    </row>
    <row r="59" spans="1:4" x14ac:dyDescent="0.35">
      <c r="A59" s="27">
        <v>5239</v>
      </c>
      <c r="B59" s="29" t="s">
        <v>57</v>
      </c>
      <c r="C59" s="154">
        <v>480.39</v>
      </c>
      <c r="D59" s="159">
        <v>29.38</v>
      </c>
    </row>
    <row r="60" spans="1:4" x14ac:dyDescent="0.35">
      <c r="A60" s="27">
        <v>5250</v>
      </c>
      <c r="B60" s="29" t="s">
        <v>263</v>
      </c>
      <c r="C60" s="154">
        <v>337.53</v>
      </c>
      <c r="D60" s="159">
        <v>22.67</v>
      </c>
    </row>
    <row r="61" spans="1:4" x14ac:dyDescent="0.25">
      <c r="A61" s="32"/>
      <c r="B61" s="34" t="s">
        <v>175</v>
      </c>
      <c r="C61" s="155">
        <f>SUM(C37:C60)</f>
        <v>8234.86</v>
      </c>
      <c r="D61" s="31">
        <f>SUM(D37:D60)</f>
        <v>556.40000000000009</v>
      </c>
    </row>
    <row r="62" spans="1:4" x14ac:dyDescent="0.25">
      <c r="A62" s="32"/>
      <c r="B62" s="34" t="s">
        <v>32</v>
      </c>
      <c r="C62" s="155">
        <f>C61+C35</f>
        <v>27869.619999999995</v>
      </c>
      <c r="D62" s="153">
        <f>D35+D61</f>
        <v>1966.0500000000004</v>
      </c>
    </row>
    <row r="63" spans="1:4" ht="9" customHeight="1" x14ac:dyDescent="0.35">
      <c r="A63" s="35"/>
      <c r="B63" s="20"/>
      <c r="D63" s="159"/>
    </row>
    <row r="64" spans="1:4" ht="15" customHeight="1" x14ac:dyDescent="0.25">
      <c r="A64" s="262" t="s">
        <v>45</v>
      </c>
      <c r="B64" s="262"/>
      <c r="C64" s="112">
        <v>330</v>
      </c>
      <c r="D64" s="107">
        <v>5</v>
      </c>
    </row>
    <row r="65" spans="1:6" x14ac:dyDescent="0.3">
      <c r="A65" s="262" t="s">
        <v>46</v>
      </c>
      <c r="B65" s="262"/>
      <c r="C65" s="156">
        <f>C62/C64</f>
        <v>84.453393939393919</v>
      </c>
      <c r="D65" s="108">
        <f>D62/D64</f>
        <v>393.21000000000009</v>
      </c>
      <c r="F65" s="87"/>
    </row>
    <row r="66" spans="1:6" ht="8.25" customHeight="1" x14ac:dyDescent="0.35">
      <c r="A66" s="20"/>
      <c r="B66" s="103"/>
      <c r="D66" s="159"/>
    </row>
    <row r="67" spans="1:6" ht="15.75" customHeight="1" x14ac:dyDescent="0.35">
      <c r="A67" s="267" t="s">
        <v>37</v>
      </c>
      <c r="B67" s="268"/>
      <c r="C67" s="157"/>
      <c r="D67" s="119"/>
    </row>
    <row r="68" spans="1:6" x14ac:dyDescent="0.35">
      <c r="A68" s="267" t="s">
        <v>54</v>
      </c>
      <c r="B68" s="268"/>
      <c r="C68" s="157"/>
      <c r="D68" s="119"/>
    </row>
    <row r="69" spans="1:6" ht="9" customHeight="1" x14ac:dyDescent="0.35">
      <c r="A69" s="17"/>
      <c r="B69" s="17"/>
      <c r="C69" s="17"/>
      <c r="D69" s="119"/>
    </row>
    <row r="70" spans="1:6" x14ac:dyDescent="0.35">
      <c r="A70" s="17" t="s">
        <v>38</v>
      </c>
      <c r="B70" s="17"/>
      <c r="C70" s="17"/>
      <c r="D70" s="19"/>
    </row>
    <row r="71" spans="1:6" ht="6.75" customHeight="1" x14ac:dyDescent="0.35">
      <c r="A71" s="17"/>
      <c r="B71" s="17"/>
      <c r="C71" s="17"/>
      <c r="D71" s="19"/>
    </row>
    <row r="72" spans="1:6" x14ac:dyDescent="0.35">
      <c r="A72" s="17" t="s">
        <v>177</v>
      </c>
      <c r="B72" s="18"/>
      <c r="C72" s="17"/>
      <c r="D72" s="160"/>
    </row>
    <row r="73" spans="1:6" x14ac:dyDescent="0.35">
      <c r="A73" s="17"/>
      <c r="B73" s="19"/>
      <c r="C73" s="17"/>
      <c r="D73" s="19"/>
    </row>
  </sheetData>
  <mergeCells count="8">
    <mergeCell ref="A67:B67"/>
    <mergeCell ref="A68:B68"/>
    <mergeCell ref="A64:B64"/>
    <mergeCell ref="A65:B65"/>
    <mergeCell ref="A7:C7"/>
    <mergeCell ref="A9:B9"/>
    <mergeCell ref="A10:B10"/>
    <mergeCell ref="B12:C12"/>
  </mergeCells>
  <pageMargins left="0.2" right="0.2" top="0.25" bottom="0.2" header="0.3" footer="0.3"/>
  <pageSetup paperSize="9" scale="74" fitToHeight="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72"/>
  <sheetViews>
    <sheetView view="pageLayout" topLeftCell="A51" zoomScale="90" zoomScaleNormal="100" zoomScalePageLayoutView="90" workbookViewId="0">
      <selection activeCell="A44" sqref="A1:IV65536"/>
    </sheetView>
  </sheetViews>
  <sheetFormatPr defaultRowHeight="15.5" x14ac:dyDescent="0.35"/>
  <cols>
    <col min="1" max="1" width="13.26953125" style="13" customWidth="1"/>
    <col min="2" max="2" width="94.7265625" style="13" customWidth="1"/>
    <col min="3" max="3" width="24.54296875" style="13" hidden="1" customWidth="1"/>
    <col min="4" max="4" width="23.26953125" style="13" customWidth="1"/>
    <col min="5" max="5" width="9.1796875" style="6" customWidth="1"/>
  </cols>
  <sheetData>
    <row r="1" spans="1:4" x14ac:dyDescent="0.35">
      <c r="B1" s="137"/>
      <c r="C1" s="35"/>
      <c r="D1" s="35" t="s">
        <v>35</v>
      </c>
    </row>
    <row r="2" spans="1:4" x14ac:dyDescent="0.35">
      <c r="B2" s="137"/>
      <c r="C2" s="35"/>
      <c r="D2" s="35" t="s">
        <v>39</v>
      </c>
    </row>
    <row r="3" spans="1:4" x14ac:dyDescent="0.35">
      <c r="B3" s="137"/>
      <c r="C3" s="135"/>
      <c r="D3" s="35" t="s">
        <v>56</v>
      </c>
    </row>
    <row r="4" spans="1:4" x14ac:dyDescent="0.35">
      <c r="B4" s="137"/>
      <c r="C4" s="35"/>
      <c r="D4" s="35"/>
    </row>
    <row r="5" spans="1:4" x14ac:dyDescent="0.35">
      <c r="D5" s="11" t="s">
        <v>301</v>
      </c>
    </row>
    <row r="6" spans="1:4" x14ac:dyDescent="0.35">
      <c r="D6" s="11"/>
    </row>
    <row r="7" spans="1:4" x14ac:dyDescent="0.35">
      <c r="A7" s="263" t="s">
        <v>5</v>
      </c>
      <c r="B7" s="263"/>
      <c r="C7" s="263"/>
      <c r="D7" s="263"/>
    </row>
    <row r="8" spans="1:4" x14ac:dyDescent="0.35">
      <c r="B8" s="277"/>
      <c r="C8" s="277"/>
      <c r="D8" s="277"/>
    </row>
    <row r="9" spans="1:4" x14ac:dyDescent="0.35">
      <c r="A9" s="262" t="s">
        <v>1</v>
      </c>
      <c r="B9" s="262"/>
      <c r="C9" s="262"/>
      <c r="D9" s="262"/>
    </row>
    <row r="10" spans="1:4" x14ac:dyDescent="0.35">
      <c r="A10" s="262" t="s">
        <v>0</v>
      </c>
      <c r="B10" s="262"/>
      <c r="C10" s="262"/>
      <c r="D10" s="262"/>
    </row>
    <row r="11" spans="1:4" x14ac:dyDescent="0.35">
      <c r="A11" s="9"/>
      <c r="B11" s="262" t="s">
        <v>196</v>
      </c>
      <c r="C11" s="262"/>
      <c r="D11" s="262"/>
    </row>
    <row r="12" spans="1:4" x14ac:dyDescent="0.35">
      <c r="A12" s="9"/>
      <c r="B12" s="262" t="s">
        <v>295</v>
      </c>
      <c r="C12" s="262"/>
      <c r="D12" s="262"/>
    </row>
    <row r="13" spans="1:4" x14ac:dyDescent="0.35">
      <c r="A13" s="9"/>
      <c r="B13" s="262"/>
      <c r="C13" s="262"/>
      <c r="D13" s="262"/>
    </row>
    <row r="14" spans="1:4" x14ac:dyDescent="0.35">
      <c r="A14" s="9" t="s">
        <v>2</v>
      </c>
      <c r="B14" s="9" t="s">
        <v>302</v>
      </c>
      <c r="C14" s="9"/>
      <c r="D14" s="9"/>
    </row>
    <row r="15" spans="1:4" hidden="1" x14ac:dyDescent="0.35">
      <c r="B15" s="124"/>
      <c r="C15" s="124"/>
      <c r="D15" s="124"/>
    </row>
    <row r="16" spans="1:4" ht="67.5" customHeight="1" x14ac:dyDescent="0.35">
      <c r="A16" s="54" t="s">
        <v>3</v>
      </c>
      <c r="B16" s="54" t="s">
        <v>4</v>
      </c>
      <c r="C16" s="54"/>
      <c r="D16" s="54" t="s">
        <v>53</v>
      </c>
    </row>
    <row r="17" spans="1:5" x14ac:dyDescent="0.35">
      <c r="A17" s="22">
        <v>1</v>
      </c>
      <c r="B17" s="23">
        <v>2</v>
      </c>
      <c r="C17" s="22">
        <v>3</v>
      </c>
      <c r="D17" s="22">
        <v>3</v>
      </c>
    </row>
    <row r="18" spans="1:5" x14ac:dyDescent="0.35">
      <c r="A18" s="24"/>
      <c r="B18" s="25" t="s">
        <v>156</v>
      </c>
      <c r="C18" s="25"/>
      <c r="D18" s="25"/>
    </row>
    <row r="19" spans="1:5" x14ac:dyDescent="0.35">
      <c r="A19" s="27">
        <v>1100</v>
      </c>
      <c r="B19" s="27" t="s">
        <v>63</v>
      </c>
      <c r="C19" s="28">
        <v>0.55000000000000004</v>
      </c>
      <c r="D19" s="28">
        <f>C19*500</f>
        <v>275</v>
      </c>
      <c r="E19" s="92"/>
    </row>
    <row r="20" spans="1:5" x14ac:dyDescent="0.35">
      <c r="A20" s="27">
        <v>1200</v>
      </c>
      <c r="B20" s="29" t="s">
        <v>192</v>
      </c>
      <c r="C20" s="45">
        <v>0.13</v>
      </c>
      <c r="D20" s="28">
        <f t="shared" ref="D20:D31" si="0">C20*500</f>
        <v>65</v>
      </c>
      <c r="E20" s="92"/>
    </row>
    <row r="21" spans="1:5" hidden="1" x14ac:dyDescent="0.35">
      <c r="A21" s="27">
        <v>2222</v>
      </c>
      <c r="B21" s="29" t="s">
        <v>28</v>
      </c>
      <c r="C21" s="45"/>
      <c r="D21" s="28">
        <f t="shared" si="0"/>
        <v>0</v>
      </c>
      <c r="E21" s="92"/>
    </row>
    <row r="22" spans="1:5" hidden="1" x14ac:dyDescent="0.35">
      <c r="A22" s="27">
        <v>2223</v>
      </c>
      <c r="B22" s="29" t="s">
        <v>29</v>
      </c>
      <c r="C22" s="45"/>
      <c r="D22" s="28">
        <f t="shared" si="0"/>
        <v>0</v>
      </c>
      <c r="E22" s="92"/>
    </row>
    <row r="23" spans="1:5" hidden="1" x14ac:dyDescent="0.35">
      <c r="A23" s="27">
        <v>2231</v>
      </c>
      <c r="B23" s="29" t="s">
        <v>143</v>
      </c>
      <c r="C23" s="45"/>
      <c r="D23" s="28">
        <f t="shared" si="0"/>
        <v>0</v>
      </c>
      <c r="E23" s="92"/>
    </row>
    <row r="24" spans="1:5" hidden="1" x14ac:dyDescent="0.35">
      <c r="A24" s="27">
        <v>2243</v>
      </c>
      <c r="B24" s="29" t="s">
        <v>197</v>
      </c>
      <c r="C24" s="45">
        <v>0</v>
      </c>
      <c r="D24" s="28">
        <f t="shared" si="0"/>
        <v>0</v>
      </c>
      <c r="E24" s="92"/>
    </row>
    <row r="25" spans="1:5" hidden="1" x14ac:dyDescent="0.35">
      <c r="A25" s="27">
        <v>2244</v>
      </c>
      <c r="B25" s="29" t="s">
        <v>191</v>
      </c>
      <c r="C25" s="45"/>
      <c r="D25" s="28">
        <f t="shared" si="0"/>
        <v>0</v>
      </c>
      <c r="E25" s="92"/>
    </row>
    <row r="26" spans="1:5" hidden="1" x14ac:dyDescent="0.35">
      <c r="A26" s="27">
        <v>2250</v>
      </c>
      <c r="B26" s="29" t="s">
        <v>204</v>
      </c>
      <c r="C26" s="45"/>
      <c r="D26" s="28">
        <f t="shared" si="0"/>
        <v>0</v>
      </c>
      <c r="E26" s="92"/>
    </row>
    <row r="27" spans="1:5" hidden="1" x14ac:dyDescent="0.35">
      <c r="A27" s="27">
        <v>2321</v>
      </c>
      <c r="B27" s="29" t="s">
        <v>17</v>
      </c>
      <c r="C27" s="45"/>
      <c r="D27" s="28">
        <f t="shared" si="0"/>
        <v>0</v>
      </c>
      <c r="E27" s="92"/>
    </row>
    <row r="28" spans="1:5" x14ac:dyDescent="0.35">
      <c r="A28" s="27">
        <v>2362</v>
      </c>
      <c r="B28" s="29" t="s">
        <v>229</v>
      </c>
      <c r="C28" s="45">
        <v>0.02</v>
      </c>
      <c r="D28" s="28">
        <f t="shared" si="0"/>
        <v>10</v>
      </c>
      <c r="E28" s="92"/>
    </row>
    <row r="29" spans="1:5" x14ac:dyDescent="0.35">
      <c r="A29" s="27">
        <v>2363</v>
      </c>
      <c r="B29" s="29" t="s">
        <v>230</v>
      </c>
      <c r="C29" s="45">
        <v>0.55000000000000004</v>
      </c>
      <c r="D29" s="28">
        <f t="shared" si="0"/>
        <v>275</v>
      </c>
      <c r="E29" s="92"/>
    </row>
    <row r="30" spans="1:5" hidden="1" x14ac:dyDescent="0.35">
      <c r="A30" s="27">
        <v>2370</v>
      </c>
      <c r="B30" s="29" t="s">
        <v>200</v>
      </c>
      <c r="C30" s="45"/>
      <c r="D30" s="28">
        <f t="shared" si="0"/>
        <v>0</v>
      </c>
      <c r="E30" s="92"/>
    </row>
    <row r="31" spans="1:5" hidden="1" x14ac:dyDescent="0.35">
      <c r="A31" s="27">
        <v>5239</v>
      </c>
      <c r="B31" s="29" t="s">
        <v>57</v>
      </c>
      <c r="C31" s="45">
        <v>0</v>
      </c>
      <c r="D31" s="28">
        <f t="shared" si="0"/>
        <v>0</v>
      </c>
      <c r="E31" s="92"/>
    </row>
    <row r="32" spans="1:5" x14ac:dyDescent="0.35">
      <c r="A32" s="27"/>
      <c r="B32" s="30" t="s">
        <v>161</v>
      </c>
      <c r="C32" s="31">
        <f>SUM(C19:C31)</f>
        <v>1.25</v>
      </c>
      <c r="D32" s="31">
        <f>SUM(D19:D31)</f>
        <v>625</v>
      </c>
      <c r="E32" s="92"/>
    </row>
    <row r="33" spans="1:4" x14ac:dyDescent="0.35">
      <c r="A33" s="32"/>
      <c r="B33" s="27" t="s">
        <v>162</v>
      </c>
      <c r="C33" s="27"/>
      <c r="D33" s="27"/>
    </row>
    <row r="34" spans="1:4" x14ac:dyDescent="0.35">
      <c r="A34" s="27">
        <v>1100</v>
      </c>
      <c r="B34" s="27" t="s">
        <v>63</v>
      </c>
      <c r="C34" s="45">
        <v>0.19</v>
      </c>
      <c r="D34" s="28">
        <f>C34*500</f>
        <v>95</v>
      </c>
    </row>
    <row r="35" spans="1:4" x14ac:dyDescent="0.35">
      <c r="A35" s="27">
        <v>1200</v>
      </c>
      <c r="B35" s="29" t="s">
        <v>192</v>
      </c>
      <c r="C35" s="45">
        <v>0.04</v>
      </c>
      <c r="D35" s="28">
        <f t="shared" ref="D35:D53" si="1">C35*500</f>
        <v>20</v>
      </c>
    </row>
    <row r="36" spans="1:4" x14ac:dyDescent="0.35">
      <c r="A36" s="27">
        <v>2210</v>
      </c>
      <c r="B36" s="27" t="s">
        <v>231</v>
      </c>
      <c r="C36" s="45">
        <v>0.01</v>
      </c>
      <c r="D36" s="28">
        <f t="shared" si="1"/>
        <v>5</v>
      </c>
    </row>
    <row r="37" spans="1:4" x14ac:dyDescent="0.35">
      <c r="A37" s="27">
        <v>2223</v>
      </c>
      <c r="B37" s="29" t="s">
        <v>232</v>
      </c>
      <c r="C37" s="45">
        <v>0.05</v>
      </c>
      <c r="D37" s="28">
        <f t="shared" si="1"/>
        <v>25</v>
      </c>
    </row>
    <row r="38" spans="1:4" hidden="1" x14ac:dyDescent="0.35">
      <c r="A38" s="27">
        <v>2239</v>
      </c>
      <c r="B38" s="29" t="s">
        <v>205</v>
      </c>
      <c r="C38" s="45">
        <v>0</v>
      </c>
      <c r="D38" s="28">
        <f t="shared" si="1"/>
        <v>0</v>
      </c>
    </row>
    <row r="39" spans="1:4" hidden="1" x14ac:dyDescent="0.35">
      <c r="A39" s="27">
        <v>2241</v>
      </c>
      <c r="B39" s="29" t="s">
        <v>208</v>
      </c>
      <c r="C39" s="45">
        <v>0</v>
      </c>
      <c r="D39" s="28">
        <f t="shared" si="1"/>
        <v>0</v>
      </c>
    </row>
    <row r="40" spans="1:4" hidden="1" x14ac:dyDescent="0.35">
      <c r="A40" s="27">
        <v>2242</v>
      </c>
      <c r="B40" s="29" t="s">
        <v>8</v>
      </c>
      <c r="C40" s="45">
        <v>0</v>
      </c>
      <c r="D40" s="28">
        <f t="shared" si="1"/>
        <v>0</v>
      </c>
    </row>
    <row r="41" spans="1:4" x14ac:dyDescent="0.35">
      <c r="A41" s="27">
        <v>2243</v>
      </c>
      <c r="B41" s="29" t="s">
        <v>9</v>
      </c>
      <c r="C41" s="45">
        <v>0.01</v>
      </c>
      <c r="D41" s="28">
        <f t="shared" si="1"/>
        <v>5</v>
      </c>
    </row>
    <row r="42" spans="1:4" x14ac:dyDescent="0.35">
      <c r="A42" s="27">
        <v>2244</v>
      </c>
      <c r="B42" s="29" t="s">
        <v>193</v>
      </c>
      <c r="C42" s="45">
        <v>0.04</v>
      </c>
      <c r="D42" s="28">
        <f t="shared" si="1"/>
        <v>20</v>
      </c>
    </row>
    <row r="43" spans="1:4" hidden="1" x14ac:dyDescent="0.35">
      <c r="A43" s="27">
        <v>2247</v>
      </c>
      <c r="B43" s="25" t="s">
        <v>164</v>
      </c>
      <c r="C43" s="45">
        <v>0</v>
      </c>
      <c r="D43" s="28">
        <f t="shared" si="1"/>
        <v>0</v>
      </c>
    </row>
    <row r="44" spans="1:4" x14ac:dyDescent="0.35">
      <c r="A44" s="27">
        <v>2250</v>
      </c>
      <c r="B44" s="29" t="s">
        <v>233</v>
      </c>
      <c r="C44" s="45">
        <v>0.02</v>
      </c>
      <c r="D44" s="28">
        <f t="shared" si="1"/>
        <v>10</v>
      </c>
    </row>
    <row r="45" spans="1:4" hidden="1" x14ac:dyDescent="0.35">
      <c r="A45" s="27">
        <v>2262</v>
      </c>
      <c r="B45" s="29" t="s">
        <v>210</v>
      </c>
      <c r="C45" s="45"/>
      <c r="D45" s="28">
        <f t="shared" si="1"/>
        <v>0</v>
      </c>
    </row>
    <row r="46" spans="1:4" x14ac:dyDescent="0.35">
      <c r="A46" s="13">
        <v>2263</v>
      </c>
      <c r="B46" s="13" t="s">
        <v>234</v>
      </c>
      <c r="C46" s="45">
        <v>0.03</v>
      </c>
      <c r="D46" s="28">
        <f t="shared" si="1"/>
        <v>15</v>
      </c>
    </row>
    <row r="47" spans="1:4" hidden="1" x14ac:dyDescent="0.35">
      <c r="A47" s="27">
        <v>2264</v>
      </c>
      <c r="B47" s="29" t="s">
        <v>212</v>
      </c>
      <c r="C47" s="45"/>
      <c r="D47" s="28">
        <f t="shared" si="1"/>
        <v>0</v>
      </c>
    </row>
    <row r="48" spans="1:4" hidden="1" x14ac:dyDescent="0.35">
      <c r="A48" s="27">
        <v>2311</v>
      </c>
      <c r="B48" s="29" t="s">
        <v>15</v>
      </c>
      <c r="C48" s="45"/>
      <c r="D48" s="28">
        <f t="shared" si="1"/>
        <v>0</v>
      </c>
    </row>
    <row r="49" spans="1:47" hidden="1" x14ac:dyDescent="0.35">
      <c r="A49" s="27">
        <v>2312</v>
      </c>
      <c r="B49" s="29" t="s">
        <v>16</v>
      </c>
      <c r="C49" s="45">
        <v>0</v>
      </c>
      <c r="D49" s="28">
        <f t="shared" si="1"/>
        <v>0</v>
      </c>
    </row>
    <row r="50" spans="1:47" hidden="1" x14ac:dyDescent="0.35">
      <c r="A50" s="27">
        <v>2322</v>
      </c>
      <c r="B50" s="29" t="s">
        <v>18</v>
      </c>
      <c r="C50" s="45">
        <v>0</v>
      </c>
      <c r="D50" s="28">
        <f t="shared" si="1"/>
        <v>0</v>
      </c>
    </row>
    <row r="51" spans="1:47" x14ac:dyDescent="0.35">
      <c r="A51" s="27">
        <v>2350</v>
      </c>
      <c r="B51" s="129" t="s">
        <v>224</v>
      </c>
      <c r="C51" s="45">
        <v>0.01</v>
      </c>
      <c r="D51" s="28">
        <f t="shared" si="1"/>
        <v>5</v>
      </c>
    </row>
    <row r="52" spans="1:47" hidden="1" x14ac:dyDescent="0.35">
      <c r="A52" s="27">
        <v>2361</v>
      </c>
      <c r="B52" s="29" t="s">
        <v>20</v>
      </c>
      <c r="C52" s="45">
        <v>0</v>
      </c>
      <c r="D52" s="28">
        <f t="shared" si="1"/>
        <v>0</v>
      </c>
    </row>
    <row r="53" spans="1:47" hidden="1" x14ac:dyDescent="0.35">
      <c r="A53" s="27">
        <v>2400</v>
      </c>
      <c r="B53" s="29" t="s">
        <v>31</v>
      </c>
      <c r="C53" s="45">
        <v>0</v>
      </c>
      <c r="D53" s="28">
        <f t="shared" si="1"/>
        <v>0</v>
      </c>
    </row>
    <row r="54" spans="1:47" hidden="1" x14ac:dyDescent="0.35">
      <c r="A54" s="27">
        <v>2512</v>
      </c>
      <c r="B54" s="29" t="s">
        <v>201</v>
      </c>
      <c r="C54" s="45">
        <v>0.35</v>
      </c>
      <c r="D54" s="28"/>
    </row>
    <row r="55" spans="1:47" hidden="1" x14ac:dyDescent="0.35">
      <c r="A55" s="27">
        <v>2515</v>
      </c>
      <c r="B55" s="29" t="s">
        <v>172</v>
      </c>
      <c r="C55" s="45"/>
      <c r="D55" s="28"/>
    </row>
    <row r="56" spans="1:47" hidden="1" x14ac:dyDescent="0.35">
      <c r="A56" s="27">
        <v>2519</v>
      </c>
      <c r="B56" s="29" t="s">
        <v>24</v>
      </c>
      <c r="C56" s="45">
        <v>0</v>
      </c>
      <c r="D56" s="28">
        <v>0.01</v>
      </c>
    </row>
    <row r="57" spans="1:47" hidden="1" x14ac:dyDescent="0.35">
      <c r="A57" s="27">
        <v>5232</v>
      </c>
      <c r="B57" s="29" t="s">
        <v>23</v>
      </c>
      <c r="C57" s="45">
        <v>0</v>
      </c>
      <c r="D57" s="28">
        <v>13.12</v>
      </c>
    </row>
    <row r="58" spans="1:47" hidden="1" x14ac:dyDescent="0.35">
      <c r="A58" s="27">
        <v>5240</v>
      </c>
      <c r="B58" s="29" t="s">
        <v>202</v>
      </c>
      <c r="C58" s="45">
        <v>0</v>
      </c>
      <c r="D58" s="28">
        <v>2.85</v>
      </c>
    </row>
    <row r="59" spans="1:47" hidden="1" x14ac:dyDescent="0.35">
      <c r="A59" s="27">
        <v>5250</v>
      </c>
      <c r="B59" s="29" t="s">
        <v>203</v>
      </c>
      <c r="C59" s="45">
        <v>0</v>
      </c>
      <c r="D59" s="28">
        <v>11.38</v>
      </c>
    </row>
    <row r="60" spans="1:47" x14ac:dyDescent="0.35">
      <c r="A60" s="32"/>
      <c r="B60" s="34" t="s">
        <v>175</v>
      </c>
      <c r="C60" s="139">
        <f>SUM(C34:C59)</f>
        <v>0.75</v>
      </c>
      <c r="D60" s="31">
        <f>SUM(D34:D54)</f>
        <v>200</v>
      </c>
    </row>
    <row r="61" spans="1:47" x14ac:dyDescent="0.35">
      <c r="A61" s="32"/>
      <c r="B61" s="34" t="s">
        <v>32</v>
      </c>
      <c r="C61" s="31">
        <f>C32+C60</f>
        <v>2</v>
      </c>
      <c r="D61" s="31">
        <f>D60+D32</f>
        <v>825</v>
      </c>
      <c r="E61" s="92"/>
    </row>
    <row r="62" spans="1:47" x14ac:dyDescent="0.35">
      <c r="A62" s="140"/>
      <c r="B62" s="41"/>
      <c r="C62" s="41"/>
      <c r="D62" s="41"/>
    </row>
    <row r="63" spans="1:47" s="141" customFormat="1" ht="15" customHeight="1" x14ac:dyDescent="0.35">
      <c r="A63" s="275" t="s">
        <v>176</v>
      </c>
      <c r="B63" s="276"/>
      <c r="C63" s="105">
        <v>1</v>
      </c>
      <c r="D63" s="105">
        <v>500</v>
      </c>
      <c r="E63" s="6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</row>
    <row r="64" spans="1:47" s="141" customFormat="1" ht="15" customHeight="1" x14ac:dyDescent="0.35">
      <c r="A64" s="275" t="s">
        <v>189</v>
      </c>
      <c r="B64" s="276"/>
      <c r="C64" s="142">
        <f>C61/C63</f>
        <v>2</v>
      </c>
      <c r="D64" s="142">
        <f>D61/D63</f>
        <v>1.65</v>
      </c>
      <c r="E64" s="6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</row>
    <row r="65" spans="1:4" x14ac:dyDescent="0.35">
      <c r="A65" s="20"/>
      <c r="B65" s="103"/>
      <c r="C65" s="103"/>
      <c r="D65" s="103"/>
    </row>
    <row r="66" spans="1:4" ht="15" customHeight="1" x14ac:dyDescent="0.35">
      <c r="A66" s="267" t="s">
        <v>37</v>
      </c>
      <c r="B66" s="268"/>
      <c r="C66" s="39"/>
      <c r="D66" s="39"/>
    </row>
    <row r="67" spans="1:4" ht="15" customHeight="1" x14ac:dyDescent="0.35">
      <c r="A67" s="267" t="s">
        <v>55</v>
      </c>
      <c r="B67" s="268"/>
      <c r="C67" s="39"/>
      <c r="D67" s="39"/>
    </row>
    <row r="68" spans="1:4" x14ac:dyDescent="0.35">
      <c r="A68" s="138"/>
      <c r="B68" s="103"/>
      <c r="C68" s="103"/>
    </row>
    <row r="69" spans="1:4" x14ac:dyDescent="0.35">
      <c r="A69" s="17" t="s">
        <v>38</v>
      </c>
      <c r="B69" s="17"/>
      <c r="C69" s="17"/>
      <c r="D69" s="17"/>
    </row>
    <row r="70" spans="1:4" x14ac:dyDescent="0.35">
      <c r="A70" s="17"/>
      <c r="B70" s="17"/>
      <c r="C70" s="17"/>
      <c r="D70" s="17"/>
    </row>
    <row r="71" spans="1:4" x14ac:dyDescent="0.35">
      <c r="A71" s="17" t="s">
        <v>303</v>
      </c>
      <c r="B71" s="18"/>
      <c r="C71" s="18"/>
      <c r="D71" s="17"/>
    </row>
    <row r="72" spans="1:4" x14ac:dyDescent="0.35">
      <c r="A72" s="17"/>
      <c r="B72" s="19"/>
      <c r="C72" s="19"/>
      <c r="D72" s="17"/>
    </row>
  </sheetData>
  <mergeCells count="11">
    <mergeCell ref="A7:D7"/>
    <mergeCell ref="B8:D8"/>
    <mergeCell ref="A9:D9"/>
    <mergeCell ref="A10:D10"/>
    <mergeCell ref="B11:D11"/>
    <mergeCell ref="B12:D12"/>
    <mergeCell ref="B13:D13"/>
    <mergeCell ref="A63:B63"/>
    <mergeCell ref="A64:B64"/>
    <mergeCell ref="A66:B66"/>
    <mergeCell ref="A67:B67"/>
  </mergeCells>
  <pageMargins left="0.859375" right="0.78343750000000001" top="0.75" bottom="0.75" header="0.3" footer="0.3"/>
  <pageSetup paperSize="9" scale="65" fitToHeight="0" orientation="portrait" r:id="rId1"/>
  <headerFooter>
    <oddFooter>&amp;C&amp;"Times New Roman,Regular"&amp;F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2"/>
  <sheetViews>
    <sheetView workbookViewId="0">
      <selection activeCell="B54" sqref="B54"/>
    </sheetView>
  </sheetViews>
  <sheetFormatPr defaultRowHeight="15.5" x14ac:dyDescent="0.35"/>
  <cols>
    <col min="1" max="1" width="14.7265625" style="13" customWidth="1"/>
    <col min="2" max="2" width="93.453125" style="13" customWidth="1"/>
    <col min="3" max="3" width="19.54296875" style="13" hidden="1" customWidth="1"/>
    <col min="4" max="4" width="27.453125" style="13" customWidth="1"/>
    <col min="5" max="5" width="9.1796875" style="6" customWidth="1"/>
  </cols>
  <sheetData>
    <row r="1" spans="1:4" x14ac:dyDescent="0.35">
      <c r="B1" s="137"/>
      <c r="C1" s="35"/>
      <c r="D1" s="35" t="s">
        <v>35</v>
      </c>
    </row>
    <row r="2" spans="1:4" x14ac:dyDescent="0.35">
      <c r="B2" s="137"/>
      <c r="C2" s="35"/>
      <c r="D2" s="35" t="s">
        <v>39</v>
      </c>
    </row>
    <row r="3" spans="1:4" x14ac:dyDescent="0.35">
      <c r="B3" s="137"/>
      <c r="C3" s="135"/>
      <c r="D3" s="138" t="s">
        <v>56</v>
      </c>
    </row>
    <row r="4" spans="1:4" x14ac:dyDescent="0.35">
      <c r="B4" s="137"/>
      <c r="C4" s="35"/>
      <c r="D4" s="35"/>
    </row>
    <row r="5" spans="1:4" x14ac:dyDescent="0.35">
      <c r="D5" s="35" t="s">
        <v>179</v>
      </c>
    </row>
    <row r="6" spans="1:4" x14ac:dyDescent="0.35">
      <c r="D6" s="11"/>
    </row>
    <row r="7" spans="1:4" x14ac:dyDescent="0.35">
      <c r="A7" s="263" t="s">
        <v>5</v>
      </c>
      <c r="B7" s="263"/>
      <c r="C7" s="263"/>
      <c r="D7" s="263"/>
    </row>
    <row r="8" spans="1:4" x14ac:dyDescent="0.35">
      <c r="B8" s="277"/>
      <c r="C8" s="277"/>
      <c r="D8" s="277"/>
    </row>
    <row r="9" spans="1:4" x14ac:dyDescent="0.35">
      <c r="A9" s="262" t="s">
        <v>1</v>
      </c>
      <c r="B9" s="262"/>
      <c r="C9" s="262"/>
      <c r="D9" s="262"/>
    </row>
    <row r="10" spans="1:4" x14ac:dyDescent="0.35">
      <c r="A10" s="262" t="s">
        <v>0</v>
      </c>
      <c r="B10" s="262"/>
      <c r="C10" s="262"/>
      <c r="D10" s="262"/>
    </row>
    <row r="11" spans="1:4" x14ac:dyDescent="0.35">
      <c r="A11" s="9"/>
      <c r="B11" s="262" t="s">
        <v>196</v>
      </c>
      <c r="C11" s="262"/>
      <c r="D11" s="262"/>
    </row>
    <row r="12" spans="1:4" x14ac:dyDescent="0.35">
      <c r="A12" s="9"/>
      <c r="B12" s="262" t="s">
        <v>213</v>
      </c>
      <c r="C12" s="262"/>
      <c r="D12" s="262"/>
    </row>
    <row r="13" spans="1:4" x14ac:dyDescent="0.35">
      <c r="A13" s="9"/>
      <c r="B13" s="262"/>
      <c r="C13" s="262"/>
      <c r="D13" s="262"/>
    </row>
    <row r="14" spans="1:4" x14ac:dyDescent="0.35">
      <c r="A14" s="9" t="s">
        <v>2</v>
      </c>
      <c r="B14" s="9" t="s">
        <v>138</v>
      </c>
      <c r="C14" s="9"/>
      <c r="D14" s="9"/>
    </row>
    <row r="15" spans="1:4" hidden="1" x14ac:dyDescent="0.35">
      <c r="B15" s="124"/>
      <c r="C15" s="124"/>
      <c r="D15" s="124"/>
    </row>
    <row r="16" spans="1:4" ht="62" x14ac:dyDescent="0.35">
      <c r="A16" s="54" t="s">
        <v>3</v>
      </c>
      <c r="B16" s="54" t="s">
        <v>4</v>
      </c>
      <c r="C16" s="54"/>
      <c r="D16" s="54" t="s">
        <v>53</v>
      </c>
    </row>
    <row r="17" spans="1:5" x14ac:dyDescent="0.35">
      <c r="A17" s="22">
        <v>1</v>
      </c>
      <c r="B17" s="23">
        <v>2</v>
      </c>
      <c r="C17" s="22"/>
      <c r="D17" s="22">
        <v>3</v>
      </c>
    </row>
    <row r="18" spans="1:5" x14ac:dyDescent="0.35">
      <c r="A18" s="24"/>
      <c r="B18" s="25" t="s">
        <v>156</v>
      </c>
      <c r="C18" s="25"/>
      <c r="D18" s="25"/>
    </row>
    <row r="19" spans="1:5" hidden="1" x14ac:dyDescent="0.35">
      <c r="A19" s="27">
        <v>1100</v>
      </c>
      <c r="B19" s="27" t="s">
        <v>63</v>
      </c>
      <c r="C19" s="28">
        <v>0</v>
      </c>
      <c r="D19" s="28">
        <f>C19*500</f>
        <v>0</v>
      </c>
      <c r="E19" s="92"/>
    </row>
    <row r="20" spans="1:5" hidden="1" x14ac:dyDescent="0.35">
      <c r="A20" s="27">
        <v>1200</v>
      </c>
      <c r="B20" s="29" t="s">
        <v>192</v>
      </c>
      <c r="C20" s="45">
        <v>0</v>
      </c>
      <c r="D20" s="28">
        <f t="shared" ref="D20:D31" si="0">C20*500</f>
        <v>0</v>
      </c>
      <c r="E20" s="92"/>
    </row>
    <row r="21" spans="1:5" hidden="1" x14ac:dyDescent="0.35">
      <c r="A21" s="27">
        <v>2222</v>
      </c>
      <c r="B21" s="29" t="s">
        <v>28</v>
      </c>
      <c r="C21" s="45"/>
      <c r="D21" s="28">
        <f t="shared" si="0"/>
        <v>0</v>
      </c>
      <c r="E21" s="92"/>
    </row>
    <row r="22" spans="1:5" hidden="1" x14ac:dyDescent="0.35">
      <c r="A22" s="27">
        <v>2223</v>
      </c>
      <c r="B22" s="29" t="s">
        <v>29</v>
      </c>
      <c r="C22" s="45"/>
      <c r="D22" s="28">
        <f t="shared" si="0"/>
        <v>0</v>
      </c>
      <c r="E22" s="92"/>
    </row>
    <row r="23" spans="1:5" hidden="1" x14ac:dyDescent="0.35">
      <c r="A23" s="27">
        <v>2231</v>
      </c>
      <c r="B23" s="29" t="s">
        <v>143</v>
      </c>
      <c r="C23" s="45"/>
      <c r="D23" s="28">
        <f t="shared" si="0"/>
        <v>0</v>
      </c>
      <c r="E23" s="92"/>
    </row>
    <row r="24" spans="1:5" hidden="1" x14ac:dyDescent="0.35">
      <c r="A24" s="27">
        <v>2243</v>
      </c>
      <c r="B24" s="29" t="s">
        <v>197</v>
      </c>
      <c r="C24" s="45">
        <v>0</v>
      </c>
      <c r="D24" s="28">
        <f t="shared" si="0"/>
        <v>0</v>
      </c>
      <c r="E24" s="92"/>
    </row>
    <row r="25" spans="1:5" hidden="1" x14ac:dyDescent="0.35">
      <c r="A25" s="27">
        <v>2244</v>
      </c>
      <c r="B25" s="29" t="s">
        <v>191</v>
      </c>
      <c r="C25" s="45"/>
      <c r="D25" s="28">
        <f t="shared" si="0"/>
        <v>0</v>
      </c>
      <c r="E25" s="92"/>
    </row>
    <row r="26" spans="1:5" hidden="1" x14ac:dyDescent="0.35">
      <c r="A26" s="27">
        <v>2250</v>
      </c>
      <c r="B26" s="29" t="s">
        <v>204</v>
      </c>
      <c r="C26" s="45"/>
      <c r="D26" s="28">
        <f t="shared" si="0"/>
        <v>0</v>
      </c>
      <c r="E26" s="92"/>
    </row>
    <row r="27" spans="1:5" hidden="1" x14ac:dyDescent="0.35">
      <c r="A27" s="27">
        <v>2321</v>
      </c>
      <c r="B27" s="29" t="s">
        <v>17</v>
      </c>
      <c r="C27" s="45"/>
      <c r="D27" s="28">
        <f t="shared" si="0"/>
        <v>0</v>
      </c>
      <c r="E27" s="92"/>
    </row>
    <row r="28" spans="1:5" x14ac:dyDescent="0.35">
      <c r="A28" s="27">
        <v>2362</v>
      </c>
      <c r="B28" s="29" t="s">
        <v>198</v>
      </c>
      <c r="C28" s="45">
        <v>0.13</v>
      </c>
      <c r="D28" s="28">
        <f>C28*500</f>
        <v>65</v>
      </c>
      <c r="E28" s="92"/>
    </row>
    <row r="29" spans="1:5" hidden="1" x14ac:dyDescent="0.35">
      <c r="A29" s="27">
        <v>2363</v>
      </c>
      <c r="B29" s="29" t="s">
        <v>199</v>
      </c>
      <c r="C29" s="45">
        <v>0</v>
      </c>
      <c r="D29" s="28">
        <f t="shared" si="0"/>
        <v>0</v>
      </c>
      <c r="E29" s="92"/>
    </row>
    <row r="30" spans="1:5" hidden="1" x14ac:dyDescent="0.35">
      <c r="A30" s="27">
        <v>2370</v>
      </c>
      <c r="B30" s="29" t="s">
        <v>200</v>
      </c>
      <c r="C30" s="45"/>
      <c r="D30" s="28">
        <f t="shared" si="0"/>
        <v>0</v>
      </c>
      <c r="E30" s="92"/>
    </row>
    <row r="31" spans="1:5" hidden="1" x14ac:dyDescent="0.35">
      <c r="A31" s="27">
        <v>5239</v>
      </c>
      <c r="B31" s="29" t="s">
        <v>57</v>
      </c>
      <c r="C31" s="45">
        <v>0</v>
      </c>
      <c r="D31" s="28">
        <f t="shared" si="0"/>
        <v>0</v>
      </c>
      <c r="E31" s="92"/>
    </row>
    <row r="32" spans="1:5" x14ac:dyDescent="0.35">
      <c r="A32" s="27"/>
      <c r="B32" s="30" t="s">
        <v>161</v>
      </c>
      <c r="C32" s="31">
        <f>SUM(C19:C31)</f>
        <v>0.13</v>
      </c>
      <c r="D32" s="31">
        <f>SUM(D19:D31)</f>
        <v>65</v>
      </c>
      <c r="E32" s="92"/>
    </row>
    <row r="33" spans="1:4" x14ac:dyDescent="0.35">
      <c r="A33" s="32"/>
      <c r="B33" s="27" t="s">
        <v>162</v>
      </c>
      <c r="C33" s="27"/>
      <c r="D33" s="27"/>
    </row>
    <row r="34" spans="1:4" x14ac:dyDescent="0.35">
      <c r="A34" s="27">
        <v>1100</v>
      </c>
      <c r="B34" s="27" t="s">
        <v>63</v>
      </c>
      <c r="C34" s="45">
        <v>0.03</v>
      </c>
      <c r="D34" s="28">
        <f>C34*500</f>
        <v>15</v>
      </c>
    </row>
    <row r="35" spans="1:4" ht="18" customHeight="1" x14ac:dyDescent="0.35">
      <c r="A35" s="27">
        <v>1200</v>
      </c>
      <c r="B35" s="29" t="s">
        <v>192</v>
      </c>
      <c r="C35" s="45">
        <f>C34*0.2409</f>
        <v>7.2269999999999999E-3</v>
      </c>
      <c r="D35" s="28">
        <f t="shared" ref="D35:D54" si="1">C35*500</f>
        <v>3.6135000000000002</v>
      </c>
    </row>
    <row r="36" spans="1:4" hidden="1" x14ac:dyDescent="0.35">
      <c r="A36" s="27">
        <v>2210</v>
      </c>
      <c r="B36" s="27" t="s">
        <v>207</v>
      </c>
      <c r="C36" s="45">
        <v>0</v>
      </c>
      <c r="D36" s="28">
        <f t="shared" si="1"/>
        <v>0</v>
      </c>
    </row>
    <row r="37" spans="1:4" hidden="1" x14ac:dyDescent="0.35">
      <c r="A37" s="27">
        <v>2223</v>
      </c>
      <c r="B37" s="29" t="s">
        <v>209</v>
      </c>
      <c r="C37" s="45">
        <v>0</v>
      </c>
      <c r="D37" s="28">
        <f t="shared" si="1"/>
        <v>0</v>
      </c>
    </row>
    <row r="38" spans="1:4" hidden="1" x14ac:dyDescent="0.35">
      <c r="A38" s="27">
        <v>2239</v>
      </c>
      <c r="B38" s="29" t="s">
        <v>205</v>
      </c>
      <c r="C38" s="45">
        <v>0</v>
      </c>
      <c r="D38" s="28">
        <f t="shared" si="1"/>
        <v>0</v>
      </c>
    </row>
    <row r="39" spans="1:4" hidden="1" x14ac:dyDescent="0.35">
      <c r="A39" s="27">
        <v>2241</v>
      </c>
      <c r="B39" s="29" t="s">
        <v>208</v>
      </c>
      <c r="C39" s="45">
        <v>0</v>
      </c>
      <c r="D39" s="28">
        <f t="shared" si="1"/>
        <v>0</v>
      </c>
    </row>
    <row r="40" spans="1:4" hidden="1" x14ac:dyDescent="0.35">
      <c r="A40" s="27">
        <v>2242</v>
      </c>
      <c r="B40" s="29" t="s">
        <v>8</v>
      </c>
      <c r="C40" s="45">
        <v>0</v>
      </c>
      <c r="D40" s="28">
        <f t="shared" si="1"/>
        <v>0</v>
      </c>
    </row>
    <row r="41" spans="1:4" hidden="1" x14ac:dyDescent="0.35">
      <c r="A41" s="27">
        <v>2243</v>
      </c>
      <c r="B41" s="29" t="s">
        <v>9</v>
      </c>
      <c r="C41" s="45">
        <v>0</v>
      </c>
      <c r="D41" s="28">
        <f t="shared" si="1"/>
        <v>0</v>
      </c>
    </row>
    <row r="42" spans="1:4" hidden="1" x14ac:dyDescent="0.35">
      <c r="A42" s="27">
        <v>2244</v>
      </c>
      <c r="B42" s="29" t="s">
        <v>191</v>
      </c>
      <c r="C42" s="45">
        <v>0</v>
      </c>
      <c r="D42" s="28">
        <f t="shared" si="1"/>
        <v>0</v>
      </c>
    </row>
    <row r="43" spans="1:4" hidden="1" x14ac:dyDescent="0.35">
      <c r="A43" s="27">
        <v>2247</v>
      </c>
      <c r="B43" s="25" t="s">
        <v>164</v>
      </c>
      <c r="C43" s="45">
        <v>0</v>
      </c>
      <c r="D43" s="28">
        <f t="shared" si="1"/>
        <v>0</v>
      </c>
    </row>
    <row r="44" spans="1:4" hidden="1" x14ac:dyDescent="0.35">
      <c r="A44" s="27">
        <v>2250</v>
      </c>
      <c r="B44" s="29" t="s">
        <v>204</v>
      </c>
      <c r="C44" s="45">
        <v>0</v>
      </c>
      <c r="D44" s="28">
        <f t="shared" si="1"/>
        <v>0</v>
      </c>
    </row>
    <row r="45" spans="1:4" hidden="1" x14ac:dyDescent="0.35">
      <c r="A45" s="27">
        <v>2262</v>
      </c>
      <c r="B45" s="29" t="s">
        <v>210</v>
      </c>
      <c r="C45" s="45"/>
      <c r="D45" s="28">
        <f t="shared" si="1"/>
        <v>0</v>
      </c>
    </row>
    <row r="46" spans="1:4" hidden="1" x14ac:dyDescent="0.35">
      <c r="A46" s="13">
        <v>2263</v>
      </c>
      <c r="B46" s="13" t="s">
        <v>211</v>
      </c>
      <c r="C46" s="45">
        <v>0</v>
      </c>
      <c r="D46" s="28">
        <f t="shared" si="1"/>
        <v>0</v>
      </c>
    </row>
    <row r="47" spans="1:4" hidden="1" x14ac:dyDescent="0.35">
      <c r="A47" s="27">
        <v>2264</v>
      </c>
      <c r="B47" s="29" t="s">
        <v>212</v>
      </c>
      <c r="C47" s="45"/>
      <c r="D47" s="28">
        <f t="shared" si="1"/>
        <v>0</v>
      </c>
    </row>
    <row r="48" spans="1:4" hidden="1" x14ac:dyDescent="0.35">
      <c r="A48" s="27">
        <v>2311</v>
      </c>
      <c r="B48" s="29" t="s">
        <v>15</v>
      </c>
      <c r="C48" s="45"/>
      <c r="D48" s="28">
        <f t="shared" si="1"/>
        <v>0</v>
      </c>
    </row>
    <row r="49" spans="1:47" hidden="1" x14ac:dyDescent="0.35">
      <c r="A49" s="27">
        <v>2312</v>
      </c>
      <c r="B49" s="29" t="s">
        <v>16</v>
      </c>
      <c r="C49" s="45">
        <v>0</v>
      </c>
      <c r="D49" s="28">
        <f t="shared" si="1"/>
        <v>0</v>
      </c>
    </row>
    <row r="50" spans="1:47" hidden="1" x14ac:dyDescent="0.35">
      <c r="A50" s="27">
        <v>2322</v>
      </c>
      <c r="B50" s="29" t="s">
        <v>18</v>
      </c>
      <c r="C50" s="45">
        <v>0</v>
      </c>
      <c r="D50" s="28">
        <f t="shared" si="1"/>
        <v>0</v>
      </c>
    </row>
    <row r="51" spans="1:47" hidden="1" x14ac:dyDescent="0.35">
      <c r="A51" s="27">
        <v>2350</v>
      </c>
      <c r="B51" s="129" t="s">
        <v>206</v>
      </c>
      <c r="C51" s="45">
        <v>0</v>
      </c>
      <c r="D51" s="28">
        <f t="shared" si="1"/>
        <v>0</v>
      </c>
    </row>
    <row r="52" spans="1:47" hidden="1" x14ac:dyDescent="0.35">
      <c r="A52" s="27">
        <v>2361</v>
      </c>
      <c r="B52" s="29" t="s">
        <v>20</v>
      </c>
      <c r="C52" s="45">
        <v>0</v>
      </c>
      <c r="D52" s="28">
        <f t="shared" si="1"/>
        <v>0</v>
      </c>
    </row>
    <row r="53" spans="1:47" hidden="1" x14ac:dyDescent="0.35">
      <c r="A53" s="27">
        <v>2400</v>
      </c>
      <c r="B53" s="29" t="s">
        <v>31</v>
      </c>
      <c r="C53" s="45">
        <v>0</v>
      </c>
      <c r="D53" s="28">
        <f t="shared" si="1"/>
        <v>0</v>
      </c>
    </row>
    <row r="54" spans="1:47" x14ac:dyDescent="0.35">
      <c r="A54" s="27">
        <v>2512</v>
      </c>
      <c r="B54" s="29" t="s">
        <v>201</v>
      </c>
      <c r="C54" s="45">
        <v>0.04</v>
      </c>
      <c r="D54" s="28">
        <f t="shared" si="1"/>
        <v>20</v>
      </c>
    </row>
    <row r="55" spans="1:47" hidden="1" x14ac:dyDescent="0.35">
      <c r="A55" s="27">
        <v>2515</v>
      </c>
      <c r="B55" s="29" t="s">
        <v>172</v>
      </c>
      <c r="C55" s="45"/>
      <c r="D55" s="28"/>
    </row>
    <row r="56" spans="1:47" hidden="1" x14ac:dyDescent="0.35">
      <c r="A56" s="27">
        <v>2519</v>
      </c>
      <c r="B56" s="29" t="s">
        <v>24</v>
      </c>
      <c r="C56" s="45">
        <v>0</v>
      </c>
      <c r="D56" s="28">
        <v>0.01</v>
      </c>
    </row>
    <row r="57" spans="1:47" hidden="1" x14ac:dyDescent="0.35">
      <c r="A57" s="27">
        <v>5232</v>
      </c>
      <c r="B57" s="29" t="s">
        <v>23</v>
      </c>
      <c r="C57" s="45">
        <v>0</v>
      </c>
      <c r="D57" s="28">
        <v>13.12</v>
      </c>
    </row>
    <row r="58" spans="1:47" hidden="1" x14ac:dyDescent="0.35">
      <c r="A58" s="27">
        <v>5240</v>
      </c>
      <c r="B58" s="29" t="s">
        <v>202</v>
      </c>
      <c r="C58" s="45">
        <v>0</v>
      </c>
      <c r="D58" s="28">
        <v>2.85</v>
      </c>
    </row>
    <row r="59" spans="1:47" hidden="1" x14ac:dyDescent="0.35">
      <c r="A59" s="27">
        <v>5250</v>
      </c>
      <c r="B59" s="29" t="s">
        <v>203</v>
      </c>
      <c r="C59" s="45">
        <v>0</v>
      </c>
      <c r="D59" s="28">
        <v>11.38</v>
      </c>
    </row>
    <row r="60" spans="1:47" x14ac:dyDescent="0.35">
      <c r="A60" s="32"/>
      <c r="B60" s="34" t="s">
        <v>175</v>
      </c>
      <c r="C60" s="139">
        <f>SUM(C34:C59)</f>
        <v>7.722699999999999E-2</v>
      </c>
      <c r="D60" s="31">
        <f>SUM(D34:D54)</f>
        <v>38.613500000000002</v>
      </c>
    </row>
    <row r="61" spans="1:47" x14ac:dyDescent="0.35">
      <c r="A61" s="32"/>
      <c r="B61" s="34" t="s">
        <v>32</v>
      </c>
      <c r="C61" s="31">
        <f>C32+C60</f>
        <v>0.20722699999999999</v>
      </c>
      <c r="D61" s="31">
        <f>D60+D32</f>
        <v>103.6135</v>
      </c>
      <c r="E61" s="92"/>
    </row>
    <row r="62" spans="1:47" x14ac:dyDescent="0.35">
      <c r="A62" s="140"/>
      <c r="B62" s="41"/>
      <c r="C62" s="41"/>
      <c r="D62" s="41"/>
    </row>
    <row r="63" spans="1:47" s="141" customFormat="1" ht="15" customHeight="1" x14ac:dyDescent="0.35">
      <c r="A63" s="275" t="s">
        <v>176</v>
      </c>
      <c r="B63" s="276"/>
      <c r="C63" s="105">
        <v>1</v>
      </c>
      <c r="D63" s="105">
        <v>500</v>
      </c>
      <c r="E63" s="6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</row>
    <row r="64" spans="1:47" s="141" customFormat="1" ht="15" customHeight="1" x14ac:dyDescent="0.35">
      <c r="A64" s="275" t="s">
        <v>189</v>
      </c>
      <c r="B64" s="276"/>
      <c r="C64" s="142">
        <f>C61/C63</f>
        <v>0.20722699999999999</v>
      </c>
      <c r="D64" s="142">
        <f>D61/D63</f>
        <v>0.20722699999999999</v>
      </c>
      <c r="E64" s="6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</row>
    <row r="65" spans="1:4" x14ac:dyDescent="0.35">
      <c r="A65" s="20"/>
      <c r="B65" s="103"/>
      <c r="C65" s="103"/>
      <c r="D65" s="103"/>
    </row>
    <row r="66" spans="1:4" ht="15" customHeight="1" x14ac:dyDescent="0.35">
      <c r="A66" s="267" t="s">
        <v>37</v>
      </c>
      <c r="B66" s="268"/>
      <c r="C66" s="39"/>
      <c r="D66" s="39"/>
    </row>
    <row r="67" spans="1:4" ht="15" customHeight="1" x14ac:dyDescent="0.35">
      <c r="A67" s="267" t="s">
        <v>55</v>
      </c>
      <c r="B67" s="268"/>
      <c r="C67" s="39"/>
      <c r="D67" s="39"/>
    </row>
    <row r="68" spans="1:4" x14ac:dyDescent="0.35">
      <c r="A68" s="138"/>
      <c r="B68" s="103"/>
      <c r="C68" s="103"/>
    </row>
    <row r="69" spans="1:4" x14ac:dyDescent="0.35">
      <c r="A69" s="17" t="s">
        <v>38</v>
      </c>
      <c r="B69" s="17"/>
      <c r="C69" s="17"/>
      <c r="D69" s="17"/>
    </row>
    <row r="70" spans="1:4" x14ac:dyDescent="0.35">
      <c r="A70" s="17"/>
      <c r="B70" s="17"/>
      <c r="C70" s="17"/>
      <c r="D70" s="17"/>
    </row>
    <row r="71" spans="1:4" x14ac:dyDescent="0.35">
      <c r="A71" s="17" t="s">
        <v>47</v>
      </c>
      <c r="B71" s="18"/>
      <c r="C71" s="18"/>
      <c r="D71" s="17"/>
    </row>
    <row r="72" spans="1:4" x14ac:dyDescent="0.35">
      <c r="A72" s="17"/>
      <c r="B72" s="19"/>
      <c r="C72" s="19"/>
      <c r="D72" s="17"/>
    </row>
  </sheetData>
  <mergeCells count="11">
    <mergeCell ref="B13:D13"/>
    <mergeCell ref="A63:B63"/>
    <mergeCell ref="A64:B64"/>
    <mergeCell ref="A66:B66"/>
    <mergeCell ref="A67:B67"/>
    <mergeCell ref="A7:D7"/>
    <mergeCell ref="B8:D8"/>
    <mergeCell ref="A9:D9"/>
    <mergeCell ref="A10:D10"/>
    <mergeCell ref="B11:D11"/>
    <mergeCell ref="B12:D1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view="pageLayout" topLeftCell="A10" zoomScale="80" zoomScaleNormal="100" zoomScalePageLayoutView="80" workbookViewId="0">
      <selection activeCell="B60" sqref="B60"/>
    </sheetView>
  </sheetViews>
  <sheetFormatPr defaultColWidth="9.1796875" defaultRowHeight="15.5" x14ac:dyDescent="0.35"/>
  <cols>
    <col min="1" max="1" width="12.81640625" style="13" customWidth="1"/>
    <col min="2" max="2" width="91" style="13" customWidth="1"/>
    <col min="3" max="3" width="7.7265625" style="13" hidden="1" customWidth="1"/>
    <col min="4" max="4" width="7.1796875" style="13" hidden="1" customWidth="1"/>
    <col min="5" max="5" width="26.7265625" style="13" customWidth="1"/>
    <col min="6" max="6" width="8.1796875" style="13" customWidth="1"/>
    <col min="7" max="7" width="35.1796875" style="13" customWidth="1"/>
    <col min="8" max="16384" width="9.1796875" style="13"/>
  </cols>
  <sheetData>
    <row r="1" spans="1:5" x14ac:dyDescent="0.35">
      <c r="E1" s="35" t="s">
        <v>35</v>
      </c>
    </row>
    <row r="2" spans="1:5" x14ac:dyDescent="0.35">
      <c r="E2" s="35" t="s">
        <v>39</v>
      </c>
    </row>
    <row r="3" spans="1:5" ht="15" customHeight="1" x14ac:dyDescent="0.35">
      <c r="E3" s="121" t="s">
        <v>56</v>
      </c>
    </row>
    <row r="4" spans="1:5" x14ac:dyDescent="0.35">
      <c r="E4" s="35"/>
    </row>
    <row r="5" spans="1:5" x14ac:dyDescent="0.35">
      <c r="E5" s="35" t="s">
        <v>329</v>
      </c>
    </row>
    <row r="7" spans="1:5" x14ac:dyDescent="0.35">
      <c r="A7" s="263" t="s">
        <v>5</v>
      </c>
      <c r="B7" s="263"/>
      <c r="C7" s="263"/>
      <c r="D7" s="263"/>
      <c r="E7" s="263"/>
    </row>
    <row r="8" spans="1:5" x14ac:dyDescent="0.35">
      <c r="B8" s="277"/>
      <c r="C8" s="277"/>
      <c r="D8" s="277"/>
    </row>
    <row r="9" spans="1:5" x14ac:dyDescent="0.35">
      <c r="A9" s="262" t="s">
        <v>1</v>
      </c>
      <c r="B9" s="262"/>
      <c r="C9" s="262"/>
      <c r="D9" s="262"/>
    </row>
    <row r="10" spans="1:5" ht="16.5" customHeight="1" x14ac:dyDescent="0.35">
      <c r="A10" s="262" t="s">
        <v>0</v>
      </c>
      <c r="B10" s="262"/>
      <c r="C10" s="262"/>
      <c r="D10" s="262"/>
    </row>
    <row r="11" spans="1:5" ht="16.5" customHeight="1" x14ac:dyDescent="0.35">
      <c r="A11" s="9"/>
      <c r="B11" s="262" t="s">
        <v>214</v>
      </c>
      <c r="C11" s="262"/>
      <c r="D11" s="262"/>
    </row>
    <row r="12" spans="1:5" ht="16.5" customHeight="1" x14ac:dyDescent="0.35">
      <c r="A12" s="9"/>
      <c r="B12" s="262" t="s">
        <v>266</v>
      </c>
      <c r="C12" s="262"/>
      <c r="D12" s="262"/>
    </row>
    <row r="13" spans="1:5" ht="16.5" customHeight="1" x14ac:dyDescent="0.35">
      <c r="A13" s="9"/>
      <c r="B13" s="9" t="s">
        <v>331</v>
      </c>
      <c r="C13" s="9"/>
      <c r="D13" s="9"/>
    </row>
    <row r="14" spans="1:5" ht="16.5" customHeight="1" x14ac:dyDescent="0.35">
      <c r="A14" s="9"/>
      <c r="B14" s="262" t="s">
        <v>333</v>
      </c>
      <c r="C14" s="262"/>
      <c r="D14" s="262"/>
    </row>
    <row r="15" spans="1:5" ht="16.5" customHeight="1" x14ac:dyDescent="0.35">
      <c r="A15" s="9" t="s">
        <v>2</v>
      </c>
      <c r="B15" s="9" t="s">
        <v>330</v>
      </c>
      <c r="C15" s="9"/>
      <c r="D15" s="9"/>
    </row>
    <row r="16" spans="1:5" ht="87.75" customHeight="1" x14ac:dyDescent="0.35">
      <c r="A16" s="54" t="s">
        <v>3</v>
      </c>
      <c r="B16" s="54" t="s">
        <v>4</v>
      </c>
      <c r="C16" s="54"/>
      <c r="D16" s="54"/>
      <c r="E16" s="54" t="s">
        <v>267</v>
      </c>
    </row>
    <row r="17" spans="1:5" ht="20.25" customHeight="1" x14ac:dyDescent="0.35">
      <c r="A17" s="22">
        <v>1</v>
      </c>
      <c r="B17" s="23">
        <v>2</v>
      </c>
      <c r="C17" s="23"/>
      <c r="D17" s="22"/>
      <c r="E17" s="22">
        <v>3</v>
      </c>
    </row>
    <row r="18" spans="1:5" x14ac:dyDescent="0.35">
      <c r="A18" s="24"/>
      <c r="B18" s="125" t="s">
        <v>156</v>
      </c>
      <c r="C18" s="125"/>
      <c r="D18" s="125"/>
      <c r="E18" s="127"/>
    </row>
    <row r="19" spans="1:5" x14ac:dyDescent="0.35">
      <c r="A19" s="27">
        <v>1100</v>
      </c>
      <c r="B19" s="162" t="s">
        <v>63</v>
      </c>
      <c r="C19" s="162"/>
      <c r="D19" s="93">
        <f>28.64/1.2359</f>
        <v>23.173395905817625</v>
      </c>
      <c r="E19" s="28">
        <v>145.71</v>
      </c>
    </row>
    <row r="20" spans="1:5" x14ac:dyDescent="0.35">
      <c r="A20" s="27">
        <v>1200</v>
      </c>
      <c r="B20" s="29" t="s">
        <v>192</v>
      </c>
      <c r="C20" s="29"/>
      <c r="D20" s="93">
        <f>D19*0.2359</f>
        <v>5.4666040941823777</v>
      </c>
      <c r="E20" s="28">
        <v>34.369999999999997</v>
      </c>
    </row>
    <row r="21" spans="1:5" x14ac:dyDescent="0.35">
      <c r="A21" s="27">
        <v>2222</v>
      </c>
      <c r="B21" s="129" t="s">
        <v>336</v>
      </c>
      <c r="C21" s="129"/>
      <c r="D21" s="93">
        <v>1.22</v>
      </c>
      <c r="E21" s="28">
        <v>6.11</v>
      </c>
    </row>
    <row r="22" spans="1:5" x14ac:dyDescent="0.35">
      <c r="A22" s="27">
        <v>2223</v>
      </c>
      <c r="B22" s="129" t="s">
        <v>29</v>
      </c>
      <c r="C22" s="203"/>
      <c r="D22" s="93">
        <v>6.81</v>
      </c>
      <c r="E22" s="28">
        <v>34.06</v>
      </c>
    </row>
    <row r="23" spans="1:5" ht="31" x14ac:dyDescent="0.35">
      <c r="A23" s="27">
        <v>2224</v>
      </c>
      <c r="B23" s="204" t="s">
        <v>312</v>
      </c>
      <c r="C23" s="116"/>
      <c r="D23" s="93">
        <v>0.09</v>
      </c>
      <c r="E23" s="28">
        <v>0.46</v>
      </c>
    </row>
    <row r="24" spans="1:5" x14ac:dyDescent="0.35">
      <c r="A24" s="27">
        <v>2244</v>
      </c>
      <c r="B24" s="129" t="s">
        <v>332</v>
      </c>
      <c r="C24" s="203"/>
      <c r="D24" s="93">
        <v>7.74</v>
      </c>
      <c r="E24" s="28">
        <v>38.72</v>
      </c>
    </row>
    <row r="25" spans="1:5" x14ac:dyDescent="0.35">
      <c r="A25" s="27">
        <v>2312</v>
      </c>
      <c r="B25" s="129" t="s">
        <v>284</v>
      </c>
      <c r="C25" s="203"/>
      <c r="D25" s="93">
        <v>2.16</v>
      </c>
      <c r="E25" s="28">
        <v>10.71</v>
      </c>
    </row>
    <row r="26" spans="1:5" x14ac:dyDescent="0.35">
      <c r="A26" s="27">
        <v>2321</v>
      </c>
      <c r="B26" s="129" t="s">
        <v>17</v>
      </c>
      <c r="C26" s="129"/>
      <c r="D26" s="93">
        <v>3.9</v>
      </c>
      <c r="E26" s="28">
        <v>19.5</v>
      </c>
    </row>
    <row r="27" spans="1:5" x14ac:dyDescent="0.35">
      <c r="A27" s="27">
        <v>5238</v>
      </c>
      <c r="B27" s="29" t="s">
        <v>122</v>
      </c>
      <c r="C27" s="29"/>
      <c r="D27" s="93">
        <v>2.14</v>
      </c>
      <c r="E27" s="28">
        <v>10.7</v>
      </c>
    </row>
    <row r="28" spans="1:5" x14ac:dyDescent="0.35">
      <c r="A28" s="27"/>
      <c r="B28" s="163" t="s">
        <v>161</v>
      </c>
      <c r="C28" s="163"/>
      <c r="D28" s="37">
        <f>SUM(D19:D27)</f>
        <v>52.70000000000001</v>
      </c>
      <c r="E28" s="31">
        <f>SUM(E19:E27)</f>
        <v>300.34000000000003</v>
      </c>
    </row>
    <row r="29" spans="1:5" x14ac:dyDescent="0.35">
      <c r="A29" s="32"/>
      <c r="B29" s="162" t="s">
        <v>162</v>
      </c>
      <c r="C29" s="162"/>
      <c r="D29" s="162"/>
      <c r="E29" s="26"/>
    </row>
    <row r="30" spans="1:5" x14ac:dyDescent="0.35">
      <c r="A30" s="27">
        <v>1100</v>
      </c>
      <c r="B30" s="162" t="s">
        <v>63</v>
      </c>
      <c r="C30" s="197">
        <f>0.418-0.0002</f>
        <v>0.4178</v>
      </c>
      <c r="D30" s="127"/>
      <c r="E30" s="28">
        <v>52.37</v>
      </c>
    </row>
    <row r="31" spans="1:5" x14ac:dyDescent="0.35">
      <c r="A31" s="27">
        <v>1200</v>
      </c>
      <c r="B31" s="29" t="s">
        <v>192</v>
      </c>
      <c r="C31" s="197">
        <f>C30*0.2359</f>
        <v>9.8559019999999997E-2</v>
      </c>
      <c r="D31" s="127"/>
      <c r="E31" s="28">
        <v>12.35</v>
      </c>
    </row>
    <row r="32" spans="1:5" x14ac:dyDescent="0.35">
      <c r="A32" s="27">
        <v>2231</v>
      </c>
      <c r="B32" s="29" t="s">
        <v>226</v>
      </c>
      <c r="C32" s="197">
        <v>3.0300000000000001E-2</v>
      </c>
      <c r="D32" s="127"/>
      <c r="E32" s="28">
        <v>3.71</v>
      </c>
    </row>
    <row r="33" spans="1:9" x14ac:dyDescent="0.35">
      <c r="A33" s="27">
        <v>2243</v>
      </c>
      <c r="B33" s="29" t="s">
        <v>9</v>
      </c>
      <c r="C33" s="197">
        <v>6.1899999999999997E-2</v>
      </c>
      <c r="D33" s="127"/>
      <c r="E33" s="28">
        <v>7.57</v>
      </c>
    </row>
    <row r="34" spans="1:9" x14ac:dyDescent="0.35">
      <c r="A34" s="27">
        <v>2250</v>
      </c>
      <c r="B34" s="29" t="s">
        <v>60</v>
      </c>
      <c r="C34" s="197">
        <v>0.1104</v>
      </c>
      <c r="D34" s="127"/>
      <c r="E34" s="28">
        <v>9.89</v>
      </c>
      <c r="H34" s="41"/>
      <c r="I34" s="193"/>
    </row>
    <row r="35" spans="1:9" x14ac:dyDescent="0.35">
      <c r="A35" s="27">
        <v>2311</v>
      </c>
      <c r="B35" s="29" t="s">
        <v>15</v>
      </c>
      <c r="C35" s="197">
        <v>3.3399999999999999E-2</v>
      </c>
      <c r="D35" s="127"/>
      <c r="E35" s="28">
        <v>2.99</v>
      </c>
    </row>
    <row r="36" spans="1:9" hidden="1" x14ac:dyDescent="0.35">
      <c r="A36" s="27">
        <v>2512</v>
      </c>
      <c r="B36" s="129" t="s">
        <v>201</v>
      </c>
      <c r="C36" s="197"/>
      <c r="D36" s="127"/>
      <c r="E36" s="28">
        <f>C36*89.55</f>
        <v>0</v>
      </c>
    </row>
    <row r="37" spans="1:9" x14ac:dyDescent="0.35">
      <c r="A37" s="27">
        <v>2513</v>
      </c>
      <c r="B37" s="29" t="s">
        <v>238</v>
      </c>
      <c r="C37" s="197">
        <v>1.52E-2</v>
      </c>
      <c r="D37" s="127"/>
      <c r="E37" s="28">
        <v>2.36</v>
      </c>
    </row>
    <row r="38" spans="1:9" x14ac:dyDescent="0.35">
      <c r="A38" s="33">
        <v>5239</v>
      </c>
      <c r="B38" s="29" t="s">
        <v>296</v>
      </c>
      <c r="C38" s="197">
        <v>0.2324</v>
      </c>
      <c r="D38" s="127"/>
      <c r="E38" s="28">
        <v>10.87</v>
      </c>
    </row>
    <row r="39" spans="1:9" x14ac:dyDescent="0.35">
      <c r="A39" s="32"/>
      <c r="B39" s="164" t="s">
        <v>175</v>
      </c>
      <c r="C39" s="198"/>
      <c r="D39" s="37"/>
      <c r="E39" s="31">
        <f>SUM(E30:E38)</f>
        <v>102.11</v>
      </c>
    </row>
    <row r="40" spans="1:9" x14ac:dyDescent="0.35">
      <c r="A40" s="165"/>
      <c r="B40" s="164" t="s">
        <v>32</v>
      </c>
      <c r="C40" s="164"/>
      <c r="D40" s="37"/>
      <c r="E40" s="31">
        <f>E28+E39</f>
        <v>402.45000000000005</v>
      </c>
    </row>
    <row r="41" spans="1:9" x14ac:dyDescent="0.35">
      <c r="A41" s="35"/>
      <c r="B41" s="20"/>
      <c r="C41" s="20"/>
      <c r="D41" s="20"/>
    </row>
    <row r="42" spans="1:9" ht="15.75" customHeight="1" x14ac:dyDescent="0.35">
      <c r="A42" s="279" t="s">
        <v>45</v>
      </c>
      <c r="B42" s="279"/>
      <c r="C42" s="201"/>
      <c r="D42" s="10"/>
      <c r="E42" s="21">
        <v>5</v>
      </c>
    </row>
    <row r="43" spans="1:9" ht="15.75" customHeight="1" x14ac:dyDescent="0.35">
      <c r="A43" s="279" t="s">
        <v>46</v>
      </c>
      <c r="B43" s="279"/>
      <c r="C43" s="201"/>
      <c r="D43" s="36"/>
      <c r="E43" s="37">
        <f>E40/E42</f>
        <v>80.490000000000009</v>
      </c>
    </row>
    <row r="44" spans="1:9" x14ac:dyDescent="0.35">
      <c r="A44" s="278"/>
      <c r="B44" s="278"/>
      <c r="C44" s="202"/>
      <c r="D44" s="103"/>
      <c r="E44" s="20"/>
    </row>
    <row r="45" spans="1:9" s="17" customFormat="1" x14ac:dyDescent="0.35">
      <c r="A45" s="278" t="s">
        <v>37</v>
      </c>
      <c r="B45" s="278"/>
      <c r="C45" s="202"/>
      <c r="D45" s="18"/>
      <c r="E45" s="39"/>
    </row>
    <row r="46" spans="1:9" s="17" customFormat="1" x14ac:dyDescent="0.35">
      <c r="A46" s="278" t="s">
        <v>55</v>
      </c>
      <c r="B46" s="278"/>
      <c r="C46" s="202"/>
      <c r="D46" s="18"/>
      <c r="E46" s="39"/>
    </row>
    <row r="47" spans="1:9" ht="13.5" customHeight="1" x14ac:dyDescent="0.35">
      <c r="A47" s="194"/>
      <c r="B47" s="195"/>
      <c r="C47" s="195"/>
      <c r="D47" s="135"/>
      <c r="E47" s="123"/>
    </row>
    <row r="48" spans="1:9" s="17" customFormat="1" x14ac:dyDescent="0.35">
      <c r="A48" s="196" t="s">
        <v>38</v>
      </c>
      <c r="B48" s="196"/>
      <c r="C48" s="196"/>
    </row>
    <row r="49" spans="1:5" s="17" customFormat="1" ht="12.75" customHeight="1" x14ac:dyDescent="0.35"/>
    <row r="50" spans="1:5" s="17" customFormat="1" ht="15" customHeight="1" x14ac:dyDescent="0.35">
      <c r="A50" s="17" t="s">
        <v>268</v>
      </c>
      <c r="B50" s="18"/>
      <c r="C50" s="18"/>
    </row>
    <row r="51" spans="1:5" s="17" customFormat="1" ht="14.25" customHeight="1" x14ac:dyDescent="0.35">
      <c r="B51" s="96"/>
      <c r="C51" s="96"/>
    </row>
    <row r="52" spans="1:5" x14ac:dyDescent="0.35">
      <c r="E52" s="123"/>
    </row>
  </sheetData>
  <mergeCells count="12">
    <mergeCell ref="B14:D14"/>
    <mergeCell ref="A46:B46"/>
    <mergeCell ref="A42:B42"/>
    <mergeCell ref="A43:B43"/>
    <mergeCell ref="A44:B44"/>
    <mergeCell ref="A45:B45"/>
    <mergeCell ref="A7:E7"/>
    <mergeCell ref="B8:D8"/>
    <mergeCell ref="A9:D9"/>
    <mergeCell ref="A10:D10"/>
    <mergeCell ref="B11:D11"/>
    <mergeCell ref="B12:D12"/>
  </mergeCells>
  <pageMargins left="0.84812500000000002" right="0.66156250000000005" top="0.75" bottom="0.75" header="0.3" footer="0.3"/>
  <pageSetup paperSize="9" scale="67" fitToHeight="0" orientation="portrait" r:id="rId1"/>
  <headerFooter>
    <oddFooter>&amp;C&amp;"Times New Roman,Regular"&amp;F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9"/>
  <sheetViews>
    <sheetView view="pageLayout" topLeftCell="A4" zoomScale="90" zoomScaleNormal="100" zoomScalePageLayoutView="90" workbookViewId="0">
      <selection activeCell="B22" sqref="B22"/>
    </sheetView>
  </sheetViews>
  <sheetFormatPr defaultColWidth="9.1796875" defaultRowHeight="15.5" x14ac:dyDescent="0.35"/>
  <cols>
    <col min="1" max="1" width="16.453125" style="13" customWidth="1"/>
    <col min="2" max="2" width="94.7265625" style="13" customWidth="1"/>
    <col min="3" max="3" width="22.1796875" style="13" hidden="1" customWidth="1"/>
    <col min="4" max="4" width="23.453125" style="13" customWidth="1"/>
    <col min="5" max="16384" width="9.1796875" style="118"/>
  </cols>
  <sheetData>
    <row r="1" spans="1:4" x14ac:dyDescent="0.35">
      <c r="D1" s="35" t="s">
        <v>35</v>
      </c>
    </row>
    <row r="2" spans="1:4" x14ac:dyDescent="0.35">
      <c r="D2" s="35" t="s">
        <v>39</v>
      </c>
    </row>
    <row r="3" spans="1:4" ht="15" customHeight="1" x14ac:dyDescent="0.35">
      <c r="D3" s="35" t="s">
        <v>56</v>
      </c>
    </row>
    <row r="4" spans="1:4" x14ac:dyDescent="0.35">
      <c r="D4" s="35"/>
    </row>
    <row r="5" spans="1:4" x14ac:dyDescent="0.35">
      <c r="D5" s="11" t="s">
        <v>301</v>
      </c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B8" s="277"/>
      <c r="C8" s="277"/>
    </row>
    <row r="9" spans="1:4" x14ac:dyDescent="0.35">
      <c r="A9" s="262" t="s">
        <v>1</v>
      </c>
      <c r="B9" s="262"/>
      <c r="C9" s="262"/>
    </row>
    <row r="10" spans="1:4" ht="15.75" customHeight="1" x14ac:dyDescent="0.35">
      <c r="A10" s="262" t="s">
        <v>0</v>
      </c>
      <c r="B10" s="262"/>
      <c r="C10" s="262"/>
    </row>
    <row r="11" spans="1:4" ht="12" customHeight="1" x14ac:dyDescent="0.35">
      <c r="A11" s="9"/>
      <c r="B11" s="262" t="s">
        <v>214</v>
      </c>
      <c r="C11" s="262"/>
    </row>
    <row r="12" spans="1:4" ht="21" customHeight="1" x14ac:dyDescent="0.35">
      <c r="A12" s="9"/>
      <c r="B12" s="262" t="s">
        <v>266</v>
      </c>
      <c r="C12" s="262"/>
    </row>
    <row r="13" spans="1:4" x14ac:dyDescent="0.35">
      <c r="A13" s="9"/>
      <c r="B13" s="262" t="s">
        <v>269</v>
      </c>
      <c r="C13" s="262"/>
    </row>
    <row r="14" spans="1:4" x14ac:dyDescent="0.35">
      <c r="A14" s="9"/>
      <c r="B14" s="9" t="s">
        <v>270</v>
      </c>
      <c r="C14" s="9"/>
    </row>
    <row r="15" spans="1:4" ht="15.75" customHeight="1" x14ac:dyDescent="0.35">
      <c r="A15" s="9" t="s">
        <v>2</v>
      </c>
      <c r="B15" s="9" t="s">
        <v>302</v>
      </c>
      <c r="C15" s="9"/>
    </row>
    <row r="16" spans="1:4" ht="109.5" customHeight="1" x14ac:dyDescent="0.3">
      <c r="A16" s="54" t="s">
        <v>3</v>
      </c>
      <c r="B16" s="54" t="s">
        <v>4</v>
      </c>
      <c r="C16" s="54" t="s">
        <v>155</v>
      </c>
      <c r="D16" s="54" t="s">
        <v>267</v>
      </c>
    </row>
    <row r="17" spans="1:4" ht="20.25" customHeight="1" x14ac:dyDescent="0.3">
      <c r="A17" s="22">
        <v>1</v>
      </c>
      <c r="B17" s="23">
        <v>2</v>
      </c>
      <c r="C17" s="22"/>
      <c r="D17" s="22">
        <v>3</v>
      </c>
    </row>
    <row r="18" spans="1:4" x14ac:dyDescent="0.35">
      <c r="A18" s="24"/>
      <c r="B18" s="125" t="s">
        <v>156</v>
      </c>
      <c r="C18" s="125"/>
      <c r="D18" s="127"/>
    </row>
    <row r="19" spans="1:4" x14ac:dyDescent="0.35">
      <c r="A19" s="27">
        <v>1100</v>
      </c>
      <c r="B19" s="162" t="s">
        <v>63</v>
      </c>
      <c r="C19" s="93">
        <v>10.15</v>
      </c>
      <c r="D19" s="28">
        <v>44.5</v>
      </c>
    </row>
    <row r="20" spans="1:4" ht="15.75" customHeight="1" x14ac:dyDescent="0.35">
      <c r="A20" s="27">
        <v>1200</v>
      </c>
      <c r="B20" s="29" t="s">
        <v>192</v>
      </c>
      <c r="C20" s="93">
        <v>2.4500000000000002</v>
      </c>
      <c r="D20" s="26">
        <v>10.72</v>
      </c>
    </row>
    <row r="21" spans="1:4" x14ac:dyDescent="0.35">
      <c r="A21" s="27">
        <v>2222</v>
      </c>
      <c r="B21" s="129" t="s">
        <v>28</v>
      </c>
      <c r="C21" s="93">
        <v>6.32</v>
      </c>
      <c r="D21" s="26">
        <v>1.52</v>
      </c>
    </row>
    <row r="22" spans="1:4" x14ac:dyDescent="0.35">
      <c r="A22" s="27">
        <v>2223</v>
      </c>
      <c r="B22" s="129" t="s">
        <v>29</v>
      </c>
      <c r="C22" s="93">
        <v>3.79</v>
      </c>
      <c r="D22" s="26">
        <v>7.69</v>
      </c>
    </row>
    <row r="23" spans="1:4" x14ac:dyDescent="0.35">
      <c r="A23" s="27">
        <v>2244</v>
      </c>
      <c r="B23" s="29" t="s">
        <v>193</v>
      </c>
      <c r="C23" s="93">
        <v>11.34</v>
      </c>
      <c r="D23" s="26">
        <v>17.32</v>
      </c>
    </row>
    <row r="24" spans="1:4" x14ac:dyDescent="0.35">
      <c r="A24" s="27">
        <v>2321</v>
      </c>
      <c r="B24" s="129" t="s">
        <v>17</v>
      </c>
      <c r="C24" s="93">
        <v>12.64</v>
      </c>
      <c r="D24" s="26">
        <v>4.47</v>
      </c>
    </row>
    <row r="25" spans="1:4" x14ac:dyDescent="0.3">
      <c r="A25" s="27"/>
      <c r="B25" s="163" t="s">
        <v>161</v>
      </c>
      <c r="C25" s="37">
        <f>SUM(C19:C24)</f>
        <v>46.69</v>
      </c>
      <c r="D25" s="166">
        <f>SUM(D19:D24)</f>
        <v>86.22</v>
      </c>
    </row>
    <row r="26" spans="1:4" x14ac:dyDescent="0.35">
      <c r="A26" s="32"/>
      <c r="B26" s="162" t="s">
        <v>162</v>
      </c>
      <c r="C26" s="162"/>
      <c r="D26" s="26"/>
    </row>
    <row r="27" spans="1:4" x14ac:dyDescent="0.35">
      <c r="A27" s="27">
        <v>1100</v>
      </c>
      <c r="B27" s="162" t="s">
        <v>63</v>
      </c>
      <c r="C27" s="93">
        <v>2.78</v>
      </c>
      <c r="D27" s="26">
        <v>21.72</v>
      </c>
    </row>
    <row r="28" spans="1:4" ht="15.75" customHeight="1" x14ac:dyDescent="0.35">
      <c r="A28" s="27">
        <v>1200</v>
      </c>
      <c r="B28" s="29" t="s">
        <v>192</v>
      </c>
      <c r="C28" s="93">
        <v>0.67</v>
      </c>
      <c r="D28" s="26">
        <v>5.23</v>
      </c>
    </row>
    <row r="29" spans="1:4" x14ac:dyDescent="0.35">
      <c r="A29" s="27">
        <v>2231</v>
      </c>
      <c r="B29" s="29" t="s">
        <v>286</v>
      </c>
      <c r="C29" s="93"/>
      <c r="D29" s="26">
        <v>1.59</v>
      </c>
    </row>
    <row r="30" spans="1:4" x14ac:dyDescent="0.35">
      <c r="A30" s="27">
        <v>2243</v>
      </c>
      <c r="B30" s="29" t="s">
        <v>9</v>
      </c>
      <c r="C30" s="93"/>
      <c r="D30" s="26">
        <v>3.22</v>
      </c>
    </row>
    <row r="31" spans="1:4" x14ac:dyDescent="0.35">
      <c r="A31" s="27">
        <v>2250</v>
      </c>
      <c r="B31" s="129" t="s">
        <v>186</v>
      </c>
      <c r="C31" s="93"/>
      <c r="D31" s="26">
        <v>5.76</v>
      </c>
    </row>
    <row r="32" spans="1:4" x14ac:dyDescent="0.35">
      <c r="A32" s="27">
        <v>2311</v>
      </c>
      <c r="B32" s="29" t="s">
        <v>15</v>
      </c>
      <c r="C32" s="93"/>
      <c r="D32" s="26">
        <v>1.74</v>
      </c>
    </row>
    <row r="33" spans="1:4" x14ac:dyDescent="0.35">
      <c r="A33" s="27">
        <v>2512</v>
      </c>
      <c r="B33" s="129" t="s">
        <v>201</v>
      </c>
      <c r="C33" s="93"/>
      <c r="D33" s="28">
        <v>29.07</v>
      </c>
    </row>
    <row r="34" spans="1:4" x14ac:dyDescent="0.35">
      <c r="A34" s="27">
        <v>2513</v>
      </c>
      <c r="B34" s="29" t="s">
        <v>238</v>
      </c>
      <c r="C34" s="93">
        <v>10.56</v>
      </c>
      <c r="D34" s="26">
        <v>0.79</v>
      </c>
    </row>
    <row r="35" spans="1:4" x14ac:dyDescent="0.35">
      <c r="A35" s="27">
        <v>5239</v>
      </c>
      <c r="B35" s="29" t="s">
        <v>296</v>
      </c>
      <c r="C35" s="93"/>
      <c r="D35" s="26">
        <v>12.16</v>
      </c>
    </row>
    <row r="36" spans="1:4" x14ac:dyDescent="0.3">
      <c r="A36" s="32"/>
      <c r="B36" s="164" t="s">
        <v>175</v>
      </c>
      <c r="C36" s="37">
        <f>SUM(C27:C34)</f>
        <v>14.01</v>
      </c>
      <c r="D36" s="31">
        <f>SUM(D27:D35)</f>
        <v>81.28</v>
      </c>
    </row>
    <row r="37" spans="1:4" x14ac:dyDescent="0.35">
      <c r="A37" s="165"/>
      <c r="B37" s="164" t="s">
        <v>32</v>
      </c>
      <c r="C37" s="37">
        <f>C36+C25</f>
        <v>60.699999999999996</v>
      </c>
      <c r="D37" s="31">
        <f>D25+D36</f>
        <v>167.5</v>
      </c>
    </row>
    <row r="38" spans="1:4" x14ac:dyDescent="0.35">
      <c r="A38" s="35"/>
      <c r="B38" s="20"/>
      <c r="C38" s="20"/>
    </row>
    <row r="39" spans="1:4" ht="15.75" customHeight="1" x14ac:dyDescent="0.35">
      <c r="A39" s="267" t="s">
        <v>45</v>
      </c>
      <c r="B39" s="268"/>
      <c r="C39" s="10">
        <v>10</v>
      </c>
      <c r="D39" s="21">
        <v>1</v>
      </c>
    </row>
    <row r="40" spans="1:4" x14ac:dyDescent="0.35">
      <c r="A40" s="267" t="s">
        <v>189</v>
      </c>
      <c r="B40" s="268"/>
      <c r="C40" s="36">
        <f>C37/C39</f>
        <v>6.0699999999999994</v>
      </c>
      <c r="D40" s="37">
        <f>D37/D39</f>
        <v>167.5</v>
      </c>
    </row>
    <row r="41" spans="1:4" x14ac:dyDescent="0.35">
      <c r="A41" s="20"/>
      <c r="B41" s="103"/>
      <c r="C41" s="103"/>
    </row>
    <row r="42" spans="1:4" s="2" customFormat="1" x14ac:dyDescent="0.35">
      <c r="A42" s="267" t="s">
        <v>37</v>
      </c>
      <c r="B42" s="268"/>
      <c r="C42" s="39"/>
      <c r="D42" s="39"/>
    </row>
    <row r="43" spans="1:4" s="2" customFormat="1" x14ac:dyDescent="0.35">
      <c r="A43" s="267" t="s">
        <v>55</v>
      </c>
      <c r="B43" s="268"/>
      <c r="C43" s="39"/>
      <c r="D43" s="39"/>
    </row>
    <row r="44" spans="1:4" ht="13.5" customHeight="1" x14ac:dyDescent="0.35">
      <c r="A44" s="138"/>
      <c r="B44" s="103"/>
      <c r="C44" s="135"/>
    </row>
    <row r="45" spans="1:4" s="2" customFormat="1" x14ac:dyDescent="0.35">
      <c r="A45" s="17" t="s">
        <v>38</v>
      </c>
      <c r="B45" s="17"/>
      <c r="C45" s="17"/>
      <c r="D45" s="17"/>
    </row>
    <row r="46" spans="1:4" s="2" customFormat="1" ht="12.75" customHeight="1" x14ac:dyDescent="0.35">
      <c r="A46" s="17"/>
      <c r="B46" s="17"/>
      <c r="C46" s="17"/>
      <c r="D46" s="17"/>
    </row>
    <row r="47" spans="1:4" s="2" customFormat="1" ht="15" customHeight="1" x14ac:dyDescent="0.35">
      <c r="A47" s="17" t="s">
        <v>268</v>
      </c>
      <c r="B47" s="18"/>
      <c r="C47" s="17"/>
      <c r="D47" s="17"/>
    </row>
    <row r="48" spans="1:4" s="2" customFormat="1" ht="14.25" customHeight="1" x14ac:dyDescent="0.35">
      <c r="A48" s="17"/>
      <c r="B48" s="96"/>
      <c r="C48" s="17"/>
      <c r="D48" s="17"/>
    </row>
    <row r="49" spans="4:4" x14ac:dyDescent="0.35">
      <c r="D49" s="123"/>
    </row>
  </sheetData>
  <mergeCells count="11">
    <mergeCell ref="A7:D7"/>
    <mergeCell ref="B8:C8"/>
    <mergeCell ref="A9:C9"/>
    <mergeCell ref="A10:C10"/>
    <mergeCell ref="B11:C11"/>
    <mergeCell ref="B12:C12"/>
    <mergeCell ref="B13:C13"/>
    <mergeCell ref="A39:B39"/>
    <mergeCell ref="A40:B40"/>
    <mergeCell ref="A42:B42"/>
    <mergeCell ref="A43:B43"/>
  </mergeCells>
  <pageMargins left="0.69958333333333333" right="0.77916666666666667" top="0.75" bottom="0.75" header="0.3" footer="0.3"/>
  <pageSetup paperSize="9" scale="65" fitToHeight="0" orientation="portrait" r:id="rId1"/>
  <headerFooter>
    <oddFooter>&amp;C&amp;"Times New Roman,Regular"&amp;F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1"/>
  <sheetViews>
    <sheetView view="pageLayout" zoomScale="90" zoomScaleNormal="100" zoomScalePageLayoutView="90" workbookViewId="0">
      <selection activeCell="B63" sqref="B63"/>
    </sheetView>
  </sheetViews>
  <sheetFormatPr defaultColWidth="9.1796875" defaultRowHeight="15.5" x14ac:dyDescent="0.35"/>
  <cols>
    <col min="1" max="1" width="13.453125" style="13" customWidth="1"/>
    <col min="2" max="2" width="94.7265625" style="13" customWidth="1"/>
    <col min="3" max="3" width="22.1796875" style="13" hidden="1" customWidth="1"/>
    <col min="4" max="4" width="23.54296875" style="13" customWidth="1"/>
    <col min="5" max="16384" width="9.1796875" style="118"/>
  </cols>
  <sheetData>
    <row r="1" spans="1:4" x14ac:dyDescent="0.35">
      <c r="D1" s="35" t="s">
        <v>35</v>
      </c>
    </row>
    <row r="2" spans="1:4" x14ac:dyDescent="0.35">
      <c r="D2" s="35" t="s">
        <v>39</v>
      </c>
    </row>
    <row r="3" spans="1:4" ht="15" customHeight="1" x14ac:dyDescent="0.35">
      <c r="D3" s="35" t="s">
        <v>56</v>
      </c>
    </row>
    <row r="4" spans="1:4" x14ac:dyDescent="0.35">
      <c r="D4" s="35"/>
    </row>
    <row r="5" spans="1:4" x14ac:dyDescent="0.35">
      <c r="D5" s="11" t="s">
        <v>301</v>
      </c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B8" s="277"/>
      <c r="C8" s="277"/>
    </row>
    <row r="9" spans="1:4" x14ac:dyDescent="0.35">
      <c r="A9" s="262" t="s">
        <v>1</v>
      </c>
      <c r="B9" s="262"/>
      <c r="C9" s="262"/>
    </row>
    <row r="10" spans="1:4" ht="15.75" customHeight="1" x14ac:dyDescent="0.35">
      <c r="A10" s="262" t="s">
        <v>0</v>
      </c>
      <c r="B10" s="262"/>
      <c r="C10" s="262"/>
    </row>
    <row r="11" spans="1:4" ht="12" customHeight="1" x14ac:dyDescent="0.35">
      <c r="A11" s="9"/>
      <c r="B11" s="262" t="s">
        <v>214</v>
      </c>
      <c r="C11" s="262"/>
    </row>
    <row r="12" spans="1:4" x14ac:dyDescent="0.35">
      <c r="A12" s="9"/>
      <c r="B12" s="262" t="s">
        <v>266</v>
      </c>
      <c r="C12" s="262"/>
    </row>
    <row r="13" spans="1:4" x14ac:dyDescent="0.35">
      <c r="A13" s="9"/>
      <c r="B13" s="262" t="s">
        <v>271</v>
      </c>
      <c r="C13" s="262"/>
    </row>
    <row r="14" spans="1:4" x14ac:dyDescent="0.35">
      <c r="A14" s="9"/>
      <c r="B14" s="9" t="s">
        <v>273</v>
      </c>
      <c r="C14" s="9"/>
    </row>
    <row r="15" spans="1:4" ht="13.5" customHeight="1" x14ac:dyDescent="0.35">
      <c r="C15" s="9"/>
    </row>
    <row r="16" spans="1:4" x14ac:dyDescent="0.35">
      <c r="A16" s="9" t="s">
        <v>2</v>
      </c>
      <c r="B16" s="9" t="s">
        <v>302</v>
      </c>
      <c r="C16" s="124"/>
    </row>
    <row r="17" spans="1:4" ht="67.5" customHeight="1" x14ac:dyDescent="0.3">
      <c r="A17" s="54" t="s">
        <v>3</v>
      </c>
      <c r="B17" s="54" t="s">
        <v>4</v>
      </c>
      <c r="C17" s="54" t="s">
        <v>155</v>
      </c>
      <c r="D17" s="54" t="s">
        <v>267</v>
      </c>
    </row>
    <row r="18" spans="1:4" ht="15.75" customHeight="1" x14ac:dyDescent="0.3">
      <c r="A18" s="22">
        <v>1</v>
      </c>
      <c r="B18" s="23">
        <v>2</v>
      </c>
      <c r="C18" s="22"/>
      <c r="D18" s="22">
        <v>3</v>
      </c>
    </row>
    <row r="19" spans="1:4" x14ac:dyDescent="0.35">
      <c r="A19" s="24"/>
      <c r="B19" s="125" t="s">
        <v>156</v>
      </c>
      <c r="C19" s="125"/>
      <c r="D19" s="127"/>
    </row>
    <row r="20" spans="1:4" x14ac:dyDescent="0.35">
      <c r="A20" s="27">
        <v>1100</v>
      </c>
      <c r="B20" s="162" t="s">
        <v>63</v>
      </c>
      <c r="C20" s="93">
        <v>10.15</v>
      </c>
      <c r="D20" s="26">
        <v>30.03</v>
      </c>
    </row>
    <row r="21" spans="1:4" ht="15.75" customHeight="1" x14ac:dyDescent="0.35">
      <c r="A21" s="27">
        <v>1200</v>
      </c>
      <c r="B21" s="29" t="s">
        <v>192</v>
      </c>
      <c r="C21" s="93">
        <v>2.4500000000000002</v>
      </c>
      <c r="D21" s="26">
        <v>7.23</v>
      </c>
    </row>
    <row r="22" spans="1:4" x14ac:dyDescent="0.35">
      <c r="A22" s="27">
        <v>2222</v>
      </c>
      <c r="B22" s="129" t="s">
        <v>28</v>
      </c>
      <c r="C22" s="93">
        <v>6.32</v>
      </c>
      <c r="D22" s="26">
        <v>1.03</v>
      </c>
    </row>
    <row r="23" spans="1:4" x14ac:dyDescent="0.35">
      <c r="A23" s="27">
        <v>2223</v>
      </c>
      <c r="B23" s="129" t="s">
        <v>29</v>
      </c>
      <c r="C23" s="93">
        <v>3.79</v>
      </c>
      <c r="D23" s="26">
        <v>5.19</v>
      </c>
    </row>
    <row r="24" spans="1:4" x14ac:dyDescent="0.35">
      <c r="A24" s="27">
        <v>2244</v>
      </c>
      <c r="B24" s="29" t="s">
        <v>193</v>
      </c>
      <c r="C24" s="93">
        <v>11.34</v>
      </c>
      <c r="D24" s="26">
        <v>11.69</v>
      </c>
    </row>
    <row r="25" spans="1:4" x14ac:dyDescent="0.35">
      <c r="A25" s="27">
        <v>2321</v>
      </c>
      <c r="B25" s="129" t="s">
        <v>17</v>
      </c>
      <c r="C25" s="93">
        <v>12.64</v>
      </c>
      <c r="D25" s="26">
        <v>3.02</v>
      </c>
    </row>
    <row r="26" spans="1:4" x14ac:dyDescent="0.3">
      <c r="A26" s="27"/>
      <c r="B26" s="163" t="s">
        <v>161</v>
      </c>
      <c r="C26" s="37">
        <f>SUM(C20:C25)</f>
        <v>46.69</v>
      </c>
      <c r="D26" s="166">
        <f>SUM(D20:D25)</f>
        <v>58.190000000000005</v>
      </c>
    </row>
    <row r="27" spans="1:4" x14ac:dyDescent="0.35">
      <c r="A27" s="32"/>
      <c r="B27" s="162" t="s">
        <v>162</v>
      </c>
      <c r="C27" s="162"/>
      <c r="D27" s="26"/>
    </row>
    <row r="28" spans="1:4" x14ac:dyDescent="0.35">
      <c r="A28" s="27">
        <v>1100</v>
      </c>
      <c r="B28" s="162" t="s">
        <v>63</v>
      </c>
      <c r="C28" s="93">
        <v>2.78</v>
      </c>
      <c r="D28" s="26">
        <v>14.66</v>
      </c>
    </row>
    <row r="29" spans="1:4" ht="15.75" customHeight="1" x14ac:dyDescent="0.35">
      <c r="A29" s="27">
        <v>1200</v>
      </c>
      <c r="B29" s="29" t="s">
        <v>192</v>
      </c>
      <c r="C29" s="93">
        <v>0.67</v>
      </c>
      <c r="D29" s="26">
        <v>3.53</v>
      </c>
    </row>
    <row r="30" spans="1:4" x14ac:dyDescent="0.35">
      <c r="A30" s="27">
        <v>2231</v>
      </c>
      <c r="B30" s="29" t="s">
        <v>286</v>
      </c>
      <c r="C30" s="93"/>
      <c r="D30" s="26">
        <v>1.07</v>
      </c>
    </row>
    <row r="31" spans="1:4" x14ac:dyDescent="0.35">
      <c r="A31" s="27">
        <v>2243</v>
      </c>
      <c r="B31" s="29" t="s">
        <v>9</v>
      </c>
      <c r="C31" s="93"/>
      <c r="D31" s="26">
        <v>2.17</v>
      </c>
    </row>
    <row r="32" spans="1:4" x14ac:dyDescent="0.35">
      <c r="A32" s="27">
        <v>2250</v>
      </c>
      <c r="B32" s="129" t="s">
        <v>186</v>
      </c>
      <c r="C32" s="93"/>
      <c r="D32" s="26">
        <v>3.89</v>
      </c>
    </row>
    <row r="33" spans="1:4" x14ac:dyDescent="0.35">
      <c r="A33" s="27">
        <v>2263</v>
      </c>
      <c r="B33" s="29" t="s">
        <v>167</v>
      </c>
      <c r="C33" s="93"/>
      <c r="D33" s="28">
        <f>0.37+0.13</f>
        <v>0.5</v>
      </c>
    </row>
    <row r="34" spans="1:4" x14ac:dyDescent="0.35">
      <c r="A34" s="27">
        <v>2311</v>
      </c>
      <c r="B34" s="29" t="s">
        <v>15</v>
      </c>
      <c r="C34" s="93"/>
      <c r="D34" s="26">
        <v>1.17</v>
      </c>
    </row>
    <row r="35" spans="1:4" x14ac:dyDescent="0.35">
      <c r="A35" s="27">
        <v>2512</v>
      </c>
      <c r="B35" s="129" t="s">
        <v>201</v>
      </c>
      <c r="C35" s="93"/>
      <c r="D35" s="26">
        <v>19.61</v>
      </c>
    </row>
    <row r="36" spans="1:4" hidden="1" x14ac:dyDescent="0.35">
      <c r="A36" s="27">
        <v>2513</v>
      </c>
      <c r="B36" s="29" t="s">
        <v>22</v>
      </c>
      <c r="C36" s="93">
        <v>10.56</v>
      </c>
      <c r="D36" s="26">
        <v>0</v>
      </c>
    </row>
    <row r="37" spans="1:4" x14ac:dyDescent="0.35">
      <c r="A37" s="27">
        <v>5239</v>
      </c>
      <c r="B37" s="29" t="s">
        <v>296</v>
      </c>
      <c r="C37" s="93"/>
      <c r="D37" s="28">
        <v>8.2100000000000009</v>
      </c>
    </row>
    <row r="38" spans="1:4" x14ac:dyDescent="0.3">
      <c r="A38" s="32"/>
      <c r="B38" s="164" t="s">
        <v>175</v>
      </c>
      <c r="C38" s="37">
        <f>SUM(C28:C36)</f>
        <v>14.01</v>
      </c>
      <c r="D38" s="31">
        <f>SUM(D28:D37)</f>
        <v>54.81</v>
      </c>
    </row>
    <row r="39" spans="1:4" x14ac:dyDescent="0.35">
      <c r="A39" s="165"/>
      <c r="B39" s="164" t="s">
        <v>32</v>
      </c>
      <c r="C39" s="37">
        <f>C38+C26</f>
        <v>60.699999999999996</v>
      </c>
      <c r="D39" s="31">
        <f>D26+D38</f>
        <v>113</v>
      </c>
    </row>
    <row r="40" spans="1:4" x14ac:dyDescent="0.35">
      <c r="A40" s="35"/>
      <c r="B40" s="20"/>
      <c r="C40" s="20"/>
    </row>
    <row r="41" spans="1:4" ht="15.75" customHeight="1" x14ac:dyDescent="0.35">
      <c r="A41" s="267" t="s">
        <v>45</v>
      </c>
      <c r="B41" s="268"/>
      <c r="C41" s="10">
        <v>10</v>
      </c>
      <c r="D41" s="21">
        <v>1</v>
      </c>
    </row>
    <row r="42" spans="1:4" x14ac:dyDescent="0.35">
      <c r="A42" s="267" t="s">
        <v>189</v>
      </c>
      <c r="B42" s="268"/>
      <c r="C42" s="36">
        <f>C39/C41</f>
        <v>6.0699999999999994</v>
      </c>
      <c r="D42" s="37">
        <f>D39/D41</f>
        <v>113</v>
      </c>
    </row>
    <row r="43" spans="1:4" x14ac:dyDescent="0.35">
      <c r="A43" s="20"/>
      <c r="B43" s="103"/>
      <c r="C43" s="103"/>
    </row>
    <row r="44" spans="1:4" s="2" customFormat="1" ht="19.5" customHeight="1" x14ac:dyDescent="0.35">
      <c r="A44" s="267" t="s">
        <v>272</v>
      </c>
      <c r="B44" s="268"/>
      <c r="C44" s="39"/>
      <c r="D44" s="39"/>
    </row>
    <row r="45" spans="1:4" s="2" customFormat="1" x14ac:dyDescent="0.35">
      <c r="A45" s="267" t="s">
        <v>55</v>
      </c>
      <c r="B45" s="268"/>
      <c r="C45" s="39"/>
      <c r="D45" s="39"/>
    </row>
    <row r="46" spans="1:4" ht="13.5" customHeight="1" x14ac:dyDescent="0.35">
      <c r="A46" s="138"/>
      <c r="B46" s="103"/>
      <c r="C46" s="135"/>
    </row>
    <row r="47" spans="1:4" s="2" customFormat="1" ht="17.25" customHeight="1" x14ac:dyDescent="0.35">
      <c r="A47" s="17" t="s">
        <v>38</v>
      </c>
      <c r="B47" s="17"/>
      <c r="C47" s="17"/>
      <c r="D47" s="65"/>
    </row>
    <row r="48" spans="1:4" s="2" customFormat="1" ht="12.75" customHeight="1" x14ac:dyDescent="0.35">
      <c r="A48" s="17"/>
      <c r="B48" s="17"/>
      <c r="C48" s="17"/>
      <c r="D48" s="17"/>
    </row>
    <row r="49" spans="1:4" s="2" customFormat="1" ht="15" customHeight="1" x14ac:dyDescent="0.35">
      <c r="A49" s="17" t="s">
        <v>268</v>
      </c>
      <c r="B49" s="18"/>
      <c r="C49" s="17"/>
      <c r="D49" s="17"/>
    </row>
    <row r="50" spans="1:4" s="2" customFormat="1" ht="14.25" customHeight="1" x14ac:dyDescent="0.35">
      <c r="A50" s="17"/>
      <c r="B50" s="96"/>
      <c r="C50" s="17"/>
      <c r="D50" s="17"/>
    </row>
    <row r="51" spans="1:4" x14ac:dyDescent="0.35">
      <c r="D51" s="123"/>
    </row>
  </sheetData>
  <mergeCells count="11">
    <mergeCell ref="A7:D7"/>
    <mergeCell ref="B8:C8"/>
    <mergeCell ref="A9:C9"/>
    <mergeCell ref="A10:C10"/>
    <mergeCell ref="B11:C11"/>
    <mergeCell ref="B12:C12"/>
    <mergeCell ref="B13:C13"/>
    <mergeCell ref="A41:B41"/>
    <mergeCell ref="A42:B42"/>
    <mergeCell ref="A44:B44"/>
    <mergeCell ref="A45:B45"/>
  </mergeCells>
  <pageMargins left="0.82093749999999999" right="0.56270833333333337" top="0.75" bottom="0.75" header="0.3" footer="0.3"/>
  <pageSetup paperSize="9" scale="68" fitToHeight="0" orientation="portrait" r:id="rId1"/>
  <headerFooter>
    <oddFooter>&amp;C&amp;"Times New Roman,Regular"&amp;F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view="pageLayout" zoomScale="80" zoomScaleNormal="100" zoomScalePageLayoutView="80" workbookViewId="0">
      <selection activeCell="A23" sqref="A23"/>
    </sheetView>
  </sheetViews>
  <sheetFormatPr defaultColWidth="9.1796875" defaultRowHeight="15.5" x14ac:dyDescent="0.35"/>
  <cols>
    <col min="1" max="1" width="12.81640625" style="13" customWidth="1"/>
    <col min="2" max="2" width="91" style="13" customWidth="1"/>
    <col min="3" max="4" width="7.453125" style="13" hidden="1" customWidth="1"/>
    <col min="5" max="5" width="26.7265625" style="13" customWidth="1"/>
    <col min="6" max="6" width="8.1796875" style="13" customWidth="1"/>
    <col min="7" max="7" width="35.1796875" style="13" customWidth="1"/>
    <col min="8" max="16384" width="9.1796875" style="13"/>
  </cols>
  <sheetData>
    <row r="1" spans="1:5" x14ac:dyDescent="0.35">
      <c r="E1" s="35" t="s">
        <v>35</v>
      </c>
    </row>
    <row r="2" spans="1:5" x14ac:dyDescent="0.35">
      <c r="E2" s="35" t="s">
        <v>39</v>
      </c>
    </row>
    <row r="3" spans="1:5" ht="15" customHeight="1" x14ac:dyDescent="0.35">
      <c r="E3" s="35" t="s">
        <v>56</v>
      </c>
    </row>
    <row r="4" spans="1:5" x14ac:dyDescent="0.35">
      <c r="E4" s="35"/>
    </row>
    <row r="5" spans="1:5" x14ac:dyDescent="0.35">
      <c r="E5" s="35" t="s">
        <v>360</v>
      </c>
    </row>
    <row r="7" spans="1:5" x14ac:dyDescent="0.35">
      <c r="A7" s="263" t="s">
        <v>5</v>
      </c>
      <c r="B7" s="263"/>
      <c r="C7" s="263"/>
      <c r="D7" s="263"/>
      <c r="E7" s="263"/>
    </row>
    <row r="8" spans="1:5" x14ac:dyDescent="0.35">
      <c r="B8" s="277"/>
      <c r="C8" s="277"/>
      <c r="D8" s="135"/>
    </row>
    <row r="9" spans="1:5" x14ac:dyDescent="0.35">
      <c r="A9" s="262" t="s">
        <v>1</v>
      </c>
      <c r="B9" s="262"/>
      <c r="C9" s="262"/>
      <c r="D9" s="9"/>
    </row>
    <row r="10" spans="1:5" ht="15.75" customHeight="1" x14ac:dyDescent="0.35">
      <c r="A10" s="262" t="s">
        <v>0</v>
      </c>
      <c r="B10" s="262"/>
      <c r="C10" s="262"/>
      <c r="D10" s="9"/>
    </row>
    <row r="11" spans="1:5" ht="12" customHeight="1" x14ac:dyDescent="0.35">
      <c r="A11" s="9"/>
      <c r="B11" s="262" t="s">
        <v>346</v>
      </c>
      <c r="C11" s="262"/>
      <c r="D11" s="9"/>
    </row>
    <row r="12" spans="1:5" x14ac:dyDescent="0.35">
      <c r="A12" s="9"/>
      <c r="B12" s="262" t="s">
        <v>363</v>
      </c>
      <c r="C12" s="262"/>
      <c r="D12" s="9"/>
    </row>
    <row r="13" spans="1:5" x14ac:dyDescent="0.35">
      <c r="A13" s="9"/>
      <c r="B13" s="9" t="s">
        <v>347</v>
      </c>
      <c r="C13" s="9"/>
      <c r="D13" s="9"/>
    </row>
    <row r="14" spans="1:5" x14ac:dyDescent="0.35">
      <c r="A14" s="9"/>
      <c r="B14" s="262"/>
      <c r="C14" s="262"/>
      <c r="D14" s="9"/>
    </row>
    <row r="15" spans="1:5" ht="15.75" customHeight="1" x14ac:dyDescent="0.35">
      <c r="A15" s="9" t="s">
        <v>2</v>
      </c>
      <c r="B15" s="9" t="s">
        <v>330</v>
      </c>
      <c r="C15" s="9"/>
      <c r="D15" s="9"/>
    </row>
    <row r="16" spans="1:5" ht="87.75" customHeight="1" x14ac:dyDescent="0.35">
      <c r="A16" s="54" t="s">
        <v>3</v>
      </c>
      <c r="B16" s="54" t="s">
        <v>4</v>
      </c>
      <c r="C16" s="54"/>
      <c r="D16" s="54"/>
      <c r="E16" s="54" t="s">
        <v>267</v>
      </c>
    </row>
    <row r="17" spans="1:6" ht="20.25" customHeight="1" x14ac:dyDescent="0.35">
      <c r="A17" s="22">
        <v>1</v>
      </c>
      <c r="B17" s="23">
        <v>2</v>
      </c>
      <c r="C17" s="22"/>
      <c r="D17" s="22"/>
      <c r="E17" s="22">
        <v>3</v>
      </c>
    </row>
    <row r="18" spans="1:6" x14ac:dyDescent="0.35">
      <c r="A18" s="24"/>
      <c r="B18" s="125" t="s">
        <v>156</v>
      </c>
      <c r="C18" s="125"/>
      <c r="D18" s="125"/>
      <c r="E18" s="127"/>
    </row>
    <row r="19" spans="1:6" x14ac:dyDescent="0.35">
      <c r="A19" s="27">
        <v>1100</v>
      </c>
      <c r="B19" s="162" t="s">
        <v>63</v>
      </c>
      <c r="C19" s="93"/>
      <c r="D19" s="93">
        <v>1.96</v>
      </c>
      <c r="E19" s="28">
        <v>10.63</v>
      </c>
    </row>
    <row r="20" spans="1:6" x14ac:dyDescent="0.35">
      <c r="A20" s="27">
        <v>1200</v>
      </c>
      <c r="B20" s="29" t="s">
        <v>192</v>
      </c>
      <c r="C20" s="93"/>
      <c r="D20" s="93">
        <f>D19*0.2359</f>
        <v>0.462364</v>
      </c>
      <c r="E20" s="28">
        <v>2.5099999999999998</v>
      </c>
    </row>
    <row r="21" spans="1:6" x14ac:dyDescent="0.35">
      <c r="A21" s="27">
        <v>2222</v>
      </c>
      <c r="B21" s="129" t="s">
        <v>336</v>
      </c>
      <c r="C21" s="93"/>
      <c r="D21" s="93">
        <v>0.05</v>
      </c>
      <c r="E21" s="28">
        <v>0.25</v>
      </c>
    </row>
    <row r="22" spans="1:6" x14ac:dyDescent="0.35">
      <c r="A22" s="27">
        <v>2223</v>
      </c>
      <c r="B22" s="129" t="s">
        <v>29</v>
      </c>
      <c r="C22" s="93"/>
      <c r="D22" s="93">
        <v>0.3</v>
      </c>
      <c r="E22" s="28">
        <v>1.5</v>
      </c>
    </row>
    <row r="23" spans="1:6" ht="31" x14ac:dyDescent="0.35">
      <c r="A23" s="27">
        <v>2224</v>
      </c>
      <c r="B23" s="129" t="s">
        <v>283</v>
      </c>
      <c r="C23" s="93"/>
      <c r="D23" s="93">
        <v>0.01</v>
      </c>
      <c r="E23" s="28">
        <v>0.01</v>
      </c>
    </row>
    <row r="24" spans="1:6" x14ac:dyDescent="0.35">
      <c r="A24" s="27">
        <v>2244</v>
      </c>
      <c r="B24" s="129" t="s">
        <v>332</v>
      </c>
      <c r="C24" s="93"/>
      <c r="D24" s="93">
        <v>0.34</v>
      </c>
      <c r="E24" s="28">
        <v>1.7</v>
      </c>
    </row>
    <row r="25" spans="1:6" x14ac:dyDescent="0.35">
      <c r="A25" s="27">
        <v>2312</v>
      </c>
      <c r="B25" s="129" t="s">
        <v>284</v>
      </c>
      <c r="C25" s="93"/>
      <c r="D25" s="93">
        <v>0.81</v>
      </c>
      <c r="E25" s="28">
        <v>4.05</v>
      </c>
    </row>
    <row r="26" spans="1:6" x14ac:dyDescent="0.35">
      <c r="A26" s="27">
        <v>2321</v>
      </c>
      <c r="B26" s="129" t="s">
        <v>17</v>
      </c>
      <c r="C26" s="93"/>
      <c r="D26" s="93">
        <v>0.17</v>
      </c>
      <c r="E26" s="28">
        <v>0.85</v>
      </c>
    </row>
    <row r="27" spans="1:6" x14ac:dyDescent="0.35">
      <c r="A27" s="27">
        <v>5239</v>
      </c>
      <c r="B27" s="29" t="s">
        <v>296</v>
      </c>
      <c r="C27" s="93"/>
      <c r="D27" s="93">
        <v>0.48</v>
      </c>
      <c r="E27" s="28">
        <v>2.4</v>
      </c>
    </row>
    <row r="28" spans="1:6" x14ac:dyDescent="0.35">
      <c r="A28" s="27"/>
      <c r="B28" s="163" t="s">
        <v>161</v>
      </c>
      <c r="C28" s="37"/>
      <c r="D28" s="37">
        <f>SUM(D19:D27)</f>
        <v>4.5823640000000001</v>
      </c>
      <c r="E28" s="31">
        <f>SUM(E19:E27)</f>
        <v>23.900000000000002</v>
      </c>
      <c r="F28" s="123"/>
    </row>
    <row r="29" spans="1:6" x14ac:dyDescent="0.35">
      <c r="A29" s="32"/>
      <c r="B29" s="162" t="s">
        <v>162</v>
      </c>
      <c r="C29" s="162"/>
      <c r="D29" s="162"/>
      <c r="E29" s="28"/>
    </row>
    <row r="30" spans="1:6" x14ac:dyDescent="0.35">
      <c r="A30" s="27">
        <v>1100</v>
      </c>
      <c r="B30" s="162" t="s">
        <v>63</v>
      </c>
      <c r="C30" s="197">
        <f>0.418-0.0002</f>
        <v>0.4178</v>
      </c>
      <c r="D30" s="197"/>
      <c r="E30" s="28">
        <v>3.61</v>
      </c>
    </row>
    <row r="31" spans="1:6" x14ac:dyDescent="0.35">
      <c r="A31" s="27">
        <v>1200</v>
      </c>
      <c r="B31" s="29" t="s">
        <v>192</v>
      </c>
      <c r="C31" s="197">
        <f>C30*0.2359</f>
        <v>9.8559019999999997E-2</v>
      </c>
      <c r="D31" s="197"/>
      <c r="E31" s="28">
        <v>0.85</v>
      </c>
    </row>
    <row r="32" spans="1:6" x14ac:dyDescent="0.35">
      <c r="A32" s="27">
        <v>2231</v>
      </c>
      <c r="B32" s="29" t="s">
        <v>226</v>
      </c>
      <c r="C32" s="197">
        <v>3.0300000000000001E-2</v>
      </c>
      <c r="D32" s="197"/>
      <c r="E32" s="28">
        <v>0.23</v>
      </c>
    </row>
    <row r="33" spans="1:9" x14ac:dyDescent="0.35">
      <c r="A33" s="27">
        <v>2243</v>
      </c>
      <c r="B33" s="29" t="s">
        <v>9</v>
      </c>
      <c r="C33" s="197">
        <v>6.1899999999999997E-2</v>
      </c>
      <c r="D33" s="197"/>
      <c r="E33" s="28">
        <v>0.48</v>
      </c>
    </row>
    <row r="34" spans="1:9" x14ac:dyDescent="0.35">
      <c r="A34" s="27">
        <v>2250</v>
      </c>
      <c r="B34" s="29" t="s">
        <v>60</v>
      </c>
      <c r="C34" s="197">
        <v>0.1104</v>
      </c>
      <c r="D34" s="197"/>
      <c r="E34" s="28">
        <v>0.85</v>
      </c>
      <c r="H34" s="41"/>
      <c r="I34" s="193"/>
    </row>
    <row r="35" spans="1:9" x14ac:dyDescent="0.35">
      <c r="A35" s="27">
        <v>2311</v>
      </c>
      <c r="B35" s="29" t="s">
        <v>15</v>
      </c>
      <c r="C35" s="197">
        <v>3.3399999999999999E-2</v>
      </c>
      <c r="D35" s="197"/>
      <c r="E35" s="28">
        <v>0.26</v>
      </c>
    </row>
    <row r="36" spans="1:9" hidden="1" x14ac:dyDescent="0.35">
      <c r="A36" s="27">
        <v>2512</v>
      </c>
      <c r="B36" s="129" t="s">
        <v>201</v>
      </c>
      <c r="C36" s="197"/>
      <c r="D36" s="197"/>
      <c r="E36" s="28">
        <f>C36*7.74</f>
        <v>0</v>
      </c>
    </row>
    <row r="37" spans="1:9" x14ac:dyDescent="0.35">
      <c r="A37" s="27">
        <v>2513</v>
      </c>
      <c r="B37" s="29" t="s">
        <v>238</v>
      </c>
      <c r="C37" s="197">
        <v>1.52E-2</v>
      </c>
      <c r="D37" s="197"/>
      <c r="E37" s="28">
        <v>0.12</v>
      </c>
    </row>
    <row r="38" spans="1:9" x14ac:dyDescent="0.35">
      <c r="A38" s="33">
        <v>5239</v>
      </c>
      <c r="B38" s="29" t="s">
        <v>296</v>
      </c>
      <c r="C38" s="197">
        <v>0.2324</v>
      </c>
      <c r="D38" s="197"/>
      <c r="E38" s="28">
        <v>1.8</v>
      </c>
    </row>
    <row r="39" spans="1:9" x14ac:dyDescent="0.35">
      <c r="A39" s="32"/>
      <c r="B39" s="164" t="s">
        <v>175</v>
      </c>
      <c r="C39" s="37"/>
      <c r="D39" s="37"/>
      <c r="E39" s="31">
        <f>SUM(E30:E38)</f>
        <v>8.1999999999999993</v>
      </c>
    </row>
    <row r="40" spans="1:9" x14ac:dyDescent="0.35">
      <c r="A40" s="165"/>
      <c r="B40" s="164" t="s">
        <v>32</v>
      </c>
      <c r="C40" s="37"/>
      <c r="D40" s="37"/>
      <c r="E40" s="31">
        <f>E28+E39</f>
        <v>32.1</v>
      </c>
    </row>
    <row r="41" spans="1:9" x14ac:dyDescent="0.35">
      <c r="A41" s="35"/>
      <c r="B41" s="20"/>
      <c r="C41" s="20"/>
      <c r="D41" s="20"/>
    </row>
    <row r="42" spans="1:9" ht="15.75" customHeight="1" x14ac:dyDescent="0.35">
      <c r="A42" s="279" t="s">
        <v>45</v>
      </c>
      <c r="B42" s="279"/>
      <c r="C42" s="10"/>
      <c r="D42" s="10"/>
      <c r="E42" s="21">
        <v>5</v>
      </c>
    </row>
    <row r="43" spans="1:9" ht="15.75" customHeight="1" x14ac:dyDescent="0.35">
      <c r="A43" s="279" t="s">
        <v>46</v>
      </c>
      <c r="B43" s="279"/>
      <c r="C43" s="36"/>
      <c r="D43" s="36"/>
      <c r="E43" s="37">
        <f>E40/E42</f>
        <v>6.42</v>
      </c>
    </row>
    <row r="44" spans="1:9" x14ac:dyDescent="0.35">
      <c r="A44" s="278"/>
      <c r="B44" s="278"/>
      <c r="C44" s="103"/>
      <c r="D44" s="103"/>
      <c r="E44" s="20"/>
    </row>
    <row r="45" spans="1:9" s="17" customFormat="1" x14ac:dyDescent="0.35">
      <c r="A45" s="278" t="s">
        <v>37</v>
      </c>
      <c r="B45" s="278"/>
      <c r="C45" s="18"/>
      <c r="D45" s="18"/>
      <c r="E45" s="39"/>
    </row>
    <row r="46" spans="1:9" s="17" customFormat="1" x14ac:dyDescent="0.35">
      <c r="A46" s="278" t="s">
        <v>55</v>
      </c>
      <c r="B46" s="278"/>
      <c r="C46" s="18"/>
      <c r="D46" s="18"/>
      <c r="E46" s="39"/>
    </row>
    <row r="47" spans="1:9" ht="13.5" customHeight="1" x14ac:dyDescent="0.35">
      <c r="A47" s="194"/>
      <c r="B47" s="195"/>
      <c r="C47" s="135"/>
      <c r="D47" s="135"/>
    </row>
    <row r="48" spans="1:9" s="17" customFormat="1" x14ac:dyDescent="0.35">
      <c r="A48" s="196" t="s">
        <v>38</v>
      </c>
      <c r="B48" s="196"/>
      <c r="E48" s="65"/>
    </row>
    <row r="49" spans="1:5" s="17" customFormat="1" ht="12.75" customHeight="1" x14ac:dyDescent="0.35"/>
    <row r="50" spans="1:5" s="17" customFormat="1" ht="15" customHeight="1" x14ac:dyDescent="0.35">
      <c r="A50" s="17" t="s">
        <v>268</v>
      </c>
      <c r="B50" s="18"/>
      <c r="E50" s="65"/>
    </row>
    <row r="51" spans="1:5" s="17" customFormat="1" ht="14.25" customHeight="1" x14ac:dyDescent="0.35">
      <c r="B51" s="96"/>
    </row>
    <row r="52" spans="1:5" x14ac:dyDescent="0.35">
      <c r="E52" s="123"/>
    </row>
  </sheetData>
  <mergeCells count="12">
    <mergeCell ref="A45:B45"/>
    <mergeCell ref="A46:B46"/>
    <mergeCell ref="A43:B43"/>
    <mergeCell ref="A44:B44"/>
    <mergeCell ref="B14:C14"/>
    <mergeCell ref="A42:B42"/>
    <mergeCell ref="A7:E7"/>
    <mergeCell ref="B8:C8"/>
    <mergeCell ref="A9:C9"/>
    <mergeCell ref="A10:C10"/>
    <mergeCell ref="B11:C11"/>
    <mergeCell ref="B12:C12"/>
  </mergeCells>
  <pageMargins left="0.7" right="0.7" top="0.75" bottom="0.75" header="0.3" footer="0.3"/>
  <pageSetup paperSize="9" scale="68" orientation="portrait" r:id="rId1"/>
  <headerFooter>
    <oddFooter>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view="pageLayout" topLeftCell="A17" zoomScale="80" zoomScaleNormal="70" zoomScalePageLayoutView="80" workbookViewId="0">
      <selection activeCell="E19" sqref="E19:E38"/>
    </sheetView>
  </sheetViews>
  <sheetFormatPr defaultColWidth="9.1796875" defaultRowHeight="15.5" x14ac:dyDescent="0.35"/>
  <cols>
    <col min="1" max="1" width="12.81640625" style="13" customWidth="1"/>
    <col min="2" max="2" width="91" style="13" customWidth="1"/>
    <col min="3" max="3" width="7.26953125" style="13" hidden="1" customWidth="1"/>
    <col min="4" max="4" width="6.7265625" style="13" hidden="1" customWidth="1"/>
    <col min="5" max="5" width="26.7265625" style="13" customWidth="1"/>
    <col min="6" max="6" width="8.1796875" style="13" customWidth="1"/>
    <col min="7" max="7" width="35.1796875" style="13" customWidth="1"/>
    <col min="8" max="16384" width="9.1796875" style="13"/>
  </cols>
  <sheetData>
    <row r="1" spans="1:5" x14ac:dyDescent="0.35">
      <c r="E1" s="35" t="s">
        <v>35</v>
      </c>
    </row>
    <row r="2" spans="1:5" x14ac:dyDescent="0.35">
      <c r="E2" s="35" t="s">
        <v>39</v>
      </c>
    </row>
    <row r="3" spans="1:5" ht="15" customHeight="1" x14ac:dyDescent="0.35">
      <c r="E3" s="121" t="s">
        <v>56</v>
      </c>
    </row>
    <row r="4" spans="1:5" x14ac:dyDescent="0.35">
      <c r="E4" s="35"/>
    </row>
    <row r="5" spans="1:5" x14ac:dyDescent="0.35">
      <c r="E5" s="35" t="s">
        <v>360</v>
      </c>
    </row>
    <row r="7" spans="1:5" x14ac:dyDescent="0.35">
      <c r="A7" s="263" t="s">
        <v>5</v>
      </c>
      <c r="B7" s="263"/>
      <c r="C7" s="263"/>
      <c r="D7" s="263"/>
      <c r="E7" s="263"/>
    </row>
    <row r="8" spans="1:5" x14ac:dyDescent="0.35">
      <c r="B8" s="277"/>
      <c r="C8" s="277"/>
      <c r="D8" s="135"/>
    </row>
    <row r="9" spans="1:5" x14ac:dyDescent="0.35">
      <c r="A9" s="262" t="s">
        <v>1</v>
      </c>
      <c r="B9" s="262"/>
      <c r="C9" s="262"/>
      <c r="D9" s="9"/>
    </row>
    <row r="10" spans="1:5" ht="15.75" customHeight="1" x14ac:dyDescent="0.35">
      <c r="A10" s="262" t="s">
        <v>0</v>
      </c>
      <c r="B10" s="262"/>
      <c r="C10" s="262"/>
      <c r="D10" s="9"/>
    </row>
    <row r="11" spans="1:5" x14ac:dyDescent="0.35">
      <c r="A11" s="9"/>
      <c r="B11" s="262" t="s">
        <v>346</v>
      </c>
      <c r="C11" s="262"/>
      <c r="D11" s="9"/>
    </row>
    <row r="12" spans="1:5" x14ac:dyDescent="0.35">
      <c r="A12" s="9"/>
      <c r="B12" s="262" t="s">
        <v>363</v>
      </c>
      <c r="C12" s="262"/>
      <c r="D12" s="9"/>
    </row>
    <row r="13" spans="1:5" x14ac:dyDescent="0.35">
      <c r="A13" s="9"/>
      <c r="B13" s="9" t="s">
        <v>348</v>
      </c>
      <c r="C13" s="9"/>
      <c r="D13" s="9"/>
    </row>
    <row r="14" spans="1:5" x14ac:dyDescent="0.35">
      <c r="A14" s="9"/>
      <c r="B14" s="9"/>
      <c r="C14" s="9"/>
      <c r="D14" s="9"/>
    </row>
    <row r="15" spans="1:5" ht="15.75" customHeight="1" x14ac:dyDescent="0.35">
      <c r="A15" s="9" t="s">
        <v>2</v>
      </c>
      <c r="B15" s="9" t="s">
        <v>330</v>
      </c>
      <c r="C15" s="9"/>
      <c r="D15" s="9"/>
    </row>
    <row r="16" spans="1:5" ht="87.75" customHeight="1" x14ac:dyDescent="0.35">
      <c r="A16" s="54" t="s">
        <v>3</v>
      </c>
      <c r="B16" s="54" t="s">
        <v>4</v>
      </c>
      <c r="C16" s="54"/>
      <c r="D16" s="54"/>
      <c r="E16" s="54" t="s">
        <v>267</v>
      </c>
    </row>
    <row r="17" spans="1:6" ht="20.25" customHeight="1" x14ac:dyDescent="0.35">
      <c r="A17" s="22">
        <v>1</v>
      </c>
      <c r="B17" s="23">
        <v>2</v>
      </c>
      <c r="C17" s="22"/>
      <c r="D17" s="22"/>
      <c r="E17" s="22">
        <v>3</v>
      </c>
    </row>
    <row r="18" spans="1:6" x14ac:dyDescent="0.35">
      <c r="A18" s="24"/>
      <c r="B18" s="125" t="s">
        <v>156</v>
      </c>
      <c r="C18" s="125"/>
      <c r="D18" s="125"/>
      <c r="E18" s="127"/>
    </row>
    <row r="19" spans="1:6" x14ac:dyDescent="0.35">
      <c r="A19" s="27">
        <v>1100</v>
      </c>
      <c r="B19" s="162" t="s">
        <v>63</v>
      </c>
      <c r="C19" s="93"/>
      <c r="D19" s="93">
        <f>10.24/1.2359</f>
        <v>8.2854599886722227</v>
      </c>
      <c r="E19" s="28">
        <v>63.79</v>
      </c>
    </row>
    <row r="20" spans="1:6" x14ac:dyDescent="0.35">
      <c r="A20" s="27">
        <v>1200</v>
      </c>
      <c r="B20" s="29" t="s">
        <v>192</v>
      </c>
      <c r="C20" s="93"/>
      <c r="D20" s="93">
        <f>D19*0.2359</f>
        <v>1.9545400113277773</v>
      </c>
      <c r="E20" s="28">
        <v>15.05</v>
      </c>
    </row>
    <row r="21" spans="1:6" x14ac:dyDescent="0.35">
      <c r="A21" s="27">
        <v>2222</v>
      </c>
      <c r="B21" s="129" t="s">
        <v>28</v>
      </c>
      <c r="C21" s="93"/>
      <c r="D21" s="93">
        <v>0.4</v>
      </c>
      <c r="E21" s="28">
        <v>2</v>
      </c>
    </row>
    <row r="22" spans="1:6" x14ac:dyDescent="0.35">
      <c r="A22" s="27">
        <v>2223</v>
      </c>
      <c r="B22" s="129" t="s">
        <v>29</v>
      </c>
      <c r="C22" s="93"/>
      <c r="D22" s="93">
        <v>2.23</v>
      </c>
      <c r="E22" s="28">
        <v>11.15</v>
      </c>
    </row>
    <row r="23" spans="1:6" ht="31" x14ac:dyDescent="0.35">
      <c r="A23" s="27">
        <v>2224</v>
      </c>
      <c r="B23" s="129" t="s">
        <v>283</v>
      </c>
      <c r="C23" s="93"/>
      <c r="D23" s="93">
        <v>0.01</v>
      </c>
      <c r="E23" s="28">
        <v>0.05</v>
      </c>
    </row>
    <row r="24" spans="1:6" x14ac:dyDescent="0.35">
      <c r="A24" s="27">
        <v>2244</v>
      </c>
      <c r="B24" s="129" t="s">
        <v>332</v>
      </c>
      <c r="C24" s="93"/>
      <c r="D24" s="93">
        <v>2.5299999999999998</v>
      </c>
      <c r="E24" s="28">
        <v>12.65</v>
      </c>
    </row>
    <row r="25" spans="1:6" x14ac:dyDescent="0.35">
      <c r="A25" s="27">
        <v>2312</v>
      </c>
      <c r="B25" s="129" t="s">
        <v>284</v>
      </c>
      <c r="C25" s="93"/>
      <c r="D25" s="93">
        <v>5.98</v>
      </c>
      <c r="E25" s="28">
        <v>29.9</v>
      </c>
    </row>
    <row r="26" spans="1:6" x14ac:dyDescent="0.35">
      <c r="A26" s="27">
        <v>2321</v>
      </c>
      <c r="B26" s="129" t="s">
        <v>17</v>
      </c>
      <c r="C26" s="93"/>
      <c r="D26" s="93">
        <v>1.28</v>
      </c>
      <c r="E26" s="28">
        <v>6.4</v>
      </c>
    </row>
    <row r="27" spans="1:6" x14ac:dyDescent="0.35">
      <c r="A27" s="27">
        <v>5239</v>
      </c>
      <c r="B27" s="29" t="s">
        <v>296</v>
      </c>
      <c r="C27" s="93"/>
      <c r="D27" s="93">
        <v>3.5</v>
      </c>
      <c r="E27" s="28">
        <v>17.5</v>
      </c>
    </row>
    <row r="28" spans="1:6" x14ac:dyDescent="0.35">
      <c r="A28" s="27"/>
      <c r="B28" s="163" t="s">
        <v>161</v>
      </c>
      <c r="C28" s="37"/>
      <c r="D28" s="37">
        <f>SUM(D19:D27)</f>
        <v>26.17</v>
      </c>
      <c r="E28" s="31">
        <f>SUM(E19:E27)</f>
        <v>158.49</v>
      </c>
      <c r="F28" s="123"/>
    </row>
    <row r="29" spans="1:6" x14ac:dyDescent="0.35">
      <c r="A29" s="32"/>
      <c r="B29" s="162" t="s">
        <v>162</v>
      </c>
      <c r="C29" s="162"/>
      <c r="D29" s="162"/>
      <c r="E29" s="28"/>
    </row>
    <row r="30" spans="1:6" x14ac:dyDescent="0.35">
      <c r="A30" s="27">
        <v>1100</v>
      </c>
      <c r="B30" s="162" t="s">
        <v>63</v>
      </c>
      <c r="C30" s="197">
        <f>0.418-0.0002</f>
        <v>0.4178</v>
      </c>
      <c r="D30" s="197"/>
      <c r="E30" s="28">
        <v>27.96</v>
      </c>
    </row>
    <row r="31" spans="1:6" x14ac:dyDescent="0.35">
      <c r="A31" s="27">
        <v>1200</v>
      </c>
      <c r="B31" s="29" t="s">
        <v>192</v>
      </c>
      <c r="C31" s="197">
        <f>C30*0.2359</f>
        <v>9.8559019999999997E-2</v>
      </c>
      <c r="D31" s="197"/>
      <c r="E31" s="28">
        <v>4.3899999999999997</v>
      </c>
    </row>
    <row r="32" spans="1:6" x14ac:dyDescent="0.35">
      <c r="A32" s="27">
        <v>2231</v>
      </c>
      <c r="B32" s="29" t="s">
        <v>226</v>
      </c>
      <c r="C32" s="197">
        <v>3.0300000000000001E-2</v>
      </c>
      <c r="D32" s="197"/>
      <c r="E32" s="28">
        <v>1.35</v>
      </c>
    </row>
    <row r="33" spans="1:9" x14ac:dyDescent="0.35">
      <c r="A33" s="27">
        <v>2243</v>
      </c>
      <c r="B33" s="29" t="s">
        <v>9</v>
      </c>
      <c r="C33" s="197">
        <v>6.1899999999999997E-2</v>
      </c>
      <c r="D33" s="197"/>
      <c r="E33" s="28">
        <v>2.75</v>
      </c>
    </row>
    <row r="34" spans="1:9" x14ac:dyDescent="0.35">
      <c r="A34" s="27">
        <v>2250</v>
      </c>
      <c r="B34" s="29" t="s">
        <v>60</v>
      </c>
      <c r="C34" s="197">
        <v>0.1104</v>
      </c>
      <c r="D34" s="197"/>
      <c r="E34" s="28">
        <v>4.91</v>
      </c>
      <c r="H34" s="41"/>
      <c r="I34" s="193"/>
    </row>
    <row r="35" spans="1:9" x14ac:dyDescent="0.35">
      <c r="A35" s="27">
        <v>2311</v>
      </c>
      <c r="B35" s="29" t="s">
        <v>15</v>
      </c>
      <c r="C35" s="197">
        <v>3.3399999999999999E-2</v>
      </c>
      <c r="D35" s="197"/>
      <c r="E35" s="28">
        <v>1.49</v>
      </c>
    </row>
    <row r="36" spans="1:9" hidden="1" x14ac:dyDescent="0.35">
      <c r="A36" s="27">
        <v>2512</v>
      </c>
      <c r="B36" s="129" t="s">
        <v>201</v>
      </c>
      <c r="C36" s="197"/>
      <c r="D36" s="197"/>
      <c r="E36" s="28">
        <f>C36*44.5</f>
        <v>0</v>
      </c>
    </row>
    <row r="37" spans="1:9" x14ac:dyDescent="0.35">
      <c r="A37" s="27">
        <v>2513</v>
      </c>
      <c r="B37" s="29" t="s">
        <v>238</v>
      </c>
      <c r="C37" s="197">
        <v>1.52E-2</v>
      </c>
      <c r="D37" s="197"/>
      <c r="E37" s="28">
        <v>0.68</v>
      </c>
    </row>
    <row r="38" spans="1:9" x14ac:dyDescent="0.35">
      <c r="A38" s="33">
        <v>5239</v>
      </c>
      <c r="B38" s="29" t="s">
        <v>296</v>
      </c>
      <c r="C38" s="197">
        <v>0.2324</v>
      </c>
      <c r="D38" s="197"/>
      <c r="E38" s="28">
        <v>10.33</v>
      </c>
    </row>
    <row r="39" spans="1:9" x14ac:dyDescent="0.35">
      <c r="A39" s="32"/>
      <c r="B39" s="164" t="s">
        <v>175</v>
      </c>
      <c r="C39" s="37"/>
      <c r="D39" s="37"/>
      <c r="E39" s="31">
        <f>SUM(E30:E38)</f>
        <v>53.86</v>
      </c>
    </row>
    <row r="40" spans="1:9" x14ac:dyDescent="0.35">
      <c r="A40" s="165"/>
      <c r="B40" s="164" t="s">
        <v>32</v>
      </c>
      <c r="C40" s="37"/>
      <c r="D40" s="37"/>
      <c r="E40" s="31">
        <f>E28+E39</f>
        <v>212.35000000000002</v>
      </c>
    </row>
    <row r="41" spans="1:9" x14ac:dyDescent="0.35">
      <c r="A41" s="35"/>
      <c r="B41" s="20"/>
      <c r="C41" s="20"/>
      <c r="D41" s="20"/>
    </row>
    <row r="42" spans="1:9" ht="15.75" customHeight="1" x14ac:dyDescent="0.35">
      <c r="A42" s="279" t="s">
        <v>45</v>
      </c>
      <c r="B42" s="279"/>
      <c r="C42" s="10"/>
      <c r="D42" s="10"/>
      <c r="E42" s="21">
        <v>5</v>
      </c>
    </row>
    <row r="43" spans="1:9" ht="15.75" customHeight="1" x14ac:dyDescent="0.35">
      <c r="A43" s="279" t="s">
        <v>46</v>
      </c>
      <c r="B43" s="279"/>
      <c r="C43" s="36"/>
      <c r="D43" s="36"/>
      <c r="E43" s="37">
        <f>E40/E42</f>
        <v>42.470000000000006</v>
      </c>
    </row>
    <row r="44" spans="1:9" x14ac:dyDescent="0.35">
      <c r="A44" s="278"/>
      <c r="B44" s="278"/>
      <c r="C44" s="103"/>
      <c r="D44" s="103"/>
      <c r="E44" s="20"/>
    </row>
    <row r="45" spans="1:9" s="17" customFormat="1" x14ac:dyDescent="0.35">
      <c r="A45" s="278" t="s">
        <v>37</v>
      </c>
      <c r="B45" s="278"/>
      <c r="C45" s="206"/>
      <c r="D45" s="206"/>
      <c r="E45" s="39"/>
    </row>
    <row r="46" spans="1:9" s="17" customFormat="1" x14ac:dyDescent="0.35">
      <c r="A46" s="278" t="s">
        <v>55</v>
      </c>
      <c r="B46" s="278"/>
      <c r="C46" s="206"/>
      <c r="D46" s="206"/>
      <c r="E46" s="39"/>
    </row>
    <row r="47" spans="1:9" ht="13.5" customHeight="1" x14ac:dyDescent="0.35">
      <c r="A47" s="194"/>
      <c r="B47" s="195"/>
      <c r="C47" s="135"/>
      <c r="D47" s="135"/>
    </row>
    <row r="48" spans="1:9" s="17" customFormat="1" x14ac:dyDescent="0.35">
      <c r="A48" s="196" t="s">
        <v>38</v>
      </c>
      <c r="B48" s="196"/>
      <c r="E48" s="65"/>
    </row>
    <row r="49" spans="1:5" s="17" customFormat="1" ht="12.75" customHeight="1" x14ac:dyDescent="0.35"/>
    <row r="50" spans="1:5" s="17" customFormat="1" ht="15" customHeight="1" x14ac:dyDescent="0.35">
      <c r="A50" s="17" t="s">
        <v>268</v>
      </c>
      <c r="B50" s="18"/>
      <c r="E50" s="65"/>
    </row>
    <row r="51" spans="1:5" s="17" customFormat="1" ht="14.25" customHeight="1" x14ac:dyDescent="0.35">
      <c r="B51" s="96"/>
      <c r="E51" s="207"/>
    </row>
    <row r="52" spans="1:5" x14ac:dyDescent="0.35">
      <c r="E52" s="123"/>
    </row>
  </sheetData>
  <mergeCells count="11">
    <mergeCell ref="A45:B45"/>
    <mergeCell ref="A46:B46"/>
    <mergeCell ref="A43:B43"/>
    <mergeCell ref="A44:B44"/>
    <mergeCell ref="A42:B42"/>
    <mergeCell ref="A7:E7"/>
    <mergeCell ref="B8:C8"/>
    <mergeCell ref="A9:C9"/>
    <mergeCell ref="A10:C10"/>
    <mergeCell ref="B11:C11"/>
    <mergeCell ref="B12:C12"/>
  </mergeCells>
  <pageMargins left="0.7" right="0.7" top="0.75" bottom="0.75" header="0.3" footer="0.3"/>
  <pageSetup paperSize="9" scale="68" orientation="portrait" r:id="rId1"/>
  <headerFooter>
    <oddFooter>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view="pageLayout" topLeftCell="A17" zoomScale="80" zoomScaleNormal="80" zoomScalePageLayoutView="80" workbookViewId="0">
      <selection activeCell="E19" sqref="E19:E38"/>
    </sheetView>
  </sheetViews>
  <sheetFormatPr defaultColWidth="9.1796875" defaultRowHeight="15.5" x14ac:dyDescent="0.35"/>
  <cols>
    <col min="1" max="1" width="12.81640625" style="13" customWidth="1"/>
    <col min="2" max="2" width="91" style="13" customWidth="1"/>
    <col min="3" max="4" width="8.1796875" style="13" hidden="1" customWidth="1"/>
    <col min="5" max="5" width="26.7265625" style="13" customWidth="1"/>
    <col min="6" max="6" width="8.1796875" style="13" customWidth="1"/>
    <col min="7" max="7" width="35.1796875" style="13" customWidth="1"/>
    <col min="8" max="16384" width="9.1796875" style="13"/>
  </cols>
  <sheetData>
    <row r="1" spans="1:5" x14ac:dyDescent="0.35">
      <c r="E1" s="35" t="s">
        <v>35</v>
      </c>
    </row>
    <row r="2" spans="1:5" x14ac:dyDescent="0.35">
      <c r="E2" s="35" t="s">
        <v>39</v>
      </c>
    </row>
    <row r="3" spans="1:5" ht="15" customHeight="1" x14ac:dyDescent="0.35">
      <c r="E3" s="121" t="s">
        <v>56</v>
      </c>
    </row>
    <row r="4" spans="1:5" x14ac:dyDescent="0.35">
      <c r="E4" s="35"/>
    </row>
    <row r="5" spans="1:5" x14ac:dyDescent="0.35">
      <c r="E5" s="35" t="s">
        <v>360</v>
      </c>
    </row>
    <row r="7" spans="1:5" x14ac:dyDescent="0.35">
      <c r="A7" s="263" t="s">
        <v>5</v>
      </c>
      <c r="B7" s="263"/>
      <c r="C7" s="263"/>
      <c r="D7" s="263"/>
      <c r="E7" s="263"/>
    </row>
    <row r="8" spans="1:5" x14ac:dyDescent="0.35">
      <c r="B8" s="277"/>
      <c r="C8" s="277"/>
      <c r="D8" s="135"/>
    </row>
    <row r="9" spans="1:5" x14ac:dyDescent="0.35">
      <c r="A9" s="262" t="s">
        <v>1</v>
      </c>
      <c r="B9" s="262"/>
      <c r="C9" s="262"/>
      <c r="D9" s="9"/>
    </row>
    <row r="10" spans="1:5" ht="15.75" customHeight="1" x14ac:dyDescent="0.35">
      <c r="A10" s="262" t="s">
        <v>0</v>
      </c>
      <c r="B10" s="262"/>
      <c r="C10" s="262"/>
      <c r="D10" s="9"/>
    </row>
    <row r="11" spans="1:5" x14ac:dyDescent="0.35">
      <c r="A11" s="9"/>
      <c r="B11" s="262" t="s">
        <v>346</v>
      </c>
      <c r="C11" s="262"/>
      <c r="D11" s="9"/>
    </row>
    <row r="12" spans="1:5" x14ac:dyDescent="0.35">
      <c r="A12" s="9"/>
      <c r="B12" s="262" t="s">
        <v>363</v>
      </c>
      <c r="C12" s="262"/>
      <c r="D12" s="9"/>
    </row>
    <row r="13" spans="1:5" x14ac:dyDescent="0.35">
      <c r="A13" s="9"/>
      <c r="B13" s="9" t="s">
        <v>365</v>
      </c>
      <c r="C13" s="9"/>
      <c r="D13" s="9"/>
    </row>
    <row r="14" spans="1:5" x14ac:dyDescent="0.35">
      <c r="A14" s="9"/>
      <c r="B14" s="9"/>
      <c r="C14" s="9"/>
      <c r="D14" s="9"/>
    </row>
    <row r="15" spans="1:5" ht="15.75" customHeight="1" x14ac:dyDescent="0.35">
      <c r="A15" s="9" t="s">
        <v>2</v>
      </c>
      <c r="B15" s="9" t="s">
        <v>330</v>
      </c>
      <c r="C15" s="9"/>
      <c r="D15" s="9"/>
    </row>
    <row r="16" spans="1:5" ht="87.75" customHeight="1" x14ac:dyDescent="0.35">
      <c r="A16" s="54" t="s">
        <v>3</v>
      </c>
      <c r="B16" s="54" t="s">
        <v>4</v>
      </c>
      <c r="C16" s="54"/>
      <c r="D16" s="54"/>
      <c r="E16" s="54" t="s">
        <v>267</v>
      </c>
    </row>
    <row r="17" spans="1:5" ht="20.25" customHeight="1" x14ac:dyDescent="0.35">
      <c r="A17" s="22">
        <v>1</v>
      </c>
      <c r="B17" s="23">
        <v>2</v>
      </c>
      <c r="C17" s="22"/>
      <c r="D17" s="22"/>
      <c r="E17" s="22">
        <v>3</v>
      </c>
    </row>
    <row r="18" spans="1:5" x14ac:dyDescent="0.35">
      <c r="A18" s="24"/>
      <c r="B18" s="125" t="s">
        <v>156</v>
      </c>
      <c r="C18" s="125"/>
      <c r="D18" s="125"/>
      <c r="E18" s="127"/>
    </row>
    <row r="19" spans="1:5" x14ac:dyDescent="0.35">
      <c r="A19" s="27">
        <v>1100</v>
      </c>
      <c r="B19" s="162" t="s">
        <v>63</v>
      </c>
      <c r="C19" s="93">
        <f>3.41/1.2359</f>
        <v>2.7591229063840119</v>
      </c>
      <c r="D19" s="93"/>
      <c r="E19" s="28">
        <v>21.26</v>
      </c>
    </row>
    <row r="20" spans="1:5" x14ac:dyDescent="0.35">
      <c r="A20" s="27">
        <v>1200</v>
      </c>
      <c r="B20" s="29" t="s">
        <v>192</v>
      </c>
      <c r="C20" s="93">
        <f>C19*0.2359</f>
        <v>0.65087709361598844</v>
      </c>
      <c r="D20" s="93"/>
      <c r="E20" s="28">
        <v>5.0199999999999996</v>
      </c>
    </row>
    <row r="21" spans="1:5" x14ac:dyDescent="0.35">
      <c r="A21" s="27">
        <v>2222</v>
      </c>
      <c r="B21" s="129" t="s">
        <v>336</v>
      </c>
      <c r="C21" s="93">
        <v>0.18</v>
      </c>
      <c r="D21" s="93"/>
      <c r="E21" s="28">
        <v>0.9</v>
      </c>
    </row>
    <row r="22" spans="1:5" x14ac:dyDescent="0.35">
      <c r="A22" s="27">
        <v>2223</v>
      </c>
      <c r="B22" s="129" t="s">
        <v>29</v>
      </c>
      <c r="C22" s="93">
        <v>0.99</v>
      </c>
      <c r="D22" s="93"/>
      <c r="E22" s="28">
        <v>4.95</v>
      </c>
    </row>
    <row r="23" spans="1:5" ht="31" x14ac:dyDescent="0.35">
      <c r="A23" s="27">
        <v>2224</v>
      </c>
      <c r="B23" s="204" t="s">
        <v>312</v>
      </c>
      <c r="C23" s="93"/>
      <c r="D23" s="93"/>
      <c r="E23" s="28">
        <v>0.05</v>
      </c>
    </row>
    <row r="24" spans="1:5" x14ac:dyDescent="0.35">
      <c r="A24" s="27">
        <v>2244</v>
      </c>
      <c r="B24" s="129" t="s">
        <v>332</v>
      </c>
      <c r="C24" s="93">
        <v>1.1200000000000001</v>
      </c>
      <c r="D24" s="93"/>
      <c r="E24" s="28">
        <v>5.6</v>
      </c>
    </row>
    <row r="25" spans="1:5" x14ac:dyDescent="0.35">
      <c r="A25" s="27">
        <v>2312</v>
      </c>
      <c r="B25" s="129" t="s">
        <v>284</v>
      </c>
      <c r="C25" s="93">
        <v>0.45</v>
      </c>
      <c r="D25" s="93"/>
      <c r="E25" s="28">
        <v>2.25</v>
      </c>
    </row>
    <row r="26" spans="1:5" x14ac:dyDescent="0.35">
      <c r="A26" s="27">
        <v>2321</v>
      </c>
      <c r="B26" s="129" t="s">
        <v>17</v>
      </c>
      <c r="C26" s="93">
        <v>0.81</v>
      </c>
      <c r="D26" s="93"/>
      <c r="E26" s="28">
        <v>4.05</v>
      </c>
    </row>
    <row r="27" spans="1:5" x14ac:dyDescent="0.35">
      <c r="A27" s="27">
        <v>5239</v>
      </c>
      <c r="B27" s="29" t="s">
        <v>296</v>
      </c>
      <c r="C27" s="93">
        <v>0.04</v>
      </c>
      <c r="D27" s="93"/>
      <c r="E27" s="28">
        <v>0.2</v>
      </c>
    </row>
    <row r="28" spans="1:5" x14ac:dyDescent="0.35">
      <c r="A28" s="27"/>
      <c r="B28" s="163" t="s">
        <v>161</v>
      </c>
      <c r="C28" s="37">
        <f>SUM(C19:C27)</f>
        <v>7.0000000000000009</v>
      </c>
      <c r="D28" s="37"/>
      <c r="E28" s="31">
        <f>SUM(E19:E27)</f>
        <v>44.28</v>
      </c>
    </row>
    <row r="29" spans="1:5" x14ac:dyDescent="0.35">
      <c r="A29" s="32"/>
      <c r="B29" s="162" t="s">
        <v>162</v>
      </c>
      <c r="C29" s="162"/>
      <c r="D29" s="162"/>
      <c r="E29" s="26"/>
    </row>
    <row r="30" spans="1:5" x14ac:dyDescent="0.35">
      <c r="A30" s="27">
        <v>1100</v>
      </c>
      <c r="B30" s="162" t="s">
        <v>63</v>
      </c>
      <c r="D30" s="197">
        <f>0.418-0.0002</f>
        <v>0.4178</v>
      </c>
      <c r="E30" s="28">
        <v>7.51</v>
      </c>
    </row>
    <row r="31" spans="1:5" x14ac:dyDescent="0.35">
      <c r="A31" s="27">
        <v>1200</v>
      </c>
      <c r="B31" s="29" t="s">
        <v>192</v>
      </c>
      <c r="D31" s="197">
        <f>D30*0.2359</f>
        <v>9.8559019999999997E-2</v>
      </c>
      <c r="E31" s="28">
        <v>1.77</v>
      </c>
    </row>
    <row r="32" spans="1:5" x14ac:dyDescent="0.35">
      <c r="A32" s="27">
        <v>2231</v>
      </c>
      <c r="B32" s="29" t="s">
        <v>226</v>
      </c>
      <c r="D32" s="197">
        <v>3.0300000000000001E-2</v>
      </c>
      <c r="E32" s="28">
        <v>0.36</v>
      </c>
    </row>
    <row r="33" spans="1:9" x14ac:dyDescent="0.35">
      <c r="A33" s="27">
        <v>2243</v>
      </c>
      <c r="B33" s="29" t="s">
        <v>9</v>
      </c>
      <c r="D33" s="197">
        <v>6.1899999999999997E-2</v>
      </c>
      <c r="E33" s="28">
        <v>0.74</v>
      </c>
    </row>
    <row r="34" spans="1:9" x14ac:dyDescent="0.35">
      <c r="A34" s="27">
        <v>2250</v>
      </c>
      <c r="B34" s="29" t="s">
        <v>60</v>
      </c>
      <c r="D34" s="197">
        <v>0.1104</v>
      </c>
      <c r="E34" s="28">
        <v>1.31</v>
      </c>
      <c r="H34" s="41"/>
      <c r="I34" s="193"/>
    </row>
    <row r="35" spans="1:9" x14ac:dyDescent="0.35">
      <c r="A35" s="27">
        <v>2311</v>
      </c>
      <c r="B35" s="29" t="s">
        <v>15</v>
      </c>
      <c r="D35" s="197">
        <v>3.3399999999999999E-2</v>
      </c>
      <c r="E35" s="28">
        <v>0.4</v>
      </c>
    </row>
    <row r="36" spans="1:9" hidden="1" x14ac:dyDescent="0.35">
      <c r="A36" s="27">
        <v>2512</v>
      </c>
      <c r="B36" s="129" t="s">
        <v>201</v>
      </c>
      <c r="D36" s="197"/>
      <c r="E36" s="28">
        <f>D36*11.89</f>
        <v>0</v>
      </c>
    </row>
    <row r="37" spans="1:9" x14ac:dyDescent="0.35">
      <c r="A37" s="27">
        <v>2513</v>
      </c>
      <c r="B37" s="29" t="s">
        <v>238</v>
      </c>
      <c r="D37" s="197">
        <v>1.52E-2</v>
      </c>
      <c r="E37" s="28">
        <v>0.18</v>
      </c>
    </row>
    <row r="38" spans="1:9" x14ac:dyDescent="0.35">
      <c r="A38" s="33">
        <v>5239</v>
      </c>
      <c r="B38" s="29" t="s">
        <v>296</v>
      </c>
      <c r="D38" s="197">
        <v>0.2324</v>
      </c>
      <c r="E38" s="28">
        <v>2.75</v>
      </c>
    </row>
    <row r="39" spans="1:9" x14ac:dyDescent="0.35">
      <c r="A39" s="32"/>
      <c r="B39" s="164" t="s">
        <v>175</v>
      </c>
      <c r="C39" s="37"/>
      <c r="D39" s="37"/>
      <c r="E39" s="31">
        <f>SUM(E30:E38)</f>
        <v>15.02</v>
      </c>
    </row>
    <row r="40" spans="1:9" x14ac:dyDescent="0.35">
      <c r="A40" s="165"/>
      <c r="B40" s="164" t="s">
        <v>32</v>
      </c>
      <c r="C40" s="37"/>
      <c r="D40" s="37"/>
      <c r="E40" s="31">
        <f>E28+E39</f>
        <v>59.3</v>
      </c>
    </row>
    <row r="41" spans="1:9" x14ac:dyDescent="0.35">
      <c r="A41" s="35"/>
      <c r="B41" s="20"/>
      <c r="C41" s="20"/>
      <c r="D41" s="20"/>
    </row>
    <row r="42" spans="1:9" ht="15.75" customHeight="1" x14ac:dyDescent="0.35">
      <c r="A42" s="279" t="s">
        <v>45</v>
      </c>
      <c r="B42" s="279"/>
      <c r="C42" s="10"/>
      <c r="D42" s="10"/>
      <c r="E42" s="21">
        <v>5</v>
      </c>
    </row>
    <row r="43" spans="1:9" ht="15.75" customHeight="1" x14ac:dyDescent="0.35">
      <c r="A43" s="279" t="s">
        <v>46</v>
      </c>
      <c r="B43" s="279"/>
      <c r="C43" s="36"/>
      <c r="D43" s="36"/>
      <c r="E43" s="37">
        <f>E40/E42</f>
        <v>11.86</v>
      </c>
    </row>
    <row r="44" spans="1:9" x14ac:dyDescent="0.35">
      <c r="A44" s="278"/>
      <c r="B44" s="278"/>
      <c r="C44" s="103"/>
      <c r="D44" s="103"/>
      <c r="E44" s="20"/>
    </row>
    <row r="45" spans="1:9" s="17" customFormat="1" x14ac:dyDescent="0.35">
      <c r="A45" s="278" t="s">
        <v>37</v>
      </c>
      <c r="B45" s="278"/>
      <c r="C45" s="18"/>
      <c r="D45" s="208"/>
      <c r="E45" s="39"/>
    </row>
    <row r="46" spans="1:9" s="17" customFormat="1" x14ac:dyDescent="0.35">
      <c r="A46" s="278" t="s">
        <v>55</v>
      </c>
      <c r="B46" s="278"/>
      <c r="C46" s="18"/>
      <c r="D46" s="208"/>
      <c r="E46" s="39"/>
    </row>
    <row r="47" spans="1:9" ht="13.5" customHeight="1" x14ac:dyDescent="0.35">
      <c r="A47" s="194"/>
      <c r="B47" s="195"/>
      <c r="C47" s="135"/>
      <c r="D47" s="135"/>
    </row>
    <row r="48" spans="1:9" s="17" customFormat="1" x14ac:dyDescent="0.35">
      <c r="A48" s="196" t="s">
        <v>38</v>
      </c>
      <c r="B48" s="196"/>
    </row>
    <row r="49" spans="1:5" s="17" customFormat="1" x14ac:dyDescent="0.35"/>
    <row r="50" spans="1:5" s="17" customFormat="1" ht="15" customHeight="1" x14ac:dyDescent="0.35">
      <c r="A50" s="17" t="s">
        <v>268</v>
      </c>
      <c r="B50" s="18"/>
    </row>
    <row r="51" spans="1:5" s="17" customFormat="1" ht="14.25" customHeight="1" x14ac:dyDescent="0.35">
      <c r="B51" s="96"/>
      <c r="E51" s="65"/>
    </row>
    <row r="52" spans="1:5" x14ac:dyDescent="0.35">
      <c r="E52" s="123"/>
    </row>
  </sheetData>
  <mergeCells count="11">
    <mergeCell ref="A42:B42"/>
    <mergeCell ref="A43:B43"/>
    <mergeCell ref="A44:B44"/>
    <mergeCell ref="A45:B45"/>
    <mergeCell ref="A46:B46"/>
    <mergeCell ref="A7:E7"/>
    <mergeCell ref="B8:C8"/>
    <mergeCell ref="A9:C9"/>
    <mergeCell ref="A10:C10"/>
    <mergeCell ref="B11:C11"/>
    <mergeCell ref="B12:C12"/>
  </mergeCells>
  <pageMargins left="0.7" right="0.7" top="0.75" bottom="0.75" header="0.3" footer="0.3"/>
  <pageSetup paperSize="9" scale="68" orientation="portrait" r:id="rId1"/>
  <headerFooter>
    <oddFooter>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view="pageLayout" topLeftCell="A17" zoomScale="80" zoomScaleNormal="100" zoomScalePageLayoutView="80" workbookViewId="0">
      <selection activeCell="E19" sqref="E19:E38"/>
    </sheetView>
  </sheetViews>
  <sheetFormatPr defaultColWidth="9.1796875" defaultRowHeight="15.5" x14ac:dyDescent="0.35"/>
  <cols>
    <col min="1" max="1" width="12.81640625" style="13" customWidth="1"/>
    <col min="2" max="2" width="91" style="13" customWidth="1"/>
    <col min="3" max="3" width="7.453125" style="13" hidden="1" customWidth="1"/>
    <col min="4" max="4" width="7" style="13" hidden="1" customWidth="1"/>
    <col min="5" max="5" width="26.26953125" style="13" customWidth="1"/>
    <col min="6" max="6" width="8.1796875" style="13" customWidth="1"/>
    <col min="7" max="7" width="35.1796875" style="13" customWidth="1"/>
    <col min="8" max="16384" width="9.1796875" style="13"/>
  </cols>
  <sheetData>
    <row r="1" spans="1:5" x14ac:dyDescent="0.35">
      <c r="E1" s="35" t="s">
        <v>35</v>
      </c>
    </row>
    <row r="2" spans="1:5" x14ac:dyDescent="0.35">
      <c r="E2" s="35" t="s">
        <v>39</v>
      </c>
    </row>
    <row r="3" spans="1:5" ht="15" customHeight="1" x14ac:dyDescent="0.35">
      <c r="E3" s="121" t="s">
        <v>56</v>
      </c>
    </row>
    <row r="4" spans="1:5" x14ac:dyDescent="0.35">
      <c r="E4" s="35"/>
    </row>
    <row r="5" spans="1:5" x14ac:dyDescent="0.35">
      <c r="E5" s="35" t="s">
        <v>360</v>
      </c>
    </row>
    <row r="7" spans="1:5" x14ac:dyDescent="0.35">
      <c r="A7" s="263" t="s">
        <v>5</v>
      </c>
      <c r="B7" s="263"/>
      <c r="C7" s="263"/>
      <c r="D7" s="263"/>
      <c r="E7" s="263"/>
    </row>
    <row r="8" spans="1:5" x14ac:dyDescent="0.35">
      <c r="B8" s="277"/>
      <c r="C8" s="277"/>
      <c r="D8" s="135"/>
    </row>
    <row r="9" spans="1:5" x14ac:dyDescent="0.35">
      <c r="A9" s="262" t="s">
        <v>1</v>
      </c>
      <c r="B9" s="262"/>
      <c r="C9" s="262"/>
      <c r="D9" s="9"/>
    </row>
    <row r="10" spans="1:5" ht="15.75" customHeight="1" x14ac:dyDescent="0.35">
      <c r="A10" s="262" t="s">
        <v>0</v>
      </c>
      <c r="B10" s="262"/>
      <c r="C10" s="262"/>
      <c r="D10" s="9"/>
    </row>
    <row r="11" spans="1:5" x14ac:dyDescent="0.35">
      <c r="A11" s="9"/>
      <c r="B11" s="262" t="s">
        <v>346</v>
      </c>
      <c r="C11" s="262"/>
      <c r="D11" s="9"/>
    </row>
    <row r="12" spans="1:5" x14ac:dyDescent="0.35">
      <c r="A12" s="9"/>
      <c r="B12" s="262" t="s">
        <v>363</v>
      </c>
      <c r="C12" s="262"/>
      <c r="D12" s="9"/>
    </row>
    <row r="13" spans="1:5" x14ac:dyDescent="0.35">
      <c r="A13" s="9"/>
      <c r="B13" s="9" t="s">
        <v>364</v>
      </c>
      <c r="C13" s="9"/>
      <c r="D13" s="9"/>
    </row>
    <row r="14" spans="1:5" x14ac:dyDescent="0.35">
      <c r="A14" s="9"/>
      <c r="B14" s="262"/>
      <c r="C14" s="262"/>
      <c r="D14" s="9"/>
    </row>
    <row r="15" spans="1:5" ht="15.75" customHeight="1" x14ac:dyDescent="0.35">
      <c r="A15" s="9" t="s">
        <v>2</v>
      </c>
      <c r="B15" s="9" t="s">
        <v>330</v>
      </c>
      <c r="C15" s="9"/>
      <c r="D15" s="9"/>
    </row>
    <row r="16" spans="1:5" ht="87.75" customHeight="1" x14ac:dyDescent="0.35">
      <c r="A16" s="54" t="s">
        <v>3</v>
      </c>
      <c r="B16" s="54" t="s">
        <v>4</v>
      </c>
      <c r="C16" s="54"/>
      <c r="D16" s="54"/>
      <c r="E16" s="54" t="s">
        <v>267</v>
      </c>
    </row>
    <row r="17" spans="1:5" ht="20.25" customHeight="1" x14ac:dyDescent="0.35">
      <c r="A17" s="22">
        <v>1</v>
      </c>
      <c r="B17" s="23">
        <v>2</v>
      </c>
      <c r="C17" s="22"/>
      <c r="D17" s="22"/>
      <c r="E17" s="22">
        <v>3</v>
      </c>
    </row>
    <row r="18" spans="1:5" x14ac:dyDescent="0.35">
      <c r="A18" s="24"/>
      <c r="B18" s="125" t="s">
        <v>156</v>
      </c>
      <c r="C18" s="125"/>
      <c r="D18" s="125"/>
      <c r="E18" s="127"/>
    </row>
    <row r="19" spans="1:5" x14ac:dyDescent="0.35">
      <c r="A19" s="27">
        <v>1100</v>
      </c>
      <c r="B19" s="162" t="s">
        <v>63</v>
      </c>
      <c r="C19" s="93">
        <f>23.89/1.2359</f>
        <v>19.330042883728456</v>
      </c>
      <c r="D19" s="93"/>
      <c r="E19" s="28">
        <v>148.85</v>
      </c>
    </row>
    <row r="20" spans="1:5" x14ac:dyDescent="0.35">
      <c r="A20" s="27">
        <v>1200</v>
      </c>
      <c r="B20" s="29" t="s">
        <v>192</v>
      </c>
      <c r="C20" s="93">
        <f>C19*0.2359</f>
        <v>4.5599571162715424</v>
      </c>
      <c r="D20" s="93"/>
      <c r="E20" s="28">
        <v>35.11</v>
      </c>
    </row>
    <row r="21" spans="1:5" x14ac:dyDescent="0.35">
      <c r="A21" s="27">
        <v>2222</v>
      </c>
      <c r="B21" s="129" t="s">
        <v>336</v>
      </c>
      <c r="C21" s="93">
        <v>1.31</v>
      </c>
      <c r="D21" s="93"/>
      <c r="E21" s="26">
        <v>6.55</v>
      </c>
    </row>
    <row r="22" spans="1:5" x14ac:dyDescent="0.35">
      <c r="A22" s="27">
        <v>2223</v>
      </c>
      <c r="B22" s="129" t="s">
        <v>29</v>
      </c>
      <c r="C22" s="93">
        <v>7.31</v>
      </c>
      <c r="D22" s="93"/>
      <c r="E22" s="26">
        <v>36.549999999999997</v>
      </c>
    </row>
    <row r="23" spans="1:5" ht="31" x14ac:dyDescent="0.35">
      <c r="A23" s="27">
        <v>2224</v>
      </c>
      <c r="B23" s="204" t="s">
        <v>312</v>
      </c>
      <c r="C23" s="93">
        <v>0.08</v>
      </c>
      <c r="D23" s="93"/>
      <c r="E23" s="28">
        <v>0.4</v>
      </c>
    </row>
    <row r="24" spans="1:5" x14ac:dyDescent="0.35">
      <c r="A24" s="27">
        <v>2244</v>
      </c>
      <c r="B24" s="129" t="s">
        <v>332</v>
      </c>
      <c r="C24" s="93">
        <v>8.24</v>
      </c>
      <c r="D24" s="93"/>
      <c r="E24" s="26">
        <v>41.2</v>
      </c>
    </row>
    <row r="25" spans="1:5" x14ac:dyDescent="0.35">
      <c r="A25" s="27">
        <v>2312</v>
      </c>
      <c r="B25" s="129" t="s">
        <v>284</v>
      </c>
      <c r="C25" s="93">
        <v>3.33</v>
      </c>
      <c r="D25" s="93"/>
      <c r="E25" s="26">
        <v>16.649999999999999</v>
      </c>
    </row>
    <row r="26" spans="1:5" x14ac:dyDescent="0.35">
      <c r="A26" s="27">
        <v>2321</v>
      </c>
      <c r="B26" s="129" t="s">
        <v>17</v>
      </c>
      <c r="C26" s="93">
        <v>5.94</v>
      </c>
      <c r="D26" s="93"/>
      <c r="E26" s="26">
        <v>29.7</v>
      </c>
    </row>
    <row r="27" spans="1:5" x14ac:dyDescent="0.35">
      <c r="A27" s="27">
        <v>5239</v>
      </c>
      <c r="B27" s="29" t="s">
        <v>296</v>
      </c>
      <c r="C27" s="93">
        <v>0.28000000000000003</v>
      </c>
      <c r="D27" s="93"/>
      <c r="E27" s="26">
        <v>1.4</v>
      </c>
    </row>
    <row r="28" spans="1:5" x14ac:dyDescent="0.35">
      <c r="A28" s="27"/>
      <c r="B28" s="163" t="s">
        <v>161</v>
      </c>
      <c r="C28" s="37">
        <f>SUM(C19:C27)</f>
        <v>50.379999999999995</v>
      </c>
      <c r="D28" s="37"/>
      <c r="E28" s="31">
        <f>SUM(E19:E27)</f>
        <v>316.40999999999997</v>
      </c>
    </row>
    <row r="29" spans="1:5" x14ac:dyDescent="0.35">
      <c r="A29" s="32"/>
      <c r="B29" s="162" t="s">
        <v>162</v>
      </c>
      <c r="C29" s="162"/>
      <c r="D29" s="162"/>
      <c r="E29" s="26"/>
    </row>
    <row r="30" spans="1:5" x14ac:dyDescent="0.35">
      <c r="A30" s="27">
        <v>1100</v>
      </c>
      <c r="B30" s="162" t="s">
        <v>63</v>
      </c>
      <c r="C30" s="197"/>
      <c r="D30" s="197">
        <f>0.418-0.0002</f>
        <v>0.4178</v>
      </c>
      <c r="E30" s="28">
        <v>53.53</v>
      </c>
    </row>
    <row r="31" spans="1:5" x14ac:dyDescent="0.35">
      <c r="A31" s="27">
        <v>1200</v>
      </c>
      <c r="B31" s="29" t="s">
        <v>192</v>
      </c>
      <c r="C31" s="197"/>
      <c r="D31" s="197">
        <f>D30*0.2359</f>
        <v>9.8559019999999997E-2</v>
      </c>
      <c r="E31" s="28">
        <v>12.63</v>
      </c>
    </row>
    <row r="32" spans="1:5" x14ac:dyDescent="0.35">
      <c r="A32" s="27">
        <v>2231</v>
      </c>
      <c r="B32" s="29" t="s">
        <v>226</v>
      </c>
      <c r="C32" s="197"/>
      <c r="D32" s="197">
        <v>3.0300000000000001E-2</v>
      </c>
      <c r="E32" s="28">
        <v>2.6</v>
      </c>
    </row>
    <row r="33" spans="1:9" x14ac:dyDescent="0.35">
      <c r="A33" s="27">
        <v>2243</v>
      </c>
      <c r="B33" s="29" t="s">
        <v>9</v>
      </c>
      <c r="C33" s="197"/>
      <c r="D33" s="197">
        <v>6.1899999999999997E-2</v>
      </c>
      <c r="E33" s="28">
        <v>5.3</v>
      </c>
    </row>
    <row r="34" spans="1:9" x14ac:dyDescent="0.35">
      <c r="A34" s="27">
        <v>2250</v>
      </c>
      <c r="B34" s="29" t="s">
        <v>60</v>
      </c>
      <c r="C34" s="197"/>
      <c r="D34" s="197">
        <v>0.1104</v>
      </c>
      <c r="E34" s="28">
        <v>9.4600000000000009</v>
      </c>
      <c r="H34" s="41"/>
      <c r="I34" s="193"/>
    </row>
    <row r="35" spans="1:9" x14ac:dyDescent="0.35">
      <c r="A35" s="27">
        <v>2311</v>
      </c>
      <c r="B35" s="29" t="s">
        <v>15</v>
      </c>
      <c r="C35" s="197"/>
      <c r="D35" s="197">
        <v>3.3399999999999999E-2</v>
      </c>
      <c r="E35" s="28">
        <v>2.86</v>
      </c>
    </row>
    <row r="36" spans="1:9" hidden="1" x14ac:dyDescent="0.35">
      <c r="A36" s="27">
        <v>2512</v>
      </c>
      <c r="B36" s="129" t="s">
        <v>201</v>
      </c>
      <c r="C36" s="197"/>
      <c r="D36" s="197"/>
      <c r="E36" s="28">
        <f>D36*85.65</f>
        <v>0</v>
      </c>
    </row>
    <row r="37" spans="1:9" x14ac:dyDescent="0.35">
      <c r="A37" s="27">
        <v>2513</v>
      </c>
      <c r="B37" s="29" t="s">
        <v>238</v>
      </c>
      <c r="C37" s="197"/>
      <c r="D37" s="197">
        <v>1.52E-2</v>
      </c>
      <c r="E37" s="28">
        <v>1.3</v>
      </c>
    </row>
    <row r="38" spans="1:9" x14ac:dyDescent="0.35">
      <c r="A38" s="33">
        <v>5239</v>
      </c>
      <c r="B38" s="29" t="s">
        <v>296</v>
      </c>
      <c r="C38" s="197"/>
      <c r="D38" s="197">
        <v>0.2324</v>
      </c>
      <c r="E38" s="28">
        <v>19.91</v>
      </c>
    </row>
    <row r="39" spans="1:9" x14ac:dyDescent="0.35">
      <c r="A39" s="32"/>
      <c r="B39" s="164" t="s">
        <v>175</v>
      </c>
      <c r="C39" s="37"/>
      <c r="D39" s="37"/>
      <c r="E39" s="31">
        <f>SUM(E30:E38)</f>
        <v>107.58999999999997</v>
      </c>
    </row>
    <row r="40" spans="1:9" x14ac:dyDescent="0.35">
      <c r="A40" s="165"/>
      <c r="B40" s="164" t="s">
        <v>32</v>
      </c>
      <c r="C40" s="37"/>
      <c r="D40" s="37"/>
      <c r="E40" s="31">
        <f>E28+E39</f>
        <v>423.99999999999994</v>
      </c>
    </row>
    <row r="41" spans="1:9" x14ac:dyDescent="0.35">
      <c r="A41" s="35"/>
      <c r="B41" s="20"/>
      <c r="C41" s="20"/>
      <c r="D41" s="20"/>
    </row>
    <row r="42" spans="1:9" ht="15.75" customHeight="1" x14ac:dyDescent="0.35">
      <c r="A42" s="279" t="s">
        <v>45</v>
      </c>
      <c r="B42" s="279"/>
      <c r="C42" s="10"/>
      <c r="D42" s="10"/>
      <c r="E42" s="21">
        <v>5</v>
      </c>
    </row>
    <row r="43" spans="1:9" ht="15.75" customHeight="1" x14ac:dyDescent="0.35">
      <c r="A43" s="279" t="s">
        <v>46</v>
      </c>
      <c r="B43" s="279"/>
      <c r="C43" s="36"/>
      <c r="D43" s="36"/>
      <c r="E43" s="37">
        <f>E40/E42</f>
        <v>84.799999999999983</v>
      </c>
    </row>
    <row r="44" spans="1:9" x14ac:dyDescent="0.35">
      <c r="A44" s="278"/>
      <c r="B44" s="278"/>
      <c r="C44" s="103"/>
      <c r="D44" s="103"/>
      <c r="E44" s="20"/>
    </row>
    <row r="45" spans="1:9" s="17" customFormat="1" x14ac:dyDescent="0.35">
      <c r="A45" s="278" t="s">
        <v>37</v>
      </c>
      <c r="B45" s="278"/>
      <c r="C45" s="206"/>
      <c r="D45" s="206"/>
      <c r="E45" s="39"/>
    </row>
    <row r="46" spans="1:9" s="17" customFormat="1" x14ac:dyDescent="0.35">
      <c r="A46" s="278" t="s">
        <v>55</v>
      </c>
      <c r="B46" s="278"/>
      <c r="C46" s="206"/>
      <c r="D46" s="206"/>
      <c r="E46" s="39"/>
    </row>
    <row r="47" spans="1:9" ht="13.5" customHeight="1" x14ac:dyDescent="0.35">
      <c r="A47" s="194"/>
      <c r="B47" s="195"/>
      <c r="C47" s="135"/>
      <c r="D47" s="135"/>
    </row>
    <row r="48" spans="1:9" s="17" customFormat="1" x14ac:dyDescent="0.35">
      <c r="A48" s="196" t="s">
        <v>38</v>
      </c>
      <c r="B48" s="196"/>
    </row>
    <row r="49" spans="1:5" s="17" customFormat="1" x14ac:dyDescent="0.35"/>
    <row r="50" spans="1:5" s="17" customFormat="1" ht="15" customHeight="1" x14ac:dyDescent="0.35">
      <c r="A50" s="17" t="s">
        <v>268</v>
      </c>
      <c r="B50" s="18"/>
    </row>
    <row r="51" spans="1:5" s="17" customFormat="1" ht="14.25" customHeight="1" x14ac:dyDescent="0.35">
      <c r="B51" s="96"/>
    </row>
    <row r="52" spans="1:5" x14ac:dyDescent="0.35">
      <c r="E52" s="123"/>
    </row>
  </sheetData>
  <mergeCells count="12">
    <mergeCell ref="B14:C14"/>
    <mergeCell ref="A42:B42"/>
    <mergeCell ref="A43:B43"/>
    <mergeCell ref="A44:B44"/>
    <mergeCell ref="A45:B45"/>
    <mergeCell ref="A46:B46"/>
    <mergeCell ref="A7:E7"/>
    <mergeCell ref="B8:C8"/>
    <mergeCell ref="A9:C9"/>
    <mergeCell ref="A10:C10"/>
    <mergeCell ref="B11:C11"/>
    <mergeCell ref="B12:C12"/>
  </mergeCells>
  <pageMargins left="0.7" right="0.7" top="0.75" bottom="0.75" header="0.3" footer="0.3"/>
  <pageSetup paperSize="9" scale="68" orientation="portrait" r:id="rId1"/>
  <headerFooter>
    <oddFooter>&amp;F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view="pageLayout" topLeftCell="A17" zoomScale="80" zoomScaleNormal="100" zoomScalePageLayoutView="80" workbookViewId="0">
      <selection activeCell="E19" sqref="E19:E38"/>
    </sheetView>
  </sheetViews>
  <sheetFormatPr defaultColWidth="9.1796875" defaultRowHeight="15.5" x14ac:dyDescent="0.35"/>
  <cols>
    <col min="1" max="1" width="12.81640625" style="13" customWidth="1"/>
    <col min="2" max="2" width="86.81640625" style="13" customWidth="1"/>
    <col min="3" max="3" width="8.7265625" style="13" hidden="1" customWidth="1"/>
    <col min="4" max="4" width="9.1796875" style="13" hidden="1" customWidth="1"/>
    <col min="5" max="5" width="26.7265625" style="13" customWidth="1"/>
    <col min="6" max="6" width="8.1796875" style="13" customWidth="1"/>
    <col min="7" max="7" width="35.1796875" style="13" customWidth="1"/>
    <col min="8" max="16384" width="9.1796875" style="13"/>
  </cols>
  <sheetData>
    <row r="1" spans="1:5" x14ac:dyDescent="0.35">
      <c r="E1" s="35" t="s">
        <v>35</v>
      </c>
    </row>
    <row r="2" spans="1:5" x14ac:dyDescent="0.35">
      <c r="E2" s="35" t="s">
        <v>39</v>
      </c>
    </row>
    <row r="3" spans="1:5" ht="15" customHeight="1" x14ac:dyDescent="0.35">
      <c r="E3" s="121" t="s">
        <v>56</v>
      </c>
    </row>
    <row r="4" spans="1:5" x14ac:dyDescent="0.35">
      <c r="E4" s="35"/>
    </row>
    <row r="5" spans="1:5" x14ac:dyDescent="0.35">
      <c r="E5" s="35" t="s">
        <v>360</v>
      </c>
    </row>
    <row r="7" spans="1:5" x14ac:dyDescent="0.35">
      <c r="A7" s="263" t="s">
        <v>5</v>
      </c>
      <c r="B7" s="263"/>
      <c r="C7" s="263"/>
      <c r="D7" s="263"/>
      <c r="E7" s="263"/>
    </row>
    <row r="8" spans="1:5" x14ac:dyDescent="0.35">
      <c r="B8" s="277"/>
      <c r="C8" s="277"/>
      <c r="D8" s="135"/>
    </row>
    <row r="9" spans="1:5" x14ac:dyDescent="0.35">
      <c r="A9" s="262" t="s">
        <v>1</v>
      </c>
      <c r="B9" s="262"/>
      <c r="C9" s="262"/>
      <c r="D9" s="9"/>
    </row>
    <row r="10" spans="1:5" ht="15.75" customHeight="1" x14ac:dyDescent="0.35">
      <c r="A10" s="262" t="s">
        <v>0</v>
      </c>
      <c r="B10" s="262"/>
      <c r="C10" s="262"/>
      <c r="D10" s="9"/>
    </row>
    <row r="11" spans="1:5" ht="12" customHeight="1" x14ac:dyDescent="0.35">
      <c r="A11" s="9"/>
      <c r="B11" s="262" t="s">
        <v>346</v>
      </c>
      <c r="C11" s="262"/>
      <c r="D11" s="9"/>
    </row>
    <row r="12" spans="1:5" x14ac:dyDescent="0.35">
      <c r="A12" s="9"/>
      <c r="B12" s="262" t="s">
        <v>363</v>
      </c>
      <c r="C12" s="262"/>
      <c r="D12" s="9"/>
    </row>
    <row r="13" spans="1:5" x14ac:dyDescent="0.35">
      <c r="A13" s="9"/>
      <c r="B13" s="9" t="s">
        <v>354</v>
      </c>
      <c r="C13" s="9"/>
      <c r="D13" s="9"/>
    </row>
    <row r="14" spans="1:5" x14ac:dyDescent="0.35">
      <c r="A14" s="9"/>
      <c r="B14" s="262"/>
      <c r="C14" s="262"/>
      <c r="D14" s="9"/>
    </row>
    <row r="15" spans="1:5" ht="15.75" customHeight="1" x14ac:dyDescent="0.35">
      <c r="A15" s="9" t="s">
        <v>2</v>
      </c>
      <c r="B15" s="9" t="s">
        <v>330</v>
      </c>
      <c r="C15" s="9"/>
      <c r="D15" s="9"/>
    </row>
    <row r="16" spans="1:5" ht="87.75" customHeight="1" x14ac:dyDescent="0.35">
      <c r="A16" s="54" t="s">
        <v>3</v>
      </c>
      <c r="B16" s="54" t="s">
        <v>4</v>
      </c>
      <c r="C16" s="54"/>
      <c r="D16" s="54"/>
      <c r="E16" s="54" t="s">
        <v>267</v>
      </c>
    </row>
    <row r="17" spans="1:5" ht="20.25" customHeight="1" x14ac:dyDescent="0.35">
      <c r="A17" s="22">
        <v>1</v>
      </c>
      <c r="B17" s="23">
        <v>2</v>
      </c>
      <c r="C17" s="22"/>
      <c r="D17" s="22"/>
      <c r="E17" s="22">
        <v>3</v>
      </c>
    </row>
    <row r="18" spans="1:5" x14ac:dyDescent="0.35">
      <c r="A18" s="24"/>
      <c r="B18" s="125" t="s">
        <v>156</v>
      </c>
      <c r="C18" s="125"/>
      <c r="D18" s="125"/>
      <c r="E18" s="127"/>
    </row>
    <row r="19" spans="1:5" x14ac:dyDescent="0.35">
      <c r="A19" s="27">
        <v>1100</v>
      </c>
      <c r="B19" s="162" t="s">
        <v>63</v>
      </c>
      <c r="C19" s="93">
        <f>4.42/1.2359</f>
        <v>3.5763411279229711</v>
      </c>
      <c r="D19" s="93"/>
      <c r="E19" s="28">
        <v>22.84</v>
      </c>
    </row>
    <row r="20" spans="1:5" x14ac:dyDescent="0.35">
      <c r="A20" s="27">
        <v>1200</v>
      </c>
      <c r="B20" s="29" t="s">
        <v>192</v>
      </c>
      <c r="C20" s="93">
        <f>C19*0.2359</f>
        <v>0.84365887207702883</v>
      </c>
      <c r="D20" s="93"/>
      <c r="E20" s="28">
        <v>5.39</v>
      </c>
    </row>
    <row r="21" spans="1:5" x14ac:dyDescent="0.35">
      <c r="A21" s="27">
        <v>2222</v>
      </c>
      <c r="B21" s="129" t="s">
        <v>336</v>
      </c>
      <c r="C21" s="93">
        <v>0.17</v>
      </c>
      <c r="D21" s="93"/>
      <c r="E21" s="28">
        <v>0.83</v>
      </c>
    </row>
    <row r="22" spans="1:5" x14ac:dyDescent="0.35">
      <c r="A22" s="27">
        <v>2223</v>
      </c>
      <c r="B22" s="129" t="s">
        <v>29</v>
      </c>
      <c r="C22" s="93">
        <v>0.92</v>
      </c>
      <c r="D22" s="93"/>
      <c r="E22" s="28">
        <v>4.62</v>
      </c>
    </row>
    <row r="23" spans="1:5" ht="31" x14ac:dyDescent="0.35">
      <c r="A23" s="27">
        <v>2224</v>
      </c>
      <c r="B23" s="116" t="s">
        <v>337</v>
      </c>
      <c r="C23" s="28">
        <f>0.14*1.15*126.4/12/168</f>
        <v>1.0094444444444444E-2</v>
      </c>
      <c r="D23" s="28"/>
      <c r="E23" s="28">
        <v>0.05</v>
      </c>
    </row>
    <row r="24" spans="1:5" x14ac:dyDescent="0.35">
      <c r="A24" s="27">
        <v>2244</v>
      </c>
      <c r="B24" s="129" t="s">
        <v>332</v>
      </c>
      <c r="C24" s="93">
        <v>1.05</v>
      </c>
      <c r="D24" s="93"/>
      <c r="E24" s="28">
        <v>5.25</v>
      </c>
    </row>
    <row r="25" spans="1:5" x14ac:dyDescent="0.35">
      <c r="A25" s="27">
        <v>2312</v>
      </c>
      <c r="B25" s="129" t="s">
        <v>284</v>
      </c>
      <c r="C25" s="93">
        <v>0.28999999999999998</v>
      </c>
      <c r="D25" s="93"/>
      <c r="E25" s="28">
        <v>1.24</v>
      </c>
    </row>
    <row r="26" spans="1:5" x14ac:dyDescent="0.35">
      <c r="A26" s="27">
        <v>2321</v>
      </c>
      <c r="B26" s="129" t="s">
        <v>17</v>
      </c>
      <c r="C26" s="93">
        <v>0.53</v>
      </c>
      <c r="D26" s="93"/>
      <c r="E26" s="28">
        <v>2.65</v>
      </c>
    </row>
    <row r="27" spans="1:5" x14ac:dyDescent="0.35">
      <c r="A27" s="27">
        <v>5239</v>
      </c>
      <c r="B27" s="29" t="s">
        <v>296</v>
      </c>
      <c r="C27" s="93">
        <v>0.28999999999999998</v>
      </c>
      <c r="D27" s="93"/>
      <c r="E27" s="28">
        <v>1.45</v>
      </c>
    </row>
    <row r="28" spans="1:5" x14ac:dyDescent="0.35">
      <c r="A28" s="27"/>
      <c r="B28" s="163" t="s">
        <v>161</v>
      </c>
      <c r="C28" s="37">
        <f>SUM(C19:C27)</f>
        <v>7.6800944444444443</v>
      </c>
      <c r="D28" s="37"/>
      <c r="E28" s="31">
        <f>SUM(E19:E27)</f>
        <v>44.32</v>
      </c>
    </row>
    <row r="29" spans="1:5" x14ac:dyDescent="0.35">
      <c r="A29" s="32"/>
      <c r="B29" s="162" t="s">
        <v>162</v>
      </c>
      <c r="C29" s="162"/>
      <c r="D29" s="162"/>
      <c r="E29" s="26"/>
    </row>
    <row r="30" spans="1:5" x14ac:dyDescent="0.35">
      <c r="A30" s="27">
        <v>1100</v>
      </c>
      <c r="B30" s="162" t="s">
        <v>63</v>
      </c>
      <c r="C30" s="127"/>
      <c r="D30" s="197">
        <f>0.418-0.0002</f>
        <v>0.4178</v>
      </c>
      <c r="E30" s="28">
        <v>6.93</v>
      </c>
    </row>
    <row r="31" spans="1:5" x14ac:dyDescent="0.35">
      <c r="A31" s="27">
        <v>1200</v>
      </c>
      <c r="B31" s="29" t="s">
        <v>192</v>
      </c>
      <c r="C31" s="127"/>
      <c r="D31" s="197">
        <f>D30*0.2359</f>
        <v>9.8559019999999997E-2</v>
      </c>
      <c r="E31" s="28">
        <v>1.63</v>
      </c>
    </row>
    <row r="32" spans="1:5" x14ac:dyDescent="0.35">
      <c r="A32" s="27">
        <v>2231</v>
      </c>
      <c r="B32" s="29" t="s">
        <v>226</v>
      </c>
      <c r="C32" s="127"/>
      <c r="D32" s="197">
        <v>3.0300000000000001E-2</v>
      </c>
      <c r="E32" s="28">
        <v>0.45</v>
      </c>
    </row>
    <row r="33" spans="1:9" x14ac:dyDescent="0.35">
      <c r="A33" s="27">
        <v>2243</v>
      </c>
      <c r="B33" s="29" t="s">
        <v>9</v>
      </c>
      <c r="C33" s="127"/>
      <c r="D33" s="197">
        <v>6.1899999999999997E-2</v>
      </c>
      <c r="E33" s="28">
        <v>0.91</v>
      </c>
    </row>
    <row r="34" spans="1:9" x14ac:dyDescent="0.35">
      <c r="A34" s="27">
        <v>2250</v>
      </c>
      <c r="B34" s="29" t="s">
        <v>60</v>
      </c>
      <c r="C34" s="127"/>
      <c r="D34" s="197">
        <v>0.1104</v>
      </c>
      <c r="E34" s="28">
        <v>1.54</v>
      </c>
      <c r="H34" s="41"/>
      <c r="I34" s="193"/>
    </row>
    <row r="35" spans="1:9" x14ac:dyDescent="0.35">
      <c r="A35" s="27">
        <v>2311</v>
      </c>
      <c r="B35" s="29" t="s">
        <v>15</v>
      </c>
      <c r="C35" s="127"/>
      <c r="D35" s="197">
        <v>3.3399999999999999E-2</v>
      </c>
      <c r="E35" s="28">
        <v>0.54</v>
      </c>
    </row>
    <row r="36" spans="1:9" hidden="1" x14ac:dyDescent="0.35">
      <c r="A36" s="27">
        <v>2512</v>
      </c>
      <c r="B36" s="129" t="s">
        <v>201</v>
      </c>
      <c r="C36" s="127"/>
      <c r="D36" s="197"/>
      <c r="E36" s="28">
        <f>D36*13.05</f>
        <v>0</v>
      </c>
    </row>
    <row r="37" spans="1:9" x14ac:dyDescent="0.35">
      <c r="A37" s="27">
        <v>2513</v>
      </c>
      <c r="B37" s="29" t="s">
        <v>238</v>
      </c>
      <c r="C37" s="127"/>
      <c r="D37" s="197">
        <v>1.52E-2</v>
      </c>
      <c r="E37" s="28">
        <v>0.3</v>
      </c>
    </row>
    <row r="38" spans="1:9" x14ac:dyDescent="0.35">
      <c r="A38" s="33">
        <v>5239</v>
      </c>
      <c r="B38" s="29" t="s">
        <v>296</v>
      </c>
      <c r="C38" s="127"/>
      <c r="D38" s="197">
        <v>0.2324</v>
      </c>
      <c r="E38" s="28">
        <v>3.08</v>
      </c>
    </row>
    <row r="39" spans="1:9" x14ac:dyDescent="0.35">
      <c r="A39" s="32"/>
      <c r="B39" s="164" t="s">
        <v>175</v>
      </c>
      <c r="C39" s="37"/>
      <c r="D39" s="198">
        <f>SUM(D30:D38)</f>
        <v>0.99995901999999992</v>
      </c>
      <c r="E39" s="31">
        <f>SUM(E30:E38)</f>
        <v>15.379999999999997</v>
      </c>
    </row>
    <row r="40" spans="1:9" x14ac:dyDescent="0.35">
      <c r="A40" s="165"/>
      <c r="B40" s="164" t="s">
        <v>32</v>
      </c>
      <c r="C40" s="37"/>
      <c r="D40" s="37"/>
      <c r="E40" s="31">
        <f>E28+E39</f>
        <v>59.699999999999996</v>
      </c>
    </row>
    <row r="41" spans="1:9" x14ac:dyDescent="0.35">
      <c r="A41" s="35"/>
      <c r="B41" s="20"/>
      <c r="C41" s="20"/>
      <c r="D41" s="20"/>
    </row>
    <row r="42" spans="1:9" ht="15.75" customHeight="1" x14ac:dyDescent="0.35">
      <c r="A42" s="279" t="s">
        <v>45</v>
      </c>
      <c r="B42" s="279"/>
      <c r="C42" s="10"/>
      <c r="D42" s="10"/>
      <c r="E42" s="21">
        <v>5</v>
      </c>
    </row>
    <row r="43" spans="1:9" ht="15.75" customHeight="1" x14ac:dyDescent="0.35">
      <c r="A43" s="279" t="s">
        <v>46</v>
      </c>
      <c r="B43" s="279"/>
      <c r="C43" s="36"/>
      <c r="D43" s="36"/>
      <c r="E43" s="37">
        <f>E40/E42</f>
        <v>11.94</v>
      </c>
    </row>
    <row r="44" spans="1:9" x14ac:dyDescent="0.35">
      <c r="A44" s="278"/>
      <c r="B44" s="278"/>
      <c r="C44" s="103"/>
      <c r="D44" s="103"/>
      <c r="E44" s="20"/>
    </row>
    <row r="45" spans="1:9" s="17" customFormat="1" x14ac:dyDescent="0.35">
      <c r="A45" s="278" t="s">
        <v>37</v>
      </c>
      <c r="B45" s="278"/>
      <c r="C45" s="18"/>
      <c r="D45" s="18"/>
      <c r="E45" s="39"/>
    </row>
    <row r="46" spans="1:9" s="17" customFormat="1" x14ac:dyDescent="0.35">
      <c r="A46" s="278" t="s">
        <v>55</v>
      </c>
      <c r="B46" s="278"/>
      <c r="C46" s="18"/>
      <c r="D46" s="18"/>
      <c r="E46" s="39"/>
    </row>
    <row r="47" spans="1:9" x14ac:dyDescent="0.35">
      <c r="A47" s="194"/>
      <c r="B47" s="195"/>
      <c r="C47" s="135"/>
      <c r="D47" s="135"/>
    </row>
    <row r="48" spans="1:9" s="17" customFormat="1" x14ac:dyDescent="0.35">
      <c r="A48" s="196" t="s">
        <v>38</v>
      </c>
      <c r="B48" s="196"/>
    </row>
    <row r="49" spans="1:5" s="17" customFormat="1" ht="12.75" customHeight="1" x14ac:dyDescent="0.35"/>
    <row r="50" spans="1:5" s="17" customFormat="1" ht="15" customHeight="1" x14ac:dyDescent="0.35">
      <c r="A50" s="17" t="s">
        <v>268</v>
      </c>
      <c r="B50" s="18"/>
      <c r="E50" s="65"/>
    </row>
    <row r="51" spans="1:5" s="17" customFormat="1" ht="14.25" customHeight="1" x14ac:dyDescent="0.35">
      <c r="B51" s="96"/>
    </row>
    <row r="52" spans="1:5" x14ac:dyDescent="0.35">
      <c r="E52" s="123"/>
    </row>
  </sheetData>
  <mergeCells count="12">
    <mergeCell ref="A7:E7"/>
    <mergeCell ref="B8:C8"/>
    <mergeCell ref="A9:C9"/>
    <mergeCell ref="A10:C10"/>
    <mergeCell ref="B11:C11"/>
    <mergeCell ref="B12:C12"/>
    <mergeCell ref="B14:C14"/>
    <mergeCell ref="A42:B42"/>
    <mergeCell ref="A43:B43"/>
    <mergeCell ref="A44:B44"/>
    <mergeCell ref="A45:B45"/>
    <mergeCell ref="A46:B46"/>
  </mergeCells>
  <pageMargins left="0.7" right="0.7" top="0.75" bottom="0.75" header="0.3" footer="0.3"/>
  <pageSetup paperSize="9" scale="70" orientation="portrait" r:id="rId1"/>
  <headerFooter>
    <oddFooter>&amp;F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view="pageLayout" topLeftCell="A16" zoomScale="80" zoomScaleNormal="100" zoomScalePageLayoutView="80" workbookViewId="0">
      <selection activeCell="E18" sqref="E18:E37"/>
    </sheetView>
  </sheetViews>
  <sheetFormatPr defaultColWidth="9.1796875" defaultRowHeight="15.5" x14ac:dyDescent="0.35"/>
  <cols>
    <col min="1" max="1" width="13.26953125" style="13" customWidth="1"/>
    <col min="2" max="2" width="89.26953125" style="13" customWidth="1"/>
    <col min="3" max="4" width="7" style="13" hidden="1" customWidth="1"/>
    <col min="5" max="5" width="27.81640625" style="13" customWidth="1"/>
    <col min="6" max="16384" width="9.1796875" style="118"/>
  </cols>
  <sheetData>
    <row r="1" spans="1:5" x14ac:dyDescent="0.35">
      <c r="E1" s="35" t="s">
        <v>35</v>
      </c>
    </row>
    <row r="2" spans="1:5" x14ac:dyDescent="0.35">
      <c r="E2" s="35" t="s">
        <v>39</v>
      </c>
    </row>
    <row r="3" spans="1:5" ht="15" customHeight="1" x14ac:dyDescent="0.35">
      <c r="E3" s="35" t="s">
        <v>56</v>
      </c>
    </row>
    <row r="4" spans="1:5" x14ac:dyDescent="0.35">
      <c r="E4" s="35"/>
    </row>
    <row r="5" spans="1:5" x14ac:dyDescent="0.35">
      <c r="E5" s="35" t="s">
        <v>360</v>
      </c>
    </row>
    <row r="7" spans="1:5" ht="15" x14ac:dyDescent="0.3">
      <c r="A7" s="263" t="s">
        <v>5</v>
      </c>
      <c r="B7" s="263"/>
      <c r="C7" s="263"/>
      <c r="D7" s="263"/>
      <c r="E7" s="263"/>
    </row>
    <row r="8" spans="1:5" x14ac:dyDescent="0.35">
      <c r="B8" s="135"/>
      <c r="C8" s="135"/>
      <c r="D8" s="135"/>
    </row>
    <row r="9" spans="1:5" x14ac:dyDescent="0.35">
      <c r="A9" s="262" t="s">
        <v>1</v>
      </c>
      <c r="B9" s="262"/>
      <c r="C9" s="9"/>
      <c r="D9" s="9"/>
    </row>
    <row r="10" spans="1:5" ht="15.75" customHeight="1" x14ac:dyDescent="0.35">
      <c r="A10" s="262" t="s">
        <v>0</v>
      </c>
      <c r="B10" s="262"/>
      <c r="C10" s="9"/>
      <c r="D10" s="9"/>
    </row>
    <row r="11" spans="1:5" ht="14.25" customHeight="1" x14ac:dyDescent="0.35">
      <c r="A11" s="9"/>
      <c r="B11" s="9" t="s">
        <v>346</v>
      </c>
      <c r="C11" s="9"/>
      <c r="D11" s="9"/>
    </row>
    <row r="12" spans="1:5" x14ac:dyDescent="0.35">
      <c r="A12" s="9"/>
      <c r="B12" s="9" t="s">
        <v>349</v>
      </c>
      <c r="C12" s="9"/>
      <c r="D12" s="9"/>
    </row>
    <row r="13" spans="1:5" x14ac:dyDescent="0.35">
      <c r="A13" s="9"/>
      <c r="B13" s="9"/>
      <c r="C13" s="9"/>
      <c r="D13" s="9"/>
    </row>
    <row r="14" spans="1:5" ht="15.75" customHeight="1" x14ac:dyDescent="0.35">
      <c r="A14" s="9" t="s">
        <v>2</v>
      </c>
      <c r="B14" s="9" t="s">
        <v>335</v>
      </c>
      <c r="C14" s="9"/>
      <c r="D14" s="9"/>
    </row>
    <row r="15" spans="1:5" ht="67.5" customHeight="1" x14ac:dyDescent="0.3">
      <c r="A15" s="54" t="s">
        <v>3</v>
      </c>
      <c r="B15" s="54" t="s">
        <v>4</v>
      </c>
      <c r="C15" s="54"/>
      <c r="D15" s="54"/>
      <c r="E15" s="54" t="s">
        <v>267</v>
      </c>
    </row>
    <row r="16" spans="1:5" ht="16.5" customHeight="1" x14ac:dyDescent="0.3">
      <c r="A16" s="22">
        <v>1</v>
      </c>
      <c r="B16" s="23">
        <v>2</v>
      </c>
      <c r="C16" s="23"/>
      <c r="D16" s="23"/>
      <c r="E16" s="22">
        <v>3</v>
      </c>
    </row>
    <row r="17" spans="1:6" x14ac:dyDescent="0.35">
      <c r="A17" s="24"/>
      <c r="B17" s="125" t="s">
        <v>156</v>
      </c>
      <c r="C17" s="125"/>
      <c r="D17" s="125"/>
      <c r="E17" s="127"/>
    </row>
    <row r="18" spans="1:6" x14ac:dyDescent="0.35">
      <c r="A18" s="27">
        <v>1100</v>
      </c>
      <c r="B18" s="162" t="s">
        <v>63</v>
      </c>
      <c r="C18" s="162">
        <f>8.82/1.2359</f>
        <v>7.1364997168055666</v>
      </c>
      <c r="D18" s="162"/>
      <c r="E18" s="28">
        <v>39.549999999999997</v>
      </c>
    </row>
    <row r="19" spans="1:6" ht="15.75" customHeight="1" x14ac:dyDescent="0.3">
      <c r="A19" s="27">
        <v>1200</v>
      </c>
      <c r="B19" s="29" t="s">
        <v>192</v>
      </c>
      <c r="C19" s="29">
        <f>C18*0.2359</f>
        <v>1.6835002831944332</v>
      </c>
      <c r="D19" s="29"/>
      <c r="E19" s="28">
        <v>9.33</v>
      </c>
    </row>
    <row r="20" spans="1:6" x14ac:dyDescent="0.35">
      <c r="A20" s="27">
        <v>2222</v>
      </c>
      <c r="B20" s="129" t="s">
        <v>336</v>
      </c>
      <c r="C20" s="209">
        <f>[4]telpas_noma!$F$89</f>
        <v>0.28061250000000004</v>
      </c>
      <c r="D20" s="209"/>
      <c r="E20" s="28">
        <v>1.4</v>
      </c>
    </row>
    <row r="21" spans="1:6" x14ac:dyDescent="0.35">
      <c r="A21" s="27">
        <v>2223</v>
      </c>
      <c r="B21" s="129" t="s">
        <v>29</v>
      </c>
      <c r="C21" s="209">
        <f>[4]telpas_noma!$F$88</f>
        <v>1.5634124999999999</v>
      </c>
      <c r="D21" s="209"/>
      <c r="E21" s="28">
        <v>7.82</v>
      </c>
    </row>
    <row r="22" spans="1:6" ht="31" hidden="1" x14ac:dyDescent="0.35">
      <c r="A22" s="27">
        <v>2224</v>
      </c>
      <c r="B22" s="204" t="s">
        <v>338</v>
      </c>
      <c r="C22" s="209">
        <f>[4]telpas_noma!$F$90</f>
        <v>4.2624596560510115E-4</v>
      </c>
      <c r="D22" s="209"/>
      <c r="E22" s="28">
        <v>0</v>
      </c>
    </row>
    <row r="23" spans="1:6" x14ac:dyDescent="0.3">
      <c r="A23" s="27">
        <v>2244</v>
      </c>
      <c r="B23" s="29" t="s">
        <v>193</v>
      </c>
      <c r="C23" s="210">
        <f>[4]telpas_noma!$F$86</f>
        <v>1.7606955842489647</v>
      </c>
      <c r="D23" s="210"/>
      <c r="E23" s="28">
        <v>8.8000000000000007</v>
      </c>
    </row>
    <row r="24" spans="1:6" x14ac:dyDescent="0.35">
      <c r="A24" s="27">
        <v>2312</v>
      </c>
      <c r="B24" s="129" t="s">
        <v>284</v>
      </c>
      <c r="C24" s="209">
        <v>0.14000000000000001</v>
      </c>
      <c r="D24" s="209"/>
      <c r="E24" s="28">
        <v>0.7</v>
      </c>
    </row>
    <row r="25" spans="1:6" x14ac:dyDescent="0.35">
      <c r="A25" s="27">
        <v>2321</v>
      </c>
      <c r="B25" s="129" t="s">
        <v>17</v>
      </c>
      <c r="C25" s="209">
        <f>[4]telpas_noma!$F$87</f>
        <v>1.2694375</v>
      </c>
      <c r="D25" s="209"/>
      <c r="E25" s="28">
        <v>6.35</v>
      </c>
    </row>
    <row r="26" spans="1:6" x14ac:dyDescent="0.35">
      <c r="A26" s="27">
        <v>5239</v>
      </c>
      <c r="B26" s="29" t="s">
        <v>296</v>
      </c>
      <c r="C26" s="209">
        <f>[4]telpas_noma!$F$83</f>
        <v>1.1857291666666669E-2</v>
      </c>
      <c r="D26" s="209"/>
      <c r="E26" s="28">
        <v>0.06</v>
      </c>
    </row>
    <row r="27" spans="1:6" x14ac:dyDescent="0.3">
      <c r="A27" s="27"/>
      <c r="B27" s="163" t="s">
        <v>161</v>
      </c>
      <c r="C27" s="163">
        <f>SUM(C18:C26)</f>
        <v>13.846441621881237</v>
      </c>
      <c r="D27" s="163"/>
      <c r="E27" s="37">
        <f>SUM(E18:E26)</f>
        <v>74.009999999999991</v>
      </c>
      <c r="F27" s="205"/>
    </row>
    <row r="28" spans="1:6" x14ac:dyDescent="0.35">
      <c r="A28" s="32"/>
      <c r="B28" s="162" t="s">
        <v>162</v>
      </c>
      <c r="C28" s="162"/>
      <c r="D28" s="162"/>
      <c r="E28" s="26"/>
    </row>
    <row r="29" spans="1:6" x14ac:dyDescent="0.35">
      <c r="A29" s="27">
        <v>1100</v>
      </c>
      <c r="B29" s="162" t="s">
        <v>63</v>
      </c>
      <c r="C29" s="197"/>
      <c r="D29" s="197">
        <f>0.418-0.0002</f>
        <v>0.4178</v>
      </c>
      <c r="E29" s="28">
        <v>11.12</v>
      </c>
    </row>
    <row r="30" spans="1:6" ht="18" customHeight="1" x14ac:dyDescent="0.35">
      <c r="A30" s="27">
        <v>1200</v>
      </c>
      <c r="B30" s="29" t="s">
        <v>192</v>
      </c>
      <c r="C30" s="197"/>
      <c r="D30" s="197">
        <f>D29*0.2359</f>
        <v>9.8559019999999997E-2</v>
      </c>
      <c r="E30" s="28">
        <v>2.62</v>
      </c>
    </row>
    <row r="31" spans="1:6" ht="31" x14ac:dyDescent="0.35">
      <c r="A31" s="27">
        <v>2224</v>
      </c>
      <c r="B31" s="129" t="s">
        <v>285</v>
      </c>
      <c r="C31" s="197"/>
      <c r="D31" s="197">
        <v>3.0300000000000001E-2</v>
      </c>
      <c r="E31" s="28">
        <v>0.71</v>
      </c>
    </row>
    <row r="32" spans="1:6" x14ac:dyDescent="0.35">
      <c r="A32" s="27">
        <v>2243</v>
      </c>
      <c r="B32" s="29" t="s">
        <v>9</v>
      </c>
      <c r="C32" s="197"/>
      <c r="D32" s="197">
        <v>6.1899999999999997E-2</v>
      </c>
      <c r="E32" s="28">
        <v>1.46</v>
      </c>
    </row>
    <row r="33" spans="1:5" x14ac:dyDescent="0.35">
      <c r="A33" s="27">
        <v>2250</v>
      </c>
      <c r="B33" s="129" t="s">
        <v>186</v>
      </c>
      <c r="C33" s="197"/>
      <c r="D33" s="197">
        <v>0.1104</v>
      </c>
      <c r="E33" s="28">
        <v>2.6</v>
      </c>
    </row>
    <row r="34" spans="1:5" x14ac:dyDescent="0.35">
      <c r="A34" s="27">
        <v>2311</v>
      </c>
      <c r="B34" s="29" t="s">
        <v>15</v>
      </c>
      <c r="C34" s="197"/>
      <c r="D34" s="197">
        <v>3.3399999999999999E-2</v>
      </c>
      <c r="E34" s="28">
        <v>0.79</v>
      </c>
    </row>
    <row r="35" spans="1:5" hidden="1" x14ac:dyDescent="0.35">
      <c r="A35" s="27">
        <v>2512</v>
      </c>
      <c r="B35" s="129" t="s">
        <v>201</v>
      </c>
      <c r="C35" s="197"/>
      <c r="D35" s="197"/>
      <c r="E35" s="28">
        <v>0</v>
      </c>
    </row>
    <row r="36" spans="1:5" x14ac:dyDescent="0.35">
      <c r="A36" s="27">
        <v>2513</v>
      </c>
      <c r="B36" s="29" t="s">
        <v>238</v>
      </c>
      <c r="C36" s="197"/>
      <c r="D36" s="197">
        <v>1.52E-2</v>
      </c>
      <c r="E36" s="28">
        <v>0.36</v>
      </c>
    </row>
    <row r="37" spans="1:5" x14ac:dyDescent="0.35">
      <c r="A37" s="27">
        <v>5239</v>
      </c>
      <c r="B37" s="29" t="s">
        <v>296</v>
      </c>
      <c r="C37" s="197"/>
      <c r="D37" s="197">
        <v>0.2324</v>
      </c>
      <c r="E37" s="28">
        <v>5.48</v>
      </c>
    </row>
    <row r="38" spans="1:5" x14ac:dyDescent="0.3">
      <c r="A38" s="32"/>
      <c r="B38" s="164" t="s">
        <v>175</v>
      </c>
      <c r="C38" s="164"/>
      <c r="D38" s="164"/>
      <c r="E38" s="31">
        <f>SUM(E29:E37)</f>
        <v>25.14</v>
      </c>
    </row>
    <row r="39" spans="1:5" x14ac:dyDescent="0.35">
      <c r="A39" s="165"/>
      <c r="B39" s="164" t="s">
        <v>32</v>
      </c>
      <c r="C39" s="164"/>
      <c r="D39" s="164"/>
      <c r="E39" s="31">
        <f>E27+E38</f>
        <v>99.149999999999991</v>
      </c>
    </row>
    <row r="40" spans="1:5" x14ac:dyDescent="0.35">
      <c r="A40" s="35"/>
      <c r="B40" s="20"/>
      <c r="C40" s="20"/>
      <c r="D40" s="20"/>
    </row>
    <row r="41" spans="1:5" ht="15.75" customHeight="1" x14ac:dyDescent="0.35">
      <c r="A41" s="267" t="s">
        <v>45</v>
      </c>
      <c r="B41" s="268"/>
      <c r="C41" s="16"/>
      <c r="D41" s="16"/>
      <c r="E41" s="21">
        <v>5</v>
      </c>
    </row>
    <row r="42" spans="1:5" x14ac:dyDescent="0.35">
      <c r="A42" s="267" t="s">
        <v>46</v>
      </c>
      <c r="B42" s="268"/>
      <c r="C42" s="16"/>
      <c r="D42" s="16"/>
      <c r="E42" s="37">
        <f>E39/E41</f>
        <v>19.829999999999998</v>
      </c>
    </row>
    <row r="43" spans="1:5" x14ac:dyDescent="0.35">
      <c r="A43" s="20"/>
      <c r="B43" s="103"/>
      <c r="C43" s="103"/>
      <c r="D43" s="103"/>
    </row>
    <row r="44" spans="1:5" s="2" customFormat="1" x14ac:dyDescent="0.35">
      <c r="A44" s="267" t="s">
        <v>37</v>
      </c>
      <c r="B44" s="268"/>
      <c r="C44" s="16"/>
      <c r="D44" s="16"/>
      <c r="E44" s="39"/>
    </row>
    <row r="45" spans="1:5" s="2" customFormat="1" x14ac:dyDescent="0.35">
      <c r="A45" s="267" t="s">
        <v>55</v>
      </c>
      <c r="B45" s="268"/>
      <c r="C45" s="16"/>
      <c r="D45" s="16"/>
      <c r="E45" s="39"/>
    </row>
    <row r="46" spans="1:5" ht="13.5" customHeight="1" x14ac:dyDescent="0.35">
      <c r="A46" s="138"/>
      <c r="B46" s="103"/>
      <c r="C46" s="103"/>
      <c r="D46" s="103"/>
    </row>
    <row r="47" spans="1:5" s="2" customFormat="1" ht="17.25" customHeight="1" x14ac:dyDescent="0.35">
      <c r="A47" s="17" t="s">
        <v>38</v>
      </c>
      <c r="B47" s="17"/>
      <c r="C47" s="17"/>
      <c r="D47" s="17"/>
      <c r="E47" s="17"/>
    </row>
    <row r="48" spans="1:5" s="2" customFormat="1" ht="12.75" customHeight="1" x14ac:dyDescent="0.35">
      <c r="A48" s="17"/>
      <c r="B48" s="17"/>
      <c r="C48" s="17"/>
      <c r="D48" s="17"/>
      <c r="E48" s="17"/>
    </row>
    <row r="49" spans="1:5" s="2" customFormat="1" ht="15" customHeight="1" x14ac:dyDescent="0.35">
      <c r="A49" s="17" t="s">
        <v>268</v>
      </c>
      <c r="B49" s="18"/>
      <c r="C49" s="18"/>
      <c r="D49" s="18"/>
      <c r="E49" s="17"/>
    </row>
    <row r="50" spans="1:5" s="2" customFormat="1" ht="14.25" customHeight="1" x14ac:dyDescent="0.35">
      <c r="A50" s="17"/>
      <c r="B50" s="96"/>
      <c r="C50" s="96"/>
      <c r="D50" s="96"/>
      <c r="E50" s="17"/>
    </row>
    <row r="51" spans="1:5" x14ac:dyDescent="0.35">
      <c r="E51" s="123"/>
    </row>
  </sheetData>
  <mergeCells count="7">
    <mergeCell ref="A41:B41"/>
    <mergeCell ref="A42:B42"/>
    <mergeCell ref="A44:B44"/>
    <mergeCell ref="A45:B45"/>
    <mergeCell ref="A7:E7"/>
    <mergeCell ref="A9:B9"/>
    <mergeCell ref="A10:B10"/>
  </mergeCells>
  <pageMargins left="0.7583333333333333" right="0.71875" top="0.75" bottom="0.75" header="0.3" footer="0.3"/>
  <pageSetup paperSize="9" scale="67" fitToHeight="0" orientation="portrait" r:id="rId1"/>
  <headerFooter>
    <oddFooter>&amp;C&amp;"Times New Roman,Regular"&amp;F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view="pageLayout" topLeftCell="A4" zoomScale="80" zoomScaleNormal="100" zoomScalePageLayoutView="80" workbookViewId="0">
      <selection activeCell="E40" sqref="E40"/>
    </sheetView>
  </sheetViews>
  <sheetFormatPr defaultColWidth="9.1796875" defaultRowHeight="15.5" x14ac:dyDescent="0.35"/>
  <cols>
    <col min="1" max="1" width="13.54296875" style="13" customWidth="1"/>
    <col min="2" max="2" width="94.7265625" style="13" customWidth="1"/>
    <col min="3" max="4" width="8.26953125" style="13" hidden="1" customWidth="1"/>
    <col min="5" max="5" width="25.7265625" style="13" customWidth="1"/>
    <col min="6" max="6" width="11.1796875" style="118" customWidth="1"/>
    <col min="7" max="16384" width="9.1796875" style="118"/>
  </cols>
  <sheetData>
    <row r="1" spans="1:5" x14ac:dyDescent="0.35">
      <c r="E1" s="35" t="s">
        <v>35</v>
      </c>
    </row>
    <row r="2" spans="1:5" x14ac:dyDescent="0.35">
      <c r="E2" s="35" t="s">
        <v>39</v>
      </c>
    </row>
    <row r="3" spans="1:5" ht="15" customHeight="1" x14ac:dyDescent="0.35">
      <c r="E3" s="35" t="s">
        <v>56</v>
      </c>
    </row>
    <row r="4" spans="1:5" x14ac:dyDescent="0.35">
      <c r="E4" s="35"/>
    </row>
    <row r="5" spans="1:5" x14ac:dyDescent="0.35">
      <c r="E5" s="11" t="s">
        <v>334</v>
      </c>
    </row>
    <row r="7" spans="1:5" x14ac:dyDescent="0.35">
      <c r="A7" s="263" t="s">
        <v>5</v>
      </c>
      <c r="B7" s="263"/>
      <c r="C7" s="263"/>
      <c r="D7" s="97"/>
    </row>
    <row r="8" spans="1:5" x14ac:dyDescent="0.35">
      <c r="B8" s="135"/>
    </row>
    <row r="9" spans="1:5" x14ac:dyDescent="0.35">
      <c r="A9" s="262" t="s">
        <v>1</v>
      </c>
      <c r="B9" s="262"/>
    </row>
    <row r="10" spans="1:5" ht="15.75" customHeight="1" x14ac:dyDescent="0.35">
      <c r="A10" s="262" t="s">
        <v>0</v>
      </c>
      <c r="B10" s="262"/>
    </row>
    <row r="11" spans="1:5" ht="15.75" customHeight="1" x14ac:dyDescent="0.35">
      <c r="A11" s="9"/>
      <c r="B11" s="9" t="s">
        <v>214</v>
      </c>
    </row>
    <row r="12" spans="1:5" x14ac:dyDescent="0.35">
      <c r="A12" s="9"/>
      <c r="B12" s="9" t="s">
        <v>278</v>
      </c>
    </row>
    <row r="13" spans="1:5" x14ac:dyDescent="0.35">
      <c r="A13" s="9"/>
      <c r="B13" s="9"/>
    </row>
    <row r="14" spans="1:5" ht="15.75" customHeight="1" x14ac:dyDescent="0.35">
      <c r="A14" s="9" t="s">
        <v>2</v>
      </c>
      <c r="B14" s="9" t="s">
        <v>335</v>
      </c>
    </row>
    <row r="15" spans="1:5" ht="67.5" customHeight="1" x14ac:dyDescent="0.3">
      <c r="A15" s="54" t="s">
        <v>3</v>
      </c>
      <c r="B15" s="54" t="s">
        <v>4</v>
      </c>
      <c r="C15" s="54"/>
      <c r="D15" s="54"/>
      <c r="E15" s="54" t="s">
        <v>267</v>
      </c>
    </row>
    <row r="16" spans="1:5" ht="15.75" customHeight="1" x14ac:dyDescent="0.3">
      <c r="A16" s="22">
        <v>1</v>
      </c>
      <c r="B16" s="23">
        <v>2</v>
      </c>
      <c r="C16" s="22">
        <v>3</v>
      </c>
      <c r="D16" s="22"/>
      <c r="E16" s="22">
        <v>3</v>
      </c>
    </row>
    <row r="17" spans="1:8" x14ac:dyDescent="0.35">
      <c r="A17" s="24"/>
      <c r="B17" s="125" t="s">
        <v>156</v>
      </c>
      <c r="C17" s="127"/>
      <c r="D17" s="127"/>
      <c r="E17" s="127"/>
    </row>
    <row r="18" spans="1:8" x14ac:dyDescent="0.35">
      <c r="A18" s="27">
        <v>1100</v>
      </c>
      <c r="B18" s="162" t="s">
        <v>63</v>
      </c>
      <c r="C18" s="28">
        <f>7.96/1.2359</f>
        <v>6.4406505380694234</v>
      </c>
      <c r="D18" s="28"/>
      <c r="E18" s="28">
        <v>807.38</v>
      </c>
    </row>
    <row r="19" spans="1:8" ht="17.25" customHeight="1" x14ac:dyDescent="0.3">
      <c r="A19" s="27">
        <v>1200</v>
      </c>
      <c r="B19" s="29" t="s">
        <v>192</v>
      </c>
      <c r="C19" s="28">
        <f>C18*0.2359</f>
        <v>1.519349461930577</v>
      </c>
      <c r="D19" s="28"/>
      <c r="E19" s="28">
        <v>190.46</v>
      </c>
    </row>
    <row r="20" spans="1:8" x14ac:dyDescent="0.35">
      <c r="A20" s="27">
        <v>2222</v>
      </c>
      <c r="B20" s="129" t="s">
        <v>28</v>
      </c>
      <c r="C20" s="28">
        <v>2.4700000000000002</v>
      </c>
      <c r="D20" s="28"/>
      <c r="E20" s="28">
        <v>247</v>
      </c>
    </row>
    <row r="21" spans="1:8" x14ac:dyDescent="0.35">
      <c r="A21" s="27">
        <v>2223</v>
      </c>
      <c r="B21" s="129" t="s">
        <v>29</v>
      </c>
      <c r="C21" s="28">
        <v>0.94</v>
      </c>
      <c r="D21" s="28"/>
      <c r="E21" s="28">
        <v>94</v>
      </c>
    </row>
    <row r="22" spans="1:8" x14ac:dyDescent="0.3">
      <c r="A22" s="27">
        <v>2244</v>
      </c>
      <c r="B22" s="29" t="s">
        <v>193</v>
      </c>
      <c r="C22" s="28">
        <v>1.58</v>
      </c>
      <c r="D22" s="28"/>
      <c r="E22" s="28">
        <v>158</v>
      </c>
    </row>
    <row r="23" spans="1:8" x14ac:dyDescent="0.3">
      <c r="A23" s="27">
        <v>2312</v>
      </c>
      <c r="B23" s="29" t="s">
        <v>284</v>
      </c>
      <c r="C23" s="28">
        <v>0.84</v>
      </c>
      <c r="D23" s="28"/>
      <c r="E23" s="28">
        <v>84</v>
      </c>
    </row>
    <row r="24" spans="1:8" x14ac:dyDescent="0.35">
      <c r="A24" s="27">
        <v>2321</v>
      </c>
      <c r="B24" s="129" t="s">
        <v>17</v>
      </c>
      <c r="C24" s="28">
        <v>0.45</v>
      </c>
      <c r="D24" s="28"/>
      <c r="E24" s="28">
        <v>45</v>
      </c>
    </row>
    <row r="25" spans="1:8" x14ac:dyDescent="0.3">
      <c r="A25" s="27"/>
      <c r="B25" s="163" t="s">
        <v>161</v>
      </c>
      <c r="C25" s="31">
        <f>SUM(C18:C24)</f>
        <v>14.24</v>
      </c>
      <c r="D25" s="31"/>
      <c r="E25" s="31">
        <f>SUM(E18:E24)</f>
        <v>1625.8400000000001</v>
      </c>
      <c r="F25" s="205"/>
    </row>
    <row r="26" spans="1:8" x14ac:dyDescent="0.35">
      <c r="A26" s="32"/>
      <c r="B26" s="162" t="s">
        <v>162</v>
      </c>
      <c r="C26" s="26"/>
      <c r="D26" s="26"/>
      <c r="E26" s="26"/>
    </row>
    <row r="27" spans="1:8" x14ac:dyDescent="0.35">
      <c r="A27" s="27">
        <v>1100</v>
      </c>
      <c r="B27" s="162" t="s">
        <v>63</v>
      </c>
      <c r="D27" s="197">
        <f>0.418-0.0002</f>
        <v>0.4178</v>
      </c>
      <c r="E27" s="28">
        <v>273.13</v>
      </c>
    </row>
    <row r="28" spans="1:8" ht="16.5" customHeight="1" x14ac:dyDescent="0.35">
      <c r="A28" s="27">
        <v>1200</v>
      </c>
      <c r="B28" s="29" t="s">
        <v>192</v>
      </c>
      <c r="D28" s="197">
        <f>D27*0.2359</f>
        <v>9.8559019999999997E-2</v>
      </c>
      <c r="E28" s="28">
        <v>64.430000000000007</v>
      </c>
    </row>
    <row r="29" spans="1:8" ht="31" x14ac:dyDescent="0.35">
      <c r="A29" s="27">
        <v>2224</v>
      </c>
      <c r="B29" s="129" t="s">
        <v>285</v>
      </c>
      <c r="D29" s="197">
        <v>3.0300000000000001E-2</v>
      </c>
      <c r="E29" s="28">
        <v>15.57</v>
      </c>
    </row>
    <row r="30" spans="1:8" x14ac:dyDescent="0.35">
      <c r="A30" s="27">
        <v>2243</v>
      </c>
      <c r="B30" s="29" t="s">
        <v>9</v>
      </c>
      <c r="D30" s="197">
        <v>6.1899999999999997E-2</v>
      </c>
      <c r="E30" s="28">
        <v>31.83</v>
      </c>
    </row>
    <row r="31" spans="1:8" x14ac:dyDescent="0.35">
      <c r="A31" s="27">
        <v>2250</v>
      </c>
      <c r="B31" s="129" t="s">
        <v>186</v>
      </c>
      <c r="D31" s="197">
        <v>0.1104</v>
      </c>
      <c r="E31" s="28">
        <v>56.75</v>
      </c>
    </row>
    <row r="32" spans="1:8" x14ac:dyDescent="0.35">
      <c r="A32" s="27">
        <v>2311</v>
      </c>
      <c r="B32" s="29" t="s">
        <v>15</v>
      </c>
      <c r="D32" s="197">
        <v>3.3399999999999999E-2</v>
      </c>
      <c r="E32" s="28">
        <v>17.170000000000002</v>
      </c>
      <c r="G32" s="41"/>
      <c r="H32" s="193"/>
    </row>
    <row r="33" spans="1:8" hidden="1" x14ac:dyDescent="0.35">
      <c r="A33" s="27">
        <v>2512</v>
      </c>
      <c r="B33" s="129" t="s">
        <v>201</v>
      </c>
      <c r="D33" s="197"/>
      <c r="E33" s="28">
        <v>0</v>
      </c>
      <c r="G33" s="41"/>
      <c r="H33" s="193"/>
    </row>
    <row r="34" spans="1:8" x14ac:dyDescent="0.35">
      <c r="A34" s="27">
        <v>2513</v>
      </c>
      <c r="B34" s="29" t="s">
        <v>238</v>
      </c>
      <c r="D34" s="197">
        <v>1.52E-2</v>
      </c>
      <c r="E34" s="28">
        <v>7.83</v>
      </c>
    </row>
    <row r="35" spans="1:8" x14ac:dyDescent="0.35">
      <c r="A35" s="27">
        <v>5239</v>
      </c>
      <c r="B35" s="29" t="s">
        <v>296</v>
      </c>
      <c r="D35" s="197">
        <v>0.2324</v>
      </c>
      <c r="E35" s="28">
        <v>119.45</v>
      </c>
    </row>
    <row r="36" spans="1:8" x14ac:dyDescent="0.3">
      <c r="A36" s="32"/>
      <c r="B36" s="164" t="s">
        <v>175</v>
      </c>
      <c r="C36" s="31"/>
      <c r="D36" s="31"/>
      <c r="E36" s="31">
        <f>SUM(E27:E35)</f>
        <v>586.16</v>
      </c>
      <c r="F36" s="205"/>
    </row>
    <row r="37" spans="1:8" x14ac:dyDescent="0.35">
      <c r="A37" s="165"/>
      <c r="B37" s="164" t="s">
        <v>32</v>
      </c>
      <c r="C37" s="31"/>
      <c r="D37" s="31"/>
      <c r="E37" s="31">
        <f>E25+E36</f>
        <v>2212</v>
      </c>
      <c r="F37" s="205"/>
    </row>
    <row r="38" spans="1:8" x14ac:dyDescent="0.35">
      <c r="A38" s="35"/>
      <c r="B38" s="20"/>
    </row>
    <row r="39" spans="1:8" ht="15.75" customHeight="1" x14ac:dyDescent="0.35">
      <c r="A39" s="267" t="s">
        <v>45</v>
      </c>
      <c r="B39" s="268"/>
      <c r="C39" s="21"/>
      <c r="D39" s="21"/>
      <c r="E39" s="21">
        <v>100</v>
      </c>
    </row>
    <row r="40" spans="1:8" x14ac:dyDescent="0.35">
      <c r="A40" s="267" t="s">
        <v>46</v>
      </c>
      <c r="B40" s="268"/>
      <c r="C40" s="37"/>
      <c r="D40" s="37"/>
      <c r="E40" s="37">
        <f>E37/E39</f>
        <v>22.12</v>
      </c>
    </row>
    <row r="41" spans="1:8" x14ac:dyDescent="0.35">
      <c r="A41" s="20"/>
      <c r="B41" s="103"/>
    </row>
    <row r="42" spans="1:8" s="2" customFormat="1" x14ac:dyDescent="0.35">
      <c r="A42" s="267" t="s">
        <v>37</v>
      </c>
      <c r="B42" s="268"/>
      <c r="C42" s="39"/>
      <c r="D42" s="39"/>
      <c r="E42" s="39"/>
    </row>
    <row r="43" spans="1:8" s="2" customFormat="1" x14ac:dyDescent="0.35">
      <c r="A43" s="267" t="s">
        <v>55</v>
      </c>
      <c r="B43" s="268"/>
      <c r="C43" s="39"/>
      <c r="D43" s="39"/>
      <c r="E43" s="39"/>
    </row>
    <row r="44" spans="1:8" ht="13.5" customHeight="1" x14ac:dyDescent="0.35">
      <c r="A44" s="138"/>
      <c r="B44" s="103"/>
    </row>
    <row r="45" spans="1:8" s="2" customFormat="1" ht="17.25" customHeight="1" x14ac:dyDescent="0.35">
      <c r="A45" s="17" t="s">
        <v>38</v>
      </c>
      <c r="B45" s="17"/>
      <c r="C45" s="17"/>
      <c r="D45" s="17"/>
      <c r="E45" s="17"/>
    </row>
    <row r="46" spans="1:8" s="2" customFormat="1" ht="12.75" customHeight="1" x14ac:dyDescent="0.35">
      <c r="A46" s="17"/>
      <c r="B46" s="17"/>
      <c r="C46" s="17"/>
      <c r="D46" s="17"/>
      <c r="E46" s="17"/>
    </row>
    <row r="47" spans="1:8" s="2" customFormat="1" ht="15" customHeight="1" x14ac:dyDescent="0.35">
      <c r="A47" s="17" t="s">
        <v>268</v>
      </c>
      <c r="B47" s="18"/>
      <c r="C47" s="17"/>
      <c r="D47" s="17"/>
      <c r="E47" s="17"/>
    </row>
    <row r="48" spans="1:8" s="2" customFormat="1" ht="14.25" customHeight="1" x14ac:dyDescent="0.35">
      <c r="A48" s="17"/>
      <c r="B48" s="96"/>
      <c r="C48" s="17"/>
      <c r="D48" s="17"/>
      <c r="E48" s="17"/>
    </row>
    <row r="49" spans="3:4" x14ac:dyDescent="0.35">
      <c r="C49" s="123"/>
      <c r="D49" s="123"/>
    </row>
  </sheetData>
  <mergeCells count="7">
    <mergeCell ref="A39:B39"/>
    <mergeCell ref="A40:B40"/>
    <mergeCell ref="A42:B42"/>
    <mergeCell ref="A43:B43"/>
    <mergeCell ref="A7:C7"/>
    <mergeCell ref="A9:B9"/>
    <mergeCell ref="A10:B10"/>
  </mergeCells>
  <pageMargins left="0.56270833333333337" right="0.53249999999999997" top="0.75" bottom="0.75" header="0.3" footer="0.3"/>
  <pageSetup paperSize="9" scale="69" fitToHeight="0" orientation="portrait" r:id="rId1"/>
  <headerFooter>
    <oddFooter>&amp;C&amp;"Times New Roman,Regular"&amp;F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view="pageLayout" topLeftCell="A15" zoomScale="80" zoomScaleNormal="70" zoomScalePageLayoutView="80" workbookViewId="0">
      <selection activeCell="E18" sqref="E18:E35"/>
    </sheetView>
  </sheetViews>
  <sheetFormatPr defaultColWidth="9.1796875" defaultRowHeight="15.5" x14ac:dyDescent="0.35"/>
  <cols>
    <col min="1" max="1" width="13.54296875" style="13" customWidth="1"/>
    <col min="2" max="2" width="94.7265625" style="13" customWidth="1"/>
    <col min="3" max="4" width="8.453125" style="13" hidden="1" customWidth="1"/>
    <col min="5" max="5" width="25.7265625" style="13" customWidth="1"/>
    <col min="6" max="6" width="11.1796875" style="118" customWidth="1"/>
    <col min="7" max="16384" width="9.1796875" style="118"/>
  </cols>
  <sheetData>
    <row r="1" spans="1:5" x14ac:dyDescent="0.35">
      <c r="E1" s="35" t="s">
        <v>35</v>
      </c>
    </row>
    <row r="2" spans="1:5" x14ac:dyDescent="0.35">
      <c r="E2" s="35" t="s">
        <v>39</v>
      </c>
    </row>
    <row r="3" spans="1:5" ht="15" customHeight="1" x14ac:dyDescent="0.35">
      <c r="E3" s="35" t="s">
        <v>56</v>
      </c>
    </row>
    <row r="4" spans="1:5" x14ac:dyDescent="0.35">
      <c r="E4" s="35"/>
    </row>
    <row r="5" spans="1:5" x14ac:dyDescent="0.35">
      <c r="E5" s="35" t="s">
        <v>360</v>
      </c>
    </row>
    <row r="7" spans="1:5" x14ac:dyDescent="0.35">
      <c r="A7" s="263" t="s">
        <v>5</v>
      </c>
      <c r="B7" s="263"/>
      <c r="C7" s="263"/>
      <c r="D7" s="97"/>
    </row>
    <row r="8" spans="1:5" x14ac:dyDescent="0.35">
      <c r="B8" s="135"/>
    </row>
    <row r="9" spans="1:5" x14ac:dyDescent="0.35">
      <c r="A9" s="262" t="s">
        <v>1</v>
      </c>
      <c r="B9" s="262"/>
    </row>
    <row r="10" spans="1:5" ht="15.75" customHeight="1" x14ac:dyDescent="0.35">
      <c r="A10" s="262" t="s">
        <v>0</v>
      </c>
      <c r="B10" s="262"/>
    </row>
    <row r="11" spans="1:5" ht="15.75" customHeight="1" x14ac:dyDescent="0.35">
      <c r="A11" s="9"/>
      <c r="B11" s="9" t="s">
        <v>346</v>
      </c>
    </row>
    <row r="12" spans="1:5" x14ac:dyDescent="0.35">
      <c r="A12" s="9"/>
      <c r="B12" s="9" t="s">
        <v>350</v>
      </c>
    </row>
    <row r="13" spans="1:5" x14ac:dyDescent="0.35">
      <c r="A13" s="9"/>
      <c r="B13" s="9"/>
    </row>
    <row r="14" spans="1:5" ht="15.75" customHeight="1" x14ac:dyDescent="0.35">
      <c r="A14" s="9" t="s">
        <v>2</v>
      </c>
      <c r="B14" s="9" t="s">
        <v>335</v>
      </c>
    </row>
    <row r="15" spans="1:5" ht="67.5" customHeight="1" x14ac:dyDescent="0.3">
      <c r="A15" s="54" t="s">
        <v>3</v>
      </c>
      <c r="B15" s="54" t="s">
        <v>4</v>
      </c>
      <c r="C15" s="54"/>
      <c r="D15" s="54"/>
      <c r="E15" s="54" t="s">
        <v>267</v>
      </c>
    </row>
    <row r="16" spans="1:5" ht="15.75" customHeight="1" x14ac:dyDescent="0.3">
      <c r="A16" s="22">
        <v>1</v>
      </c>
      <c r="B16" s="23">
        <v>2</v>
      </c>
      <c r="C16" s="22">
        <v>3</v>
      </c>
      <c r="D16" s="22"/>
      <c r="E16" s="22">
        <v>3</v>
      </c>
    </row>
    <row r="17" spans="1:8" x14ac:dyDescent="0.35">
      <c r="A17" s="24"/>
      <c r="B17" s="125" t="s">
        <v>156</v>
      </c>
      <c r="C17" s="127"/>
      <c r="D17" s="127"/>
      <c r="E17" s="127"/>
    </row>
    <row r="18" spans="1:8" x14ac:dyDescent="0.35">
      <c r="A18" s="27">
        <v>1100</v>
      </c>
      <c r="B18" s="162" t="s">
        <v>63</v>
      </c>
      <c r="C18" s="28">
        <f>1.46/1.2359</f>
        <v>1.1813253499474068</v>
      </c>
      <c r="D18" s="28"/>
      <c r="E18" s="28">
        <v>166.78</v>
      </c>
    </row>
    <row r="19" spans="1:8" ht="17.25" customHeight="1" x14ac:dyDescent="0.3">
      <c r="A19" s="27">
        <v>1200</v>
      </c>
      <c r="B19" s="29" t="s">
        <v>192</v>
      </c>
      <c r="C19" s="28">
        <f>C18*0.2359</f>
        <v>0.27867465005259329</v>
      </c>
      <c r="D19" s="28"/>
      <c r="E19" s="28">
        <v>39.340000000000003</v>
      </c>
    </row>
    <row r="20" spans="1:8" x14ac:dyDescent="0.35">
      <c r="A20" s="27">
        <v>2222</v>
      </c>
      <c r="B20" s="129" t="s">
        <v>28</v>
      </c>
      <c r="C20" s="28">
        <v>0.52</v>
      </c>
      <c r="D20" s="28"/>
      <c r="E20" s="28">
        <v>52.2</v>
      </c>
    </row>
    <row r="21" spans="1:8" x14ac:dyDescent="0.35">
      <c r="A21" s="27">
        <v>2223</v>
      </c>
      <c r="B21" s="129" t="s">
        <v>29</v>
      </c>
      <c r="C21" s="28">
        <v>1.1399999999999999</v>
      </c>
      <c r="D21" s="28"/>
      <c r="E21" s="28">
        <v>113.97</v>
      </c>
    </row>
    <row r="22" spans="1:8" x14ac:dyDescent="0.3">
      <c r="A22" s="27">
        <v>2244</v>
      </c>
      <c r="B22" s="29" t="s">
        <v>193</v>
      </c>
      <c r="C22" s="28">
        <v>1.92</v>
      </c>
      <c r="D22" s="28"/>
      <c r="E22" s="28">
        <v>192.28</v>
      </c>
    </row>
    <row r="23" spans="1:8" x14ac:dyDescent="0.3">
      <c r="A23" s="27">
        <v>2312</v>
      </c>
      <c r="B23" s="29" t="s">
        <v>284</v>
      </c>
      <c r="C23" s="28">
        <v>0.16</v>
      </c>
      <c r="D23" s="28"/>
      <c r="E23" s="28">
        <v>15.33</v>
      </c>
    </row>
    <row r="24" spans="1:8" x14ac:dyDescent="0.35">
      <c r="A24" s="27">
        <v>2321</v>
      </c>
      <c r="B24" s="129" t="s">
        <v>17</v>
      </c>
      <c r="C24" s="28">
        <v>1.1000000000000001</v>
      </c>
      <c r="D24" s="28"/>
      <c r="E24" s="28">
        <v>110.49</v>
      </c>
    </row>
    <row r="25" spans="1:8" x14ac:dyDescent="0.3">
      <c r="A25" s="27"/>
      <c r="B25" s="163" t="s">
        <v>161</v>
      </c>
      <c r="C25" s="31">
        <f>SUM(C18:C24)</f>
        <v>6.3000000000000007</v>
      </c>
      <c r="D25" s="31"/>
      <c r="E25" s="31">
        <f>SUM(E18:E24)</f>
        <v>690.39</v>
      </c>
      <c r="F25" s="205"/>
    </row>
    <row r="26" spans="1:8" x14ac:dyDescent="0.35">
      <c r="A26" s="32"/>
      <c r="B26" s="162" t="s">
        <v>162</v>
      </c>
      <c r="C26" s="26"/>
      <c r="D26" s="26"/>
      <c r="E26" s="26"/>
    </row>
    <row r="27" spans="1:8" x14ac:dyDescent="0.35">
      <c r="A27" s="27">
        <v>1100</v>
      </c>
      <c r="B27" s="162" t="s">
        <v>63</v>
      </c>
      <c r="D27" s="197">
        <f>0.418-0.0002</f>
        <v>0.4178</v>
      </c>
      <c r="E27" s="28">
        <v>105.83</v>
      </c>
    </row>
    <row r="28" spans="1:8" ht="16.5" customHeight="1" x14ac:dyDescent="0.35">
      <c r="A28" s="27">
        <v>1200</v>
      </c>
      <c r="B28" s="29" t="s">
        <v>192</v>
      </c>
      <c r="D28" s="197">
        <f>D27*0.2359</f>
        <v>9.8559019999999997E-2</v>
      </c>
      <c r="E28" s="28">
        <v>24.97</v>
      </c>
    </row>
    <row r="29" spans="1:8" ht="31" x14ac:dyDescent="0.35">
      <c r="A29" s="27">
        <v>2224</v>
      </c>
      <c r="B29" s="129" t="s">
        <v>285</v>
      </c>
      <c r="D29" s="197">
        <v>3.0300000000000001E-2</v>
      </c>
      <c r="E29" s="28">
        <v>6.51</v>
      </c>
    </row>
    <row r="30" spans="1:8" x14ac:dyDescent="0.35">
      <c r="A30" s="27">
        <v>2243</v>
      </c>
      <c r="B30" s="29" t="s">
        <v>9</v>
      </c>
      <c r="D30" s="197">
        <v>6.1899999999999997E-2</v>
      </c>
      <c r="E30" s="28">
        <v>13.31</v>
      </c>
    </row>
    <row r="31" spans="1:8" x14ac:dyDescent="0.35">
      <c r="A31" s="27">
        <v>2250</v>
      </c>
      <c r="B31" s="129" t="s">
        <v>186</v>
      </c>
      <c r="D31" s="197">
        <v>0.1104</v>
      </c>
      <c r="E31" s="28">
        <f>23.74-0.17</f>
        <v>23.569999999999997</v>
      </c>
    </row>
    <row r="32" spans="1:8" x14ac:dyDescent="0.35">
      <c r="A32" s="27">
        <v>2311</v>
      </c>
      <c r="B32" s="29" t="s">
        <v>15</v>
      </c>
      <c r="D32" s="197">
        <v>3.3399999999999999E-2</v>
      </c>
      <c r="E32" s="28">
        <v>7.18</v>
      </c>
      <c r="G32" s="41"/>
      <c r="H32" s="193"/>
    </row>
    <row r="33" spans="1:8" hidden="1" x14ac:dyDescent="0.35">
      <c r="A33" s="27">
        <v>2512</v>
      </c>
      <c r="B33" s="129" t="s">
        <v>201</v>
      </c>
      <c r="D33" s="197"/>
      <c r="E33" s="28">
        <v>0</v>
      </c>
      <c r="G33" s="41"/>
      <c r="H33" s="193"/>
    </row>
    <row r="34" spans="1:8" x14ac:dyDescent="0.35">
      <c r="A34" s="27">
        <v>2513</v>
      </c>
      <c r="B34" s="29" t="s">
        <v>238</v>
      </c>
      <c r="D34" s="197">
        <v>1.52E-2</v>
      </c>
      <c r="E34" s="28">
        <v>3.27</v>
      </c>
    </row>
    <row r="35" spans="1:8" x14ac:dyDescent="0.35">
      <c r="A35" s="27">
        <v>5239</v>
      </c>
      <c r="B35" s="29" t="s">
        <v>296</v>
      </c>
      <c r="D35" s="197">
        <v>0.2324</v>
      </c>
      <c r="E35" s="28">
        <v>49.97</v>
      </c>
    </row>
    <row r="36" spans="1:8" x14ac:dyDescent="0.3">
      <c r="A36" s="32"/>
      <c r="B36" s="164" t="s">
        <v>175</v>
      </c>
      <c r="C36" s="31"/>
      <c r="D36" s="31"/>
      <c r="E36" s="31">
        <f>SUM(E27:E35)</f>
        <v>234.61</v>
      </c>
      <c r="F36" s="205"/>
    </row>
    <row r="37" spans="1:8" x14ac:dyDescent="0.35">
      <c r="A37" s="165"/>
      <c r="B37" s="164" t="s">
        <v>32</v>
      </c>
      <c r="C37" s="31"/>
      <c r="D37" s="31"/>
      <c r="E37" s="31">
        <f>E25+E36</f>
        <v>925</v>
      </c>
      <c r="F37" s="205"/>
    </row>
    <row r="38" spans="1:8" x14ac:dyDescent="0.35">
      <c r="A38" s="35"/>
      <c r="B38" s="20"/>
    </row>
    <row r="39" spans="1:8" ht="15.75" customHeight="1" x14ac:dyDescent="0.35">
      <c r="A39" s="267" t="s">
        <v>45</v>
      </c>
      <c r="B39" s="268"/>
      <c r="C39" s="21"/>
      <c r="D39" s="21"/>
      <c r="E39" s="21">
        <v>100</v>
      </c>
    </row>
    <row r="40" spans="1:8" x14ac:dyDescent="0.35">
      <c r="A40" s="267" t="s">
        <v>46</v>
      </c>
      <c r="B40" s="268"/>
      <c r="C40" s="37"/>
      <c r="D40" s="37"/>
      <c r="E40" s="37">
        <f>E37/E39</f>
        <v>9.25</v>
      </c>
    </row>
    <row r="41" spans="1:8" x14ac:dyDescent="0.35">
      <c r="A41" s="20"/>
      <c r="B41" s="103"/>
    </row>
    <row r="42" spans="1:8" s="2" customFormat="1" x14ac:dyDescent="0.35">
      <c r="A42" s="267" t="s">
        <v>37</v>
      </c>
      <c r="B42" s="268"/>
      <c r="C42" s="39"/>
      <c r="D42" s="39"/>
      <c r="E42" s="39"/>
    </row>
    <row r="43" spans="1:8" s="2" customFormat="1" x14ac:dyDescent="0.35">
      <c r="A43" s="267" t="s">
        <v>55</v>
      </c>
      <c r="B43" s="268"/>
      <c r="C43" s="39"/>
      <c r="D43" s="39"/>
      <c r="E43" s="39"/>
    </row>
    <row r="44" spans="1:8" ht="13.5" customHeight="1" x14ac:dyDescent="0.35">
      <c r="A44" s="138"/>
      <c r="B44" s="103"/>
    </row>
    <row r="45" spans="1:8" s="2" customFormat="1" ht="17.25" customHeight="1" x14ac:dyDescent="0.35">
      <c r="A45" s="17" t="s">
        <v>38</v>
      </c>
      <c r="B45" s="17"/>
      <c r="C45" s="17"/>
      <c r="D45" s="17"/>
      <c r="E45" s="65"/>
    </row>
    <row r="46" spans="1:8" s="2" customFormat="1" x14ac:dyDescent="0.35">
      <c r="A46" s="17"/>
      <c r="B46" s="17"/>
      <c r="C46" s="17"/>
      <c r="D46" s="17"/>
      <c r="E46" s="17"/>
    </row>
    <row r="47" spans="1:8" s="2" customFormat="1" ht="15" customHeight="1" x14ac:dyDescent="0.35">
      <c r="A47" s="17" t="s">
        <v>268</v>
      </c>
      <c r="B47" s="18"/>
      <c r="C47" s="17"/>
      <c r="D47" s="17"/>
      <c r="E47" s="17"/>
    </row>
    <row r="48" spans="1:8" s="2" customFormat="1" ht="14.25" customHeight="1" x14ac:dyDescent="0.35">
      <c r="A48" s="17"/>
      <c r="B48" s="96"/>
      <c r="C48" s="17"/>
      <c r="D48" s="17"/>
      <c r="E48" s="17"/>
    </row>
    <row r="49" spans="3:4" x14ac:dyDescent="0.35">
      <c r="C49" s="123"/>
      <c r="D49" s="123"/>
    </row>
  </sheetData>
  <mergeCells count="7">
    <mergeCell ref="A43:B43"/>
    <mergeCell ref="A7:C7"/>
    <mergeCell ref="A9:B9"/>
    <mergeCell ref="A10:B10"/>
    <mergeCell ref="A39:B39"/>
    <mergeCell ref="A40:B40"/>
    <mergeCell ref="A42:B42"/>
  </mergeCells>
  <pageMargins left="0.7" right="0.7" top="0.75" bottom="0.75" header="0.3" footer="0.3"/>
  <pageSetup paperSize="9" scale="66" orientation="portrait" r:id="rId1"/>
  <headerFooter>
    <oddFooter>&amp;F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view="pageLayout" topLeftCell="A32" zoomScale="80" zoomScaleNormal="100" zoomScalePageLayoutView="80" workbookViewId="0">
      <selection activeCell="E19" sqref="E19:E62"/>
    </sheetView>
  </sheetViews>
  <sheetFormatPr defaultColWidth="9.1796875" defaultRowHeight="14" x14ac:dyDescent="0.3"/>
  <cols>
    <col min="1" max="1" width="13.26953125" style="118" customWidth="1"/>
    <col min="2" max="2" width="84.26953125" style="118" customWidth="1"/>
    <col min="3" max="3" width="11.1796875" style="213" hidden="1" customWidth="1"/>
    <col min="4" max="4" width="24" style="118" hidden="1" customWidth="1"/>
    <col min="5" max="5" width="25.26953125" style="118" customWidth="1"/>
    <col min="6" max="7" width="10.1796875" style="3" customWidth="1"/>
    <col min="8" max="16384" width="9.1796875" style="3"/>
  </cols>
  <sheetData>
    <row r="1" spans="1:5" ht="15.5" x14ac:dyDescent="0.35">
      <c r="B1" s="35"/>
      <c r="C1" s="212"/>
      <c r="D1" s="35" t="s">
        <v>35</v>
      </c>
      <c r="E1" s="35" t="s">
        <v>35</v>
      </c>
    </row>
    <row r="2" spans="1:5" ht="15.5" x14ac:dyDescent="0.35">
      <c r="B2" s="121"/>
      <c r="C2" s="212"/>
      <c r="D2" s="35" t="s">
        <v>39</v>
      </c>
      <c r="E2" s="35" t="s">
        <v>39</v>
      </c>
    </row>
    <row r="3" spans="1:5" ht="15.5" x14ac:dyDescent="0.35">
      <c r="B3" s="121"/>
      <c r="D3" s="35" t="s">
        <v>56</v>
      </c>
      <c r="E3" s="35" t="s">
        <v>56</v>
      </c>
    </row>
    <row r="4" spans="1:5" ht="15.5" x14ac:dyDescent="0.35">
      <c r="B4" s="11"/>
      <c r="D4" s="11"/>
      <c r="E4" s="11"/>
    </row>
    <row r="5" spans="1:5" ht="15.5" x14ac:dyDescent="0.35">
      <c r="B5" s="116"/>
      <c r="C5" s="214"/>
      <c r="D5" s="11" t="s">
        <v>352</v>
      </c>
      <c r="E5" s="35" t="s">
        <v>360</v>
      </c>
    </row>
    <row r="7" spans="1:5" ht="17.5" x14ac:dyDescent="0.35">
      <c r="A7" s="252" t="s">
        <v>5</v>
      </c>
      <c r="B7" s="252"/>
      <c r="C7" s="252"/>
      <c r="D7" s="252"/>
      <c r="E7" s="199"/>
    </row>
    <row r="8" spans="1:5" x14ac:dyDescent="0.3">
      <c r="B8" s="200"/>
    </row>
    <row r="9" spans="1:5" ht="15.5" x14ac:dyDescent="0.35">
      <c r="A9" s="262" t="s">
        <v>1</v>
      </c>
      <c r="B9" s="262"/>
      <c r="D9" s="13"/>
      <c r="E9" s="13"/>
    </row>
    <row r="10" spans="1:5" ht="15.5" x14ac:dyDescent="0.35">
      <c r="A10" s="262" t="s">
        <v>0</v>
      </c>
      <c r="B10" s="262"/>
      <c r="D10" s="20"/>
      <c r="E10" s="20"/>
    </row>
    <row r="11" spans="1:5" ht="15.5" x14ac:dyDescent="0.35">
      <c r="A11" s="9"/>
      <c r="B11" s="9" t="s">
        <v>346</v>
      </c>
      <c r="C11" s="215"/>
      <c r="D11" s="20"/>
      <c r="E11" s="20"/>
    </row>
    <row r="12" spans="1:5" ht="15.5" x14ac:dyDescent="0.35">
      <c r="A12" s="9"/>
      <c r="B12" s="9" t="s">
        <v>351</v>
      </c>
      <c r="D12" s="13"/>
      <c r="E12" s="13"/>
    </row>
    <row r="13" spans="1:5" ht="15.5" x14ac:dyDescent="0.35">
      <c r="A13" s="9"/>
      <c r="B13" s="9"/>
      <c r="C13" s="215"/>
      <c r="D13" s="13"/>
      <c r="E13" s="13"/>
    </row>
    <row r="14" spans="1:5" ht="15.5" x14ac:dyDescent="0.35">
      <c r="A14" s="9" t="s">
        <v>2</v>
      </c>
      <c r="B14" s="9" t="s">
        <v>335</v>
      </c>
      <c r="C14" s="215"/>
      <c r="D14" s="13"/>
      <c r="E14" s="13"/>
    </row>
    <row r="15" spans="1:5" ht="15.5" hidden="1" x14ac:dyDescent="0.35">
      <c r="A15" s="13"/>
      <c r="B15" s="124"/>
      <c r="D15" s="13"/>
      <c r="E15" s="13"/>
    </row>
    <row r="16" spans="1:5" ht="72.75" customHeight="1" x14ac:dyDescent="0.25">
      <c r="A16" s="54" t="s">
        <v>3</v>
      </c>
      <c r="B16" s="54" t="s">
        <v>4</v>
      </c>
      <c r="C16" s="216"/>
      <c r="D16" s="54" t="s">
        <v>155</v>
      </c>
      <c r="E16" s="54" t="s">
        <v>155</v>
      </c>
    </row>
    <row r="17" spans="1:11" ht="15" x14ac:dyDescent="0.25">
      <c r="A17" s="22">
        <v>1</v>
      </c>
      <c r="B17" s="23">
        <v>2</v>
      </c>
      <c r="C17" s="217"/>
      <c r="D17" s="23">
        <v>3</v>
      </c>
      <c r="E17" s="23">
        <v>3</v>
      </c>
    </row>
    <row r="18" spans="1:11" ht="15.5" x14ac:dyDescent="0.35">
      <c r="A18" s="22"/>
      <c r="B18" s="125" t="s">
        <v>156</v>
      </c>
      <c r="C18" s="218"/>
      <c r="D18" s="127"/>
      <c r="E18" s="127"/>
    </row>
    <row r="19" spans="1:11" ht="15.5" x14ac:dyDescent="0.25">
      <c r="A19" s="27">
        <v>1100</v>
      </c>
      <c r="B19" s="27" t="s">
        <v>63</v>
      </c>
      <c r="C19" s="219">
        <v>7.79</v>
      </c>
      <c r="D19" s="211">
        <f>C19*30</f>
        <v>233.7</v>
      </c>
      <c r="E19" s="28">
        <v>44.21</v>
      </c>
      <c r="G19" s="150"/>
    </row>
    <row r="20" spans="1:11" ht="15.75" customHeight="1" x14ac:dyDescent="0.25">
      <c r="A20" s="27">
        <v>1200</v>
      </c>
      <c r="B20" s="29" t="s">
        <v>192</v>
      </c>
      <c r="C20" s="219">
        <v>1.88</v>
      </c>
      <c r="D20" s="211">
        <f t="shared" ref="D20:D29" si="0">C20*30</f>
        <v>56.4</v>
      </c>
      <c r="E20" s="28">
        <v>10.43</v>
      </c>
    </row>
    <row r="21" spans="1:11" ht="15.5" x14ac:dyDescent="0.25">
      <c r="A21" s="27">
        <v>2222</v>
      </c>
      <c r="B21" s="29" t="s">
        <v>190</v>
      </c>
      <c r="C21" s="219">
        <f>4.13*1.15</f>
        <v>4.7494999999999994</v>
      </c>
      <c r="D21" s="28">
        <f>C21*30*1.1</f>
        <v>156.73349999999999</v>
      </c>
      <c r="E21" s="28">
        <v>31.34</v>
      </c>
    </row>
    <row r="22" spans="1:11" ht="15.5" x14ac:dyDescent="0.25">
      <c r="A22" s="27">
        <v>2223</v>
      </c>
      <c r="B22" s="29" t="s">
        <v>29</v>
      </c>
      <c r="C22" s="219">
        <f>6.33*1.44</f>
        <v>9.1151999999999997</v>
      </c>
      <c r="D22" s="28">
        <f>C22*30*2.13</f>
        <v>582.46127999999999</v>
      </c>
      <c r="E22" s="28">
        <v>106.79</v>
      </c>
    </row>
    <row r="23" spans="1:11" ht="15.5" x14ac:dyDescent="0.25">
      <c r="A23" s="27">
        <v>2243</v>
      </c>
      <c r="B23" s="29" t="s">
        <v>235</v>
      </c>
      <c r="C23" s="219">
        <v>2.61</v>
      </c>
      <c r="D23" s="28">
        <f t="shared" si="0"/>
        <v>78.3</v>
      </c>
      <c r="E23" s="28">
        <v>13.05</v>
      </c>
    </row>
    <row r="24" spans="1:11" ht="15.5" x14ac:dyDescent="0.25">
      <c r="A24" s="27">
        <v>2244</v>
      </c>
      <c r="B24" s="29" t="s">
        <v>193</v>
      </c>
      <c r="C24" s="219">
        <v>4.82</v>
      </c>
      <c r="D24" s="28">
        <f t="shared" si="0"/>
        <v>144.60000000000002</v>
      </c>
      <c r="E24" s="28">
        <v>24.1</v>
      </c>
    </row>
    <row r="25" spans="1:11" ht="15.5" x14ac:dyDescent="0.25">
      <c r="A25" s="27">
        <v>2312</v>
      </c>
      <c r="B25" s="29" t="s">
        <v>16</v>
      </c>
      <c r="C25" s="219">
        <v>1.22</v>
      </c>
      <c r="D25" s="28">
        <f t="shared" si="0"/>
        <v>36.6</v>
      </c>
      <c r="E25" s="28">
        <v>6.1</v>
      </c>
    </row>
    <row r="26" spans="1:11" ht="15.5" x14ac:dyDescent="0.25">
      <c r="A26" s="27">
        <v>2321</v>
      </c>
      <c r="B26" s="29" t="s">
        <v>17</v>
      </c>
      <c r="C26" s="219">
        <f>5.14*1.2</f>
        <v>6.1679999999999993</v>
      </c>
      <c r="D26" s="28">
        <f>C26*30*1.2</f>
        <v>222.04799999999994</v>
      </c>
      <c r="E26" s="28">
        <v>44.41</v>
      </c>
    </row>
    <row r="27" spans="1:11" ht="15.5" x14ac:dyDescent="0.25">
      <c r="A27" s="27">
        <v>2341</v>
      </c>
      <c r="B27" s="29" t="s">
        <v>180</v>
      </c>
      <c r="C27" s="219">
        <v>0.4</v>
      </c>
      <c r="D27" s="28">
        <f t="shared" si="0"/>
        <v>12</v>
      </c>
      <c r="E27" s="28">
        <v>2</v>
      </c>
    </row>
    <row r="28" spans="1:11" ht="15.5" x14ac:dyDescent="0.25">
      <c r="A28" s="27">
        <v>2350</v>
      </c>
      <c r="B28" s="29" t="s">
        <v>224</v>
      </c>
      <c r="C28" s="219">
        <v>7.0000000000000007E-2</v>
      </c>
      <c r="D28" s="28">
        <f t="shared" si="0"/>
        <v>2.1</v>
      </c>
      <c r="E28" s="28">
        <v>0.35</v>
      </c>
    </row>
    <row r="29" spans="1:11" ht="15.5" x14ac:dyDescent="0.25">
      <c r="A29" s="33">
        <v>5239</v>
      </c>
      <c r="B29" s="29" t="s">
        <v>296</v>
      </c>
      <c r="C29" s="219">
        <v>1.78</v>
      </c>
      <c r="D29" s="28">
        <f t="shared" si="0"/>
        <v>53.4</v>
      </c>
      <c r="E29" s="28">
        <v>8.9</v>
      </c>
      <c r="K29" s="87"/>
    </row>
    <row r="30" spans="1:11" ht="15.5" x14ac:dyDescent="0.25">
      <c r="A30" s="27"/>
      <c r="B30" s="30" t="s">
        <v>161</v>
      </c>
      <c r="C30" s="220">
        <f>SUM(C19:C29)</f>
        <v>40.602699999999999</v>
      </c>
      <c r="D30" s="31">
        <f>SUM(D19:D29)</f>
        <v>1578.3427799999997</v>
      </c>
      <c r="E30" s="31">
        <f>SUM(E19:E29)</f>
        <v>291.68</v>
      </c>
    </row>
    <row r="31" spans="1:11" ht="15.5" x14ac:dyDescent="0.25">
      <c r="A31" s="32"/>
      <c r="B31" s="27" t="s">
        <v>162</v>
      </c>
      <c r="C31" s="221"/>
      <c r="D31" s="28"/>
      <c r="E31" s="28"/>
      <c r="F31" s="150"/>
    </row>
    <row r="32" spans="1:11" ht="15.5" x14ac:dyDescent="0.25">
      <c r="A32" s="27">
        <v>1100</v>
      </c>
      <c r="B32" s="27" t="s">
        <v>63</v>
      </c>
      <c r="C32" s="221">
        <v>8.9600000000000009</v>
      </c>
      <c r="D32" s="28">
        <f>C32*30</f>
        <v>268.8</v>
      </c>
      <c r="E32" s="28">
        <v>50.84</v>
      </c>
      <c r="G32" s="87"/>
    </row>
    <row r="33" spans="1:7" ht="15.75" customHeight="1" x14ac:dyDescent="0.25">
      <c r="A33" s="27">
        <v>1200</v>
      </c>
      <c r="B33" s="29" t="s">
        <v>192</v>
      </c>
      <c r="C33" s="221">
        <v>2.16</v>
      </c>
      <c r="D33" s="28">
        <f>C33*30</f>
        <v>64.800000000000011</v>
      </c>
      <c r="E33" s="28">
        <v>11.99</v>
      </c>
      <c r="G33" s="87"/>
    </row>
    <row r="34" spans="1:7" ht="15.5" hidden="1" x14ac:dyDescent="0.25">
      <c r="A34" s="27">
        <v>2100</v>
      </c>
      <c r="B34" s="128" t="s">
        <v>163</v>
      </c>
      <c r="C34" s="221"/>
      <c r="D34" s="211"/>
      <c r="E34" s="28">
        <f>D34/30*5</f>
        <v>0</v>
      </c>
      <c r="G34" s="87"/>
    </row>
    <row r="35" spans="1:7" ht="15.5" x14ac:dyDescent="0.25">
      <c r="A35" s="33">
        <v>2210</v>
      </c>
      <c r="B35" s="29" t="s">
        <v>142</v>
      </c>
      <c r="C35" s="221">
        <v>0.16</v>
      </c>
      <c r="D35" s="28">
        <f>C35*30</f>
        <v>4.8</v>
      </c>
      <c r="E35" s="28">
        <v>0.8</v>
      </c>
      <c r="G35" s="87"/>
    </row>
    <row r="36" spans="1:7" ht="15.5" hidden="1" x14ac:dyDescent="0.25">
      <c r="A36" s="27">
        <v>2222</v>
      </c>
      <c r="B36" s="29" t="s">
        <v>28</v>
      </c>
      <c r="C36" s="221"/>
      <c r="D36" s="28"/>
      <c r="E36" s="28">
        <v>0</v>
      </c>
      <c r="G36" s="87"/>
    </row>
    <row r="37" spans="1:7" ht="15.5" x14ac:dyDescent="0.25">
      <c r="A37" s="27">
        <v>2223</v>
      </c>
      <c r="B37" s="29" t="s">
        <v>29</v>
      </c>
      <c r="C37" s="221">
        <f>0.58*1.44</f>
        <v>0.83519999999999994</v>
      </c>
      <c r="D37" s="28">
        <f>C37*30*2.13</f>
        <v>53.369279999999989</v>
      </c>
      <c r="E37" s="28">
        <v>13.01</v>
      </c>
      <c r="G37" s="87"/>
    </row>
    <row r="38" spans="1:7" ht="31" x14ac:dyDescent="0.25">
      <c r="A38" s="27">
        <v>2224</v>
      </c>
      <c r="B38" s="29" t="s">
        <v>283</v>
      </c>
      <c r="C38" s="221">
        <f>0.16*1.05</f>
        <v>0.16800000000000001</v>
      </c>
      <c r="D38" s="28">
        <f>C38*30*1.15</f>
        <v>5.7959999999999994</v>
      </c>
      <c r="E38" s="28">
        <v>1.1200000000000001</v>
      </c>
      <c r="G38" s="87"/>
    </row>
    <row r="39" spans="1:7" ht="15.5" x14ac:dyDescent="0.25">
      <c r="A39" s="27">
        <v>2231</v>
      </c>
      <c r="B39" s="29" t="s">
        <v>226</v>
      </c>
      <c r="C39" s="221">
        <v>0.04</v>
      </c>
      <c r="D39" s="28">
        <f t="shared" ref="D39:D49" si="1">C39*30</f>
        <v>1.2</v>
      </c>
      <c r="E39" s="28">
        <v>0.2</v>
      </c>
      <c r="G39" s="87"/>
    </row>
    <row r="40" spans="1:7" ht="15.5" hidden="1" x14ac:dyDescent="0.25">
      <c r="A40" s="27">
        <v>2239</v>
      </c>
      <c r="B40" s="29" t="s">
        <v>145</v>
      </c>
      <c r="C40" s="221">
        <v>0</v>
      </c>
      <c r="D40" s="28">
        <f t="shared" si="1"/>
        <v>0</v>
      </c>
      <c r="E40" s="28">
        <v>0</v>
      </c>
      <c r="G40" s="87"/>
    </row>
    <row r="41" spans="1:7" ht="15.5" x14ac:dyDescent="0.35">
      <c r="A41" s="127">
        <v>2241</v>
      </c>
      <c r="B41" s="129" t="s">
        <v>215</v>
      </c>
      <c r="C41" s="221">
        <v>0.15</v>
      </c>
      <c r="D41" s="28">
        <f t="shared" si="1"/>
        <v>4.5</v>
      </c>
      <c r="E41" s="28">
        <v>1.5</v>
      </c>
      <c r="G41" s="87"/>
    </row>
    <row r="42" spans="1:7" ht="15.5" x14ac:dyDescent="0.35">
      <c r="A42" s="127">
        <v>2242</v>
      </c>
      <c r="B42" s="129" t="s">
        <v>8</v>
      </c>
      <c r="C42" s="221">
        <v>0.08</v>
      </c>
      <c r="D42" s="28">
        <f t="shared" si="1"/>
        <v>2.4</v>
      </c>
      <c r="E42" s="28">
        <v>0.4</v>
      </c>
      <c r="G42" s="87"/>
    </row>
    <row r="43" spans="1:7" ht="15.5" x14ac:dyDescent="0.35">
      <c r="A43" s="127">
        <v>2243</v>
      </c>
      <c r="B43" s="129" t="s">
        <v>9</v>
      </c>
      <c r="C43" s="221">
        <v>0.27</v>
      </c>
      <c r="D43" s="28">
        <f t="shared" si="1"/>
        <v>8.1000000000000014</v>
      </c>
      <c r="E43" s="28">
        <v>1.5</v>
      </c>
      <c r="G43" s="87"/>
    </row>
    <row r="44" spans="1:7" ht="15.5" x14ac:dyDescent="0.35">
      <c r="A44" s="127">
        <v>2244</v>
      </c>
      <c r="B44" s="29" t="s">
        <v>193</v>
      </c>
      <c r="C44" s="221">
        <v>1.68</v>
      </c>
      <c r="D44" s="28">
        <f t="shared" si="1"/>
        <v>50.4</v>
      </c>
      <c r="E44" s="28">
        <v>8.4</v>
      </c>
      <c r="G44" s="87"/>
    </row>
    <row r="45" spans="1:7" ht="15.5" hidden="1" x14ac:dyDescent="0.35">
      <c r="A45" s="127">
        <v>2249</v>
      </c>
      <c r="B45" s="129" t="s">
        <v>227</v>
      </c>
      <c r="C45" s="221">
        <v>0</v>
      </c>
      <c r="D45" s="28">
        <f t="shared" si="1"/>
        <v>0</v>
      </c>
      <c r="E45" s="28">
        <v>0</v>
      </c>
      <c r="G45" s="87"/>
    </row>
    <row r="46" spans="1:7" ht="15.5" x14ac:dyDescent="0.35">
      <c r="A46" s="127">
        <v>2250</v>
      </c>
      <c r="B46" s="129" t="s">
        <v>186</v>
      </c>
      <c r="C46" s="221">
        <v>0.64</v>
      </c>
      <c r="D46" s="28">
        <f t="shared" si="1"/>
        <v>19.2</v>
      </c>
      <c r="E46" s="28">
        <v>3.2</v>
      </c>
      <c r="G46" s="87"/>
    </row>
    <row r="47" spans="1:7" ht="15.5" hidden="1" x14ac:dyDescent="0.35">
      <c r="A47" s="127">
        <v>2261</v>
      </c>
      <c r="B47" s="129" t="s">
        <v>11</v>
      </c>
      <c r="C47" s="221">
        <v>0</v>
      </c>
      <c r="D47" s="28">
        <f t="shared" si="1"/>
        <v>0</v>
      </c>
      <c r="E47" s="28">
        <v>0</v>
      </c>
      <c r="G47" s="87"/>
    </row>
    <row r="48" spans="1:7" ht="15.5" x14ac:dyDescent="0.35">
      <c r="A48" s="127">
        <v>2262</v>
      </c>
      <c r="B48" s="129" t="s">
        <v>12</v>
      </c>
      <c r="C48" s="221">
        <v>0.02</v>
      </c>
      <c r="D48" s="28">
        <f t="shared" si="1"/>
        <v>0.6</v>
      </c>
      <c r="E48" s="28">
        <v>0.1</v>
      </c>
      <c r="G48" s="87"/>
    </row>
    <row r="49" spans="1:7" ht="15.5" x14ac:dyDescent="0.35">
      <c r="A49" s="127">
        <v>2263</v>
      </c>
      <c r="B49" s="129" t="s">
        <v>167</v>
      </c>
      <c r="C49" s="221">
        <v>1.24</v>
      </c>
      <c r="D49" s="28">
        <f t="shared" si="1"/>
        <v>37.200000000000003</v>
      </c>
      <c r="E49" s="28">
        <v>6.2</v>
      </c>
      <c r="G49" s="87"/>
    </row>
    <row r="50" spans="1:7" ht="15.5" hidden="1" x14ac:dyDescent="0.35">
      <c r="A50" s="127">
        <v>2264</v>
      </c>
      <c r="B50" s="129" t="s">
        <v>13</v>
      </c>
      <c r="C50" s="221"/>
      <c r="D50" s="28"/>
      <c r="E50" s="28">
        <v>0</v>
      </c>
      <c r="G50" s="87"/>
    </row>
    <row r="51" spans="1:7" ht="15.5" x14ac:dyDescent="0.35">
      <c r="A51" s="127">
        <v>2311</v>
      </c>
      <c r="B51" s="129" t="s">
        <v>15</v>
      </c>
      <c r="C51" s="221">
        <v>0.02</v>
      </c>
      <c r="D51" s="28">
        <f>C51*30</f>
        <v>0.6</v>
      </c>
      <c r="E51" s="28">
        <v>0.1</v>
      </c>
      <c r="G51" s="87"/>
    </row>
    <row r="52" spans="1:7" ht="15.5" x14ac:dyDescent="0.35">
      <c r="A52" s="127">
        <v>2312</v>
      </c>
      <c r="B52" s="129" t="s">
        <v>16</v>
      </c>
      <c r="C52" s="221">
        <v>0.03</v>
      </c>
      <c r="D52" s="28">
        <f>C52*30</f>
        <v>0.89999999999999991</v>
      </c>
      <c r="E52" s="28">
        <v>0.15</v>
      </c>
      <c r="G52" s="87"/>
    </row>
    <row r="53" spans="1:7" ht="15.5" x14ac:dyDescent="0.35">
      <c r="A53" s="127">
        <v>2321</v>
      </c>
      <c r="B53" s="129" t="s">
        <v>17</v>
      </c>
      <c r="C53" s="221">
        <f>0.64*1.2</f>
        <v>0.76800000000000002</v>
      </c>
      <c r="D53" s="28">
        <f>C53*30*1.2</f>
        <v>27.648</v>
      </c>
      <c r="E53" s="28">
        <v>10.54</v>
      </c>
      <c r="G53" s="87"/>
    </row>
    <row r="54" spans="1:7" ht="15.5" x14ac:dyDescent="0.35">
      <c r="A54" s="127">
        <v>2322</v>
      </c>
      <c r="B54" s="129" t="s">
        <v>18</v>
      </c>
      <c r="C54" s="221">
        <f>0.04*1.2</f>
        <v>4.8000000000000001E-2</v>
      </c>
      <c r="D54" s="28">
        <f>C54*30*1.2</f>
        <v>1.728</v>
      </c>
      <c r="E54" s="28">
        <v>0.35</v>
      </c>
      <c r="G54" s="87"/>
    </row>
    <row r="55" spans="1:7" ht="20.25" hidden="1" customHeight="1" x14ac:dyDescent="0.35">
      <c r="A55" s="127">
        <v>2341</v>
      </c>
      <c r="B55" s="129" t="s">
        <v>159</v>
      </c>
      <c r="C55" s="221"/>
      <c r="D55" s="28"/>
      <c r="E55" s="28">
        <v>0</v>
      </c>
      <c r="G55" s="87"/>
    </row>
    <row r="56" spans="1:7" ht="15.5" hidden="1" x14ac:dyDescent="0.35">
      <c r="A56" s="127">
        <v>2344</v>
      </c>
      <c r="B56" s="129" t="s">
        <v>168</v>
      </c>
      <c r="C56" s="221"/>
      <c r="D56" s="28"/>
      <c r="E56" s="28">
        <v>0</v>
      </c>
      <c r="G56" s="87"/>
    </row>
    <row r="57" spans="1:7" ht="15.5" x14ac:dyDescent="0.35">
      <c r="A57" s="127">
        <v>2350</v>
      </c>
      <c r="B57" s="129" t="s">
        <v>224</v>
      </c>
      <c r="C57" s="221">
        <v>0.24</v>
      </c>
      <c r="D57" s="28">
        <f>C57*30</f>
        <v>7.1999999999999993</v>
      </c>
      <c r="E57" s="28">
        <v>1.2</v>
      </c>
      <c r="G57" s="87"/>
    </row>
    <row r="58" spans="1:7" ht="15.5" hidden="1" x14ac:dyDescent="0.35">
      <c r="A58" s="127">
        <v>2512</v>
      </c>
      <c r="B58" s="129" t="s">
        <v>171</v>
      </c>
      <c r="C58" s="219"/>
      <c r="D58" s="28"/>
      <c r="E58" s="28">
        <v>0</v>
      </c>
      <c r="G58" s="87"/>
    </row>
    <row r="59" spans="1:7" ht="15.5" x14ac:dyDescent="0.25">
      <c r="A59" s="27">
        <v>2513</v>
      </c>
      <c r="B59" s="29" t="s">
        <v>139</v>
      </c>
      <c r="C59" s="221">
        <v>0</v>
      </c>
      <c r="D59" s="28">
        <f>C59*30</f>
        <v>0</v>
      </c>
      <c r="E59" s="28">
        <v>0.95</v>
      </c>
      <c r="G59" s="87"/>
    </row>
    <row r="60" spans="1:7" ht="15.5" x14ac:dyDescent="0.25">
      <c r="A60" s="27">
        <v>2515</v>
      </c>
      <c r="B60" s="29" t="s">
        <v>58</v>
      </c>
      <c r="C60" s="221">
        <v>0.04</v>
      </c>
      <c r="D60" s="28">
        <f>C60*30</f>
        <v>1.2</v>
      </c>
      <c r="E60" s="28">
        <v>0.2</v>
      </c>
      <c r="G60" s="87"/>
    </row>
    <row r="61" spans="1:7" ht="15.5" hidden="1" x14ac:dyDescent="0.25">
      <c r="A61" s="27">
        <v>2519</v>
      </c>
      <c r="B61" s="29" t="s">
        <v>24</v>
      </c>
      <c r="C61" s="221"/>
      <c r="D61" s="28"/>
      <c r="E61" s="28">
        <v>0</v>
      </c>
    </row>
    <row r="62" spans="1:7" ht="15.5" x14ac:dyDescent="0.25">
      <c r="A62" s="27">
        <v>5239</v>
      </c>
      <c r="B62" s="29" t="s">
        <v>296</v>
      </c>
      <c r="C62" s="221">
        <v>0.09</v>
      </c>
      <c r="D62" s="28">
        <f>C62*30</f>
        <v>2.6999999999999997</v>
      </c>
      <c r="E62" s="28">
        <v>0.42</v>
      </c>
    </row>
    <row r="63" spans="1:7" ht="15.5" hidden="1" x14ac:dyDescent="0.25">
      <c r="A63" s="27">
        <v>5238</v>
      </c>
      <c r="B63" s="29" t="s">
        <v>174</v>
      </c>
      <c r="C63" s="221">
        <v>0</v>
      </c>
      <c r="D63" s="211">
        <f>C63*30</f>
        <v>0</v>
      </c>
      <c r="E63" s="211">
        <f>D63*30</f>
        <v>0</v>
      </c>
    </row>
    <row r="64" spans="1:7" ht="15.5" x14ac:dyDescent="0.25">
      <c r="A64" s="32"/>
      <c r="B64" s="34" t="s">
        <v>175</v>
      </c>
      <c r="C64" s="222">
        <f>SUM(C32:C62)</f>
        <v>17.639199999999995</v>
      </c>
      <c r="D64" s="31">
        <f>SUM(D32:D62)</f>
        <v>563.14128000000017</v>
      </c>
      <c r="E64" s="31">
        <f>SUM(E32:E62)</f>
        <v>113.17000000000002</v>
      </c>
    </row>
    <row r="65" spans="1:9" ht="15.5" x14ac:dyDescent="0.25">
      <c r="A65" s="32"/>
      <c r="B65" s="34" t="s">
        <v>32</v>
      </c>
      <c r="C65" s="222">
        <f>C30+C64</f>
        <v>58.241899999999994</v>
      </c>
      <c r="D65" s="31">
        <f>D30+D64</f>
        <v>2141.4840599999998</v>
      </c>
      <c r="E65" s="31">
        <f>E30+E64</f>
        <v>404.85</v>
      </c>
    </row>
    <row r="66" spans="1:9" ht="15.5" x14ac:dyDescent="0.35">
      <c r="A66" s="35"/>
      <c r="B66" s="20"/>
      <c r="C66" s="223"/>
      <c r="D66" s="130"/>
      <c r="E66" s="130"/>
      <c r="I66" s="87"/>
    </row>
    <row r="67" spans="1:9" ht="15.5" x14ac:dyDescent="0.35">
      <c r="A67" s="267" t="s">
        <v>176</v>
      </c>
      <c r="B67" s="268"/>
      <c r="C67" s="224">
        <v>1</v>
      </c>
      <c r="D67" s="102">
        <v>30</v>
      </c>
      <c r="E67" s="102">
        <v>5</v>
      </c>
    </row>
    <row r="68" spans="1:9" ht="15.5" x14ac:dyDescent="0.35">
      <c r="A68" s="267" t="s">
        <v>46</v>
      </c>
      <c r="B68" s="268"/>
      <c r="C68" s="222">
        <f>C65/C67</f>
        <v>58.241899999999994</v>
      </c>
      <c r="D68" s="106">
        <f>ROUND(D65/D67,2)</f>
        <v>71.38</v>
      </c>
      <c r="E68" s="106">
        <f>ROUND(E65/E67,2)</f>
        <v>80.97</v>
      </c>
      <c r="F68" s="87"/>
    </row>
    <row r="69" spans="1:9" ht="15.5" x14ac:dyDescent="0.35">
      <c r="A69" s="20"/>
      <c r="B69" s="103"/>
      <c r="C69" s="215"/>
      <c r="D69" s="13"/>
      <c r="E69" s="123"/>
      <c r="H69" s="87"/>
    </row>
    <row r="70" spans="1:9" ht="15.5" x14ac:dyDescent="0.35">
      <c r="A70" s="267" t="s">
        <v>37</v>
      </c>
      <c r="B70" s="268"/>
      <c r="C70" s="225"/>
      <c r="D70" s="39"/>
      <c r="E70" s="39"/>
    </row>
    <row r="71" spans="1:9" ht="15.5" x14ac:dyDescent="0.35">
      <c r="A71" s="267" t="s">
        <v>55</v>
      </c>
      <c r="B71" s="268"/>
      <c r="C71" s="225"/>
      <c r="D71" s="39"/>
      <c r="E71" s="149"/>
    </row>
    <row r="72" spans="1:9" ht="15.5" x14ac:dyDescent="0.35">
      <c r="A72" s="17"/>
      <c r="B72" s="17"/>
      <c r="C72" s="226"/>
      <c r="D72" s="17"/>
      <c r="E72" s="17"/>
    </row>
    <row r="73" spans="1:9" ht="15.5" x14ac:dyDescent="0.35">
      <c r="A73" s="17" t="s">
        <v>38</v>
      </c>
      <c r="B73" s="17"/>
      <c r="C73" s="227"/>
      <c r="D73" s="17"/>
      <c r="E73" s="65"/>
    </row>
    <row r="74" spans="1:9" ht="15.5" x14ac:dyDescent="0.35">
      <c r="A74" s="17"/>
      <c r="B74" s="17"/>
      <c r="C74" s="226"/>
      <c r="D74" s="17"/>
      <c r="E74" s="17"/>
    </row>
    <row r="75" spans="1:9" ht="15.5" x14ac:dyDescent="0.35">
      <c r="A75" s="17" t="s">
        <v>268</v>
      </c>
      <c r="B75" s="18"/>
      <c r="C75" s="227"/>
      <c r="D75" s="17"/>
      <c r="E75" s="17"/>
    </row>
    <row r="76" spans="1:9" ht="15.5" x14ac:dyDescent="0.35">
      <c r="A76" s="17"/>
      <c r="B76" s="96"/>
      <c r="C76" s="227"/>
      <c r="D76" s="17"/>
      <c r="E76" s="17"/>
    </row>
    <row r="77" spans="1:9" x14ac:dyDescent="0.3">
      <c r="B77" s="131"/>
    </row>
    <row r="78" spans="1:9" x14ac:dyDescent="0.3">
      <c r="B78" s="132"/>
    </row>
  </sheetData>
  <mergeCells count="7">
    <mergeCell ref="A70:B70"/>
    <mergeCell ref="A71:B71"/>
    <mergeCell ref="A7:D7"/>
    <mergeCell ref="A9:B9"/>
    <mergeCell ref="A10:B10"/>
    <mergeCell ref="A67:B67"/>
    <mergeCell ref="A68:B68"/>
  </mergeCells>
  <pageMargins left="0.78749999999999998" right="0.40625" top="0.33" bottom="0.47437499999999999" header="0.3" footer="0.3"/>
  <pageSetup paperSize="9" scale="74" orientation="portrait" r:id="rId1"/>
  <headerFooter>
    <oddFooter>&amp;C&amp;"Times New Roman,Regular"&amp;F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view="pageLayout" zoomScale="80" zoomScaleNormal="100" zoomScalePageLayoutView="80" workbookViewId="0">
      <selection activeCell="F68" sqref="F68"/>
    </sheetView>
  </sheetViews>
  <sheetFormatPr defaultColWidth="9.1796875" defaultRowHeight="15.5" x14ac:dyDescent="0.35"/>
  <cols>
    <col min="1" max="1" width="13.26953125" style="13" customWidth="1"/>
    <col min="2" max="2" width="94.7265625" style="13" customWidth="1"/>
    <col min="3" max="4" width="17.81640625" style="230" hidden="1" customWidth="1"/>
    <col min="5" max="5" width="21.81640625" style="230" hidden="1" customWidth="1"/>
    <col min="6" max="6" width="28.54296875" style="13" customWidth="1"/>
    <col min="7" max="8" width="10.1796875" style="3" customWidth="1"/>
    <col min="9" max="16384" width="9.1796875" style="3"/>
  </cols>
  <sheetData>
    <row r="1" spans="1:6" x14ac:dyDescent="0.35">
      <c r="B1" s="35"/>
      <c r="C1" s="228"/>
      <c r="D1" s="228"/>
      <c r="E1" s="229" t="s">
        <v>35</v>
      </c>
      <c r="F1" s="35" t="s">
        <v>35</v>
      </c>
    </row>
    <row r="2" spans="1:6" x14ac:dyDescent="0.35">
      <c r="B2" s="121"/>
      <c r="C2" s="228"/>
      <c r="D2" s="228"/>
      <c r="E2" s="229" t="s">
        <v>39</v>
      </c>
      <c r="F2" s="35" t="s">
        <v>39</v>
      </c>
    </row>
    <row r="3" spans="1:6" x14ac:dyDescent="0.35">
      <c r="B3" s="121"/>
      <c r="D3" s="228"/>
      <c r="E3" s="229" t="s">
        <v>56</v>
      </c>
      <c r="F3" s="35" t="s">
        <v>56</v>
      </c>
    </row>
    <row r="4" spans="1:6" x14ac:dyDescent="0.35">
      <c r="B4" s="11"/>
      <c r="E4" s="231"/>
      <c r="F4" s="11"/>
    </row>
    <row r="5" spans="1:6" x14ac:dyDescent="0.35">
      <c r="B5" s="116"/>
      <c r="C5" s="232"/>
      <c r="D5" s="232"/>
      <c r="E5" s="231" t="s">
        <v>352</v>
      </c>
      <c r="F5" s="35" t="s">
        <v>360</v>
      </c>
    </row>
    <row r="7" spans="1:6" ht="15" x14ac:dyDescent="0.3">
      <c r="A7" s="263" t="s">
        <v>5</v>
      </c>
      <c r="B7" s="263"/>
      <c r="C7" s="263"/>
      <c r="D7" s="263"/>
      <c r="E7" s="263"/>
      <c r="F7" s="97"/>
    </row>
    <row r="8" spans="1:6" x14ac:dyDescent="0.35">
      <c r="B8" s="135"/>
    </row>
    <row r="9" spans="1:6" x14ac:dyDescent="0.35">
      <c r="A9" s="262" t="s">
        <v>1</v>
      </c>
      <c r="B9" s="262"/>
    </row>
    <row r="10" spans="1:6" x14ac:dyDescent="0.35">
      <c r="A10" s="262" t="s">
        <v>0</v>
      </c>
      <c r="B10" s="262"/>
      <c r="E10" s="233"/>
      <c r="F10" s="20"/>
    </row>
    <row r="11" spans="1:6" x14ac:dyDescent="0.35">
      <c r="A11" s="9"/>
      <c r="B11" s="9" t="s">
        <v>346</v>
      </c>
      <c r="C11" s="234"/>
      <c r="D11" s="234"/>
      <c r="E11" s="233"/>
      <c r="F11" s="20"/>
    </row>
    <row r="12" spans="1:6" x14ac:dyDescent="0.35">
      <c r="A12" s="9"/>
      <c r="B12" s="9" t="s">
        <v>353</v>
      </c>
    </row>
    <row r="13" spans="1:6" ht="9.75" customHeight="1" x14ac:dyDescent="0.35">
      <c r="A13" s="9"/>
      <c r="B13" s="9"/>
      <c r="C13" s="234"/>
      <c r="D13" s="234"/>
    </row>
    <row r="14" spans="1:6" x14ac:dyDescent="0.35">
      <c r="A14" s="9" t="s">
        <v>2</v>
      </c>
      <c r="B14" s="9" t="s">
        <v>335</v>
      </c>
      <c r="C14" s="234"/>
      <c r="D14" s="234"/>
    </row>
    <row r="15" spans="1:6" hidden="1" x14ac:dyDescent="0.35">
      <c r="B15" s="124"/>
    </row>
    <row r="16" spans="1:6" ht="67.5" customHeight="1" x14ac:dyDescent="0.25">
      <c r="A16" s="54" t="s">
        <v>3</v>
      </c>
      <c r="B16" s="54" t="s">
        <v>4</v>
      </c>
      <c r="C16" s="235"/>
      <c r="D16" s="235"/>
      <c r="E16" s="235" t="s">
        <v>155</v>
      </c>
      <c r="F16" s="54" t="s">
        <v>155</v>
      </c>
    </row>
    <row r="17" spans="1:12" ht="15" x14ac:dyDescent="0.25">
      <c r="A17" s="22">
        <v>1</v>
      </c>
      <c r="B17" s="23">
        <v>2</v>
      </c>
      <c r="C17" s="236"/>
      <c r="D17" s="236"/>
      <c r="E17" s="236">
        <v>3</v>
      </c>
      <c r="F17" s="23">
        <v>3</v>
      </c>
    </row>
    <row r="18" spans="1:12" x14ac:dyDescent="0.35">
      <c r="A18" s="22"/>
      <c r="B18" s="125" t="s">
        <v>156</v>
      </c>
      <c r="C18" s="237"/>
      <c r="D18" s="237"/>
      <c r="E18" s="237"/>
      <c r="F18" s="127"/>
    </row>
    <row r="19" spans="1:12" x14ac:dyDescent="0.25">
      <c r="A19" s="27">
        <v>1100</v>
      </c>
      <c r="B19" s="27" t="s">
        <v>63</v>
      </c>
      <c r="C19" s="238">
        <v>15600</v>
      </c>
      <c r="D19" s="238">
        <v>7.79</v>
      </c>
      <c r="E19" s="239">
        <f>D19*30</f>
        <v>233.7</v>
      </c>
      <c r="F19" s="28">
        <v>47.3</v>
      </c>
      <c r="H19" s="87"/>
    </row>
    <row r="20" spans="1:12" ht="15.75" customHeight="1" x14ac:dyDescent="0.25">
      <c r="A20" s="27">
        <v>1200</v>
      </c>
      <c r="B20" s="29" t="s">
        <v>192</v>
      </c>
      <c r="C20" s="238">
        <v>3758.04</v>
      </c>
      <c r="D20" s="238">
        <v>1.88</v>
      </c>
      <c r="E20" s="239">
        <f t="shared" ref="E20:E29" si="0">D20*30</f>
        <v>56.4</v>
      </c>
      <c r="F20" s="28">
        <v>11.16</v>
      </c>
    </row>
    <row r="21" spans="1:12" x14ac:dyDescent="0.25">
      <c r="A21" s="27">
        <v>2222</v>
      </c>
      <c r="B21" s="29" t="s">
        <v>190</v>
      </c>
      <c r="C21" s="238">
        <f>459.81+437.91+7364.14</f>
        <v>8261.86</v>
      </c>
      <c r="D21" s="238">
        <f>4.13*1.15</f>
        <v>4.7494999999999994</v>
      </c>
      <c r="E21" s="239">
        <f>D21*30*1.1</f>
        <v>156.73349999999999</v>
      </c>
      <c r="F21" s="28">
        <v>33.53</v>
      </c>
    </row>
    <row r="22" spans="1:12" x14ac:dyDescent="0.25">
      <c r="A22" s="27">
        <v>2223</v>
      </c>
      <c r="B22" s="29" t="s">
        <v>29</v>
      </c>
      <c r="C22" s="238">
        <f>2467.99+2388.76+2582.45+7811.91</f>
        <v>15251.11</v>
      </c>
      <c r="D22" s="238">
        <f>7.62*1.44</f>
        <v>10.972799999999999</v>
      </c>
      <c r="E22" s="239">
        <f>D22*30*2.13</f>
        <v>701.1619199999999</v>
      </c>
      <c r="F22" s="28">
        <v>114.27</v>
      </c>
    </row>
    <row r="23" spans="1:12" x14ac:dyDescent="0.25">
      <c r="A23" s="27">
        <v>2243</v>
      </c>
      <c r="B23" s="29" t="s">
        <v>235</v>
      </c>
      <c r="C23" s="238">
        <f>832+2080+480+3905</f>
        <v>7297</v>
      </c>
      <c r="D23" s="238">
        <v>3.64</v>
      </c>
      <c r="E23" s="239">
        <f t="shared" si="0"/>
        <v>109.2</v>
      </c>
      <c r="F23" s="28">
        <v>13.96</v>
      </c>
    </row>
    <row r="24" spans="1:12" x14ac:dyDescent="0.25">
      <c r="A24" s="27">
        <v>2244</v>
      </c>
      <c r="B24" s="29" t="s">
        <v>193</v>
      </c>
      <c r="C24" s="238">
        <v>9639.73</v>
      </c>
      <c r="D24" s="238">
        <v>4.82</v>
      </c>
      <c r="E24" s="239">
        <f t="shared" si="0"/>
        <v>144.60000000000002</v>
      </c>
      <c r="F24" s="28">
        <v>25.79</v>
      </c>
    </row>
    <row r="25" spans="1:12" x14ac:dyDescent="0.25">
      <c r="A25" s="27">
        <v>2312</v>
      </c>
      <c r="B25" s="29" t="s">
        <v>16</v>
      </c>
      <c r="C25" s="238">
        <f>315.65+50.1+15.4+130.7+35.59+65.25+1.85+1831.03</f>
        <v>2445.5699999999997</v>
      </c>
      <c r="D25" s="238">
        <v>1.22</v>
      </c>
      <c r="E25" s="239">
        <f t="shared" si="0"/>
        <v>36.6</v>
      </c>
      <c r="F25" s="28">
        <v>6.53</v>
      </c>
    </row>
    <row r="26" spans="1:12" x14ac:dyDescent="0.25">
      <c r="A26" s="27">
        <v>2321</v>
      </c>
      <c r="B26" s="29" t="s">
        <v>17</v>
      </c>
      <c r="C26" s="238">
        <f>3010.82+7276.65</f>
        <v>10287.469999999999</v>
      </c>
      <c r="D26" s="238">
        <f>5.14*1.2</f>
        <v>6.1679999999999993</v>
      </c>
      <c r="E26" s="239">
        <f>D26*30*1.2</f>
        <v>222.04799999999994</v>
      </c>
      <c r="F26" s="28">
        <v>47.52</v>
      </c>
    </row>
    <row r="27" spans="1:12" x14ac:dyDescent="0.25">
      <c r="A27" s="27">
        <v>2341</v>
      </c>
      <c r="B27" s="29" t="s">
        <v>180</v>
      </c>
      <c r="C27" s="238">
        <f>800.4+863.4</f>
        <v>1663.8</v>
      </c>
      <c r="D27" s="238">
        <v>0.83</v>
      </c>
      <c r="E27" s="239">
        <f t="shared" si="0"/>
        <v>24.9</v>
      </c>
      <c r="F27" s="28">
        <v>2.14</v>
      </c>
    </row>
    <row r="28" spans="1:12" x14ac:dyDescent="0.25">
      <c r="A28" s="27">
        <v>2350</v>
      </c>
      <c r="B28" s="29" t="s">
        <v>224</v>
      </c>
      <c r="C28" s="238">
        <f>52.36+84.24</f>
        <v>136.6</v>
      </c>
      <c r="D28" s="238">
        <v>7.0000000000000007E-2</v>
      </c>
      <c r="E28" s="239">
        <f t="shared" si="0"/>
        <v>2.1</v>
      </c>
      <c r="F28" s="28">
        <v>0.37</v>
      </c>
    </row>
    <row r="29" spans="1:12" x14ac:dyDescent="0.25">
      <c r="A29" s="33">
        <v>5239</v>
      </c>
      <c r="B29" s="29" t="s">
        <v>296</v>
      </c>
      <c r="C29" s="238">
        <f>1926.68+1000+756.15+664.31+644.36</f>
        <v>4991.5</v>
      </c>
      <c r="D29" s="238">
        <v>2.4900000000000002</v>
      </c>
      <c r="E29" s="239">
        <f t="shared" si="0"/>
        <v>74.7</v>
      </c>
      <c r="F29" s="28">
        <v>9.52</v>
      </c>
      <c r="L29" s="87"/>
    </row>
    <row r="30" spans="1:12" x14ac:dyDescent="0.25">
      <c r="A30" s="27"/>
      <c r="B30" s="30" t="s">
        <v>161</v>
      </c>
      <c r="C30" s="240">
        <f>SUM(C19:C29)</f>
        <v>79332.680000000008</v>
      </c>
      <c r="D30" s="240">
        <f>SUM(D19:D29)</f>
        <v>44.630299999999998</v>
      </c>
      <c r="E30" s="240">
        <f>SUM(E19:E29)</f>
        <v>1762.1434199999999</v>
      </c>
      <c r="F30" s="31">
        <f>SUM(F19:F29)</f>
        <v>312.08999999999997</v>
      </c>
      <c r="G30" s="87"/>
    </row>
    <row r="31" spans="1:12" x14ac:dyDescent="0.25">
      <c r="A31" s="32"/>
      <c r="B31" s="27" t="s">
        <v>162</v>
      </c>
      <c r="C31" s="238"/>
      <c r="D31" s="238"/>
      <c r="E31" s="238"/>
      <c r="F31" s="28"/>
    </row>
    <row r="32" spans="1:12" x14ac:dyDescent="0.25">
      <c r="A32" s="27">
        <v>1100</v>
      </c>
      <c r="B32" s="27" t="s">
        <v>63</v>
      </c>
      <c r="C32" s="238">
        <v>12064.39</v>
      </c>
      <c r="D32" s="238">
        <v>9.0500000000000007</v>
      </c>
      <c r="E32" s="238">
        <f>D32*30</f>
        <v>271.5</v>
      </c>
      <c r="F32" s="28">
        <v>55.63</v>
      </c>
      <c r="H32" s="87"/>
    </row>
    <row r="33" spans="1:8" ht="15.75" customHeight="1" x14ac:dyDescent="0.25">
      <c r="A33" s="27">
        <v>1200</v>
      </c>
      <c r="B33" s="29" t="s">
        <v>192</v>
      </c>
      <c r="C33" s="238">
        <v>2918.8</v>
      </c>
      <c r="D33" s="238">
        <v>2.1800000000000002</v>
      </c>
      <c r="E33" s="238">
        <f>D33*30</f>
        <v>65.400000000000006</v>
      </c>
      <c r="F33" s="28">
        <v>13.12</v>
      </c>
      <c r="H33" s="87"/>
    </row>
    <row r="34" spans="1:8" hidden="1" x14ac:dyDescent="0.25">
      <c r="A34" s="27">
        <v>2100</v>
      </c>
      <c r="B34" s="128" t="s">
        <v>163</v>
      </c>
      <c r="C34" s="238">
        <v>0</v>
      </c>
      <c r="D34" s="238">
        <f>C34/12/166.83*1.5</f>
        <v>0</v>
      </c>
      <c r="E34" s="238">
        <f>D34*30</f>
        <v>0</v>
      </c>
      <c r="F34" s="28">
        <v>0</v>
      </c>
      <c r="H34" s="87"/>
    </row>
    <row r="35" spans="1:8" x14ac:dyDescent="0.25">
      <c r="A35" s="33">
        <v>2210</v>
      </c>
      <c r="B35" s="29" t="s">
        <v>142</v>
      </c>
      <c r="C35" s="238">
        <v>340.53</v>
      </c>
      <c r="D35" s="238">
        <v>0.26</v>
      </c>
      <c r="E35" s="238">
        <f>D35*30</f>
        <v>7.8000000000000007</v>
      </c>
      <c r="F35" s="28">
        <v>0.86</v>
      </c>
      <c r="H35" s="87"/>
    </row>
    <row r="36" spans="1:8" hidden="1" x14ac:dyDescent="0.25">
      <c r="A36" s="27">
        <v>2222</v>
      </c>
      <c r="B36" s="29" t="s">
        <v>28</v>
      </c>
      <c r="C36" s="238">
        <v>0</v>
      </c>
      <c r="D36" s="238">
        <f>C36/12/166.83*1.5</f>
        <v>0</v>
      </c>
      <c r="E36" s="238">
        <f>D36*30</f>
        <v>0</v>
      </c>
      <c r="F36" s="28">
        <v>0</v>
      </c>
      <c r="H36" s="87"/>
    </row>
    <row r="37" spans="1:8" x14ac:dyDescent="0.25">
      <c r="A37" s="27">
        <v>2223</v>
      </c>
      <c r="B37" s="29" t="s">
        <v>29</v>
      </c>
      <c r="C37" s="238">
        <v>1264.82</v>
      </c>
      <c r="D37" s="238">
        <f>0.95*1.44</f>
        <v>1.3679999999999999</v>
      </c>
      <c r="E37" s="238">
        <f>D37*30*2.13</f>
        <v>87.415199999999999</v>
      </c>
      <c r="F37" s="28">
        <v>13.92</v>
      </c>
      <c r="H37" s="87"/>
    </row>
    <row r="38" spans="1:8" ht="31" x14ac:dyDescent="0.25">
      <c r="A38" s="27">
        <v>2224</v>
      </c>
      <c r="B38" s="29" t="s">
        <v>283</v>
      </c>
      <c r="C38" s="238">
        <v>340.53</v>
      </c>
      <c r="D38" s="238">
        <f>0.26*1.05</f>
        <v>0.27300000000000002</v>
      </c>
      <c r="E38" s="238">
        <f>D38*30*1.15</f>
        <v>9.4184999999999999</v>
      </c>
      <c r="F38" s="28">
        <v>1.2</v>
      </c>
      <c r="H38" s="87"/>
    </row>
    <row r="39" spans="1:8" x14ac:dyDescent="0.25">
      <c r="A39" s="27">
        <v>2231</v>
      </c>
      <c r="B39" s="29" t="s">
        <v>226</v>
      </c>
      <c r="C39" s="238">
        <v>0</v>
      </c>
      <c r="D39" s="238">
        <v>0.13</v>
      </c>
      <c r="E39" s="238">
        <f t="shared" ref="E39:E53" si="1">D39*30</f>
        <v>3.9000000000000004</v>
      </c>
      <c r="F39" s="28">
        <v>0.21</v>
      </c>
      <c r="H39" s="87"/>
    </row>
    <row r="40" spans="1:8" hidden="1" x14ac:dyDescent="0.25">
      <c r="A40" s="27">
        <v>2239</v>
      </c>
      <c r="B40" s="29" t="s">
        <v>145</v>
      </c>
      <c r="C40" s="238">
        <v>0</v>
      </c>
      <c r="D40" s="238">
        <v>0</v>
      </c>
      <c r="E40" s="238">
        <f t="shared" si="1"/>
        <v>0</v>
      </c>
      <c r="F40" s="28">
        <v>0</v>
      </c>
      <c r="H40" s="87"/>
    </row>
    <row r="41" spans="1:8" x14ac:dyDescent="0.35">
      <c r="A41" s="127">
        <v>2241</v>
      </c>
      <c r="B41" s="129" t="s">
        <v>215</v>
      </c>
      <c r="C41" s="238">
        <v>340.53</v>
      </c>
      <c r="D41" s="238">
        <v>0.26</v>
      </c>
      <c r="E41" s="238">
        <f t="shared" si="1"/>
        <v>7.8000000000000007</v>
      </c>
      <c r="F41" s="28">
        <v>1.61</v>
      </c>
      <c r="H41" s="87"/>
    </row>
    <row r="42" spans="1:8" x14ac:dyDescent="0.35">
      <c r="A42" s="127">
        <v>2242</v>
      </c>
      <c r="B42" s="129" t="s">
        <v>8</v>
      </c>
      <c r="C42" s="238">
        <v>243.23</v>
      </c>
      <c r="D42" s="238">
        <v>0.18</v>
      </c>
      <c r="E42" s="238">
        <f t="shared" si="1"/>
        <v>5.3999999999999995</v>
      </c>
      <c r="F42" s="28">
        <v>0.43</v>
      </c>
      <c r="H42" s="87"/>
    </row>
    <row r="43" spans="1:8" x14ac:dyDescent="0.35">
      <c r="A43" s="127">
        <v>2243</v>
      </c>
      <c r="B43" s="129" t="s">
        <v>9</v>
      </c>
      <c r="C43" s="238">
        <v>486.47</v>
      </c>
      <c r="D43" s="238">
        <v>0.36</v>
      </c>
      <c r="E43" s="238">
        <f t="shared" si="1"/>
        <v>10.799999999999999</v>
      </c>
      <c r="F43" s="28">
        <v>1.61</v>
      </c>
      <c r="H43" s="87"/>
    </row>
    <row r="44" spans="1:8" x14ac:dyDescent="0.35">
      <c r="A44" s="127">
        <v>2244</v>
      </c>
      <c r="B44" s="29" t="s">
        <v>193</v>
      </c>
      <c r="C44" s="238">
        <v>2335.04</v>
      </c>
      <c r="D44" s="238">
        <f>1.75+0.11</f>
        <v>1.86</v>
      </c>
      <c r="E44" s="238">
        <f t="shared" si="1"/>
        <v>55.800000000000004</v>
      </c>
      <c r="F44" s="28">
        <v>8.99</v>
      </c>
      <c r="H44" s="87"/>
    </row>
    <row r="45" spans="1:8" hidden="1" x14ac:dyDescent="0.35">
      <c r="A45" s="127">
        <v>2249</v>
      </c>
      <c r="B45" s="129" t="s">
        <v>227</v>
      </c>
      <c r="C45" s="238">
        <v>145.94</v>
      </c>
      <c r="D45" s="238">
        <v>0</v>
      </c>
      <c r="E45" s="238">
        <f t="shared" si="1"/>
        <v>0</v>
      </c>
      <c r="F45" s="28">
        <v>0</v>
      </c>
      <c r="H45" s="87"/>
    </row>
    <row r="46" spans="1:8" x14ac:dyDescent="0.35">
      <c r="A46" s="127">
        <v>2250</v>
      </c>
      <c r="B46" s="129" t="s">
        <v>186</v>
      </c>
      <c r="C46" s="238">
        <v>0</v>
      </c>
      <c r="D46" s="238">
        <v>0</v>
      </c>
      <c r="E46" s="238">
        <f t="shared" si="1"/>
        <v>0</v>
      </c>
      <c r="F46" s="28">
        <v>3.42</v>
      </c>
      <c r="H46" s="87"/>
    </row>
    <row r="47" spans="1:8" hidden="1" x14ac:dyDescent="0.35">
      <c r="A47" s="127">
        <v>2261</v>
      </c>
      <c r="B47" s="129" t="s">
        <v>11</v>
      </c>
      <c r="C47" s="238">
        <v>972.93</v>
      </c>
      <c r="D47" s="238">
        <v>0.73</v>
      </c>
      <c r="E47" s="238">
        <f t="shared" si="1"/>
        <v>21.9</v>
      </c>
      <c r="F47" s="28">
        <v>0</v>
      </c>
      <c r="H47" s="87"/>
    </row>
    <row r="48" spans="1:8" x14ac:dyDescent="0.35">
      <c r="A48" s="127">
        <v>2262</v>
      </c>
      <c r="B48" s="129" t="s">
        <v>12</v>
      </c>
      <c r="C48" s="238">
        <v>0</v>
      </c>
      <c r="D48" s="238">
        <v>0</v>
      </c>
      <c r="E48" s="238">
        <f t="shared" si="1"/>
        <v>0</v>
      </c>
      <c r="F48" s="28">
        <v>0.11</v>
      </c>
      <c r="H48" s="87"/>
    </row>
    <row r="49" spans="1:8" x14ac:dyDescent="0.35">
      <c r="A49" s="127">
        <v>2263</v>
      </c>
      <c r="B49" s="129" t="s">
        <v>167</v>
      </c>
      <c r="C49" s="238">
        <v>145.94</v>
      </c>
      <c r="D49" s="238">
        <v>0.11</v>
      </c>
      <c r="E49" s="238">
        <f t="shared" si="1"/>
        <v>3.3</v>
      </c>
      <c r="F49" s="28">
        <v>6.63</v>
      </c>
      <c r="H49" s="87"/>
    </row>
    <row r="50" spans="1:8" hidden="1" x14ac:dyDescent="0.35">
      <c r="A50" s="127">
        <v>2264</v>
      </c>
      <c r="B50" s="129" t="s">
        <v>13</v>
      </c>
      <c r="C50" s="238">
        <v>1848.58</v>
      </c>
      <c r="D50" s="238">
        <v>1.39</v>
      </c>
      <c r="E50" s="238">
        <f t="shared" si="1"/>
        <v>41.699999999999996</v>
      </c>
      <c r="F50" s="28">
        <v>0</v>
      </c>
      <c r="H50" s="87"/>
    </row>
    <row r="51" spans="1:8" x14ac:dyDescent="0.35">
      <c r="A51" s="127">
        <v>2311</v>
      </c>
      <c r="B51" s="129" t="s">
        <v>15</v>
      </c>
      <c r="C51" s="238">
        <v>0</v>
      </c>
      <c r="D51" s="238">
        <f>C51/12/166.83*1.5</f>
        <v>0</v>
      </c>
      <c r="E51" s="238">
        <f t="shared" si="1"/>
        <v>0</v>
      </c>
      <c r="F51" s="28">
        <v>0.11</v>
      </c>
      <c r="H51" s="87"/>
    </row>
    <row r="52" spans="1:8" x14ac:dyDescent="0.35">
      <c r="A52" s="127">
        <v>2312</v>
      </c>
      <c r="B52" s="129" t="s">
        <v>16</v>
      </c>
      <c r="C52" s="238">
        <v>145.94</v>
      </c>
      <c r="D52" s="238">
        <v>0.11</v>
      </c>
      <c r="E52" s="238">
        <f t="shared" si="1"/>
        <v>3.3</v>
      </c>
      <c r="F52" s="28">
        <v>0.16</v>
      </c>
      <c r="H52" s="87"/>
    </row>
    <row r="53" spans="1:8" x14ac:dyDescent="0.35">
      <c r="A53" s="127">
        <v>2321</v>
      </c>
      <c r="B53" s="129" t="s">
        <v>17</v>
      </c>
      <c r="C53" s="238">
        <v>145.94</v>
      </c>
      <c r="D53" s="238">
        <v>0.11</v>
      </c>
      <c r="E53" s="238">
        <f t="shared" si="1"/>
        <v>3.3</v>
      </c>
      <c r="F53" s="28">
        <v>11.28</v>
      </c>
      <c r="H53" s="87"/>
    </row>
    <row r="54" spans="1:8" x14ac:dyDescent="0.35">
      <c r="A54" s="127">
        <v>2322</v>
      </c>
      <c r="B54" s="129" t="s">
        <v>18</v>
      </c>
      <c r="C54" s="238">
        <v>972.93</v>
      </c>
      <c r="D54" s="238">
        <f>0.73*1.2</f>
        <v>0.876</v>
      </c>
      <c r="E54" s="238">
        <f>D54*30*1.2</f>
        <v>31.536000000000001</v>
      </c>
      <c r="F54" s="28">
        <v>0.37</v>
      </c>
      <c r="H54" s="87"/>
    </row>
    <row r="55" spans="1:8" hidden="1" x14ac:dyDescent="0.35">
      <c r="A55" s="127">
        <v>2341</v>
      </c>
      <c r="B55" s="129" t="s">
        <v>159</v>
      </c>
      <c r="C55" s="238">
        <v>145.94</v>
      </c>
      <c r="D55" s="238">
        <f>0.11*1.2</f>
        <v>0.13200000000000001</v>
      </c>
      <c r="E55" s="238">
        <f>D55*30*1.2</f>
        <v>4.7519999999999998</v>
      </c>
      <c r="F55" s="28">
        <v>0</v>
      </c>
      <c r="H55" s="87"/>
    </row>
    <row r="56" spans="1:8" hidden="1" x14ac:dyDescent="0.35">
      <c r="A56" s="127">
        <v>2344</v>
      </c>
      <c r="B56" s="129" t="s">
        <v>168</v>
      </c>
      <c r="C56" s="238">
        <v>0</v>
      </c>
      <c r="D56" s="238">
        <f>C56/12/166.83*1.5</f>
        <v>0</v>
      </c>
      <c r="E56" s="238">
        <f t="shared" ref="E56:E62" si="2">D56*30</f>
        <v>0</v>
      </c>
      <c r="F56" s="28">
        <v>0</v>
      </c>
      <c r="H56" s="87"/>
    </row>
    <row r="57" spans="1:8" x14ac:dyDescent="0.35">
      <c r="A57" s="127">
        <v>2350</v>
      </c>
      <c r="B57" s="129" t="s">
        <v>224</v>
      </c>
      <c r="C57" s="238">
        <v>0</v>
      </c>
      <c r="D57" s="238">
        <f>C57/12/166.83*1.5</f>
        <v>0</v>
      </c>
      <c r="E57" s="238">
        <f t="shared" si="2"/>
        <v>0</v>
      </c>
      <c r="F57" s="28">
        <v>1.28</v>
      </c>
      <c r="H57" s="87"/>
    </row>
    <row r="58" spans="1:8" hidden="1" x14ac:dyDescent="0.35">
      <c r="A58" s="127">
        <v>2512</v>
      </c>
      <c r="B58" s="129" t="s">
        <v>171</v>
      </c>
      <c r="C58" s="238">
        <v>437.82</v>
      </c>
      <c r="D58" s="238">
        <v>0.33</v>
      </c>
      <c r="E58" s="238">
        <f t="shared" si="2"/>
        <v>9.9</v>
      </c>
      <c r="F58" s="28">
        <v>0</v>
      </c>
      <c r="H58" s="87"/>
    </row>
    <row r="59" spans="1:8" x14ac:dyDescent="0.25">
      <c r="A59" s="27">
        <v>2513</v>
      </c>
      <c r="B59" s="29" t="s">
        <v>139</v>
      </c>
      <c r="C59" s="238">
        <v>145.94</v>
      </c>
      <c r="D59" s="238">
        <v>0.11</v>
      </c>
      <c r="E59" s="238">
        <f t="shared" si="2"/>
        <v>3.3</v>
      </c>
      <c r="F59" s="28">
        <v>1.02</v>
      </c>
      <c r="H59" s="87"/>
    </row>
    <row r="60" spans="1:8" x14ac:dyDescent="0.25">
      <c r="A60" s="27">
        <v>2515</v>
      </c>
      <c r="B60" s="29" t="s">
        <v>58</v>
      </c>
      <c r="C60" s="238"/>
      <c r="D60" s="238">
        <f>C60/12/166.83*1.5</f>
        <v>0</v>
      </c>
      <c r="E60" s="238">
        <f t="shared" si="2"/>
        <v>0</v>
      </c>
      <c r="F60" s="28">
        <v>0.21</v>
      </c>
    </row>
    <row r="61" spans="1:8" hidden="1" x14ac:dyDescent="0.25">
      <c r="A61" s="27">
        <v>2519</v>
      </c>
      <c r="B61" s="29" t="s">
        <v>24</v>
      </c>
      <c r="C61" s="238"/>
      <c r="D61" s="238">
        <v>0.18</v>
      </c>
      <c r="E61" s="238">
        <f t="shared" si="2"/>
        <v>5.3999999999999995</v>
      </c>
      <c r="F61" s="28">
        <v>0</v>
      </c>
    </row>
    <row r="62" spans="1:8" x14ac:dyDescent="0.25">
      <c r="A62" s="27">
        <v>5239</v>
      </c>
      <c r="B62" s="29" t="s">
        <v>296</v>
      </c>
      <c r="C62" s="238"/>
      <c r="D62" s="238">
        <v>0</v>
      </c>
      <c r="E62" s="238">
        <f t="shared" si="2"/>
        <v>0</v>
      </c>
      <c r="F62" s="28">
        <v>0.44</v>
      </c>
    </row>
    <row r="63" spans="1:8" x14ac:dyDescent="0.25">
      <c r="A63" s="32"/>
      <c r="B63" s="34" t="s">
        <v>175</v>
      </c>
      <c r="C63" s="240">
        <f>SUM(C32:C62)</f>
        <v>25442.239999999991</v>
      </c>
      <c r="D63" s="240">
        <f>SUM(D32:D62)</f>
        <v>19.998999999999999</v>
      </c>
      <c r="E63" s="240">
        <f>SUM(E32:E62)</f>
        <v>653.62169999999969</v>
      </c>
      <c r="F63" s="31">
        <f>SUM(F32:F62)</f>
        <v>122.60999999999999</v>
      </c>
    </row>
    <row r="64" spans="1:8" x14ac:dyDescent="0.25">
      <c r="A64" s="32"/>
      <c r="B64" s="34" t="s">
        <v>32</v>
      </c>
      <c r="C64" s="240">
        <f>C30+C63</f>
        <v>104774.92</v>
      </c>
      <c r="D64" s="240">
        <f>D30+D63</f>
        <v>64.629300000000001</v>
      </c>
      <c r="E64" s="240">
        <f>E30+E63</f>
        <v>2415.7651199999996</v>
      </c>
      <c r="F64" s="31">
        <f>F30+F63</f>
        <v>434.69999999999993</v>
      </c>
    </row>
    <row r="65" spans="1:9" x14ac:dyDescent="0.35">
      <c r="A65" s="35"/>
      <c r="B65" s="20"/>
      <c r="C65" s="241"/>
      <c r="D65" s="241"/>
      <c r="E65" s="241"/>
      <c r="F65" s="130"/>
    </row>
    <row r="66" spans="1:9" x14ac:dyDescent="0.35">
      <c r="A66" s="267" t="s">
        <v>176</v>
      </c>
      <c r="B66" s="268"/>
      <c r="C66" s="242"/>
      <c r="D66" s="242">
        <v>1</v>
      </c>
      <c r="E66" s="243">
        <v>30</v>
      </c>
      <c r="F66" s="102">
        <v>5</v>
      </c>
    </row>
    <row r="67" spans="1:9" x14ac:dyDescent="0.35">
      <c r="A67" s="267" t="s">
        <v>46</v>
      </c>
      <c r="B67" s="268"/>
      <c r="C67" s="240"/>
      <c r="D67" s="240">
        <f>D64/D66</f>
        <v>64.629300000000001</v>
      </c>
      <c r="E67" s="244">
        <f>ROUND(E64/E66,2)</f>
        <v>80.53</v>
      </c>
      <c r="F67" s="106">
        <f>F64/F66</f>
        <v>86.939999999999984</v>
      </c>
      <c r="G67" s="87"/>
      <c r="H67" s="87"/>
    </row>
    <row r="68" spans="1:9" x14ac:dyDescent="0.35">
      <c r="A68" s="20"/>
      <c r="B68" s="103"/>
      <c r="C68" s="234"/>
      <c r="D68" s="234"/>
      <c r="I68" s="87"/>
    </row>
    <row r="69" spans="1:9" x14ac:dyDescent="0.35">
      <c r="A69" s="267" t="s">
        <v>37</v>
      </c>
      <c r="B69" s="268"/>
      <c r="C69" s="245"/>
      <c r="D69" s="245"/>
      <c r="E69" s="245"/>
      <c r="F69" s="149"/>
    </row>
    <row r="70" spans="1:9" x14ac:dyDescent="0.35">
      <c r="A70" s="267" t="s">
        <v>55</v>
      </c>
      <c r="B70" s="268"/>
      <c r="C70" s="245"/>
      <c r="D70" s="245"/>
      <c r="E70" s="245"/>
      <c r="F70" s="39"/>
    </row>
    <row r="71" spans="1:9" x14ac:dyDescent="0.35">
      <c r="A71" s="17"/>
      <c r="B71" s="17"/>
      <c r="C71" s="246"/>
      <c r="D71" s="247"/>
      <c r="E71" s="246"/>
      <c r="F71" s="17"/>
    </row>
    <row r="72" spans="1:9" x14ac:dyDescent="0.35">
      <c r="A72" s="17" t="s">
        <v>38</v>
      </c>
      <c r="B72" s="17"/>
      <c r="C72" s="246"/>
      <c r="D72" s="246"/>
      <c r="E72" s="246"/>
      <c r="F72" s="65"/>
    </row>
    <row r="73" spans="1:9" x14ac:dyDescent="0.35">
      <c r="A73" s="17"/>
      <c r="B73" s="17"/>
      <c r="C73" s="247"/>
      <c r="D73" s="247"/>
      <c r="E73" s="246"/>
      <c r="F73" s="65"/>
    </row>
    <row r="74" spans="1:9" x14ac:dyDescent="0.35">
      <c r="A74" s="17" t="s">
        <v>268</v>
      </c>
      <c r="B74" s="18"/>
      <c r="C74" s="246"/>
      <c r="D74" s="246"/>
      <c r="E74" s="246"/>
      <c r="F74" s="17"/>
    </row>
    <row r="75" spans="1:9" x14ac:dyDescent="0.35">
      <c r="A75" s="17"/>
      <c r="B75" s="96"/>
      <c r="C75" s="246"/>
      <c r="D75" s="246"/>
      <c r="E75" s="246"/>
      <c r="F75" s="17"/>
    </row>
    <row r="76" spans="1:9" x14ac:dyDescent="0.35">
      <c r="B76" s="35"/>
    </row>
    <row r="77" spans="1:9" x14ac:dyDescent="0.35">
      <c r="B77" s="20"/>
    </row>
  </sheetData>
  <mergeCells count="7">
    <mergeCell ref="A69:B69"/>
    <mergeCell ref="A70:B70"/>
    <mergeCell ref="A7:E7"/>
    <mergeCell ref="A9:B9"/>
    <mergeCell ref="A10:B10"/>
    <mergeCell ref="A66:B66"/>
    <mergeCell ref="A67:B67"/>
  </mergeCells>
  <pageMargins left="0.70866141732283461" right="0.70866141732283461" top="0.69" bottom="0.65" header="0.31496062992125984" footer="0.16"/>
  <pageSetup paperSize="9" scale="65" fitToHeight="0" orientation="portrait" r:id="rId1"/>
  <headerFooter>
    <oddFooter>&amp;F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opLeftCell="A40" workbookViewId="0">
      <selection activeCell="A40" sqref="A1:IV65536"/>
    </sheetView>
  </sheetViews>
  <sheetFormatPr defaultRowHeight="15.5" x14ac:dyDescent="0.35"/>
  <cols>
    <col min="1" max="1" width="14.453125" style="13" customWidth="1"/>
    <col min="2" max="2" width="85.54296875" style="13" customWidth="1"/>
    <col min="3" max="3" width="10" style="13" hidden="1" customWidth="1"/>
    <col min="4" max="4" width="12" style="123" hidden="1" customWidth="1"/>
    <col min="5" max="5" width="24.453125" style="13" customWidth="1"/>
    <col min="6" max="6" width="12.26953125" style="13" customWidth="1"/>
  </cols>
  <sheetData>
    <row r="1" spans="1:5" x14ac:dyDescent="0.35">
      <c r="B1" s="11"/>
      <c r="C1" s="11"/>
      <c r="D1" s="171"/>
      <c r="E1" s="114" t="s">
        <v>35</v>
      </c>
    </row>
    <row r="2" spans="1:5" x14ac:dyDescent="0.35">
      <c r="B2" s="258" t="s">
        <v>39</v>
      </c>
      <c r="C2" s="258"/>
      <c r="D2" s="258"/>
      <c r="E2" s="271"/>
    </row>
    <row r="3" spans="1:5" x14ac:dyDescent="0.35">
      <c r="B3" s="12"/>
      <c r="C3" s="12"/>
      <c r="D3" s="172"/>
      <c r="E3" s="173" t="s">
        <v>56</v>
      </c>
    </row>
    <row r="4" spans="1:5" x14ac:dyDescent="0.35">
      <c r="B4" s="11"/>
      <c r="C4" s="11"/>
      <c r="D4" s="171"/>
      <c r="E4" s="35"/>
    </row>
    <row r="5" spans="1:5" x14ac:dyDescent="0.35">
      <c r="B5" s="116"/>
      <c r="C5" s="116"/>
      <c r="D5" s="174"/>
      <c r="E5" s="35" t="s">
        <v>304</v>
      </c>
    </row>
    <row r="6" spans="1:5" x14ac:dyDescent="0.35">
      <c r="E6" s="20"/>
    </row>
    <row r="7" spans="1:5" x14ac:dyDescent="0.35">
      <c r="A7" s="263" t="s">
        <v>5</v>
      </c>
      <c r="B7" s="263"/>
      <c r="C7" s="263"/>
      <c r="D7" s="263"/>
      <c r="E7" s="263"/>
    </row>
    <row r="8" spans="1:5" x14ac:dyDescent="0.35">
      <c r="B8" s="135"/>
      <c r="C8" s="135"/>
      <c r="D8" s="175"/>
      <c r="E8" s="20"/>
    </row>
    <row r="9" spans="1:5" x14ac:dyDescent="0.35">
      <c r="A9" s="262" t="s">
        <v>1</v>
      </c>
      <c r="B9" s="262"/>
      <c r="C9" s="9"/>
      <c r="D9" s="176"/>
      <c r="E9" s="20"/>
    </row>
    <row r="10" spans="1:5" x14ac:dyDescent="0.35">
      <c r="A10" s="262" t="s">
        <v>0</v>
      </c>
      <c r="B10" s="262"/>
      <c r="C10" s="9"/>
      <c r="D10" s="176"/>
      <c r="E10" s="20"/>
    </row>
    <row r="11" spans="1:5" x14ac:dyDescent="0.35">
      <c r="A11" s="9"/>
      <c r="B11" s="9" t="s">
        <v>216</v>
      </c>
      <c r="C11" s="9"/>
      <c r="D11" s="176"/>
      <c r="E11" s="20"/>
    </row>
    <row r="12" spans="1:5" x14ac:dyDescent="0.35">
      <c r="A12" s="9"/>
      <c r="B12" s="9" t="s">
        <v>305</v>
      </c>
      <c r="C12" s="9"/>
      <c r="D12" s="176"/>
      <c r="E12" s="20"/>
    </row>
    <row r="13" spans="1:5" x14ac:dyDescent="0.35">
      <c r="A13" s="9"/>
      <c r="B13" s="9" t="s">
        <v>324</v>
      </c>
      <c r="C13" s="9"/>
      <c r="D13" s="176"/>
      <c r="E13" s="20"/>
    </row>
    <row r="14" spans="1:5" x14ac:dyDescent="0.35">
      <c r="A14" s="9" t="s">
        <v>2</v>
      </c>
      <c r="B14" s="9" t="s">
        <v>302</v>
      </c>
      <c r="C14" s="9"/>
      <c r="D14" s="176"/>
      <c r="E14" s="20"/>
    </row>
    <row r="15" spans="1:5" hidden="1" x14ac:dyDescent="0.35">
      <c r="A15" s="9"/>
      <c r="B15" s="9"/>
      <c r="C15" s="9"/>
      <c r="D15" s="176"/>
      <c r="E15" s="20"/>
    </row>
    <row r="16" spans="1:5" ht="62" x14ac:dyDescent="0.35">
      <c r="A16" s="54" t="s">
        <v>3</v>
      </c>
      <c r="B16" s="54" t="s">
        <v>4</v>
      </c>
      <c r="C16" s="54"/>
      <c r="D16" s="177"/>
      <c r="E16" s="54" t="s">
        <v>155</v>
      </c>
    </row>
    <row r="17" spans="1:5" x14ac:dyDescent="0.35">
      <c r="A17" s="22">
        <v>1</v>
      </c>
      <c r="B17" s="23">
        <v>2</v>
      </c>
      <c r="C17" s="23"/>
      <c r="D17" s="178"/>
      <c r="E17" s="23">
        <v>3</v>
      </c>
    </row>
    <row r="18" spans="1:5" x14ac:dyDescent="0.35">
      <c r="A18" s="22"/>
      <c r="B18" s="125" t="s">
        <v>156</v>
      </c>
      <c r="C18" s="125"/>
      <c r="D18" s="179"/>
      <c r="E18" s="127"/>
    </row>
    <row r="19" spans="1:5" x14ac:dyDescent="0.35">
      <c r="A19" s="27">
        <v>1100</v>
      </c>
      <c r="B19" s="27" t="s">
        <v>157</v>
      </c>
      <c r="C19" s="27"/>
      <c r="D19" s="180">
        <v>10.62</v>
      </c>
      <c r="E19" s="28">
        <f>9.6*20</f>
        <v>192</v>
      </c>
    </row>
    <row r="20" spans="1:5" x14ac:dyDescent="0.35">
      <c r="A20" s="27">
        <v>1200</v>
      </c>
      <c r="B20" s="127" t="s">
        <v>187</v>
      </c>
      <c r="C20" s="127"/>
      <c r="D20" s="180">
        <v>2.5099999999999998</v>
      </c>
      <c r="E20" s="28">
        <v>45.29</v>
      </c>
    </row>
    <row r="21" spans="1:5" x14ac:dyDescent="0.35">
      <c r="A21" s="27">
        <v>2223</v>
      </c>
      <c r="B21" s="129" t="s">
        <v>209</v>
      </c>
      <c r="C21" s="127"/>
      <c r="D21" s="180"/>
      <c r="E21" s="28">
        <f>0.11*20</f>
        <v>2.2000000000000002</v>
      </c>
    </row>
    <row r="22" spans="1:5" x14ac:dyDescent="0.35">
      <c r="A22" s="33">
        <v>2312</v>
      </c>
      <c r="B22" s="129" t="s">
        <v>308</v>
      </c>
      <c r="C22" s="127"/>
      <c r="D22" s="180"/>
      <c r="E22" s="28">
        <f>0.11*20</f>
        <v>2.2000000000000002</v>
      </c>
    </row>
    <row r="23" spans="1:5" x14ac:dyDescent="0.35">
      <c r="A23" s="27">
        <v>2321</v>
      </c>
      <c r="B23" s="129" t="s">
        <v>309</v>
      </c>
      <c r="C23" s="127"/>
      <c r="D23" s="180"/>
      <c r="E23" s="28">
        <f>0.13*20</f>
        <v>2.6</v>
      </c>
    </row>
    <row r="24" spans="1:5" x14ac:dyDescent="0.35">
      <c r="A24" s="33">
        <v>2341</v>
      </c>
      <c r="B24" s="129" t="s">
        <v>310</v>
      </c>
      <c r="C24" s="129"/>
      <c r="D24" s="180">
        <v>0.31</v>
      </c>
      <c r="E24" s="28">
        <f>0.11/2*20</f>
        <v>1.1000000000000001</v>
      </c>
    </row>
    <row r="25" spans="1:5" x14ac:dyDescent="0.35">
      <c r="A25" s="33">
        <v>2350</v>
      </c>
      <c r="B25" s="127" t="s">
        <v>206</v>
      </c>
      <c r="C25" s="127"/>
      <c r="D25" s="180">
        <v>0.04</v>
      </c>
      <c r="E25" s="28">
        <f>E24</f>
        <v>1.1000000000000001</v>
      </c>
    </row>
    <row r="26" spans="1:5" x14ac:dyDescent="0.35">
      <c r="A26" s="33">
        <v>5239</v>
      </c>
      <c r="B26" s="29" t="s">
        <v>296</v>
      </c>
      <c r="C26" s="127"/>
      <c r="D26" s="180"/>
      <c r="E26" s="28">
        <f>0.12*20</f>
        <v>2.4</v>
      </c>
    </row>
    <row r="27" spans="1:5" x14ac:dyDescent="0.35">
      <c r="A27" s="27"/>
      <c r="B27" s="163" t="s">
        <v>161</v>
      </c>
      <c r="C27" s="163"/>
      <c r="D27" s="181">
        <f>SUM(D19:D25)</f>
        <v>13.479999999999999</v>
      </c>
      <c r="E27" s="31">
        <f>SUM(E19:E26)</f>
        <v>248.88999999999996</v>
      </c>
    </row>
    <row r="28" spans="1:5" x14ac:dyDescent="0.35">
      <c r="A28" s="32"/>
      <c r="B28" s="163" t="s">
        <v>162</v>
      </c>
      <c r="C28" s="163"/>
      <c r="D28" s="180"/>
      <c r="E28" s="28"/>
    </row>
    <row r="29" spans="1:5" x14ac:dyDescent="0.35">
      <c r="A29" s="27">
        <v>1100</v>
      </c>
      <c r="B29" s="125" t="s">
        <v>157</v>
      </c>
      <c r="C29" s="127">
        <f>0.388+0.024</f>
        <v>0.41200000000000003</v>
      </c>
      <c r="D29" s="182">
        <f>3.07*C29</f>
        <v>1.26484</v>
      </c>
      <c r="E29" s="28">
        <v>43.84</v>
      </c>
    </row>
    <row r="30" spans="1:5" x14ac:dyDescent="0.35">
      <c r="A30" s="27">
        <v>1200</v>
      </c>
      <c r="B30" s="125" t="s">
        <v>187</v>
      </c>
      <c r="C30" s="127">
        <f>C29*0.2359</f>
        <v>9.7190800000000008E-2</v>
      </c>
      <c r="D30" s="182">
        <f>D29*0.2359</f>
        <v>0.29837575599999999</v>
      </c>
      <c r="E30" s="28">
        <v>10.34</v>
      </c>
    </row>
    <row r="31" spans="1:5" x14ac:dyDescent="0.35">
      <c r="A31" s="27">
        <v>2100</v>
      </c>
      <c r="B31" s="128" t="s">
        <v>163</v>
      </c>
      <c r="C31" s="127">
        <v>1.1659999999999999E-3</v>
      </c>
      <c r="D31" s="183">
        <f t="shared" ref="D31:D70" si="0">C31*3.07</f>
        <v>3.5796199999999995E-3</v>
      </c>
      <c r="E31" s="28">
        <v>7.0000000000000007E-2</v>
      </c>
    </row>
    <row r="32" spans="1:5" x14ac:dyDescent="0.35">
      <c r="A32" s="33">
        <v>2210</v>
      </c>
      <c r="B32" s="129" t="s">
        <v>207</v>
      </c>
      <c r="C32" s="127">
        <v>7.6E-3</v>
      </c>
      <c r="D32" s="183">
        <f t="shared" si="0"/>
        <v>2.3331999999999999E-2</v>
      </c>
      <c r="E32" s="28">
        <v>0.47</v>
      </c>
    </row>
    <row r="33" spans="1:5" x14ac:dyDescent="0.35">
      <c r="A33" s="27">
        <v>2222</v>
      </c>
      <c r="B33" s="129" t="s">
        <v>311</v>
      </c>
      <c r="C33" s="127">
        <v>9.4999999999999998E-3</v>
      </c>
      <c r="D33" s="183">
        <f t="shared" si="0"/>
        <v>2.9164999999999996E-2</v>
      </c>
      <c r="E33" s="28">
        <v>0.57999999999999996</v>
      </c>
    </row>
    <row r="34" spans="1:5" x14ac:dyDescent="0.35">
      <c r="A34" s="27">
        <v>2223</v>
      </c>
      <c r="B34" s="129" t="s">
        <v>209</v>
      </c>
      <c r="C34" s="127">
        <v>1.9019999999999999E-2</v>
      </c>
      <c r="D34" s="183">
        <f t="shared" si="0"/>
        <v>5.8391399999999996E-2</v>
      </c>
      <c r="E34" s="28">
        <v>1.17</v>
      </c>
    </row>
    <row r="35" spans="1:5" ht="31" x14ac:dyDescent="0.35">
      <c r="A35" s="27">
        <v>2224</v>
      </c>
      <c r="B35" s="129" t="s">
        <v>312</v>
      </c>
      <c r="C35" s="127">
        <v>4.9500000000000004E-3</v>
      </c>
      <c r="D35" s="183">
        <f t="shared" si="0"/>
        <v>1.51965E-2</v>
      </c>
      <c r="E35" s="28">
        <v>0.3</v>
      </c>
    </row>
    <row r="36" spans="1:5" x14ac:dyDescent="0.35">
      <c r="A36" s="27">
        <v>2231</v>
      </c>
      <c r="B36" s="125" t="s">
        <v>143</v>
      </c>
      <c r="C36" s="127">
        <v>1.5499999999999999E-3</v>
      </c>
      <c r="D36" s="183">
        <f t="shared" si="0"/>
        <v>4.7584999999999997E-3</v>
      </c>
      <c r="E36" s="28">
        <v>0.1</v>
      </c>
    </row>
    <row r="37" spans="1:5" x14ac:dyDescent="0.35">
      <c r="A37" s="27">
        <v>2235</v>
      </c>
      <c r="B37" s="184" t="s">
        <v>313</v>
      </c>
      <c r="C37" s="127">
        <v>1.65E-3</v>
      </c>
      <c r="D37" s="183">
        <f t="shared" si="0"/>
        <v>5.0654999999999997E-3</v>
      </c>
      <c r="E37" s="28">
        <v>0.1</v>
      </c>
    </row>
    <row r="38" spans="1:5" x14ac:dyDescent="0.35">
      <c r="A38" s="27">
        <v>2239</v>
      </c>
      <c r="B38" s="125" t="s">
        <v>183</v>
      </c>
      <c r="C38" s="127">
        <v>4.4099999999999999E-3</v>
      </c>
      <c r="D38" s="183">
        <f t="shared" si="0"/>
        <v>1.3538699999999999E-2</v>
      </c>
      <c r="E38" s="28">
        <v>0.27</v>
      </c>
    </row>
    <row r="39" spans="1:5" x14ac:dyDescent="0.35">
      <c r="A39" s="27">
        <v>2241</v>
      </c>
      <c r="B39" s="125" t="s">
        <v>208</v>
      </c>
      <c r="C39" s="127">
        <v>1.6500000000000001E-2</v>
      </c>
      <c r="D39" s="183">
        <f t="shared" si="0"/>
        <v>5.0654999999999999E-2</v>
      </c>
      <c r="E39" s="28">
        <v>1.01</v>
      </c>
    </row>
    <row r="40" spans="1:5" x14ac:dyDescent="0.35">
      <c r="A40" s="27">
        <v>2242</v>
      </c>
      <c r="B40" s="129" t="s">
        <v>314</v>
      </c>
      <c r="C40" s="127">
        <v>2.2599999999999999E-3</v>
      </c>
      <c r="D40" s="183">
        <f t="shared" si="0"/>
        <v>6.9381999999999994E-3</v>
      </c>
      <c r="E40" s="28">
        <v>0.14000000000000001</v>
      </c>
    </row>
    <row r="41" spans="1:5" x14ac:dyDescent="0.35">
      <c r="A41" s="27">
        <v>2243</v>
      </c>
      <c r="B41" s="125" t="s">
        <v>197</v>
      </c>
      <c r="C41" s="127">
        <v>3.2599999999999997E-2</v>
      </c>
      <c r="D41" s="183">
        <f t="shared" si="0"/>
        <v>0.10008199999999999</v>
      </c>
      <c r="E41" s="28">
        <v>2</v>
      </c>
    </row>
    <row r="42" spans="1:5" x14ac:dyDescent="0.35">
      <c r="A42" s="27">
        <v>2244</v>
      </c>
      <c r="B42" s="125" t="s">
        <v>191</v>
      </c>
      <c r="C42" s="127">
        <v>0.20397000000000001</v>
      </c>
      <c r="D42" s="183">
        <f t="shared" si="0"/>
        <v>0.62618790000000002</v>
      </c>
      <c r="E42" s="28">
        <v>12.52</v>
      </c>
    </row>
    <row r="43" spans="1:5" x14ac:dyDescent="0.35">
      <c r="A43" s="27">
        <v>2247</v>
      </c>
      <c r="B43" s="125" t="s">
        <v>164</v>
      </c>
      <c r="C43" s="127">
        <v>7.1900000000000002E-4</v>
      </c>
      <c r="D43" s="183">
        <f t="shared" si="0"/>
        <v>2.20733E-3</v>
      </c>
      <c r="E43" s="28">
        <v>0.04</v>
      </c>
    </row>
    <row r="44" spans="1:5" x14ac:dyDescent="0.35">
      <c r="A44" s="27">
        <v>2249</v>
      </c>
      <c r="B44" s="125" t="s">
        <v>315</v>
      </c>
      <c r="C44" s="127">
        <v>2.32E-4</v>
      </c>
      <c r="D44" s="183">
        <f t="shared" si="0"/>
        <v>7.1223999999999994E-4</v>
      </c>
      <c r="E44" s="28">
        <v>0.01</v>
      </c>
    </row>
    <row r="45" spans="1:5" x14ac:dyDescent="0.35">
      <c r="A45" s="27">
        <v>2250</v>
      </c>
      <c r="B45" s="125" t="s">
        <v>204</v>
      </c>
      <c r="C45" s="127">
        <v>2.4025999999999999E-2</v>
      </c>
      <c r="D45" s="183">
        <f t="shared" si="0"/>
        <v>7.375981999999999E-2</v>
      </c>
      <c r="E45" s="28">
        <v>1.48</v>
      </c>
    </row>
    <row r="46" spans="1:5" hidden="1" x14ac:dyDescent="0.35">
      <c r="A46" s="27">
        <v>2261</v>
      </c>
      <c r="B46" s="129" t="s">
        <v>11</v>
      </c>
      <c r="C46" s="127">
        <v>0</v>
      </c>
      <c r="D46" s="183">
        <f t="shared" si="0"/>
        <v>0</v>
      </c>
      <c r="E46" s="28">
        <v>0</v>
      </c>
    </row>
    <row r="47" spans="1:5" x14ac:dyDescent="0.35">
      <c r="A47" s="27">
        <v>2262</v>
      </c>
      <c r="B47" s="129" t="s">
        <v>210</v>
      </c>
      <c r="C47" s="127">
        <v>6.2599999999999999E-3</v>
      </c>
      <c r="D47" s="183">
        <f t="shared" si="0"/>
        <v>1.9218199999999998E-2</v>
      </c>
      <c r="E47" s="28">
        <v>0.38</v>
      </c>
    </row>
    <row r="48" spans="1:5" x14ac:dyDescent="0.35">
      <c r="A48" s="27">
        <v>2263</v>
      </c>
      <c r="B48" s="129" t="s">
        <v>211</v>
      </c>
      <c r="C48" s="127">
        <v>4.58E-2</v>
      </c>
      <c r="D48" s="183">
        <f t="shared" si="0"/>
        <v>0.14060599999999998</v>
      </c>
      <c r="E48" s="28">
        <v>2.81</v>
      </c>
    </row>
    <row r="49" spans="1:5" x14ac:dyDescent="0.35">
      <c r="A49" s="27">
        <v>2264</v>
      </c>
      <c r="B49" s="125" t="s">
        <v>212</v>
      </c>
      <c r="C49" s="127">
        <v>1.49E-3</v>
      </c>
      <c r="D49" s="183">
        <f t="shared" si="0"/>
        <v>4.5742999999999999E-3</v>
      </c>
      <c r="E49" s="28">
        <v>0.09</v>
      </c>
    </row>
    <row r="50" spans="1:5" x14ac:dyDescent="0.35">
      <c r="A50" s="27">
        <v>2311</v>
      </c>
      <c r="B50" s="129" t="s">
        <v>307</v>
      </c>
      <c r="C50" s="127">
        <v>4.7699999999999999E-3</v>
      </c>
      <c r="D50" s="183">
        <f t="shared" si="0"/>
        <v>1.46439E-2</v>
      </c>
      <c r="E50" s="28">
        <v>0.28999999999999998</v>
      </c>
    </row>
    <row r="51" spans="1:5" x14ac:dyDescent="0.35">
      <c r="A51" s="27">
        <v>2312</v>
      </c>
      <c r="B51" s="129" t="s">
        <v>308</v>
      </c>
      <c r="C51" s="127">
        <v>5.79E-3</v>
      </c>
      <c r="D51" s="183">
        <f t="shared" si="0"/>
        <v>1.7775300000000001E-2</v>
      </c>
      <c r="E51" s="28">
        <v>0.36</v>
      </c>
    </row>
    <row r="52" spans="1:5" x14ac:dyDescent="0.35">
      <c r="A52" s="27">
        <v>2313</v>
      </c>
      <c r="B52" s="129" t="s">
        <v>316</v>
      </c>
      <c r="C52" s="127"/>
      <c r="D52" s="183"/>
      <c r="E52" s="28">
        <v>0.06</v>
      </c>
    </row>
    <row r="53" spans="1:5" x14ac:dyDescent="0.35">
      <c r="A53" s="27">
        <v>2314</v>
      </c>
      <c r="B53" s="184" t="s">
        <v>317</v>
      </c>
      <c r="C53" s="127">
        <v>2.2200000000000002E-3</v>
      </c>
      <c r="D53" s="183">
        <f t="shared" si="0"/>
        <v>6.8154000000000001E-3</v>
      </c>
      <c r="E53" s="28">
        <v>0.08</v>
      </c>
    </row>
    <row r="54" spans="1:5" x14ac:dyDescent="0.35">
      <c r="A54" s="27">
        <v>2321</v>
      </c>
      <c r="B54" s="129" t="s">
        <v>309</v>
      </c>
      <c r="C54" s="127">
        <v>1.9800000000000002E-2</v>
      </c>
      <c r="D54" s="183">
        <f t="shared" si="0"/>
        <v>6.0786E-2</v>
      </c>
      <c r="E54" s="28">
        <v>1.22</v>
      </c>
    </row>
    <row r="55" spans="1:5" x14ac:dyDescent="0.35">
      <c r="A55" s="27">
        <v>2322</v>
      </c>
      <c r="B55" s="129" t="s">
        <v>318</v>
      </c>
      <c r="C55" s="127">
        <v>3.5000000000000001E-3</v>
      </c>
      <c r="D55" s="183">
        <f t="shared" si="0"/>
        <v>1.0744999999999999E-2</v>
      </c>
      <c r="E55" s="28">
        <v>0.21</v>
      </c>
    </row>
    <row r="56" spans="1:5" hidden="1" x14ac:dyDescent="0.35">
      <c r="A56" s="27">
        <v>2341</v>
      </c>
      <c r="B56" s="129" t="s">
        <v>159</v>
      </c>
      <c r="C56" s="127"/>
      <c r="D56" s="183">
        <f t="shared" si="0"/>
        <v>0</v>
      </c>
      <c r="E56" s="28">
        <v>0</v>
      </c>
    </row>
    <row r="57" spans="1:5" x14ac:dyDescent="0.35">
      <c r="A57" s="27">
        <v>2350</v>
      </c>
      <c r="B57" s="127" t="s">
        <v>206</v>
      </c>
      <c r="C57" s="127">
        <v>8.5000000000000006E-3</v>
      </c>
      <c r="D57" s="183">
        <f t="shared" si="0"/>
        <v>2.6095E-2</v>
      </c>
      <c r="E57" s="28">
        <v>0.52</v>
      </c>
    </row>
    <row r="58" spans="1:5" hidden="1" x14ac:dyDescent="0.35">
      <c r="A58" s="27">
        <v>2361</v>
      </c>
      <c r="B58" s="129" t="s">
        <v>20</v>
      </c>
      <c r="C58" s="127">
        <v>0</v>
      </c>
      <c r="D58" s="183">
        <f t="shared" si="0"/>
        <v>0</v>
      </c>
      <c r="E58" s="28">
        <v>0</v>
      </c>
    </row>
    <row r="59" spans="1:5" hidden="1" x14ac:dyDescent="0.35">
      <c r="A59" s="27">
        <v>2362</v>
      </c>
      <c r="B59" s="129" t="s">
        <v>169</v>
      </c>
      <c r="C59" s="127">
        <v>0</v>
      </c>
      <c r="D59" s="183">
        <f t="shared" si="0"/>
        <v>0</v>
      </c>
      <c r="E59" s="28">
        <v>0</v>
      </c>
    </row>
    <row r="60" spans="1:5" hidden="1" x14ac:dyDescent="0.35">
      <c r="A60" s="27">
        <v>2363</v>
      </c>
      <c r="B60" s="129" t="s">
        <v>170</v>
      </c>
      <c r="C60" s="127">
        <v>0</v>
      </c>
      <c r="D60" s="183">
        <f t="shared" si="0"/>
        <v>0</v>
      </c>
      <c r="E60" s="28">
        <v>0</v>
      </c>
    </row>
    <row r="61" spans="1:5" hidden="1" x14ac:dyDescent="0.35">
      <c r="A61" s="27">
        <v>2370</v>
      </c>
      <c r="B61" s="129" t="s">
        <v>21</v>
      </c>
      <c r="C61" s="127">
        <v>0</v>
      </c>
      <c r="D61" s="183">
        <f t="shared" si="0"/>
        <v>0</v>
      </c>
      <c r="E61" s="28">
        <v>0</v>
      </c>
    </row>
    <row r="62" spans="1:5" hidden="1" x14ac:dyDescent="0.35">
      <c r="A62" s="27">
        <v>2400</v>
      </c>
      <c r="B62" s="129" t="s">
        <v>31</v>
      </c>
      <c r="C62" s="127">
        <v>0</v>
      </c>
      <c r="D62" s="183">
        <f t="shared" si="0"/>
        <v>0</v>
      </c>
      <c r="E62" s="28">
        <v>0</v>
      </c>
    </row>
    <row r="63" spans="1:5" hidden="1" x14ac:dyDescent="0.35">
      <c r="A63" s="27">
        <v>2512</v>
      </c>
      <c r="B63" s="129" t="s">
        <v>171</v>
      </c>
      <c r="C63" s="127">
        <v>0</v>
      </c>
      <c r="D63" s="183">
        <f t="shared" si="0"/>
        <v>0</v>
      </c>
      <c r="E63" s="28">
        <v>0</v>
      </c>
    </row>
    <row r="64" spans="1:5" x14ac:dyDescent="0.35">
      <c r="A64" s="27">
        <v>2513</v>
      </c>
      <c r="B64" s="127" t="s">
        <v>319</v>
      </c>
      <c r="C64" s="127">
        <v>1.4599999999999999E-3</v>
      </c>
      <c r="D64" s="183">
        <f t="shared" si="0"/>
        <v>4.4821999999999996E-3</v>
      </c>
      <c r="E64" s="28">
        <v>0.09</v>
      </c>
    </row>
    <row r="65" spans="1:6" x14ac:dyDescent="0.35">
      <c r="A65" s="27">
        <v>2515</v>
      </c>
      <c r="B65" s="129" t="s">
        <v>172</v>
      </c>
      <c r="C65" s="127">
        <v>1.9E-3</v>
      </c>
      <c r="D65" s="183">
        <f t="shared" si="0"/>
        <v>5.8329999999999996E-3</v>
      </c>
      <c r="E65" s="28">
        <v>0.12</v>
      </c>
    </row>
    <row r="66" spans="1:6" x14ac:dyDescent="0.35">
      <c r="A66" s="27">
        <v>2519</v>
      </c>
      <c r="B66" s="129" t="s">
        <v>320</v>
      </c>
      <c r="C66" s="127">
        <v>2E-3</v>
      </c>
      <c r="D66" s="183">
        <f t="shared" si="0"/>
        <v>6.1399999999999996E-3</v>
      </c>
      <c r="E66" s="28">
        <v>0.12</v>
      </c>
    </row>
    <row r="67" spans="1:6" x14ac:dyDescent="0.35">
      <c r="A67" s="27">
        <v>5220</v>
      </c>
      <c r="B67" s="129" t="s">
        <v>321</v>
      </c>
      <c r="C67" s="127">
        <v>1.06E-2</v>
      </c>
      <c r="D67" s="183">
        <f t="shared" si="0"/>
        <v>3.2542000000000001E-2</v>
      </c>
      <c r="E67" s="28">
        <v>0.65</v>
      </c>
    </row>
    <row r="68" spans="1:6" x14ac:dyDescent="0.35">
      <c r="A68" s="27">
        <v>5238</v>
      </c>
      <c r="B68" s="127" t="s">
        <v>322</v>
      </c>
      <c r="C68" s="127">
        <v>1.65E-3</v>
      </c>
      <c r="D68" s="183">
        <f t="shared" si="0"/>
        <v>5.0654999999999997E-3</v>
      </c>
      <c r="E68" s="28">
        <v>0.11</v>
      </c>
    </row>
    <row r="69" spans="1:6" x14ac:dyDescent="0.35">
      <c r="A69" s="27">
        <v>5239</v>
      </c>
      <c r="B69" s="127" t="s">
        <v>323</v>
      </c>
      <c r="C69" s="127">
        <v>1.9800000000000002E-2</v>
      </c>
      <c r="D69" s="183">
        <f t="shared" si="0"/>
        <v>6.0786E-2</v>
      </c>
      <c r="E69" s="28">
        <v>1.22</v>
      </c>
    </row>
    <row r="70" spans="1:6" x14ac:dyDescent="0.35">
      <c r="A70" s="27">
        <v>5250</v>
      </c>
      <c r="B70" s="129" t="s">
        <v>203</v>
      </c>
      <c r="C70" s="127">
        <v>2.5000000000000001E-2</v>
      </c>
      <c r="D70" s="183">
        <f t="shared" si="0"/>
        <v>7.6749999999999999E-2</v>
      </c>
      <c r="E70" s="28">
        <v>1.54</v>
      </c>
    </row>
    <row r="71" spans="1:6" x14ac:dyDescent="0.35">
      <c r="A71" s="32"/>
      <c r="B71" s="164" t="s">
        <v>66</v>
      </c>
      <c r="C71" s="127">
        <f>SUM(C29:C70)</f>
        <v>0.99988380000000032</v>
      </c>
      <c r="D71" s="31">
        <f>SUM(D29:D70)</f>
        <v>3.0696432659999986</v>
      </c>
      <c r="E71" s="31">
        <f>SUM(E29:E70)</f>
        <v>84.310000000000045</v>
      </c>
    </row>
    <row r="72" spans="1:6" x14ac:dyDescent="0.35">
      <c r="A72" s="32"/>
      <c r="B72" s="164" t="s">
        <v>67</v>
      </c>
      <c r="C72" s="164"/>
      <c r="D72" s="181">
        <f>D27+D71</f>
        <v>16.549643265999997</v>
      </c>
      <c r="E72" s="31">
        <f>E27+E71</f>
        <v>333.2</v>
      </c>
    </row>
    <row r="73" spans="1:6" x14ac:dyDescent="0.35">
      <c r="A73" s="35"/>
      <c r="B73" s="20"/>
      <c r="C73" s="20"/>
      <c r="D73" s="185"/>
      <c r="E73" s="130"/>
    </row>
    <row r="74" spans="1:6" x14ac:dyDescent="0.35">
      <c r="A74" s="281" t="s">
        <v>176</v>
      </c>
      <c r="B74" s="281"/>
      <c r="C74" s="186"/>
      <c r="D74" s="187"/>
      <c r="E74" s="107">
        <v>20</v>
      </c>
    </row>
    <row r="75" spans="1:6" x14ac:dyDescent="0.35">
      <c r="A75" s="281" t="s">
        <v>46</v>
      </c>
      <c r="B75" s="281"/>
      <c r="C75" s="186"/>
      <c r="D75" s="187"/>
      <c r="E75" s="108">
        <f>E72/E74</f>
        <v>16.66</v>
      </c>
      <c r="F75" s="123"/>
    </row>
    <row r="76" spans="1:6" x14ac:dyDescent="0.35">
      <c r="A76" s="41"/>
      <c r="B76" s="52"/>
      <c r="C76" s="52"/>
      <c r="D76" s="61"/>
    </row>
    <row r="77" spans="1:6" x14ac:dyDescent="0.35">
      <c r="A77" s="280" t="s">
        <v>37</v>
      </c>
      <c r="B77" s="280"/>
      <c r="C77" s="188"/>
      <c r="D77" s="189"/>
      <c r="E77" s="39"/>
    </row>
    <row r="78" spans="1:6" x14ac:dyDescent="0.35">
      <c r="A78" s="280" t="s">
        <v>54</v>
      </c>
      <c r="B78" s="280"/>
      <c r="C78" s="188"/>
      <c r="D78" s="189"/>
      <c r="E78" s="39"/>
    </row>
    <row r="79" spans="1:6" x14ac:dyDescent="0.35">
      <c r="A79" s="17"/>
      <c r="B79" s="17"/>
      <c r="C79" s="17"/>
      <c r="D79" s="65"/>
      <c r="E79" s="17"/>
    </row>
    <row r="80" spans="1:6" x14ac:dyDescent="0.35">
      <c r="A80" s="17" t="s">
        <v>38</v>
      </c>
      <c r="B80" s="17"/>
      <c r="C80" s="17"/>
      <c r="D80" s="65"/>
      <c r="E80" s="65"/>
    </row>
    <row r="81" spans="1:5" x14ac:dyDescent="0.35">
      <c r="A81" s="17"/>
      <c r="B81" s="17"/>
      <c r="C81" s="17"/>
      <c r="D81" s="65"/>
      <c r="E81" s="65"/>
    </row>
    <row r="82" spans="1:5" x14ac:dyDescent="0.35">
      <c r="A82" s="17" t="s">
        <v>268</v>
      </c>
      <c r="B82" s="18"/>
      <c r="C82" s="18"/>
      <c r="D82" s="91"/>
      <c r="E82" s="17"/>
    </row>
    <row r="83" spans="1:5" x14ac:dyDescent="0.35">
      <c r="B83" s="190"/>
      <c r="C83" s="190"/>
      <c r="D83" s="191"/>
      <c r="E83" s="192"/>
    </row>
    <row r="85" spans="1:5" x14ac:dyDescent="0.35">
      <c r="E85" s="123"/>
    </row>
  </sheetData>
  <mergeCells count="8">
    <mergeCell ref="A77:B77"/>
    <mergeCell ref="A78:B78"/>
    <mergeCell ref="B2:E2"/>
    <mergeCell ref="A7:E7"/>
    <mergeCell ref="A9:B9"/>
    <mergeCell ref="A10:B10"/>
    <mergeCell ref="A74:B74"/>
    <mergeCell ref="A75:B75"/>
  </mergeCells>
  <pageMargins left="0.70866141732283472" right="0.70866141732283472" top="0.74803149606299213" bottom="0.15748031496062992" header="0.31496062992125984" footer="0.31496062992125984"/>
  <pageSetup paperSize="9" scale="65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topLeftCell="A58" workbookViewId="0">
      <selection activeCell="A58" sqref="A1:IV65536"/>
    </sheetView>
  </sheetViews>
  <sheetFormatPr defaultRowHeight="15.5" x14ac:dyDescent="0.35"/>
  <cols>
    <col min="1" max="1" width="14.453125" style="13" customWidth="1"/>
    <col min="2" max="2" width="87.1796875" style="13" customWidth="1"/>
    <col min="3" max="3" width="10" style="13" hidden="1" customWidth="1"/>
    <col min="4" max="4" width="12" style="123" hidden="1" customWidth="1"/>
    <col min="5" max="5" width="32.54296875" style="13" customWidth="1"/>
    <col min="6" max="6" width="12.26953125" style="13" customWidth="1"/>
  </cols>
  <sheetData>
    <row r="1" spans="1:5" x14ac:dyDescent="0.35">
      <c r="B1" s="11"/>
      <c r="C1" s="11"/>
      <c r="D1" s="171"/>
      <c r="E1" s="114" t="s">
        <v>35</v>
      </c>
    </row>
    <row r="2" spans="1:5" x14ac:dyDescent="0.35">
      <c r="B2" s="258" t="s">
        <v>39</v>
      </c>
      <c r="C2" s="258"/>
      <c r="D2" s="258"/>
      <c r="E2" s="271"/>
    </row>
    <row r="3" spans="1:5" x14ac:dyDescent="0.35">
      <c r="B3" s="12"/>
      <c r="C3" s="12"/>
      <c r="D3" s="172"/>
      <c r="E3" s="173" t="s">
        <v>56</v>
      </c>
    </row>
    <row r="4" spans="1:5" x14ac:dyDescent="0.35">
      <c r="B4" s="11"/>
      <c r="C4" s="11"/>
      <c r="D4" s="171"/>
      <c r="E4" s="35"/>
    </row>
    <row r="5" spans="1:5" x14ac:dyDescent="0.35">
      <c r="B5" s="116"/>
      <c r="C5" s="116"/>
      <c r="D5" s="174"/>
      <c r="E5" s="35" t="s">
        <v>304</v>
      </c>
    </row>
    <row r="6" spans="1:5" x14ac:dyDescent="0.35">
      <c r="E6" s="20"/>
    </row>
    <row r="7" spans="1:5" x14ac:dyDescent="0.35">
      <c r="A7" s="263" t="s">
        <v>5</v>
      </c>
      <c r="B7" s="263"/>
      <c r="C7" s="263"/>
      <c r="D7" s="263"/>
      <c r="E7" s="263"/>
    </row>
    <row r="8" spans="1:5" x14ac:dyDescent="0.35">
      <c r="B8" s="135"/>
      <c r="C8" s="135"/>
      <c r="D8" s="175"/>
      <c r="E8" s="20"/>
    </row>
    <row r="9" spans="1:5" x14ac:dyDescent="0.35">
      <c r="A9" s="262" t="s">
        <v>1</v>
      </c>
      <c r="B9" s="262"/>
      <c r="C9" s="9"/>
      <c r="D9" s="176"/>
      <c r="E9" s="20"/>
    </row>
    <row r="10" spans="1:5" x14ac:dyDescent="0.35">
      <c r="A10" s="262" t="s">
        <v>0</v>
      </c>
      <c r="B10" s="262"/>
      <c r="C10" s="9"/>
      <c r="D10" s="176"/>
      <c r="E10" s="20"/>
    </row>
    <row r="11" spans="1:5" x14ac:dyDescent="0.35">
      <c r="A11" s="9"/>
      <c r="B11" s="9" t="s">
        <v>216</v>
      </c>
      <c r="C11" s="9"/>
      <c r="D11" s="176"/>
      <c r="E11" s="20"/>
    </row>
    <row r="12" spans="1:5" x14ac:dyDescent="0.35">
      <c r="A12" s="9"/>
      <c r="B12" s="9" t="s">
        <v>305</v>
      </c>
      <c r="C12" s="9"/>
      <c r="D12" s="176"/>
      <c r="E12" s="20"/>
    </row>
    <row r="13" spans="1:5" ht="21" customHeight="1" x14ac:dyDescent="0.35">
      <c r="A13" s="9"/>
      <c r="B13" s="9" t="s">
        <v>325</v>
      </c>
      <c r="C13" s="9"/>
      <c r="D13" s="176"/>
      <c r="E13" s="20"/>
    </row>
    <row r="14" spans="1:5" x14ac:dyDescent="0.35">
      <c r="A14" s="9" t="s">
        <v>2</v>
      </c>
      <c r="B14" s="9" t="s">
        <v>302</v>
      </c>
      <c r="C14" s="9"/>
      <c r="D14" s="176"/>
      <c r="E14" s="20"/>
    </row>
    <row r="15" spans="1:5" hidden="1" x14ac:dyDescent="0.35">
      <c r="A15" s="9"/>
      <c r="B15" s="9"/>
      <c r="C15" s="9"/>
      <c r="D15" s="176"/>
      <c r="E15" s="20"/>
    </row>
    <row r="16" spans="1:5" ht="46.5" x14ac:dyDescent="0.35">
      <c r="A16" s="54" t="s">
        <v>3</v>
      </c>
      <c r="B16" s="54" t="s">
        <v>4</v>
      </c>
      <c r="C16" s="54"/>
      <c r="D16" s="177"/>
      <c r="E16" s="54" t="s">
        <v>155</v>
      </c>
    </row>
    <row r="17" spans="1:6" x14ac:dyDescent="0.35">
      <c r="A17" s="22">
        <v>1</v>
      </c>
      <c r="B17" s="23">
        <v>2</v>
      </c>
      <c r="C17" s="23"/>
      <c r="D17" s="178"/>
      <c r="E17" s="23">
        <v>3</v>
      </c>
    </row>
    <row r="18" spans="1:6" x14ac:dyDescent="0.35">
      <c r="A18" s="22"/>
      <c r="B18" s="125" t="s">
        <v>156</v>
      </c>
      <c r="C18" s="125"/>
      <c r="D18" s="179"/>
      <c r="E18" s="127"/>
    </row>
    <row r="19" spans="1:6" x14ac:dyDescent="0.35">
      <c r="A19" s="27">
        <v>1100</v>
      </c>
      <c r="B19" s="27" t="s">
        <v>157</v>
      </c>
      <c r="C19" s="27"/>
      <c r="D19" s="180">
        <v>10.62</v>
      </c>
      <c r="E19" s="28">
        <f>5.49*30</f>
        <v>164.70000000000002</v>
      </c>
    </row>
    <row r="20" spans="1:6" x14ac:dyDescent="0.35">
      <c r="A20" s="27">
        <v>1200</v>
      </c>
      <c r="B20" s="127" t="s">
        <v>187</v>
      </c>
      <c r="C20" s="127"/>
      <c r="D20" s="180">
        <v>2.5099999999999998</v>
      </c>
      <c r="E20" s="28">
        <v>38.85</v>
      </c>
    </row>
    <row r="21" spans="1:6" x14ac:dyDescent="0.35">
      <c r="A21" s="27">
        <v>2223</v>
      </c>
      <c r="B21" s="129" t="s">
        <v>209</v>
      </c>
      <c r="C21" s="127"/>
      <c r="D21" s="180"/>
      <c r="E21" s="28">
        <f>0.14*30</f>
        <v>4.2</v>
      </c>
    </row>
    <row r="22" spans="1:6" x14ac:dyDescent="0.35">
      <c r="A22" s="27">
        <v>2311</v>
      </c>
      <c r="B22" s="129" t="s">
        <v>307</v>
      </c>
      <c r="C22" s="127"/>
      <c r="D22" s="180"/>
      <c r="E22" s="28">
        <f>0.22*30</f>
        <v>6.6</v>
      </c>
    </row>
    <row r="23" spans="1:6" x14ac:dyDescent="0.35">
      <c r="A23" s="33">
        <v>2312</v>
      </c>
      <c r="B23" s="129" t="s">
        <v>308</v>
      </c>
      <c r="C23" s="127"/>
      <c r="D23" s="180"/>
      <c r="E23" s="28">
        <f>0.06*30</f>
        <v>1.7999999999999998</v>
      </c>
    </row>
    <row r="24" spans="1:6" x14ac:dyDescent="0.35">
      <c r="A24" s="27">
        <v>2321</v>
      </c>
      <c r="B24" s="129" t="s">
        <v>309</v>
      </c>
      <c r="C24" s="127"/>
      <c r="D24" s="180"/>
      <c r="E24" s="28">
        <f>0.16*30</f>
        <v>4.8</v>
      </c>
    </row>
    <row r="25" spans="1:6" x14ac:dyDescent="0.35">
      <c r="A25" s="33">
        <v>2341</v>
      </c>
      <c r="B25" s="129" t="s">
        <v>310</v>
      </c>
      <c r="C25" s="129"/>
      <c r="D25" s="180">
        <v>0.31</v>
      </c>
      <c r="E25" s="28">
        <f>0.11*30</f>
        <v>3.3</v>
      </c>
    </row>
    <row r="26" spans="1:6" x14ac:dyDescent="0.35">
      <c r="A26" s="33">
        <v>2350</v>
      </c>
      <c r="B26" s="127" t="s">
        <v>206</v>
      </c>
      <c r="C26" s="127"/>
      <c r="D26" s="180">
        <v>0.04</v>
      </c>
      <c r="E26" s="28">
        <f>0.11*30</f>
        <v>3.3</v>
      </c>
    </row>
    <row r="27" spans="1:6" x14ac:dyDescent="0.35">
      <c r="A27" s="33">
        <v>5239</v>
      </c>
      <c r="B27" s="29" t="s">
        <v>296</v>
      </c>
      <c r="C27" s="127"/>
      <c r="D27" s="180"/>
      <c r="E27" s="28">
        <f>0.42*30</f>
        <v>12.6</v>
      </c>
    </row>
    <row r="28" spans="1:6" x14ac:dyDescent="0.35">
      <c r="A28" s="27"/>
      <c r="B28" s="163" t="s">
        <v>161</v>
      </c>
      <c r="C28" s="163"/>
      <c r="D28" s="181">
        <f>SUM(D19:D26)</f>
        <v>13.479999999999999</v>
      </c>
      <c r="E28" s="31">
        <f>SUM(E19:E27)</f>
        <v>240.15000000000003</v>
      </c>
      <c r="F28" s="123"/>
    </row>
    <row r="29" spans="1:6" x14ac:dyDescent="0.35">
      <c r="A29" s="32"/>
      <c r="B29" s="163" t="s">
        <v>162</v>
      </c>
      <c r="C29" s="163"/>
      <c r="D29" s="180"/>
      <c r="E29" s="28"/>
    </row>
    <row r="30" spans="1:6" x14ac:dyDescent="0.35">
      <c r="A30" s="27">
        <v>1100</v>
      </c>
      <c r="B30" s="125" t="s">
        <v>157</v>
      </c>
      <c r="C30" s="127">
        <f>0.388+0.024</f>
        <v>0.41200000000000003</v>
      </c>
      <c r="D30" s="182">
        <f>3.07*C30</f>
        <v>1.26484</v>
      </c>
      <c r="E30" s="28">
        <v>45.84</v>
      </c>
    </row>
    <row r="31" spans="1:6" x14ac:dyDescent="0.35">
      <c r="A31" s="27">
        <v>1200</v>
      </c>
      <c r="B31" s="125" t="s">
        <v>187</v>
      </c>
      <c r="C31" s="127">
        <f>C30*0.2359</f>
        <v>9.7190800000000008E-2</v>
      </c>
      <c r="D31" s="182">
        <f>D30*0.2359</f>
        <v>0.29837575599999999</v>
      </c>
      <c r="E31" s="28">
        <v>10.81</v>
      </c>
    </row>
    <row r="32" spans="1:6" x14ac:dyDescent="0.35">
      <c r="A32" s="27">
        <v>2100</v>
      </c>
      <c r="B32" s="128" t="s">
        <v>163</v>
      </c>
      <c r="C32" s="127">
        <v>1.1659999999999999E-3</v>
      </c>
      <c r="D32" s="183">
        <f t="shared" ref="D32:D71" si="0">C32*3.07</f>
        <v>3.5796199999999995E-3</v>
      </c>
      <c r="E32" s="28">
        <v>7.0000000000000007E-2</v>
      </c>
    </row>
    <row r="33" spans="1:5" x14ac:dyDescent="0.35">
      <c r="A33" s="33">
        <v>2210</v>
      </c>
      <c r="B33" s="129" t="s">
        <v>207</v>
      </c>
      <c r="C33" s="127">
        <v>7.6E-3</v>
      </c>
      <c r="D33" s="183">
        <f t="shared" si="0"/>
        <v>2.3331999999999999E-2</v>
      </c>
      <c r="E33" s="28">
        <v>0.47</v>
      </c>
    </row>
    <row r="34" spans="1:5" x14ac:dyDescent="0.35">
      <c r="A34" s="27">
        <v>2222</v>
      </c>
      <c r="B34" s="129" t="s">
        <v>311</v>
      </c>
      <c r="C34" s="127">
        <v>9.4999999999999998E-3</v>
      </c>
      <c r="D34" s="183">
        <f t="shared" si="0"/>
        <v>2.9164999999999996E-2</v>
      </c>
      <c r="E34" s="28">
        <v>0.57999999999999996</v>
      </c>
    </row>
    <row r="35" spans="1:5" x14ac:dyDescent="0.35">
      <c r="A35" s="27">
        <v>2223</v>
      </c>
      <c r="B35" s="129" t="s">
        <v>209</v>
      </c>
      <c r="C35" s="127">
        <v>1.9019999999999999E-2</v>
      </c>
      <c r="D35" s="183">
        <f t="shared" si="0"/>
        <v>5.8391399999999996E-2</v>
      </c>
      <c r="E35" s="28">
        <v>1.17</v>
      </c>
    </row>
    <row r="36" spans="1:5" ht="31" x14ac:dyDescent="0.35">
      <c r="A36" s="27">
        <v>2224</v>
      </c>
      <c r="B36" s="129" t="s">
        <v>312</v>
      </c>
      <c r="C36" s="127">
        <v>4.9500000000000004E-3</v>
      </c>
      <c r="D36" s="183">
        <f t="shared" si="0"/>
        <v>1.51965E-2</v>
      </c>
      <c r="E36" s="28">
        <v>0.3</v>
      </c>
    </row>
    <row r="37" spans="1:5" x14ac:dyDescent="0.35">
      <c r="A37" s="27">
        <v>2231</v>
      </c>
      <c r="B37" s="125" t="s">
        <v>143</v>
      </c>
      <c r="C37" s="127">
        <v>1.5499999999999999E-3</v>
      </c>
      <c r="D37" s="183">
        <f t="shared" si="0"/>
        <v>4.7584999999999997E-3</v>
      </c>
      <c r="E37" s="28">
        <v>0.1</v>
      </c>
    </row>
    <row r="38" spans="1:5" x14ac:dyDescent="0.35">
      <c r="A38" s="27">
        <v>2235</v>
      </c>
      <c r="B38" s="184" t="s">
        <v>313</v>
      </c>
      <c r="C38" s="127">
        <v>1.65E-3</v>
      </c>
      <c r="D38" s="183">
        <f t="shared" si="0"/>
        <v>5.0654999999999997E-3</v>
      </c>
      <c r="E38" s="28">
        <v>0.1</v>
      </c>
    </row>
    <row r="39" spans="1:5" x14ac:dyDescent="0.35">
      <c r="A39" s="27">
        <v>2239</v>
      </c>
      <c r="B39" s="125" t="s">
        <v>183</v>
      </c>
      <c r="C39" s="127">
        <v>4.4099999999999999E-3</v>
      </c>
      <c r="D39" s="183">
        <f t="shared" si="0"/>
        <v>1.3538699999999999E-2</v>
      </c>
      <c r="E39" s="28">
        <v>0.27</v>
      </c>
    </row>
    <row r="40" spans="1:5" x14ac:dyDescent="0.35">
      <c r="A40" s="27">
        <v>2241</v>
      </c>
      <c r="B40" s="125" t="s">
        <v>208</v>
      </c>
      <c r="C40" s="127">
        <v>1.6500000000000001E-2</v>
      </c>
      <c r="D40" s="183">
        <f t="shared" si="0"/>
        <v>5.0654999999999999E-2</v>
      </c>
      <c r="E40" s="28">
        <v>1.01</v>
      </c>
    </row>
    <row r="41" spans="1:5" x14ac:dyDescent="0.35">
      <c r="A41" s="27">
        <v>2242</v>
      </c>
      <c r="B41" s="129" t="s">
        <v>314</v>
      </c>
      <c r="C41" s="127">
        <v>2.2599999999999999E-3</v>
      </c>
      <c r="D41" s="183">
        <f t="shared" si="0"/>
        <v>6.9381999999999994E-3</v>
      </c>
      <c r="E41" s="28">
        <v>0.14000000000000001</v>
      </c>
    </row>
    <row r="42" spans="1:5" x14ac:dyDescent="0.35">
      <c r="A42" s="27">
        <v>2243</v>
      </c>
      <c r="B42" s="125" t="s">
        <v>197</v>
      </c>
      <c r="C42" s="127">
        <v>3.2599999999999997E-2</v>
      </c>
      <c r="D42" s="183">
        <f t="shared" si="0"/>
        <v>0.10008199999999999</v>
      </c>
      <c r="E42" s="28">
        <v>2</v>
      </c>
    </row>
    <row r="43" spans="1:5" x14ac:dyDescent="0.35">
      <c r="A43" s="27">
        <v>2244</v>
      </c>
      <c r="B43" s="125" t="s">
        <v>191</v>
      </c>
      <c r="C43" s="127">
        <v>0.20397000000000001</v>
      </c>
      <c r="D43" s="183">
        <f t="shared" si="0"/>
        <v>0.62618790000000002</v>
      </c>
      <c r="E43" s="28">
        <f>12.52+1.57</f>
        <v>14.09</v>
      </c>
    </row>
    <row r="44" spans="1:5" x14ac:dyDescent="0.35">
      <c r="A44" s="27">
        <v>2247</v>
      </c>
      <c r="B44" s="125" t="s">
        <v>164</v>
      </c>
      <c r="C44" s="127">
        <v>7.1900000000000002E-4</v>
      </c>
      <c r="D44" s="183">
        <f t="shared" si="0"/>
        <v>2.20733E-3</v>
      </c>
      <c r="E44" s="28">
        <v>0.04</v>
      </c>
    </row>
    <row r="45" spans="1:5" x14ac:dyDescent="0.35">
      <c r="A45" s="27">
        <v>2249</v>
      </c>
      <c r="B45" s="125" t="s">
        <v>315</v>
      </c>
      <c r="C45" s="127">
        <v>2.32E-4</v>
      </c>
      <c r="D45" s="183">
        <f t="shared" si="0"/>
        <v>7.1223999999999994E-4</v>
      </c>
      <c r="E45" s="28">
        <v>0.01</v>
      </c>
    </row>
    <row r="46" spans="1:5" x14ac:dyDescent="0.35">
      <c r="A46" s="27">
        <v>2250</v>
      </c>
      <c r="B46" s="125" t="s">
        <v>204</v>
      </c>
      <c r="C46" s="127">
        <v>2.4025999999999999E-2</v>
      </c>
      <c r="D46" s="183">
        <f t="shared" si="0"/>
        <v>7.375981999999999E-2</v>
      </c>
      <c r="E46" s="28">
        <v>1.48</v>
      </c>
    </row>
    <row r="47" spans="1:5" x14ac:dyDescent="0.35">
      <c r="A47" s="27">
        <v>2261</v>
      </c>
      <c r="B47" s="129" t="s">
        <v>11</v>
      </c>
      <c r="C47" s="127">
        <v>0</v>
      </c>
      <c r="D47" s="183">
        <f t="shared" si="0"/>
        <v>0</v>
      </c>
      <c r="E47" s="28">
        <v>0</v>
      </c>
    </row>
    <row r="48" spans="1:5" x14ac:dyDescent="0.35">
      <c r="A48" s="27">
        <v>2262</v>
      </c>
      <c r="B48" s="129" t="s">
        <v>210</v>
      </c>
      <c r="C48" s="127">
        <v>6.2599999999999999E-3</v>
      </c>
      <c r="D48" s="183">
        <f t="shared" si="0"/>
        <v>1.9218199999999998E-2</v>
      </c>
      <c r="E48" s="28">
        <v>0.38</v>
      </c>
    </row>
    <row r="49" spans="1:5" x14ac:dyDescent="0.35">
      <c r="A49" s="27">
        <v>2263</v>
      </c>
      <c r="B49" s="129" t="s">
        <v>211</v>
      </c>
      <c r="C49" s="127">
        <v>4.58E-2</v>
      </c>
      <c r="D49" s="183">
        <f t="shared" si="0"/>
        <v>0.14060599999999998</v>
      </c>
      <c r="E49" s="28">
        <v>2.81</v>
      </c>
    </row>
    <row r="50" spans="1:5" x14ac:dyDescent="0.35">
      <c r="A50" s="27">
        <v>2264</v>
      </c>
      <c r="B50" s="125" t="s">
        <v>212</v>
      </c>
      <c r="C50" s="127">
        <v>1.49E-3</v>
      </c>
      <c r="D50" s="183">
        <f t="shared" si="0"/>
        <v>4.5742999999999999E-3</v>
      </c>
      <c r="E50" s="28">
        <v>0.09</v>
      </c>
    </row>
    <row r="51" spans="1:5" x14ac:dyDescent="0.35">
      <c r="A51" s="27">
        <v>2311</v>
      </c>
      <c r="B51" s="129" t="s">
        <v>307</v>
      </c>
      <c r="C51" s="127">
        <v>4.7699999999999999E-3</v>
      </c>
      <c r="D51" s="183">
        <f t="shared" si="0"/>
        <v>1.46439E-2</v>
      </c>
      <c r="E51" s="28">
        <v>0.28999999999999998</v>
      </c>
    </row>
    <row r="52" spans="1:5" x14ac:dyDescent="0.35">
      <c r="A52" s="27">
        <v>2312</v>
      </c>
      <c r="B52" s="129" t="s">
        <v>308</v>
      </c>
      <c r="C52" s="127">
        <v>5.79E-3</v>
      </c>
      <c r="D52" s="183">
        <f t="shared" si="0"/>
        <v>1.7775300000000001E-2</v>
      </c>
      <c r="E52" s="28">
        <v>0.36</v>
      </c>
    </row>
    <row r="53" spans="1:5" x14ac:dyDescent="0.35">
      <c r="A53" s="27">
        <v>2313</v>
      </c>
      <c r="B53" s="129" t="s">
        <v>316</v>
      </c>
      <c r="C53" s="127"/>
      <c r="D53" s="183"/>
      <c r="E53" s="28">
        <v>0.06</v>
      </c>
    </row>
    <row r="54" spans="1:5" x14ac:dyDescent="0.35">
      <c r="A54" s="27">
        <v>2314</v>
      </c>
      <c r="B54" s="184" t="s">
        <v>317</v>
      </c>
      <c r="C54" s="127">
        <v>2.2200000000000002E-3</v>
      </c>
      <c r="D54" s="183">
        <f t="shared" si="0"/>
        <v>6.8154000000000001E-3</v>
      </c>
      <c r="E54" s="28">
        <v>0.08</v>
      </c>
    </row>
    <row r="55" spans="1:5" x14ac:dyDescent="0.35">
      <c r="A55" s="27">
        <v>2321</v>
      </c>
      <c r="B55" s="129" t="s">
        <v>309</v>
      </c>
      <c r="C55" s="127">
        <v>1.9800000000000002E-2</v>
      </c>
      <c r="D55" s="183">
        <f t="shared" si="0"/>
        <v>6.0786E-2</v>
      </c>
      <c r="E55" s="28">
        <v>1.22</v>
      </c>
    </row>
    <row r="56" spans="1:5" x14ac:dyDescent="0.35">
      <c r="A56" s="27">
        <v>2322</v>
      </c>
      <c r="B56" s="129" t="s">
        <v>318</v>
      </c>
      <c r="C56" s="127">
        <v>3.5000000000000001E-3</v>
      </c>
      <c r="D56" s="183">
        <f t="shared" si="0"/>
        <v>1.0744999999999999E-2</v>
      </c>
      <c r="E56" s="28">
        <v>0.21</v>
      </c>
    </row>
    <row r="57" spans="1:5" hidden="1" x14ac:dyDescent="0.35">
      <c r="A57" s="27">
        <v>2341</v>
      </c>
      <c r="B57" s="129" t="s">
        <v>159</v>
      </c>
      <c r="C57" s="127"/>
      <c r="D57" s="183">
        <f t="shared" si="0"/>
        <v>0</v>
      </c>
      <c r="E57" s="28">
        <v>0</v>
      </c>
    </row>
    <row r="58" spans="1:5" x14ac:dyDescent="0.35">
      <c r="A58" s="27">
        <v>2350</v>
      </c>
      <c r="B58" s="127" t="s">
        <v>206</v>
      </c>
      <c r="C58" s="127">
        <v>8.5000000000000006E-3</v>
      </c>
      <c r="D58" s="183">
        <f t="shared" si="0"/>
        <v>2.6095E-2</v>
      </c>
      <c r="E58" s="28">
        <v>0.52</v>
      </c>
    </row>
    <row r="59" spans="1:5" hidden="1" x14ac:dyDescent="0.35">
      <c r="A59" s="27">
        <v>2361</v>
      </c>
      <c r="B59" s="129" t="s">
        <v>20</v>
      </c>
      <c r="C59" s="127">
        <v>0</v>
      </c>
      <c r="D59" s="183">
        <f t="shared" si="0"/>
        <v>0</v>
      </c>
      <c r="E59" s="28">
        <v>0</v>
      </c>
    </row>
    <row r="60" spans="1:5" hidden="1" x14ac:dyDescent="0.35">
      <c r="A60" s="27">
        <v>2362</v>
      </c>
      <c r="B60" s="129" t="s">
        <v>169</v>
      </c>
      <c r="C60" s="127">
        <v>0</v>
      </c>
      <c r="D60" s="183">
        <f t="shared" si="0"/>
        <v>0</v>
      </c>
      <c r="E60" s="28">
        <v>0</v>
      </c>
    </row>
    <row r="61" spans="1:5" hidden="1" x14ac:dyDescent="0.35">
      <c r="A61" s="27">
        <v>2363</v>
      </c>
      <c r="B61" s="129" t="s">
        <v>170</v>
      </c>
      <c r="C61" s="127">
        <v>0</v>
      </c>
      <c r="D61" s="183">
        <f t="shared" si="0"/>
        <v>0</v>
      </c>
      <c r="E61" s="28">
        <v>0</v>
      </c>
    </row>
    <row r="62" spans="1:5" hidden="1" x14ac:dyDescent="0.35">
      <c r="A62" s="27">
        <v>2370</v>
      </c>
      <c r="B62" s="129" t="s">
        <v>21</v>
      </c>
      <c r="C62" s="127">
        <v>0</v>
      </c>
      <c r="D62" s="183">
        <f t="shared" si="0"/>
        <v>0</v>
      </c>
      <c r="E62" s="28">
        <v>0</v>
      </c>
    </row>
    <row r="63" spans="1:5" hidden="1" x14ac:dyDescent="0.35">
      <c r="A63" s="27">
        <v>2400</v>
      </c>
      <c r="B63" s="129" t="s">
        <v>31</v>
      </c>
      <c r="C63" s="127">
        <v>0</v>
      </c>
      <c r="D63" s="183">
        <f t="shared" si="0"/>
        <v>0</v>
      </c>
      <c r="E63" s="28">
        <v>0</v>
      </c>
    </row>
    <row r="64" spans="1:5" hidden="1" x14ac:dyDescent="0.35">
      <c r="A64" s="27">
        <v>2512</v>
      </c>
      <c r="B64" s="129" t="s">
        <v>171</v>
      </c>
      <c r="C64" s="127">
        <v>0</v>
      </c>
      <c r="D64" s="183">
        <f t="shared" si="0"/>
        <v>0</v>
      </c>
      <c r="E64" s="28">
        <v>0</v>
      </c>
    </row>
    <row r="65" spans="1:6" x14ac:dyDescent="0.35">
      <c r="A65" s="27">
        <v>2513</v>
      </c>
      <c r="B65" s="127" t="s">
        <v>319</v>
      </c>
      <c r="C65" s="127">
        <v>1.4599999999999999E-3</v>
      </c>
      <c r="D65" s="183">
        <f t="shared" si="0"/>
        <v>4.4821999999999996E-3</v>
      </c>
      <c r="E65" s="28">
        <v>0.09</v>
      </c>
    </row>
    <row r="66" spans="1:6" x14ac:dyDescent="0.35">
      <c r="A66" s="27">
        <v>2515</v>
      </c>
      <c r="B66" s="129" t="s">
        <v>172</v>
      </c>
      <c r="C66" s="127">
        <v>1.9E-3</v>
      </c>
      <c r="D66" s="183">
        <f t="shared" si="0"/>
        <v>5.8329999999999996E-3</v>
      </c>
      <c r="E66" s="28">
        <v>0.12</v>
      </c>
    </row>
    <row r="67" spans="1:6" x14ac:dyDescent="0.35">
      <c r="A67" s="27">
        <v>2519</v>
      </c>
      <c r="B67" s="129" t="s">
        <v>320</v>
      </c>
      <c r="C67" s="127">
        <v>2E-3</v>
      </c>
      <c r="D67" s="183">
        <f t="shared" si="0"/>
        <v>6.1399999999999996E-3</v>
      </c>
      <c r="E67" s="28">
        <v>0.12</v>
      </c>
    </row>
    <row r="68" spans="1:6" x14ac:dyDescent="0.35">
      <c r="A68" s="27">
        <v>5220</v>
      </c>
      <c r="B68" s="129" t="s">
        <v>321</v>
      </c>
      <c r="C68" s="127">
        <v>1.06E-2</v>
      </c>
      <c r="D68" s="183">
        <f t="shared" si="0"/>
        <v>3.2542000000000001E-2</v>
      </c>
      <c r="E68" s="28">
        <v>0.65</v>
      </c>
    </row>
    <row r="69" spans="1:6" x14ac:dyDescent="0.35">
      <c r="A69" s="27">
        <v>5238</v>
      </c>
      <c r="B69" s="127" t="s">
        <v>322</v>
      </c>
      <c r="C69" s="127">
        <v>1.65E-3</v>
      </c>
      <c r="D69" s="183">
        <f t="shared" si="0"/>
        <v>5.0654999999999997E-3</v>
      </c>
      <c r="E69" s="28">
        <v>0.11</v>
      </c>
    </row>
    <row r="70" spans="1:6" x14ac:dyDescent="0.35">
      <c r="A70" s="27">
        <v>5239</v>
      </c>
      <c r="B70" s="127" t="s">
        <v>323</v>
      </c>
      <c r="C70" s="127">
        <v>1.9800000000000002E-2</v>
      </c>
      <c r="D70" s="183">
        <f t="shared" si="0"/>
        <v>6.0786E-2</v>
      </c>
      <c r="E70" s="28">
        <v>1.22</v>
      </c>
    </row>
    <row r="71" spans="1:6" x14ac:dyDescent="0.35">
      <c r="A71" s="27">
        <v>5250</v>
      </c>
      <c r="B71" s="129" t="s">
        <v>203</v>
      </c>
      <c r="C71" s="127">
        <v>2.5000000000000001E-2</v>
      </c>
      <c r="D71" s="183">
        <f t="shared" si="0"/>
        <v>7.6749999999999999E-2</v>
      </c>
      <c r="E71" s="28">
        <v>1.54</v>
      </c>
    </row>
    <row r="72" spans="1:6" x14ac:dyDescent="0.35">
      <c r="A72" s="32"/>
      <c r="B72" s="164" t="s">
        <v>66</v>
      </c>
      <c r="C72" s="127">
        <f>SUM(C30:C71)</f>
        <v>0.99988380000000032</v>
      </c>
      <c r="D72" s="31">
        <f>SUM(D30:D71)</f>
        <v>3.0696432659999986</v>
      </c>
      <c r="E72" s="31">
        <f>SUM(E30:E71)</f>
        <v>88.350000000000037</v>
      </c>
    </row>
    <row r="73" spans="1:6" x14ac:dyDescent="0.35">
      <c r="A73" s="32"/>
      <c r="B73" s="164" t="s">
        <v>67</v>
      </c>
      <c r="C73" s="164"/>
      <c r="D73" s="181">
        <f>D28+D72</f>
        <v>16.549643265999997</v>
      </c>
      <c r="E73" s="31">
        <f>E28+E72</f>
        <v>328.50000000000006</v>
      </c>
    </row>
    <row r="74" spans="1:6" x14ac:dyDescent="0.35">
      <c r="A74" s="35"/>
      <c r="B74" s="20"/>
      <c r="C74" s="20"/>
      <c r="D74" s="185"/>
      <c r="E74" s="130"/>
    </row>
    <row r="75" spans="1:6" x14ac:dyDescent="0.35">
      <c r="A75" s="281" t="s">
        <v>176</v>
      </c>
      <c r="B75" s="281"/>
      <c r="C75" s="186"/>
      <c r="D75" s="187"/>
      <c r="E75" s="107">
        <v>30</v>
      </c>
    </row>
    <row r="76" spans="1:6" x14ac:dyDescent="0.35">
      <c r="A76" s="281" t="s">
        <v>46</v>
      </c>
      <c r="B76" s="281"/>
      <c r="C76" s="186"/>
      <c r="D76" s="187"/>
      <c r="E76" s="108">
        <f>E73/E75</f>
        <v>10.950000000000001</v>
      </c>
      <c r="F76" s="123"/>
    </row>
    <row r="77" spans="1:6" x14ac:dyDescent="0.35">
      <c r="A77" s="41"/>
      <c r="B77" s="52"/>
      <c r="C77" s="52"/>
      <c r="D77" s="61"/>
    </row>
    <row r="78" spans="1:6" x14ac:dyDescent="0.35">
      <c r="A78" s="280" t="s">
        <v>37</v>
      </c>
      <c r="B78" s="280"/>
      <c r="C78" s="188"/>
      <c r="D78" s="189"/>
      <c r="E78" s="39"/>
    </row>
    <row r="79" spans="1:6" x14ac:dyDescent="0.35">
      <c r="A79" s="280" t="s">
        <v>54</v>
      </c>
      <c r="B79" s="280"/>
      <c r="C79" s="188"/>
      <c r="D79" s="189"/>
      <c r="E79" s="39"/>
    </row>
    <row r="80" spans="1:6" x14ac:dyDescent="0.35">
      <c r="A80" s="17"/>
      <c r="B80" s="17"/>
      <c r="C80" s="17"/>
      <c r="D80" s="65"/>
      <c r="E80" s="17"/>
    </row>
    <row r="81" spans="1:5" x14ac:dyDescent="0.35">
      <c r="A81" s="17" t="s">
        <v>38</v>
      </c>
      <c r="B81" s="17"/>
      <c r="C81" s="17"/>
      <c r="D81" s="65"/>
      <c r="E81" s="65"/>
    </row>
    <row r="82" spans="1:5" x14ac:dyDescent="0.35">
      <c r="A82" s="17"/>
      <c r="B82" s="17"/>
      <c r="C82" s="17"/>
      <c r="D82" s="65"/>
      <c r="E82" s="65"/>
    </row>
    <row r="83" spans="1:5" x14ac:dyDescent="0.35">
      <c r="A83" s="17" t="s">
        <v>268</v>
      </c>
      <c r="B83" s="18"/>
      <c r="C83" s="18"/>
      <c r="D83" s="91"/>
      <c r="E83" s="17"/>
    </row>
    <row r="84" spans="1:5" x14ac:dyDescent="0.35">
      <c r="B84" s="190"/>
      <c r="C84" s="190"/>
      <c r="D84" s="191"/>
      <c r="E84" s="192"/>
    </row>
    <row r="86" spans="1:5" x14ac:dyDescent="0.35">
      <c r="E86" s="123"/>
    </row>
  </sheetData>
  <mergeCells count="8">
    <mergeCell ref="A78:B78"/>
    <mergeCell ref="A79:B79"/>
    <mergeCell ref="B2:E2"/>
    <mergeCell ref="A7:E7"/>
    <mergeCell ref="A9:B9"/>
    <mergeCell ref="A10:B10"/>
    <mergeCell ref="A75:B75"/>
    <mergeCell ref="A76:B76"/>
  </mergeCells>
  <pageMargins left="0.70866141732283472" right="0.70866141732283472" top="0.35433070866141736" bottom="0" header="0.31496062992125984" footer="0.31496062992125984"/>
  <pageSetup paperSize="9" scale="66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6"/>
  <sheetViews>
    <sheetView topLeftCell="A55" workbookViewId="0">
      <selection activeCell="A55" sqref="A1:IV65536"/>
    </sheetView>
  </sheetViews>
  <sheetFormatPr defaultRowHeight="15.5" x14ac:dyDescent="0.35"/>
  <cols>
    <col min="1" max="1" width="14.453125" style="13" customWidth="1"/>
    <col min="2" max="2" width="87.1796875" style="13" customWidth="1"/>
    <col min="3" max="3" width="10" style="13" hidden="1" customWidth="1"/>
    <col min="4" max="4" width="12" style="123" hidden="1" customWidth="1"/>
    <col min="5" max="5" width="32.54296875" style="13" customWidth="1"/>
  </cols>
  <sheetData>
    <row r="1" spans="1:5" x14ac:dyDescent="0.35">
      <c r="B1" s="11"/>
      <c r="C1" s="11"/>
      <c r="D1" s="171"/>
      <c r="E1" s="114" t="s">
        <v>35</v>
      </c>
    </row>
    <row r="2" spans="1:5" x14ac:dyDescent="0.35">
      <c r="B2" s="258" t="s">
        <v>39</v>
      </c>
      <c r="C2" s="258"/>
      <c r="D2" s="258"/>
      <c r="E2" s="271"/>
    </row>
    <row r="3" spans="1:5" x14ac:dyDescent="0.35">
      <c r="B3" s="12"/>
      <c r="C3" s="12"/>
      <c r="D3" s="172"/>
      <c r="E3" s="173" t="s">
        <v>56</v>
      </c>
    </row>
    <row r="4" spans="1:5" x14ac:dyDescent="0.35">
      <c r="B4" s="11"/>
      <c r="C4" s="11"/>
      <c r="D4" s="171"/>
      <c r="E4" s="35"/>
    </row>
    <row r="5" spans="1:5" x14ac:dyDescent="0.35">
      <c r="B5" s="116"/>
      <c r="C5" s="116"/>
      <c r="D5" s="174"/>
      <c r="E5" s="35" t="s">
        <v>304</v>
      </c>
    </row>
    <row r="6" spans="1:5" x14ac:dyDescent="0.35">
      <c r="E6" s="20"/>
    </row>
    <row r="7" spans="1:5" ht="15" x14ac:dyDescent="0.3">
      <c r="A7" s="263" t="s">
        <v>5</v>
      </c>
      <c r="B7" s="263"/>
      <c r="C7" s="263"/>
      <c r="D7" s="263"/>
      <c r="E7" s="263"/>
    </row>
    <row r="8" spans="1:5" x14ac:dyDescent="0.35">
      <c r="B8" s="135"/>
      <c r="C8" s="135"/>
      <c r="D8" s="175"/>
      <c r="E8" s="20"/>
    </row>
    <row r="9" spans="1:5" x14ac:dyDescent="0.35">
      <c r="A9" s="262" t="s">
        <v>1</v>
      </c>
      <c r="B9" s="262"/>
      <c r="C9" s="9"/>
      <c r="D9" s="176"/>
      <c r="E9" s="20"/>
    </row>
    <row r="10" spans="1:5" x14ac:dyDescent="0.35">
      <c r="A10" s="262" t="s">
        <v>0</v>
      </c>
      <c r="B10" s="262"/>
      <c r="C10" s="9"/>
      <c r="D10" s="176"/>
      <c r="E10" s="20"/>
    </row>
    <row r="11" spans="1:5" x14ac:dyDescent="0.35">
      <c r="A11" s="9"/>
      <c r="B11" s="9" t="s">
        <v>216</v>
      </c>
      <c r="C11" s="9"/>
      <c r="D11" s="176"/>
      <c r="E11" s="20"/>
    </row>
    <row r="12" spans="1:5" x14ac:dyDescent="0.35">
      <c r="A12" s="9"/>
      <c r="B12" s="9" t="s">
        <v>305</v>
      </c>
      <c r="C12" s="9"/>
      <c r="D12" s="176"/>
      <c r="E12" s="20"/>
    </row>
    <row r="13" spans="1:5" x14ac:dyDescent="0.35">
      <c r="A13" s="9"/>
      <c r="B13" s="9" t="s">
        <v>306</v>
      </c>
      <c r="C13" s="9"/>
      <c r="D13" s="176"/>
      <c r="E13" s="20"/>
    </row>
    <row r="14" spans="1:5" x14ac:dyDescent="0.35">
      <c r="A14" s="9" t="s">
        <v>2</v>
      </c>
      <c r="B14" s="9" t="s">
        <v>302</v>
      </c>
      <c r="C14" s="9"/>
      <c r="D14" s="176"/>
      <c r="E14" s="20"/>
    </row>
    <row r="15" spans="1:5" x14ac:dyDescent="0.35">
      <c r="A15" s="9"/>
      <c r="B15" s="9"/>
      <c r="C15" s="9"/>
      <c r="D15" s="176"/>
      <c r="E15" s="20"/>
    </row>
    <row r="16" spans="1:5" ht="46.5" x14ac:dyDescent="0.25">
      <c r="A16" s="54" t="s">
        <v>3</v>
      </c>
      <c r="B16" s="54" t="s">
        <v>4</v>
      </c>
      <c r="C16" s="54"/>
      <c r="D16" s="177"/>
      <c r="E16" s="54" t="s">
        <v>155</v>
      </c>
    </row>
    <row r="17" spans="1:5" ht="15" x14ac:dyDescent="0.25">
      <c r="A17" s="22">
        <v>1</v>
      </c>
      <c r="B17" s="23">
        <v>2</v>
      </c>
      <c r="C17" s="23"/>
      <c r="D17" s="178"/>
      <c r="E17" s="23">
        <v>3</v>
      </c>
    </row>
    <row r="18" spans="1:5" x14ac:dyDescent="0.35">
      <c r="A18" s="22"/>
      <c r="B18" s="125" t="s">
        <v>156</v>
      </c>
      <c r="C18" s="125"/>
      <c r="D18" s="179"/>
      <c r="E18" s="127"/>
    </row>
    <row r="19" spans="1:5" x14ac:dyDescent="0.25">
      <c r="A19" s="27">
        <v>1100</v>
      </c>
      <c r="B19" s="27" t="s">
        <v>157</v>
      </c>
      <c r="C19" s="27"/>
      <c r="D19" s="180">
        <v>10.62</v>
      </c>
      <c r="E19" s="28">
        <f>9.6*10</f>
        <v>96</v>
      </c>
    </row>
    <row r="20" spans="1:5" x14ac:dyDescent="0.35">
      <c r="A20" s="27">
        <v>1200</v>
      </c>
      <c r="B20" s="127" t="s">
        <v>187</v>
      </c>
      <c r="C20" s="127"/>
      <c r="D20" s="180">
        <v>2.5099999999999998</v>
      </c>
      <c r="E20" s="28">
        <v>22.65</v>
      </c>
    </row>
    <row r="21" spans="1:5" x14ac:dyDescent="0.35">
      <c r="A21" s="27">
        <v>2223</v>
      </c>
      <c r="B21" s="129" t="s">
        <v>209</v>
      </c>
      <c r="C21" s="127"/>
      <c r="D21" s="180"/>
      <c r="E21" s="28">
        <f>0.16*10</f>
        <v>1.6</v>
      </c>
    </row>
    <row r="22" spans="1:5" x14ac:dyDescent="0.35">
      <c r="A22" s="27">
        <v>2311</v>
      </c>
      <c r="B22" s="129" t="s">
        <v>307</v>
      </c>
      <c r="C22" s="127"/>
      <c r="D22" s="180"/>
      <c r="E22" s="28">
        <f>0.22*10</f>
        <v>2.2000000000000002</v>
      </c>
    </row>
    <row r="23" spans="1:5" x14ac:dyDescent="0.35">
      <c r="A23" s="33">
        <v>2312</v>
      </c>
      <c r="B23" s="129" t="s">
        <v>308</v>
      </c>
      <c r="C23" s="127"/>
      <c r="D23" s="180"/>
      <c r="E23" s="28">
        <f>0.02*10</f>
        <v>0.2</v>
      </c>
    </row>
    <row r="24" spans="1:5" x14ac:dyDescent="0.35">
      <c r="A24" s="27">
        <v>2321</v>
      </c>
      <c r="B24" s="129" t="s">
        <v>309</v>
      </c>
      <c r="C24" s="127"/>
      <c r="D24" s="180"/>
      <c r="E24" s="28">
        <f>0.2*10</f>
        <v>2</v>
      </c>
    </row>
    <row r="25" spans="1:5" x14ac:dyDescent="0.35">
      <c r="A25" s="33">
        <v>2341</v>
      </c>
      <c r="B25" s="129" t="s">
        <v>310</v>
      </c>
      <c r="C25" s="129"/>
      <c r="D25" s="180">
        <v>0.31</v>
      </c>
      <c r="E25" s="28">
        <f>0.11*10</f>
        <v>1.1000000000000001</v>
      </c>
    </row>
    <row r="26" spans="1:5" x14ac:dyDescent="0.35">
      <c r="A26" s="33">
        <v>2350</v>
      </c>
      <c r="B26" s="127" t="s">
        <v>206</v>
      </c>
      <c r="C26" s="127"/>
      <c r="D26" s="180">
        <v>0.04</v>
      </c>
      <c r="E26" s="28">
        <f>0.11*10</f>
        <v>1.1000000000000001</v>
      </c>
    </row>
    <row r="27" spans="1:5" x14ac:dyDescent="0.35">
      <c r="A27" s="33">
        <v>5239</v>
      </c>
      <c r="B27" s="29" t="s">
        <v>296</v>
      </c>
      <c r="C27" s="127"/>
      <c r="D27" s="180"/>
      <c r="E27" s="28">
        <f>0.27*10</f>
        <v>2.7</v>
      </c>
    </row>
    <row r="28" spans="1:5" x14ac:dyDescent="0.3">
      <c r="A28" s="27"/>
      <c r="B28" s="163" t="s">
        <v>161</v>
      </c>
      <c r="C28" s="163"/>
      <c r="D28" s="181">
        <f>SUM(D19:D26)</f>
        <v>13.479999999999999</v>
      </c>
      <c r="E28" s="31">
        <f>SUM(E19:E27)</f>
        <v>129.54999999999998</v>
      </c>
    </row>
    <row r="29" spans="1:5" x14ac:dyDescent="0.3">
      <c r="A29" s="32"/>
      <c r="B29" s="163" t="s">
        <v>162</v>
      </c>
      <c r="C29" s="163"/>
      <c r="D29" s="180"/>
      <c r="E29" s="28"/>
    </row>
    <row r="30" spans="1:5" x14ac:dyDescent="0.35">
      <c r="A30" s="27">
        <v>1100</v>
      </c>
      <c r="B30" s="125" t="s">
        <v>157</v>
      </c>
      <c r="C30" s="127">
        <f>0.388+0.024</f>
        <v>0.41200000000000003</v>
      </c>
      <c r="D30" s="182">
        <f>3.07*C30</f>
        <v>1.26484</v>
      </c>
      <c r="E30" s="28">
        <v>23.63</v>
      </c>
    </row>
    <row r="31" spans="1:5" x14ac:dyDescent="0.35">
      <c r="A31" s="27">
        <v>1200</v>
      </c>
      <c r="B31" s="125" t="s">
        <v>187</v>
      </c>
      <c r="C31" s="127">
        <f>C30*0.2359</f>
        <v>9.7190800000000008E-2</v>
      </c>
      <c r="D31" s="182">
        <f>D30*0.2359</f>
        <v>0.29837575599999999</v>
      </c>
      <c r="E31" s="28">
        <v>5.57</v>
      </c>
    </row>
    <row r="32" spans="1:5" x14ac:dyDescent="0.35">
      <c r="A32" s="27">
        <v>2100</v>
      </c>
      <c r="B32" s="128" t="s">
        <v>163</v>
      </c>
      <c r="C32" s="127">
        <v>1.1659999999999999E-3</v>
      </c>
      <c r="D32" s="183">
        <f t="shared" ref="D32:D71" si="0">C32*3.07</f>
        <v>3.5796199999999995E-3</v>
      </c>
      <c r="E32" s="28">
        <v>0.04</v>
      </c>
    </row>
    <row r="33" spans="1:5" x14ac:dyDescent="0.35">
      <c r="A33" s="33">
        <v>2210</v>
      </c>
      <c r="B33" s="129" t="s">
        <v>207</v>
      </c>
      <c r="C33" s="127">
        <v>7.6E-3</v>
      </c>
      <c r="D33" s="183">
        <f t="shared" si="0"/>
        <v>2.3331999999999999E-2</v>
      </c>
      <c r="E33" s="28">
        <v>0.24</v>
      </c>
    </row>
    <row r="34" spans="1:5" x14ac:dyDescent="0.35">
      <c r="A34" s="27">
        <v>2222</v>
      </c>
      <c r="B34" s="129" t="s">
        <v>311</v>
      </c>
      <c r="C34" s="127">
        <v>9.4999999999999998E-3</v>
      </c>
      <c r="D34" s="183">
        <f t="shared" si="0"/>
        <v>2.9164999999999996E-2</v>
      </c>
      <c r="E34" s="28">
        <v>0.3</v>
      </c>
    </row>
    <row r="35" spans="1:5" x14ac:dyDescent="0.35">
      <c r="A35" s="27">
        <v>2223</v>
      </c>
      <c r="B35" s="129" t="s">
        <v>209</v>
      </c>
      <c r="C35" s="127">
        <v>1.9019999999999999E-2</v>
      </c>
      <c r="D35" s="183">
        <f t="shared" si="0"/>
        <v>5.8391399999999996E-2</v>
      </c>
      <c r="E35" s="28">
        <v>0.6</v>
      </c>
    </row>
    <row r="36" spans="1:5" ht="31" x14ac:dyDescent="0.35">
      <c r="A36" s="27">
        <v>2224</v>
      </c>
      <c r="B36" s="129" t="s">
        <v>312</v>
      </c>
      <c r="C36" s="127">
        <v>4.9500000000000004E-3</v>
      </c>
      <c r="D36" s="183">
        <f t="shared" si="0"/>
        <v>1.51965E-2</v>
      </c>
      <c r="E36" s="28">
        <v>0.15</v>
      </c>
    </row>
    <row r="37" spans="1:5" x14ac:dyDescent="0.35">
      <c r="A37" s="27">
        <v>2231</v>
      </c>
      <c r="B37" s="125" t="s">
        <v>143</v>
      </c>
      <c r="C37" s="127">
        <v>1.5499999999999999E-3</v>
      </c>
      <c r="D37" s="183">
        <f t="shared" si="0"/>
        <v>4.7584999999999997E-3</v>
      </c>
      <c r="E37" s="28">
        <v>0.05</v>
      </c>
    </row>
    <row r="38" spans="1:5" x14ac:dyDescent="0.35">
      <c r="A38" s="27">
        <v>2235</v>
      </c>
      <c r="B38" s="184" t="s">
        <v>313</v>
      </c>
      <c r="C38" s="127">
        <v>1.65E-3</v>
      </c>
      <c r="D38" s="183">
        <f t="shared" si="0"/>
        <v>5.0654999999999997E-3</v>
      </c>
      <c r="E38" s="28">
        <v>0.05</v>
      </c>
    </row>
    <row r="39" spans="1:5" x14ac:dyDescent="0.35">
      <c r="A39" s="27">
        <v>2239</v>
      </c>
      <c r="B39" s="125" t="s">
        <v>183</v>
      </c>
      <c r="C39" s="127">
        <v>4.4099999999999999E-3</v>
      </c>
      <c r="D39" s="183">
        <f t="shared" si="0"/>
        <v>1.3538699999999999E-2</v>
      </c>
      <c r="E39" s="28">
        <v>0.14000000000000001</v>
      </c>
    </row>
    <row r="40" spans="1:5" x14ac:dyDescent="0.35">
      <c r="A40" s="27">
        <v>2241</v>
      </c>
      <c r="B40" s="125" t="s">
        <v>208</v>
      </c>
      <c r="C40" s="127">
        <v>1.6500000000000001E-2</v>
      </c>
      <c r="D40" s="183">
        <f t="shared" si="0"/>
        <v>5.0654999999999999E-2</v>
      </c>
      <c r="E40" s="28">
        <v>0.52</v>
      </c>
    </row>
    <row r="41" spans="1:5" x14ac:dyDescent="0.35">
      <c r="A41" s="27">
        <v>2242</v>
      </c>
      <c r="B41" s="129" t="s">
        <v>314</v>
      </c>
      <c r="C41" s="127">
        <v>2.2599999999999999E-3</v>
      </c>
      <c r="D41" s="183">
        <f t="shared" si="0"/>
        <v>6.9381999999999994E-3</v>
      </c>
      <c r="E41" s="28">
        <v>7.0000000000000007E-2</v>
      </c>
    </row>
    <row r="42" spans="1:5" x14ac:dyDescent="0.35">
      <c r="A42" s="27">
        <v>2243</v>
      </c>
      <c r="B42" s="125" t="s">
        <v>197</v>
      </c>
      <c r="C42" s="127">
        <v>3.2599999999999997E-2</v>
      </c>
      <c r="D42" s="183">
        <f t="shared" si="0"/>
        <v>0.10008199999999999</v>
      </c>
      <c r="E42" s="28">
        <v>1.03</v>
      </c>
    </row>
    <row r="43" spans="1:5" x14ac:dyDescent="0.35">
      <c r="A43" s="27">
        <v>2244</v>
      </c>
      <c r="B43" s="125" t="s">
        <v>191</v>
      </c>
      <c r="C43" s="127">
        <v>0.20397000000000001</v>
      </c>
      <c r="D43" s="183">
        <f t="shared" si="0"/>
        <v>0.62618790000000002</v>
      </c>
      <c r="E43" s="28">
        <v>7.26</v>
      </c>
    </row>
    <row r="44" spans="1:5" x14ac:dyDescent="0.35">
      <c r="A44" s="27">
        <v>2247</v>
      </c>
      <c r="B44" s="125" t="s">
        <v>164</v>
      </c>
      <c r="C44" s="127">
        <v>7.1900000000000002E-4</v>
      </c>
      <c r="D44" s="183">
        <f t="shared" si="0"/>
        <v>2.20733E-3</v>
      </c>
      <c r="E44" s="28">
        <v>0.02</v>
      </c>
    </row>
    <row r="45" spans="1:5" x14ac:dyDescent="0.35">
      <c r="A45" s="27">
        <v>2249</v>
      </c>
      <c r="B45" s="125" t="s">
        <v>315</v>
      </c>
      <c r="C45" s="127">
        <v>2.32E-4</v>
      </c>
      <c r="D45" s="183">
        <f t="shared" si="0"/>
        <v>7.1223999999999994E-4</v>
      </c>
      <c r="E45" s="28">
        <v>0.01</v>
      </c>
    </row>
    <row r="46" spans="1:5" x14ac:dyDescent="0.35">
      <c r="A46" s="27">
        <v>2250</v>
      </c>
      <c r="B46" s="125" t="s">
        <v>204</v>
      </c>
      <c r="C46" s="127">
        <v>2.4025999999999999E-2</v>
      </c>
      <c r="D46" s="183">
        <f t="shared" si="0"/>
        <v>7.375981999999999E-2</v>
      </c>
      <c r="E46" s="28">
        <v>0.76</v>
      </c>
    </row>
    <row r="47" spans="1:5" hidden="1" x14ac:dyDescent="0.35">
      <c r="A47" s="27">
        <v>2261</v>
      </c>
      <c r="B47" s="129" t="s">
        <v>11</v>
      </c>
      <c r="C47" s="127">
        <v>0</v>
      </c>
      <c r="D47" s="183">
        <f t="shared" si="0"/>
        <v>0</v>
      </c>
      <c r="E47" s="28">
        <v>0</v>
      </c>
    </row>
    <row r="48" spans="1:5" x14ac:dyDescent="0.35">
      <c r="A48" s="27">
        <v>2262</v>
      </c>
      <c r="B48" s="129" t="s">
        <v>210</v>
      </c>
      <c r="C48" s="127">
        <v>6.2599999999999999E-3</v>
      </c>
      <c r="D48" s="183">
        <f t="shared" si="0"/>
        <v>1.9218199999999998E-2</v>
      </c>
      <c r="E48" s="28">
        <v>0.2</v>
      </c>
    </row>
    <row r="49" spans="1:5" x14ac:dyDescent="0.35">
      <c r="A49" s="27">
        <v>2263</v>
      </c>
      <c r="B49" s="129" t="s">
        <v>211</v>
      </c>
      <c r="C49" s="127">
        <v>4.58E-2</v>
      </c>
      <c r="D49" s="183">
        <f t="shared" si="0"/>
        <v>0.14060599999999998</v>
      </c>
      <c r="E49" s="28">
        <v>1.45</v>
      </c>
    </row>
    <row r="50" spans="1:5" x14ac:dyDescent="0.35">
      <c r="A50" s="27">
        <v>2264</v>
      </c>
      <c r="B50" s="125" t="s">
        <v>212</v>
      </c>
      <c r="C50" s="127">
        <v>1.49E-3</v>
      </c>
      <c r="D50" s="183">
        <f t="shared" si="0"/>
        <v>4.5742999999999999E-3</v>
      </c>
      <c r="E50" s="28">
        <v>0.05</v>
      </c>
    </row>
    <row r="51" spans="1:5" x14ac:dyDescent="0.35">
      <c r="A51" s="27">
        <v>2311</v>
      </c>
      <c r="B51" s="129" t="s">
        <v>307</v>
      </c>
      <c r="C51" s="127">
        <v>4.7699999999999999E-3</v>
      </c>
      <c r="D51" s="183">
        <f t="shared" si="0"/>
        <v>1.46439E-2</v>
      </c>
      <c r="E51" s="28">
        <v>0.15</v>
      </c>
    </row>
    <row r="52" spans="1:5" x14ac:dyDescent="0.35">
      <c r="A52" s="27">
        <v>2312</v>
      </c>
      <c r="B52" s="129" t="s">
        <v>308</v>
      </c>
      <c r="C52" s="127">
        <v>5.79E-3</v>
      </c>
      <c r="D52" s="183">
        <f t="shared" si="0"/>
        <v>1.7775300000000001E-2</v>
      </c>
      <c r="E52" s="28">
        <v>0.19</v>
      </c>
    </row>
    <row r="53" spans="1:5" x14ac:dyDescent="0.35">
      <c r="A53" s="27">
        <v>2313</v>
      </c>
      <c r="B53" s="129" t="s">
        <v>316</v>
      </c>
      <c r="C53" s="127"/>
      <c r="D53" s="183"/>
      <c r="E53" s="28">
        <v>0.03</v>
      </c>
    </row>
    <row r="54" spans="1:5" x14ac:dyDescent="0.35">
      <c r="A54" s="27">
        <v>2314</v>
      </c>
      <c r="B54" s="184" t="s">
        <v>317</v>
      </c>
      <c r="C54" s="127">
        <v>2.2200000000000002E-3</v>
      </c>
      <c r="D54" s="183">
        <f t="shared" si="0"/>
        <v>6.8154000000000001E-3</v>
      </c>
      <c r="E54" s="28">
        <v>0.04</v>
      </c>
    </row>
    <row r="55" spans="1:5" x14ac:dyDescent="0.35">
      <c r="A55" s="27">
        <v>2321</v>
      </c>
      <c r="B55" s="129" t="s">
        <v>309</v>
      </c>
      <c r="C55" s="127">
        <v>1.9800000000000002E-2</v>
      </c>
      <c r="D55" s="183">
        <f t="shared" si="0"/>
        <v>6.0786E-2</v>
      </c>
      <c r="E55" s="28">
        <v>0.63</v>
      </c>
    </row>
    <row r="56" spans="1:5" x14ac:dyDescent="0.35">
      <c r="A56" s="27">
        <v>2322</v>
      </c>
      <c r="B56" s="129" t="s">
        <v>318</v>
      </c>
      <c r="C56" s="127">
        <v>3.5000000000000001E-3</v>
      </c>
      <c r="D56" s="183">
        <f t="shared" si="0"/>
        <v>1.0744999999999999E-2</v>
      </c>
      <c r="E56" s="28">
        <v>0.11</v>
      </c>
    </row>
    <row r="57" spans="1:5" x14ac:dyDescent="0.35">
      <c r="A57" s="27">
        <v>2341</v>
      </c>
      <c r="B57" s="129" t="s">
        <v>159</v>
      </c>
      <c r="C57" s="127"/>
      <c r="D57" s="183">
        <f t="shared" si="0"/>
        <v>0</v>
      </c>
      <c r="E57" s="28">
        <v>0</v>
      </c>
    </row>
    <row r="58" spans="1:5" x14ac:dyDescent="0.35">
      <c r="A58" s="27">
        <v>2350</v>
      </c>
      <c r="B58" s="127" t="s">
        <v>206</v>
      </c>
      <c r="C58" s="127">
        <v>8.5000000000000006E-3</v>
      </c>
      <c r="D58" s="183">
        <f t="shared" si="0"/>
        <v>2.6095E-2</v>
      </c>
      <c r="E58" s="28">
        <v>0.27</v>
      </c>
    </row>
    <row r="59" spans="1:5" hidden="1" x14ac:dyDescent="0.35">
      <c r="A59" s="27">
        <v>2361</v>
      </c>
      <c r="B59" s="129" t="s">
        <v>20</v>
      </c>
      <c r="C59" s="127">
        <v>0</v>
      </c>
      <c r="D59" s="183">
        <f t="shared" si="0"/>
        <v>0</v>
      </c>
      <c r="E59" s="28">
        <v>0</v>
      </c>
    </row>
    <row r="60" spans="1:5" hidden="1" x14ac:dyDescent="0.35">
      <c r="A60" s="27">
        <v>2362</v>
      </c>
      <c r="B60" s="129" t="s">
        <v>169</v>
      </c>
      <c r="C60" s="127">
        <v>0</v>
      </c>
      <c r="D60" s="183">
        <f t="shared" si="0"/>
        <v>0</v>
      </c>
      <c r="E60" s="28">
        <v>0</v>
      </c>
    </row>
    <row r="61" spans="1:5" hidden="1" x14ac:dyDescent="0.35">
      <c r="A61" s="27">
        <v>2363</v>
      </c>
      <c r="B61" s="129" t="s">
        <v>170</v>
      </c>
      <c r="C61" s="127">
        <v>0</v>
      </c>
      <c r="D61" s="183">
        <f t="shared" si="0"/>
        <v>0</v>
      </c>
      <c r="E61" s="28">
        <v>0</v>
      </c>
    </row>
    <row r="62" spans="1:5" hidden="1" x14ac:dyDescent="0.35">
      <c r="A62" s="27">
        <v>2370</v>
      </c>
      <c r="B62" s="129" t="s">
        <v>21</v>
      </c>
      <c r="C62" s="127">
        <v>0</v>
      </c>
      <c r="D62" s="183">
        <f t="shared" si="0"/>
        <v>0</v>
      </c>
      <c r="E62" s="28">
        <v>0</v>
      </c>
    </row>
    <row r="63" spans="1:5" hidden="1" x14ac:dyDescent="0.35">
      <c r="A63" s="27">
        <v>2400</v>
      </c>
      <c r="B63" s="129" t="s">
        <v>31</v>
      </c>
      <c r="C63" s="127">
        <v>0</v>
      </c>
      <c r="D63" s="183">
        <f t="shared" si="0"/>
        <v>0</v>
      </c>
      <c r="E63" s="28">
        <v>0</v>
      </c>
    </row>
    <row r="64" spans="1:5" hidden="1" x14ac:dyDescent="0.35">
      <c r="A64" s="27">
        <v>2512</v>
      </c>
      <c r="B64" s="129" t="s">
        <v>171</v>
      </c>
      <c r="C64" s="127">
        <v>0</v>
      </c>
      <c r="D64" s="183">
        <f t="shared" si="0"/>
        <v>0</v>
      </c>
      <c r="E64" s="28">
        <v>0</v>
      </c>
    </row>
    <row r="65" spans="1:5" x14ac:dyDescent="0.35">
      <c r="A65" s="27">
        <v>2513</v>
      </c>
      <c r="B65" s="127" t="s">
        <v>319</v>
      </c>
      <c r="C65" s="127">
        <v>1.4599999999999999E-3</v>
      </c>
      <c r="D65" s="183">
        <f t="shared" si="0"/>
        <v>4.4821999999999996E-3</v>
      </c>
      <c r="E65" s="28">
        <v>0.05</v>
      </c>
    </row>
    <row r="66" spans="1:5" x14ac:dyDescent="0.35">
      <c r="A66" s="27">
        <v>2515</v>
      </c>
      <c r="B66" s="129" t="s">
        <v>172</v>
      </c>
      <c r="C66" s="127">
        <v>1.9E-3</v>
      </c>
      <c r="D66" s="183">
        <f t="shared" si="0"/>
        <v>5.8329999999999996E-3</v>
      </c>
      <c r="E66" s="28">
        <v>0.06</v>
      </c>
    </row>
    <row r="67" spans="1:5" x14ac:dyDescent="0.35">
      <c r="A67" s="27">
        <v>2519</v>
      </c>
      <c r="B67" s="129" t="s">
        <v>320</v>
      </c>
      <c r="C67" s="127">
        <v>2E-3</v>
      </c>
      <c r="D67" s="183">
        <f t="shared" si="0"/>
        <v>6.1399999999999996E-3</v>
      </c>
      <c r="E67" s="28">
        <v>0.06</v>
      </c>
    </row>
    <row r="68" spans="1:5" x14ac:dyDescent="0.35">
      <c r="A68" s="27">
        <v>5220</v>
      </c>
      <c r="B68" s="129" t="s">
        <v>321</v>
      </c>
      <c r="C68" s="127">
        <v>1.06E-2</v>
      </c>
      <c r="D68" s="183">
        <f t="shared" si="0"/>
        <v>3.2542000000000001E-2</v>
      </c>
      <c r="E68" s="28">
        <v>0.34</v>
      </c>
    </row>
    <row r="69" spans="1:5" x14ac:dyDescent="0.35">
      <c r="A69" s="27">
        <v>5238</v>
      </c>
      <c r="B69" s="127" t="s">
        <v>322</v>
      </c>
      <c r="C69" s="127">
        <v>1.65E-3</v>
      </c>
      <c r="D69" s="183">
        <f t="shared" si="0"/>
        <v>5.0654999999999997E-3</v>
      </c>
      <c r="E69" s="28">
        <v>0.06</v>
      </c>
    </row>
    <row r="70" spans="1:5" x14ac:dyDescent="0.35">
      <c r="A70" s="27">
        <v>5239</v>
      </c>
      <c r="B70" s="127" t="s">
        <v>323</v>
      </c>
      <c r="C70" s="127">
        <v>1.9800000000000002E-2</v>
      </c>
      <c r="D70" s="183">
        <f t="shared" si="0"/>
        <v>6.0786E-2</v>
      </c>
      <c r="E70" s="28">
        <v>0.63</v>
      </c>
    </row>
    <row r="71" spans="1:5" x14ac:dyDescent="0.35">
      <c r="A71" s="27">
        <v>5250</v>
      </c>
      <c r="B71" s="129" t="s">
        <v>203</v>
      </c>
      <c r="C71" s="127">
        <v>2.5000000000000001E-2</v>
      </c>
      <c r="D71" s="183">
        <f t="shared" si="0"/>
        <v>7.6749999999999999E-2</v>
      </c>
      <c r="E71" s="28">
        <v>0.79</v>
      </c>
    </row>
    <row r="72" spans="1:5" x14ac:dyDescent="0.35">
      <c r="A72" s="32"/>
      <c r="B72" s="164" t="s">
        <v>66</v>
      </c>
      <c r="C72" s="127">
        <f>SUM(C30:C71)</f>
        <v>0.99988380000000032</v>
      </c>
      <c r="D72" s="31">
        <f>SUM(D30:D71)</f>
        <v>3.0696432659999986</v>
      </c>
      <c r="E72" s="31">
        <f>SUM(E30:E71)</f>
        <v>45.550000000000011</v>
      </c>
    </row>
    <row r="73" spans="1:5" x14ac:dyDescent="0.3">
      <c r="A73" s="32"/>
      <c r="B73" s="164" t="s">
        <v>67</v>
      </c>
      <c r="C73" s="164"/>
      <c r="D73" s="181">
        <f>D28+D72</f>
        <v>16.549643265999997</v>
      </c>
      <c r="E73" s="31">
        <f>E28+E72</f>
        <v>175.1</v>
      </c>
    </row>
    <row r="74" spans="1:5" x14ac:dyDescent="0.35">
      <c r="A74" s="35"/>
      <c r="B74" s="20"/>
      <c r="C74" s="20"/>
      <c r="D74" s="185"/>
      <c r="E74" s="130"/>
    </row>
    <row r="75" spans="1:5" x14ac:dyDescent="0.35">
      <c r="A75" s="281" t="s">
        <v>176</v>
      </c>
      <c r="B75" s="281"/>
      <c r="C75" s="186"/>
      <c r="D75" s="187"/>
      <c r="E75" s="107">
        <v>10</v>
      </c>
    </row>
    <row r="76" spans="1:5" x14ac:dyDescent="0.35">
      <c r="A76" s="281" t="s">
        <v>46</v>
      </c>
      <c r="B76" s="281"/>
      <c r="C76" s="186"/>
      <c r="D76" s="187"/>
      <c r="E76" s="108">
        <f>E73/E75</f>
        <v>17.509999999999998</v>
      </c>
    </row>
    <row r="77" spans="1:5" x14ac:dyDescent="0.35">
      <c r="A77" s="41"/>
      <c r="B77" s="52"/>
      <c r="C77" s="52"/>
      <c r="D77" s="61"/>
    </row>
    <row r="78" spans="1:5" x14ac:dyDescent="0.35">
      <c r="A78" s="280" t="s">
        <v>37</v>
      </c>
      <c r="B78" s="280"/>
      <c r="C78" s="188"/>
      <c r="D78" s="189"/>
      <c r="E78" s="39"/>
    </row>
    <row r="79" spans="1:5" x14ac:dyDescent="0.35">
      <c r="A79" s="280" t="s">
        <v>54</v>
      </c>
      <c r="B79" s="280"/>
      <c r="C79" s="188"/>
      <c r="D79" s="189"/>
      <c r="E79" s="39"/>
    </row>
    <row r="80" spans="1:5" x14ac:dyDescent="0.35">
      <c r="A80" s="17"/>
      <c r="B80" s="17"/>
      <c r="C80" s="17"/>
      <c r="D80" s="65"/>
      <c r="E80" s="17"/>
    </row>
    <row r="81" spans="1:5" x14ac:dyDescent="0.35">
      <c r="A81" s="17" t="s">
        <v>38</v>
      </c>
      <c r="B81" s="17"/>
      <c r="C81" s="17"/>
      <c r="D81" s="65"/>
      <c r="E81" s="65"/>
    </row>
    <row r="82" spans="1:5" x14ac:dyDescent="0.35">
      <c r="A82" s="17"/>
      <c r="B82" s="17"/>
      <c r="C82" s="17"/>
      <c r="D82" s="65"/>
      <c r="E82" s="65"/>
    </row>
    <row r="83" spans="1:5" x14ac:dyDescent="0.35">
      <c r="A83" s="17" t="s">
        <v>268</v>
      </c>
      <c r="B83" s="18"/>
      <c r="C83" s="18"/>
      <c r="D83" s="91"/>
      <c r="E83" s="17"/>
    </row>
    <row r="84" spans="1:5" x14ac:dyDescent="0.35">
      <c r="B84" s="190"/>
      <c r="C84" s="190"/>
      <c r="D84" s="191"/>
      <c r="E84" s="192"/>
    </row>
    <row r="86" spans="1:5" x14ac:dyDescent="0.35">
      <c r="E86" s="123"/>
    </row>
  </sheetData>
  <mergeCells count="8">
    <mergeCell ref="A78:B78"/>
    <mergeCell ref="A79:B79"/>
    <mergeCell ref="B2:E2"/>
    <mergeCell ref="A7:E7"/>
    <mergeCell ref="A9:B9"/>
    <mergeCell ref="A10:B10"/>
    <mergeCell ref="A75:B75"/>
    <mergeCell ref="A76:B76"/>
  </mergeCells>
  <pageMargins left="0.7" right="0.7" top="0.75" bottom="0.75" header="0.3" footer="0.3"/>
  <pageSetup paperSize="9" scale="61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5"/>
  <sheetViews>
    <sheetView view="pageLayout" topLeftCell="A36" zoomScale="90" zoomScaleNormal="100" zoomScalePageLayoutView="90" workbookViewId="0">
      <selection activeCell="A92" sqref="A92"/>
    </sheetView>
  </sheetViews>
  <sheetFormatPr defaultColWidth="9.1796875" defaultRowHeight="15.5" x14ac:dyDescent="0.35"/>
  <cols>
    <col min="1" max="1" width="13.54296875" style="13" customWidth="1"/>
    <col min="2" max="2" width="93.54296875" style="13" customWidth="1"/>
    <col min="3" max="3" width="21.54296875" style="13" hidden="1" customWidth="1"/>
    <col min="4" max="4" width="28.7265625" style="13" customWidth="1"/>
    <col min="5" max="16384" width="9.1796875" style="3"/>
  </cols>
  <sheetData>
    <row r="1" spans="1:4" x14ac:dyDescent="0.35">
      <c r="B1" s="35"/>
      <c r="C1" s="121"/>
      <c r="D1" s="35" t="s">
        <v>35</v>
      </c>
    </row>
    <row r="2" spans="1:4" x14ac:dyDescent="0.35">
      <c r="B2" s="121"/>
      <c r="C2" s="121"/>
      <c r="D2" s="35" t="s">
        <v>39</v>
      </c>
    </row>
    <row r="3" spans="1:4" x14ac:dyDescent="0.35">
      <c r="B3" s="121"/>
      <c r="C3" s="257" t="s">
        <v>56</v>
      </c>
      <c r="D3" s="274"/>
    </row>
    <row r="4" spans="1:4" x14ac:dyDescent="0.35">
      <c r="B4" s="11"/>
      <c r="D4" s="11"/>
    </row>
    <row r="5" spans="1:4" x14ac:dyDescent="0.35">
      <c r="B5" s="116"/>
      <c r="C5" s="12"/>
      <c r="D5" s="11" t="s">
        <v>301</v>
      </c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B8" s="135"/>
    </row>
    <row r="9" spans="1:4" x14ac:dyDescent="0.35">
      <c r="A9" s="262" t="s">
        <v>1</v>
      </c>
      <c r="B9" s="262"/>
    </row>
    <row r="10" spans="1:4" x14ac:dyDescent="0.35">
      <c r="A10" s="262" t="s">
        <v>0</v>
      </c>
      <c r="B10" s="262"/>
      <c r="D10" s="20"/>
    </row>
    <row r="11" spans="1:4" x14ac:dyDescent="0.35">
      <c r="A11" s="9"/>
      <c r="B11" s="9" t="s">
        <v>216</v>
      </c>
      <c r="C11" s="123"/>
      <c r="D11" s="20"/>
    </row>
    <row r="12" spans="1:4" x14ac:dyDescent="0.35">
      <c r="A12" s="9"/>
      <c r="B12" s="9" t="s">
        <v>217</v>
      </c>
    </row>
    <row r="13" spans="1:4" x14ac:dyDescent="0.35">
      <c r="A13" s="9"/>
      <c r="B13" s="9" t="s">
        <v>294</v>
      </c>
      <c r="C13" s="123"/>
    </row>
    <row r="14" spans="1:4" ht="15.75" customHeight="1" x14ac:dyDescent="0.35">
      <c r="A14" s="9"/>
      <c r="B14" s="9"/>
      <c r="C14" s="123"/>
    </row>
    <row r="15" spans="1:4" x14ac:dyDescent="0.35">
      <c r="A15" s="9" t="s">
        <v>2</v>
      </c>
      <c r="B15" s="9" t="s">
        <v>302</v>
      </c>
      <c r="C15" s="123"/>
    </row>
    <row r="16" spans="1:4" hidden="1" x14ac:dyDescent="0.35">
      <c r="B16" s="124"/>
    </row>
    <row r="17" spans="1:4" ht="67.5" customHeight="1" x14ac:dyDescent="0.25">
      <c r="A17" s="54" t="s">
        <v>3</v>
      </c>
      <c r="B17" s="54" t="s">
        <v>4</v>
      </c>
      <c r="C17" s="54"/>
      <c r="D17" s="54" t="s">
        <v>155</v>
      </c>
    </row>
    <row r="18" spans="1:4" ht="15" x14ac:dyDescent="0.25">
      <c r="A18" s="22">
        <v>1</v>
      </c>
      <c r="B18" s="23">
        <v>2</v>
      </c>
      <c r="C18" s="23"/>
      <c r="D18" s="23">
        <v>3</v>
      </c>
    </row>
    <row r="19" spans="1:4" x14ac:dyDescent="0.35">
      <c r="A19" s="22"/>
      <c r="B19" s="125" t="s">
        <v>156</v>
      </c>
      <c r="C19" s="127"/>
      <c r="D19" s="127"/>
    </row>
    <row r="20" spans="1:4" x14ac:dyDescent="0.25">
      <c r="A20" s="27">
        <v>1100</v>
      </c>
      <c r="B20" s="27" t="s">
        <v>63</v>
      </c>
      <c r="C20" s="28">
        <v>5.62</v>
      </c>
      <c r="D20" s="28">
        <f>C20*30</f>
        <v>168.6</v>
      </c>
    </row>
    <row r="21" spans="1:4" ht="15.75" customHeight="1" x14ac:dyDescent="0.25">
      <c r="A21" s="27">
        <v>1200</v>
      </c>
      <c r="B21" s="29" t="s">
        <v>192</v>
      </c>
      <c r="C21" s="28">
        <v>1.36</v>
      </c>
      <c r="D21" s="28">
        <f t="shared" ref="D21:D33" si="0">C21*30</f>
        <v>40.800000000000004</v>
      </c>
    </row>
    <row r="22" spans="1:4" x14ac:dyDescent="0.25">
      <c r="A22" s="27">
        <v>2222</v>
      </c>
      <c r="B22" s="29" t="s">
        <v>190</v>
      </c>
      <c r="C22" s="28">
        <v>0.02</v>
      </c>
      <c r="D22" s="28">
        <f t="shared" si="0"/>
        <v>0.6</v>
      </c>
    </row>
    <row r="23" spans="1:4" x14ac:dyDescent="0.25">
      <c r="A23" s="27">
        <v>2223</v>
      </c>
      <c r="B23" s="29" t="s">
        <v>29</v>
      </c>
      <c r="C23" s="28">
        <v>0.09</v>
      </c>
      <c r="D23" s="28">
        <f t="shared" si="0"/>
        <v>2.6999999999999997</v>
      </c>
    </row>
    <row r="24" spans="1:4" hidden="1" x14ac:dyDescent="0.25">
      <c r="A24" s="27">
        <v>2243</v>
      </c>
      <c r="B24" s="29" t="s">
        <v>9</v>
      </c>
      <c r="C24" s="28"/>
      <c r="D24" s="28">
        <f t="shared" si="0"/>
        <v>0</v>
      </c>
    </row>
    <row r="25" spans="1:4" x14ac:dyDescent="0.25">
      <c r="A25" s="27">
        <v>2244</v>
      </c>
      <c r="B25" s="29" t="s">
        <v>193</v>
      </c>
      <c r="C25" s="28">
        <v>0.12</v>
      </c>
      <c r="D25" s="28">
        <f t="shared" si="0"/>
        <v>3.5999999999999996</v>
      </c>
    </row>
    <row r="26" spans="1:4" x14ac:dyDescent="0.25">
      <c r="A26" s="27">
        <v>2311</v>
      </c>
      <c r="B26" s="29" t="s">
        <v>72</v>
      </c>
      <c r="C26" s="28">
        <v>0.34</v>
      </c>
      <c r="D26" s="28">
        <f t="shared" si="0"/>
        <v>10.200000000000001</v>
      </c>
    </row>
    <row r="27" spans="1:4" x14ac:dyDescent="0.25">
      <c r="A27" s="27">
        <v>2312</v>
      </c>
      <c r="B27" s="29" t="s">
        <v>16</v>
      </c>
      <c r="C27" s="28">
        <v>0.47</v>
      </c>
      <c r="D27" s="28">
        <f t="shared" si="0"/>
        <v>14.1</v>
      </c>
    </row>
    <row r="28" spans="1:4" x14ac:dyDescent="0.25">
      <c r="A28" s="27">
        <v>2321</v>
      </c>
      <c r="B28" s="29" t="s">
        <v>17</v>
      </c>
      <c r="C28" s="28">
        <v>0.17</v>
      </c>
      <c r="D28" s="28">
        <f t="shared" si="0"/>
        <v>5.1000000000000005</v>
      </c>
    </row>
    <row r="29" spans="1:4" hidden="1" x14ac:dyDescent="0.25">
      <c r="A29" s="27">
        <v>2341</v>
      </c>
      <c r="B29" s="29" t="s">
        <v>180</v>
      </c>
      <c r="C29" s="28">
        <v>0</v>
      </c>
      <c r="D29" s="28">
        <f t="shared" si="0"/>
        <v>0</v>
      </c>
    </row>
    <row r="30" spans="1:4" x14ac:dyDescent="0.25">
      <c r="A30" s="27">
        <v>2350</v>
      </c>
      <c r="B30" s="29" t="s">
        <v>224</v>
      </c>
      <c r="C30" s="28">
        <v>0.09</v>
      </c>
      <c r="D30" s="28">
        <f t="shared" si="0"/>
        <v>2.6999999999999997</v>
      </c>
    </row>
    <row r="31" spans="1:4" x14ac:dyDescent="0.25">
      <c r="A31" s="27">
        <v>2369</v>
      </c>
      <c r="B31" s="29" t="s">
        <v>236</v>
      </c>
      <c r="C31" s="28">
        <v>0.41</v>
      </c>
      <c r="D31" s="28">
        <f t="shared" si="0"/>
        <v>12.299999999999999</v>
      </c>
    </row>
    <row r="32" spans="1:4" x14ac:dyDescent="0.25">
      <c r="A32" s="27">
        <v>5238</v>
      </c>
      <c r="B32" s="29" t="s">
        <v>237</v>
      </c>
      <c r="C32" s="28">
        <v>0.5</v>
      </c>
      <c r="D32" s="28">
        <f t="shared" si="0"/>
        <v>15</v>
      </c>
    </row>
    <row r="33" spans="1:4" x14ac:dyDescent="0.25">
      <c r="A33" s="33">
        <v>5239</v>
      </c>
      <c r="B33" s="29" t="s">
        <v>296</v>
      </c>
      <c r="C33" s="28">
        <v>0.13</v>
      </c>
      <c r="D33" s="28">
        <f t="shared" si="0"/>
        <v>3.9000000000000004</v>
      </c>
    </row>
    <row r="34" spans="1:4" x14ac:dyDescent="0.25">
      <c r="A34" s="27"/>
      <c r="B34" s="30" t="s">
        <v>161</v>
      </c>
      <c r="C34" s="31">
        <f>SUM(C20:C33)</f>
        <v>9.32</v>
      </c>
      <c r="D34" s="31">
        <f>SUM(D20:D33)</f>
        <v>279.59999999999991</v>
      </c>
    </row>
    <row r="35" spans="1:4" x14ac:dyDescent="0.25">
      <c r="A35" s="32"/>
      <c r="B35" s="27" t="s">
        <v>162</v>
      </c>
      <c r="C35" s="28"/>
      <c r="D35" s="28"/>
    </row>
    <row r="36" spans="1:4" x14ac:dyDescent="0.25">
      <c r="A36" s="27">
        <v>1100</v>
      </c>
      <c r="B36" s="27" t="s">
        <v>63</v>
      </c>
      <c r="C36" s="28">
        <v>1.38</v>
      </c>
      <c r="D36" s="28">
        <f>C36*30</f>
        <v>41.4</v>
      </c>
    </row>
    <row r="37" spans="1:4" ht="15.75" customHeight="1" x14ac:dyDescent="0.25">
      <c r="A37" s="27">
        <v>1200</v>
      </c>
      <c r="B37" s="29" t="s">
        <v>192</v>
      </c>
      <c r="C37" s="28">
        <v>0.33</v>
      </c>
      <c r="D37" s="28">
        <f t="shared" ref="D37:D72" si="1">C37*30</f>
        <v>9.9</v>
      </c>
    </row>
    <row r="38" spans="1:4" hidden="1" x14ac:dyDescent="0.25">
      <c r="A38" s="27">
        <v>2100</v>
      </c>
      <c r="B38" s="128" t="s">
        <v>163</v>
      </c>
      <c r="C38" s="28"/>
      <c r="D38" s="28">
        <f t="shared" si="1"/>
        <v>0</v>
      </c>
    </row>
    <row r="39" spans="1:4" x14ac:dyDescent="0.25">
      <c r="A39" s="33">
        <v>2210</v>
      </c>
      <c r="B39" s="29" t="s">
        <v>142</v>
      </c>
      <c r="C39" s="28">
        <v>0.04</v>
      </c>
      <c r="D39" s="28">
        <f t="shared" si="1"/>
        <v>1.2</v>
      </c>
    </row>
    <row r="40" spans="1:4" hidden="1" x14ac:dyDescent="0.25">
      <c r="A40" s="27">
        <v>2222</v>
      </c>
      <c r="B40" s="29" t="s">
        <v>28</v>
      </c>
      <c r="C40" s="28"/>
      <c r="D40" s="28">
        <f t="shared" si="1"/>
        <v>0</v>
      </c>
    </row>
    <row r="41" spans="1:4" x14ac:dyDescent="0.25">
      <c r="A41" s="27">
        <v>2223</v>
      </c>
      <c r="B41" s="29" t="s">
        <v>29</v>
      </c>
      <c r="C41" s="28">
        <v>0.14000000000000001</v>
      </c>
      <c r="D41" s="28">
        <f t="shared" si="1"/>
        <v>4.2</v>
      </c>
    </row>
    <row r="42" spans="1:4" x14ac:dyDescent="0.25">
      <c r="A42" s="27">
        <v>2224</v>
      </c>
      <c r="B42" s="29" t="s">
        <v>225</v>
      </c>
      <c r="C42" s="28">
        <v>0.04</v>
      </c>
      <c r="D42" s="28">
        <f t="shared" si="1"/>
        <v>1.2</v>
      </c>
    </row>
    <row r="43" spans="1:4" x14ac:dyDescent="0.25">
      <c r="A43" s="27">
        <v>2231</v>
      </c>
      <c r="B43" s="29" t="s">
        <v>228</v>
      </c>
      <c r="C43" s="28">
        <v>0.03</v>
      </c>
      <c r="D43" s="28">
        <f t="shared" si="1"/>
        <v>0.89999999999999991</v>
      </c>
    </row>
    <row r="44" spans="1:4" x14ac:dyDescent="0.25">
      <c r="A44" s="27">
        <v>2239</v>
      </c>
      <c r="B44" s="29" t="s">
        <v>145</v>
      </c>
      <c r="C44" s="28">
        <v>0.03</v>
      </c>
      <c r="D44" s="28">
        <f t="shared" si="1"/>
        <v>0.89999999999999991</v>
      </c>
    </row>
    <row r="45" spans="1:4" x14ac:dyDescent="0.35">
      <c r="A45" s="127">
        <v>2241</v>
      </c>
      <c r="B45" s="129" t="s">
        <v>215</v>
      </c>
      <c r="C45" s="28">
        <v>0.04</v>
      </c>
      <c r="D45" s="28">
        <f t="shared" si="1"/>
        <v>1.2</v>
      </c>
    </row>
    <row r="46" spans="1:4" x14ac:dyDescent="0.35">
      <c r="A46" s="127">
        <v>2242</v>
      </c>
      <c r="B46" s="129" t="s">
        <v>8</v>
      </c>
      <c r="C46" s="28">
        <v>0.03</v>
      </c>
      <c r="D46" s="28">
        <f t="shared" si="1"/>
        <v>0.89999999999999991</v>
      </c>
    </row>
    <row r="47" spans="1:4" x14ac:dyDescent="0.35">
      <c r="A47" s="127">
        <v>2243</v>
      </c>
      <c r="B47" s="129" t="s">
        <v>9</v>
      </c>
      <c r="C47" s="28">
        <v>0.06</v>
      </c>
      <c r="D47" s="28">
        <f t="shared" si="1"/>
        <v>1.7999999999999998</v>
      </c>
    </row>
    <row r="48" spans="1:4" x14ac:dyDescent="0.35">
      <c r="A48" s="127">
        <v>2244</v>
      </c>
      <c r="B48" s="29" t="s">
        <v>193</v>
      </c>
      <c r="C48" s="28">
        <v>0.27</v>
      </c>
      <c r="D48" s="28">
        <f t="shared" si="1"/>
        <v>8.1000000000000014</v>
      </c>
    </row>
    <row r="49" spans="1:4" hidden="1" x14ac:dyDescent="0.35">
      <c r="A49" s="127">
        <v>2247</v>
      </c>
      <c r="B49" s="125" t="s">
        <v>59</v>
      </c>
      <c r="C49" s="28">
        <v>0</v>
      </c>
      <c r="D49" s="28">
        <f t="shared" si="1"/>
        <v>0</v>
      </c>
    </row>
    <row r="50" spans="1:4" hidden="1" x14ac:dyDescent="0.35">
      <c r="A50" s="127">
        <v>2249</v>
      </c>
      <c r="B50" s="129" t="s">
        <v>160</v>
      </c>
      <c r="C50" s="28"/>
      <c r="D50" s="28">
        <f t="shared" si="1"/>
        <v>0</v>
      </c>
    </row>
    <row r="51" spans="1:4" x14ac:dyDescent="0.35">
      <c r="A51" s="127">
        <v>2250</v>
      </c>
      <c r="B51" s="129" t="s">
        <v>186</v>
      </c>
      <c r="C51" s="28">
        <v>0.11</v>
      </c>
      <c r="D51" s="28">
        <f t="shared" si="1"/>
        <v>3.3</v>
      </c>
    </row>
    <row r="52" spans="1:4" hidden="1" x14ac:dyDescent="0.35">
      <c r="A52" s="127">
        <v>2252</v>
      </c>
      <c r="B52" s="129" t="s">
        <v>165</v>
      </c>
      <c r="C52" s="28"/>
      <c r="D52" s="28">
        <f t="shared" si="1"/>
        <v>0</v>
      </c>
    </row>
    <row r="53" spans="1:4" hidden="1" x14ac:dyDescent="0.35">
      <c r="A53" s="127">
        <v>2259</v>
      </c>
      <c r="B53" s="129" t="s">
        <v>166</v>
      </c>
      <c r="C53" s="28"/>
      <c r="D53" s="28">
        <f t="shared" si="1"/>
        <v>0</v>
      </c>
    </row>
    <row r="54" spans="1:4" hidden="1" x14ac:dyDescent="0.35">
      <c r="A54" s="127">
        <v>2261</v>
      </c>
      <c r="B54" s="129" t="s">
        <v>11</v>
      </c>
      <c r="C54" s="28"/>
      <c r="D54" s="28">
        <f t="shared" si="1"/>
        <v>0</v>
      </c>
    </row>
    <row r="55" spans="1:4" x14ac:dyDescent="0.35">
      <c r="A55" s="127">
        <v>2262</v>
      </c>
      <c r="B55" s="129" t="s">
        <v>12</v>
      </c>
      <c r="C55" s="28">
        <v>0.02</v>
      </c>
      <c r="D55" s="28">
        <f t="shared" si="1"/>
        <v>0.6</v>
      </c>
    </row>
    <row r="56" spans="1:4" x14ac:dyDescent="0.35">
      <c r="A56" s="127">
        <v>2263</v>
      </c>
      <c r="B56" s="129" t="s">
        <v>167</v>
      </c>
      <c r="C56" s="28">
        <v>0.21</v>
      </c>
      <c r="D56" s="28">
        <f t="shared" si="1"/>
        <v>6.3</v>
      </c>
    </row>
    <row r="57" spans="1:4" hidden="1" x14ac:dyDescent="0.35">
      <c r="A57" s="127">
        <v>2264</v>
      </c>
      <c r="B57" s="129" t="s">
        <v>13</v>
      </c>
      <c r="C57" s="28"/>
      <c r="D57" s="28">
        <f t="shared" si="1"/>
        <v>0</v>
      </c>
    </row>
    <row r="58" spans="1:4" x14ac:dyDescent="0.35">
      <c r="A58" s="127">
        <v>2311</v>
      </c>
      <c r="B58" s="129" t="s">
        <v>15</v>
      </c>
      <c r="C58" s="28">
        <v>0.02</v>
      </c>
      <c r="D58" s="28">
        <f t="shared" si="1"/>
        <v>0.6</v>
      </c>
    </row>
    <row r="59" spans="1:4" x14ac:dyDescent="0.35">
      <c r="A59" s="127">
        <v>2312</v>
      </c>
      <c r="B59" s="129" t="s">
        <v>16</v>
      </c>
      <c r="C59" s="28">
        <v>0.02</v>
      </c>
      <c r="D59" s="28">
        <f t="shared" si="1"/>
        <v>0.6</v>
      </c>
    </row>
    <row r="60" spans="1:4" x14ac:dyDescent="0.35">
      <c r="A60" s="127">
        <v>2321</v>
      </c>
      <c r="B60" s="129" t="s">
        <v>17</v>
      </c>
      <c r="C60" s="28">
        <v>0.11</v>
      </c>
      <c r="D60" s="28">
        <f t="shared" si="1"/>
        <v>3.3</v>
      </c>
    </row>
    <row r="61" spans="1:4" x14ac:dyDescent="0.35">
      <c r="A61" s="127">
        <v>2322</v>
      </c>
      <c r="B61" s="129" t="s">
        <v>18</v>
      </c>
      <c r="C61" s="28">
        <v>0.02</v>
      </c>
      <c r="D61" s="28">
        <f t="shared" si="1"/>
        <v>0.6</v>
      </c>
    </row>
    <row r="62" spans="1:4" hidden="1" x14ac:dyDescent="0.35">
      <c r="A62" s="127">
        <v>2341</v>
      </c>
      <c r="B62" s="129" t="s">
        <v>159</v>
      </c>
      <c r="C62" s="28"/>
      <c r="D62" s="28">
        <f t="shared" si="1"/>
        <v>0</v>
      </c>
    </row>
    <row r="63" spans="1:4" hidden="1" x14ac:dyDescent="0.35">
      <c r="A63" s="127">
        <v>2344</v>
      </c>
      <c r="B63" s="129" t="s">
        <v>168</v>
      </c>
      <c r="C63" s="28"/>
      <c r="D63" s="28">
        <f t="shared" si="1"/>
        <v>0</v>
      </c>
    </row>
    <row r="64" spans="1:4" x14ac:dyDescent="0.35">
      <c r="A64" s="127">
        <v>2350</v>
      </c>
      <c r="B64" s="129" t="s">
        <v>224</v>
      </c>
      <c r="C64" s="28">
        <v>0.06</v>
      </c>
      <c r="D64" s="28">
        <f t="shared" si="1"/>
        <v>1.7999999999999998</v>
      </c>
    </row>
    <row r="65" spans="1:4" hidden="1" x14ac:dyDescent="0.35">
      <c r="A65" s="127">
        <v>2361</v>
      </c>
      <c r="B65" s="129" t="s">
        <v>20</v>
      </c>
      <c r="C65" s="28"/>
      <c r="D65" s="28">
        <f t="shared" si="1"/>
        <v>0</v>
      </c>
    </row>
    <row r="66" spans="1:4" hidden="1" x14ac:dyDescent="0.35">
      <c r="A66" s="127">
        <v>2362</v>
      </c>
      <c r="B66" s="129" t="s">
        <v>169</v>
      </c>
      <c r="C66" s="28"/>
      <c r="D66" s="28">
        <f t="shared" si="1"/>
        <v>0</v>
      </c>
    </row>
    <row r="67" spans="1:4" hidden="1" x14ac:dyDescent="0.35">
      <c r="A67" s="127">
        <v>2363</v>
      </c>
      <c r="B67" s="129" t="s">
        <v>170</v>
      </c>
      <c r="C67" s="28"/>
      <c r="D67" s="28">
        <f t="shared" si="1"/>
        <v>0</v>
      </c>
    </row>
    <row r="68" spans="1:4" hidden="1" x14ac:dyDescent="0.35">
      <c r="A68" s="127">
        <v>2370</v>
      </c>
      <c r="B68" s="129" t="s">
        <v>21</v>
      </c>
      <c r="C68" s="28"/>
      <c r="D68" s="28">
        <f t="shared" si="1"/>
        <v>0</v>
      </c>
    </row>
    <row r="69" spans="1:4" hidden="1" x14ac:dyDescent="0.35">
      <c r="A69" s="127">
        <v>2400</v>
      </c>
      <c r="B69" s="129" t="s">
        <v>31</v>
      </c>
      <c r="C69" s="28"/>
      <c r="D69" s="28">
        <f t="shared" si="1"/>
        <v>0</v>
      </c>
    </row>
    <row r="70" spans="1:4" hidden="1" x14ac:dyDescent="0.35">
      <c r="A70" s="127">
        <v>2512</v>
      </c>
      <c r="B70" s="129" t="s">
        <v>171</v>
      </c>
      <c r="C70" s="28"/>
      <c r="D70" s="28">
        <f t="shared" si="1"/>
        <v>0</v>
      </c>
    </row>
    <row r="71" spans="1:4" hidden="1" x14ac:dyDescent="0.25">
      <c r="A71" s="27">
        <v>2513</v>
      </c>
      <c r="B71" s="29" t="s">
        <v>22</v>
      </c>
      <c r="C71" s="28"/>
      <c r="D71" s="28">
        <f t="shared" si="1"/>
        <v>0</v>
      </c>
    </row>
    <row r="72" spans="1:4" x14ac:dyDescent="0.25">
      <c r="A72" s="27">
        <v>2515</v>
      </c>
      <c r="B72" s="29" t="s">
        <v>58</v>
      </c>
      <c r="C72" s="28">
        <v>0.02</v>
      </c>
      <c r="D72" s="28">
        <f t="shared" si="1"/>
        <v>0.6</v>
      </c>
    </row>
    <row r="73" spans="1:4" hidden="1" x14ac:dyDescent="0.25">
      <c r="A73" s="27">
        <v>2519</v>
      </c>
      <c r="B73" s="29" t="s">
        <v>24</v>
      </c>
      <c r="C73" s="28"/>
      <c r="D73" s="28">
        <f>C73*50</f>
        <v>0</v>
      </c>
    </row>
    <row r="74" spans="1:4" hidden="1" x14ac:dyDescent="0.25">
      <c r="A74" s="27">
        <v>6240</v>
      </c>
      <c r="B74" s="29"/>
      <c r="C74" s="28"/>
      <c r="D74" s="28">
        <f>C74*50</f>
        <v>0</v>
      </c>
    </row>
    <row r="75" spans="1:4" hidden="1" x14ac:dyDescent="0.25">
      <c r="A75" s="27">
        <v>6290</v>
      </c>
      <c r="B75" s="29"/>
      <c r="C75" s="28"/>
      <c r="D75" s="28">
        <f>C75*50</f>
        <v>0</v>
      </c>
    </row>
    <row r="76" spans="1:4" hidden="1" x14ac:dyDescent="0.25">
      <c r="A76" s="27">
        <v>5120</v>
      </c>
      <c r="B76" s="29" t="s">
        <v>173</v>
      </c>
      <c r="C76" s="28"/>
      <c r="D76" s="28">
        <f>C76*50</f>
        <v>0</v>
      </c>
    </row>
    <row r="77" spans="1:4" hidden="1" x14ac:dyDescent="0.25">
      <c r="A77" s="27">
        <v>5232</v>
      </c>
      <c r="B77" s="29" t="s">
        <v>23</v>
      </c>
      <c r="C77" s="28">
        <v>0</v>
      </c>
      <c r="D77" s="28">
        <f>C77*50</f>
        <v>0</v>
      </c>
    </row>
    <row r="78" spans="1:4" hidden="1" x14ac:dyDescent="0.25">
      <c r="A78" s="27">
        <v>5238</v>
      </c>
      <c r="B78" s="29" t="s">
        <v>174</v>
      </c>
      <c r="C78" s="28"/>
      <c r="D78" s="28"/>
    </row>
    <row r="79" spans="1:4" hidden="1" x14ac:dyDescent="0.25">
      <c r="A79" s="27">
        <v>5240</v>
      </c>
      <c r="B79" s="29" t="s">
        <v>25</v>
      </c>
      <c r="C79" s="28"/>
      <c r="D79" s="28"/>
    </row>
    <row r="80" spans="1:4" hidden="1" x14ac:dyDescent="0.25">
      <c r="A80" s="27">
        <v>5250</v>
      </c>
      <c r="B80" s="29" t="s">
        <v>26</v>
      </c>
      <c r="C80" s="28"/>
      <c r="D80" s="28">
        <f>C80/345*50</f>
        <v>0</v>
      </c>
    </row>
    <row r="81" spans="1:4" x14ac:dyDescent="0.25">
      <c r="A81" s="32"/>
      <c r="B81" s="34" t="s">
        <v>175</v>
      </c>
      <c r="C81" s="31">
        <f>SUM(C36:C80)</f>
        <v>2.98</v>
      </c>
      <c r="D81" s="31">
        <f>SUM(D36:D80)</f>
        <v>89.399999999999963</v>
      </c>
    </row>
    <row r="82" spans="1:4" x14ac:dyDescent="0.25">
      <c r="A82" s="32"/>
      <c r="B82" s="34" t="s">
        <v>32</v>
      </c>
      <c r="C82" s="31">
        <f>C81+C34</f>
        <v>12.3</v>
      </c>
      <c r="D82" s="31">
        <f>D81+D34</f>
        <v>368.99999999999989</v>
      </c>
    </row>
    <row r="83" spans="1:4" x14ac:dyDescent="0.35">
      <c r="A83" s="35"/>
      <c r="B83" s="20"/>
      <c r="C83" s="130"/>
      <c r="D83" s="130"/>
    </row>
    <row r="84" spans="1:4" x14ac:dyDescent="0.35">
      <c r="A84" s="267" t="s">
        <v>176</v>
      </c>
      <c r="B84" s="268"/>
      <c r="C84" s="38">
        <v>1</v>
      </c>
      <c r="D84" s="102">
        <v>30</v>
      </c>
    </row>
    <row r="85" spans="1:4" x14ac:dyDescent="0.35">
      <c r="A85" s="267" t="s">
        <v>46</v>
      </c>
      <c r="B85" s="268"/>
      <c r="C85" s="31">
        <f>ROUND(C82/C84,2)</f>
        <v>12.3</v>
      </c>
      <c r="D85" s="106">
        <f>ROUND(D82/D84,2)</f>
        <v>12.3</v>
      </c>
    </row>
    <row r="86" spans="1:4" x14ac:dyDescent="0.35">
      <c r="A86" s="20"/>
      <c r="B86" s="103"/>
    </row>
    <row r="87" spans="1:4" x14ac:dyDescent="0.35">
      <c r="A87" s="267" t="s">
        <v>37</v>
      </c>
      <c r="B87" s="268"/>
      <c r="C87" s="39"/>
      <c r="D87" s="39"/>
    </row>
    <row r="88" spans="1:4" x14ac:dyDescent="0.35">
      <c r="A88" s="267" t="s">
        <v>55</v>
      </c>
      <c r="B88" s="268"/>
      <c r="C88" s="39"/>
      <c r="D88" s="39"/>
    </row>
    <row r="89" spans="1:4" ht="9.75" customHeight="1" x14ac:dyDescent="0.35">
      <c r="A89" s="17"/>
      <c r="B89" s="17"/>
      <c r="C89" s="17"/>
      <c r="D89" s="17"/>
    </row>
    <row r="90" spans="1:4" x14ac:dyDescent="0.35">
      <c r="A90" s="17" t="s">
        <v>38</v>
      </c>
      <c r="B90" s="17"/>
      <c r="C90" s="17"/>
      <c r="D90" s="17"/>
    </row>
    <row r="91" spans="1:4" ht="9.75" customHeight="1" x14ac:dyDescent="0.35">
      <c r="A91" s="17"/>
      <c r="B91" s="17"/>
      <c r="C91" s="17"/>
      <c r="D91" s="17"/>
    </row>
    <row r="92" spans="1:4" x14ac:dyDescent="0.35">
      <c r="A92" s="17" t="s">
        <v>268</v>
      </c>
      <c r="B92" s="18"/>
      <c r="C92" s="17"/>
      <c r="D92" s="17"/>
    </row>
    <row r="93" spans="1:4" x14ac:dyDescent="0.35">
      <c r="A93" s="17"/>
      <c r="B93" s="96"/>
      <c r="C93" s="17"/>
      <c r="D93" s="17"/>
    </row>
    <row r="94" spans="1:4" x14ac:dyDescent="0.35">
      <c r="B94" s="35"/>
    </row>
    <row r="95" spans="1:4" x14ac:dyDescent="0.35">
      <c r="B95" s="20"/>
    </row>
  </sheetData>
  <mergeCells count="8">
    <mergeCell ref="A87:B87"/>
    <mergeCell ref="A88:B88"/>
    <mergeCell ref="C3:D3"/>
    <mergeCell ref="A7:D7"/>
    <mergeCell ref="A9:B9"/>
    <mergeCell ref="A10:B10"/>
    <mergeCell ref="A84:B84"/>
    <mergeCell ref="A85:B85"/>
  </mergeCells>
  <pageMargins left="0.70866141732283461" right="0.70866141732283461" top="0.69" bottom="0.65" header="0.31496062992125984" footer="0.16"/>
  <pageSetup paperSize="9" scale="65" orientation="portrait" r:id="rId1"/>
  <headerFooter>
    <oddFooter>&amp;C&amp;"Times New Roman,Regular"&amp;F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view="pageLayout" topLeftCell="A35" zoomScale="90" zoomScaleNormal="100" zoomScalePageLayoutView="90" workbookViewId="0">
      <selection activeCell="B96" sqref="B96"/>
    </sheetView>
  </sheetViews>
  <sheetFormatPr defaultColWidth="9.1796875" defaultRowHeight="15.5" x14ac:dyDescent="0.35"/>
  <cols>
    <col min="1" max="1" width="13.54296875" style="13" customWidth="1"/>
    <col min="2" max="2" width="94.7265625" style="13" customWidth="1"/>
    <col min="3" max="3" width="13.54296875" style="13" hidden="1" customWidth="1"/>
    <col min="4" max="4" width="25" style="13" customWidth="1"/>
    <col min="5" max="16384" width="9.1796875" style="3"/>
  </cols>
  <sheetData>
    <row r="1" spans="1:4" x14ac:dyDescent="0.35">
      <c r="B1" s="35"/>
      <c r="C1" s="121"/>
      <c r="D1" s="35" t="s">
        <v>35</v>
      </c>
    </row>
    <row r="2" spans="1:4" x14ac:dyDescent="0.35">
      <c r="B2" s="121"/>
      <c r="C2" s="121"/>
      <c r="D2" s="35" t="s">
        <v>39</v>
      </c>
    </row>
    <row r="3" spans="1:4" x14ac:dyDescent="0.35">
      <c r="B3" s="121"/>
      <c r="C3" s="257" t="s">
        <v>56</v>
      </c>
      <c r="D3" s="274"/>
    </row>
    <row r="4" spans="1:4" x14ac:dyDescent="0.35">
      <c r="B4" s="11"/>
      <c r="D4" s="11"/>
    </row>
    <row r="5" spans="1:4" x14ac:dyDescent="0.35">
      <c r="B5" s="116"/>
      <c r="C5" s="12"/>
      <c r="D5" s="11" t="s">
        <v>301</v>
      </c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B8" s="135"/>
    </row>
    <row r="9" spans="1:4" x14ac:dyDescent="0.35">
      <c r="A9" s="262" t="s">
        <v>1</v>
      </c>
      <c r="B9" s="262"/>
    </row>
    <row r="10" spans="1:4" x14ac:dyDescent="0.35">
      <c r="A10" s="262" t="s">
        <v>0</v>
      </c>
      <c r="B10" s="262"/>
      <c r="D10" s="20"/>
    </row>
    <row r="11" spans="1:4" x14ac:dyDescent="0.35">
      <c r="A11" s="9"/>
      <c r="B11" s="9" t="s">
        <v>216</v>
      </c>
      <c r="C11" s="123"/>
      <c r="D11" s="20"/>
    </row>
    <row r="12" spans="1:4" x14ac:dyDescent="0.35">
      <c r="A12" s="9"/>
      <c r="B12" s="9" t="s">
        <v>297</v>
      </c>
    </row>
    <row r="13" spans="1:4" ht="15.75" customHeight="1" x14ac:dyDescent="0.35">
      <c r="A13" s="9"/>
      <c r="B13" s="9"/>
      <c r="C13" s="123"/>
    </row>
    <row r="14" spans="1:4" x14ac:dyDescent="0.35">
      <c r="A14" s="9" t="s">
        <v>2</v>
      </c>
      <c r="B14" s="9" t="s">
        <v>302</v>
      </c>
      <c r="C14" s="123"/>
    </row>
    <row r="15" spans="1:4" ht="67.5" customHeight="1" x14ac:dyDescent="0.25">
      <c r="A15" s="54" t="s">
        <v>3</v>
      </c>
      <c r="B15" s="54" t="s">
        <v>4</v>
      </c>
      <c r="C15" s="54"/>
      <c r="D15" s="54" t="s">
        <v>155</v>
      </c>
    </row>
    <row r="16" spans="1:4" ht="15" x14ac:dyDescent="0.25">
      <c r="A16" s="22">
        <v>1</v>
      </c>
      <c r="B16" s="23">
        <v>2</v>
      </c>
      <c r="C16" s="23"/>
      <c r="D16" s="23">
        <v>3</v>
      </c>
    </row>
    <row r="17" spans="1:4" x14ac:dyDescent="0.35">
      <c r="A17" s="22"/>
      <c r="B17" s="125" t="s">
        <v>156</v>
      </c>
      <c r="C17" s="127"/>
      <c r="D17" s="127"/>
    </row>
    <row r="18" spans="1:4" x14ac:dyDescent="0.25">
      <c r="A18" s="27">
        <v>1100</v>
      </c>
      <c r="B18" s="27" t="s">
        <v>63</v>
      </c>
      <c r="C18" s="28">
        <v>5.95</v>
      </c>
      <c r="D18" s="28">
        <f>C18*60</f>
        <v>357</v>
      </c>
    </row>
    <row r="19" spans="1:4" ht="15.75" customHeight="1" x14ac:dyDescent="0.25">
      <c r="A19" s="27">
        <v>1200</v>
      </c>
      <c r="B19" s="29" t="s">
        <v>192</v>
      </c>
      <c r="C19" s="28">
        <v>1.4</v>
      </c>
      <c r="D19" s="28">
        <f t="shared" ref="D19:D32" si="0">C19*60</f>
        <v>84</v>
      </c>
    </row>
    <row r="20" spans="1:4" x14ac:dyDescent="0.25">
      <c r="A20" s="27">
        <v>2222</v>
      </c>
      <c r="B20" s="29" t="s">
        <v>190</v>
      </c>
      <c r="C20" s="28">
        <v>0.11</v>
      </c>
      <c r="D20" s="28">
        <f t="shared" si="0"/>
        <v>6.6</v>
      </c>
    </row>
    <row r="21" spans="1:4" x14ac:dyDescent="0.25">
      <c r="A21" s="27">
        <v>2223</v>
      </c>
      <c r="B21" s="29" t="s">
        <v>29</v>
      </c>
      <c r="C21" s="28">
        <v>0.12</v>
      </c>
      <c r="D21" s="28">
        <f t="shared" si="0"/>
        <v>7.1999999999999993</v>
      </c>
    </row>
    <row r="22" spans="1:4" hidden="1" x14ac:dyDescent="0.25">
      <c r="A22" s="27">
        <v>2243</v>
      </c>
      <c r="B22" s="29" t="s">
        <v>9</v>
      </c>
      <c r="C22" s="28"/>
      <c r="D22" s="28">
        <f t="shared" si="0"/>
        <v>0</v>
      </c>
    </row>
    <row r="23" spans="1:4" x14ac:dyDescent="0.25">
      <c r="A23" s="27">
        <v>2244</v>
      </c>
      <c r="B23" s="29" t="s">
        <v>193</v>
      </c>
      <c r="C23" s="28">
        <v>0.26</v>
      </c>
      <c r="D23" s="28">
        <f t="shared" si="0"/>
        <v>15.600000000000001</v>
      </c>
    </row>
    <row r="24" spans="1:4" x14ac:dyDescent="0.35">
      <c r="A24" s="127">
        <v>2250</v>
      </c>
      <c r="B24" s="129" t="s">
        <v>186</v>
      </c>
      <c r="C24" s="28">
        <v>0.1</v>
      </c>
      <c r="D24" s="28">
        <f t="shared" si="0"/>
        <v>6</v>
      </c>
    </row>
    <row r="25" spans="1:4" x14ac:dyDescent="0.25">
      <c r="A25" s="27">
        <v>2311</v>
      </c>
      <c r="B25" s="29" t="s">
        <v>72</v>
      </c>
      <c r="C25" s="28">
        <v>0.2</v>
      </c>
      <c r="D25" s="28">
        <f t="shared" si="0"/>
        <v>12</v>
      </c>
    </row>
    <row r="26" spans="1:4" x14ac:dyDescent="0.25">
      <c r="A26" s="27">
        <v>2312</v>
      </c>
      <c r="B26" s="29" t="s">
        <v>16</v>
      </c>
      <c r="C26" s="28">
        <v>0.12</v>
      </c>
      <c r="D26" s="28">
        <f t="shared" si="0"/>
        <v>7.1999999999999993</v>
      </c>
    </row>
    <row r="27" spans="1:4" x14ac:dyDescent="0.25">
      <c r="A27" s="27">
        <v>2321</v>
      </c>
      <c r="B27" s="29" t="s">
        <v>17</v>
      </c>
      <c r="C27" s="28">
        <v>0.16</v>
      </c>
      <c r="D27" s="28">
        <f t="shared" si="0"/>
        <v>9.6</v>
      </c>
    </row>
    <row r="28" spans="1:4" hidden="1" x14ac:dyDescent="0.25">
      <c r="A28" s="27">
        <v>2341</v>
      </c>
      <c r="B28" s="29" t="s">
        <v>180</v>
      </c>
      <c r="C28" s="28"/>
      <c r="D28" s="28">
        <f t="shared" si="0"/>
        <v>0</v>
      </c>
    </row>
    <row r="29" spans="1:4" x14ac:dyDescent="0.25">
      <c r="A29" s="27">
        <v>2350</v>
      </c>
      <c r="B29" s="29" t="s">
        <v>224</v>
      </c>
      <c r="C29" s="28">
        <v>0.2</v>
      </c>
      <c r="D29" s="28">
        <f t="shared" si="0"/>
        <v>12</v>
      </c>
    </row>
    <row r="30" spans="1:4" hidden="1" x14ac:dyDescent="0.25">
      <c r="A30" s="27">
        <v>2369</v>
      </c>
      <c r="B30" s="29" t="s">
        <v>218</v>
      </c>
      <c r="C30" s="28">
        <v>0</v>
      </c>
      <c r="D30" s="28">
        <f t="shared" si="0"/>
        <v>0</v>
      </c>
    </row>
    <row r="31" spans="1:4" x14ac:dyDescent="0.25">
      <c r="A31" s="27">
        <v>5238</v>
      </c>
      <c r="B31" s="29" t="s">
        <v>237</v>
      </c>
      <c r="C31" s="28">
        <v>0.08</v>
      </c>
      <c r="D31" s="28">
        <f t="shared" si="0"/>
        <v>4.8</v>
      </c>
    </row>
    <row r="32" spans="1:4" x14ac:dyDescent="0.25">
      <c r="A32" s="33">
        <v>5239</v>
      </c>
      <c r="B32" s="29" t="s">
        <v>296</v>
      </c>
      <c r="C32" s="28">
        <v>0.09</v>
      </c>
      <c r="D32" s="28">
        <f t="shared" si="0"/>
        <v>5.3999999999999995</v>
      </c>
    </row>
    <row r="33" spans="1:9" x14ac:dyDescent="0.25">
      <c r="A33" s="27"/>
      <c r="B33" s="30" t="s">
        <v>161</v>
      </c>
      <c r="C33" s="31">
        <f>SUM(C18:C32)</f>
        <v>8.7899999999999974</v>
      </c>
      <c r="D33" s="31">
        <f>SUM(D18:D32)</f>
        <v>527.4</v>
      </c>
    </row>
    <row r="34" spans="1:9" x14ac:dyDescent="0.25">
      <c r="A34" s="32"/>
      <c r="B34" s="27" t="s">
        <v>162</v>
      </c>
      <c r="C34" s="28"/>
      <c r="D34" s="28"/>
      <c r="F34" s="133"/>
      <c r="G34" s="133"/>
      <c r="H34" s="133"/>
      <c r="I34" s="133"/>
    </row>
    <row r="35" spans="1:9" x14ac:dyDescent="0.25">
      <c r="A35" s="27">
        <v>1100</v>
      </c>
      <c r="B35" s="27" t="s">
        <v>63</v>
      </c>
      <c r="C35" s="28">
        <v>1.34</v>
      </c>
      <c r="D35" s="28">
        <f>C35*60</f>
        <v>80.400000000000006</v>
      </c>
      <c r="F35" s="133"/>
    </row>
    <row r="36" spans="1:9" ht="15.75" customHeight="1" x14ac:dyDescent="0.25">
      <c r="A36" s="27">
        <v>1200</v>
      </c>
      <c r="B36" s="29" t="s">
        <v>192</v>
      </c>
      <c r="C36" s="28">
        <v>0.32</v>
      </c>
      <c r="D36" s="28">
        <f t="shared" ref="D36:D75" si="1">C36*60</f>
        <v>19.2</v>
      </c>
      <c r="F36" s="133"/>
    </row>
    <row r="37" spans="1:9" hidden="1" x14ac:dyDescent="0.25">
      <c r="A37" s="27">
        <v>2100</v>
      </c>
      <c r="B37" s="128" t="s">
        <v>163</v>
      </c>
      <c r="C37" s="28"/>
      <c r="D37" s="28">
        <f t="shared" si="1"/>
        <v>0</v>
      </c>
      <c r="F37" s="133"/>
    </row>
    <row r="38" spans="1:9" x14ac:dyDescent="0.25">
      <c r="A38" s="33">
        <v>2210</v>
      </c>
      <c r="B38" s="29" t="s">
        <v>142</v>
      </c>
      <c r="C38" s="28">
        <v>0.02</v>
      </c>
      <c r="D38" s="28">
        <f t="shared" si="1"/>
        <v>1.2</v>
      </c>
      <c r="F38" s="133"/>
      <c r="H38" s="133"/>
      <c r="I38" s="133"/>
    </row>
    <row r="39" spans="1:9" hidden="1" x14ac:dyDescent="0.25">
      <c r="A39" s="27">
        <v>2222</v>
      </c>
      <c r="B39" s="29" t="s">
        <v>28</v>
      </c>
      <c r="C39" s="28"/>
      <c r="D39" s="28">
        <f t="shared" si="1"/>
        <v>0</v>
      </c>
      <c r="F39" s="133"/>
      <c r="H39" s="133"/>
      <c r="I39" s="133"/>
    </row>
    <row r="40" spans="1:9" x14ac:dyDescent="0.25">
      <c r="A40" s="27">
        <v>2223</v>
      </c>
      <c r="B40" s="29" t="s">
        <v>29</v>
      </c>
      <c r="C40" s="28">
        <v>7.0000000000000007E-2</v>
      </c>
      <c r="D40" s="28">
        <f t="shared" si="1"/>
        <v>4.2</v>
      </c>
      <c r="F40" s="133"/>
      <c r="H40" s="133"/>
      <c r="I40" s="133"/>
    </row>
    <row r="41" spans="1:9" x14ac:dyDescent="0.25">
      <c r="A41" s="27">
        <v>2224</v>
      </c>
      <c r="B41" s="29" t="s">
        <v>225</v>
      </c>
      <c r="C41" s="28">
        <v>0.02</v>
      </c>
      <c r="D41" s="28">
        <f t="shared" si="1"/>
        <v>1.2</v>
      </c>
      <c r="F41" s="133"/>
      <c r="H41" s="133"/>
      <c r="I41" s="133"/>
    </row>
    <row r="42" spans="1:9" hidden="1" x14ac:dyDescent="0.25">
      <c r="A42" s="27">
        <v>2231</v>
      </c>
      <c r="B42" s="29" t="s">
        <v>182</v>
      </c>
      <c r="C42" s="28">
        <v>0</v>
      </c>
      <c r="D42" s="28">
        <f t="shared" si="1"/>
        <v>0</v>
      </c>
      <c r="F42" s="133"/>
      <c r="H42" s="133"/>
      <c r="I42" s="133"/>
    </row>
    <row r="43" spans="1:9" hidden="1" x14ac:dyDescent="0.25">
      <c r="A43" s="27">
        <v>2239</v>
      </c>
      <c r="B43" s="29" t="s">
        <v>183</v>
      </c>
      <c r="C43" s="28">
        <v>0</v>
      </c>
      <c r="D43" s="28">
        <f t="shared" si="1"/>
        <v>0</v>
      </c>
      <c r="F43" s="133"/>
      <c r="H43" s="133"/>
      <c r="I43" s="133"/>
    </row>
    <row r="44" spans="1:9" x14ac:dyDescent="0.35">
      <c r="A44" s="127">
        <v>2241</v>
      </c>
      <c r="B44" s="129" t="s">
        <v>215</v>
      </c>
      <c r="C44" s="28">
        <v>0.02</v>
      </c>
      <c r="D44" s="28">
        <f t="shared" si="1"/>
        <v>1.2</v>
      </c>
      <c r="F44" s="133"/>
      <c r="H44" s="41"/>
      <c r="I44" s="133"/>
    </row>
    <row r="45" spans="1:9" x14ac:dyDescent="0.35">
      <c r="A45" s="127">
        <v>2242</v>
      </c>
      <c r="B45" s="129" t="s">
        <v>8</v>
      </c>
      <c r="C45" s="28">
        <v>0.01</v>
      </c>
      <c r="D45" s="28">
        <f t="shared" si="1"/>
        <v>0.6</v>
      </c>
      <c r="F45" s="133"/>
      <c r="H45" s="146"/>
      <c r="I45" s="133"/>
    </row>
    <row r="46" spans="1:9" x14ac:dyDescent="0.35">
      <c r="A46" s="127">
        <v>2243</v>
      </c>
      <c r="B46" s="129" t="s">
        <v>9</v>
      </c>
      <c r="C46" s="28">
        <v>0.03</v>
      </c>
      <c r="D46" s="28">
        <f t="shared" si="1"/>
        <v>1.7999999999999998</v>
      </c>
      <c r="F46" s="133"/>
      <c r="H46" s="146"/>
      <c r="I46" s="133"/>
    </row>
    <row r="47" spans="1:9" x14ac:dyDescent="0.35">
      <c r="A47" s="127">
        <v>2244</v>
      </c>
      <c r="B47" s="29" t="s">
        <v>193</v>
      </c>
      <c r="C47" s="28">
        <v>0.21</v>
      </c>
      <c r="D47" s="28">
        <f t="shared" si="1"/>
        <v>12.6</v>
      </c>
      <c r="F47" s="133"/>
      <c r="H47" s="146"/>
      <c r="I47" s="133"/>
    </row>
    <row r="48" spans="1:9" hidden="1" x14ac:dyDescent="0.35">
      <c r="A48" s="127">
        <v>2247</v>
      </c>
      <c r="B48" s="125" t="s">
        <v>164</v>
      </c>
      <c r="C48" s="28">
        <v>0</v>
      </c>
      <c r="D48" s="28">
        <f t="shared" si="1"/>
        <v>0</v>
      </c>
      <c r="F48" s="133"/>
      <c r="H48" s="146"/>
      <c r="I48" s="133"/>
    </row>
    <row r="49" spans="1:9" hidden="1" x14ac:dyDescent="0.35">
      <c r="A49" s="127">
        <v>2249</v>
      </c>
      <c r="B49" s="129" t="s">
        <v>160</v>
      </c>
      <c r="C49" s="28"/>
      <c r="D49" s="28">
        <f t="shared" si="1"/>
        <v>0</v>
      </c>
      <c r="F49" s="133"/>
      <c r="H49" s="146"/>
      <c r="I49" s="133"/>
    </row>
    <row r="50" spans="1:9" x14ac:dyDescent="0.35">
      <c r="A50" s="127">
        <v>2250</v>
      </c>
      <c r="B50" s="129" t="s">
        <v>186</v>
      </c>
      <c r="C50" s="28">
        <v>0.09</v>
      </c>
      <c r="D50" s="28">
        <f t="shared" si="1"/>
        <v>5.3999999999999995</v>
      </c>
      <c r="F50" s="133"/>
      <c r="H50" s="146"/>
      <c r="I50" s="133"/>
    </row>
    <row r="51" spans="1:9" hidden="1" x14ac:dyDescent="0.35">
      <c r="A51" s="127">
        <v>2252</v>
      </c>
      <c r="B51" s="129" t="s">
        <v>165</v>
      </c>
      <c r="C51" s="28"/>
      <c r="D51" s="28">
        <f t="shared" si="1"/>
        <v>0</v>
      </c>
      <c r="F51" s="133"/>
      <c r="H51" s="146"/>
      <c r="I51" s="133"/>
    </row>
    <row r="52" spans="1:9" hidden="1" x14ac:dyDescent="0.35">
      <c r="A52" s="127">
        <v>2259</v>
      </c>
      <c r="B52" s="129" t="s">
        <v>166</v>
      </c>
      <c r="C52" s="28"/>
      <c r="D52" s="28">
        <f t="shared" si="1"/>
        <v>0</v>
      </c>
      <c r="F52" s="133"/>
      <c r="H52" s="146"/>
      <c r="I52" s="133"/>
    </row>
    <row r="53" spans="1:9" hidden="1" x14ac:dyDescent="0.35">
      <c r="A53" s="127">
        <v>2261</v>
      </c>
      <c r="B53" s="129" t="s">
        <v>11</v>
      </c>
      <c r="C53" s="28"/>
      <c r="D53" s="28">
        <f t="shared" si="1"/>
        <v>0</v>
      </c>
      <c r="F53" s="133"/>
      <c r="H53" s="146"/>
      <c r="I53" s="133"/>
    </row>
    <row r="54" spans="1:9" hidden="1" x14ac:dyDescent="0.35">
      <c r="A54" s="127">
        <v>2262</v>
      </c>
      <c r="B54" s="129" t="s">
        <v>12</v>
      </c>
      <c r="C54" s="28">
        <v>0</v>
      </c>
      <c r="D54" s="28">
        <f t="shared" si="1"/>
        <v>0</v>
      </c>
      <c r="F54" s="133"/>
      <c r="H54" s="146"/>
      <c r="I54" s="133"/>
    </row>
    <row r="55" spans="1:9" x14ac:dyDescent="0.35">
      <c r="A55" s="127">
        <v>2263</v>
      </c>
      <c r="B55" s="129" t="s">
        <v>167</v>
      </c>
      <c r="C55" s="28">
        <v>0.11</v>
      </c>
      <c r="D55" s="28">
        <f t="shared" si="1"/>
        <v>6.6</v>
      </c>
      <c r="F55" s="133"/>
      <c r="H55" s="146"/>
      <c r="I55" s="133"/>
    </row>
    <row r="56" spans="1:9" hidden="1" x14ac:dyDescent="0.35">
      <c r="A56" s="127">
        <v>2264</v>
      </c>
      <c r="B56" s="129" t="s">
        <v>13</v>
      </c>
      <c r="C56" s="28"/>
      <c r="D56" s="28">
        <f t="shared" si="1"/>
        <v>0</v>
      </c>
      <c r="F56" s="133"/>
      <c r="H56" s="146"/>
    </row>
    <row r="57" spans="1:9" x14ac:dyDescent="0.35">
      <c r="A57" s="127">
        <v>2311</v>
      </c>
      <c r="B57" s="129" t="s">
        <v>15</v>
      </c>
      <c r="C57" s="28">
        <v>0.02</v>
      </c>
      <c r="D57" s="28">
        <f t="shared" si="1"/>
        <v>1.2</v>
      </c>
      <c r="F57" s="133"/>
    </row>
    <row r="58" spans="1:9" x14ac:dyDescent="0.35">
      <c r="A58" s="127">
        <v>2312</v>
      </c>
      <c r="B58" s="129" t="s">
        <v>16</v>
      </c>
      <c r="C58" s="28">
        <v>0.02</v>
      </c>
      <c r="D58" s="28">
        <f t="shared" si="1"/>
        <v>1.2</v>
      </c>
      <c r="F58" s="133"/>
    </row>
    <row r="59" spans="1:9" x14ac:dyDescent="0.35">
      <c r="A59" s="127">
        <v>2321</v>
      </c>
      <c r="B59" s="129" t="s">
        <v>17</v>
      </c>
      <c r="C59" s="28">
        <v>0.1</v>
      </c>
      <c r="D59" s="28">
        <f t="shared" si="1"/>
        <v>6</v>
      </c>
      <c r="F59" s="133"/>
    </row>
    <row r="60" spans="1:9" x14ac:dyDescent="0.35">
      <c r="A60" s="127">
        <v>2322</v>
      </c>
      <c r="B60" s="129" t="s">
        <v>18</v>
      </c>
      <c r="C60" s="28">
        <v>0.02</v>
      </c>
      <c r="D60" s="28">
        <f t="shared" si="1"/>
        <v>1.2</v>
      </c>
      <c r="F60" s="133"/>
    </row>
    <row r="61" spans="1:9" hidden="1" x14ac:dyDescent="0.35">
      <c r="A61" s="127">
        <v>2341</v>
      </c>
      <c r="B61" s="129" t="s">
        <v>159</v>
      </c>
      <c r="C61" s="28"/>
      <c r="D61" s="28">
        <f t="shared" si="1"/>
        <v>0</v>
      </c>
      <c r="F61" s="133"/>
    </row>
    <row r="62" spans="1:9" hidden="1" x14ac:dyDescent="0.35">
      <c r="A62" s="127">
        <v>2344</v>
      </c>
      <c r="B62" s="129" t="s">
        <v>168</v>
      </c>
      <c r="C62" s="28"/>
      <c r="D62" s="28">
        <f t="shared" si="1"/>
        <v>0</v>
      </c>
      <c r="F62" s="133"/>
    </row>
    <row r="63" spans="1:9" x14ac:dyDescent="0.35">
      <c r="A63" s="127">
        <v>2350</v>
      </c>
      <c r="B63" s="129" t="s">
        <v>224</v>
      </c>
      <c r="C63" s="28">
        <v>0.04</v>
      </c>
      <c r="D63" s="28">
        <f t="shared" si="1"/>
        <v>2.4</v>
      </c>
      <c r="F63" s="133"/>
    </row>
    <row r="64" spans="1:9" hidden="1" x14ac:dyDescent="0.35">
      <c r="A64" s="127">
        <v>2361</v>
      </c>
      <c r="B64" s="129" t="s">
        <v>20</v>
      </c>
      <c r="C64" s="28"/>
      <c r="D64" s="28">
        <f t="shared" si="1"/>
        <v>0</v>
      </c>
      <c r="F64" s="133"/>
    </row>
    <row r="65" spans="1:7" hidden="1" x14ac:dyDescent="0.35">
      <c r="A65" s="127">
        <v>2362</v>
      </c>
      <c r="B65" s="129" t="s">
        <v>169</v>
      </c>
      <c r="C65" s="28"/>
      <c r="D65" s="28">
        <f t="shared" si="1"/>
        <v>0</v>
      </c>
      <c r="F65" s="133"/>
    </row>
    <row r="66" spans="1:7" hidden="1" x14ac:dyDescent="0.35">
      <c r="A66" s="127">
        <v>2363</v>
      </c>
      <c r="B66" s="129" t="s">
        <v>170</v>
      </c>
      <c r="C66" s="28"/>
      <c r="D66" s="28">
        <f t="shared" si="1"/>
        <v>0</v>
      </c>
      <c r="F66" s="133"/>
    </row>
    <row r="67" spans="1:7" hidden="1" x14ac:dyDescent="0.35">
      <c r="A67" s="127">
        <v>2370</v>
      </c>
      <c r="B67" s="129" t="s">
        <v>21</v>
      </c>
      <c r="C67" s="28"/>
      <c r="D67" s="28">
        <f t="shared" si="1"/>
        <v>0</v>
      </c>
      <c r="F67" s="133"/>
    </row>
    <row r="68" spans="1:7" hidden="1" x14ac:dyDescent="0.35">
      <c r="A68" s="127">
        <v>2400</v>
      </c>
      <c r="B68" s="129" t="s">
        <v>31</v>
      </c>
      <c r="C68" s="28"/>
      <c r="D68" s="28">
        <f t="shared" si="1"/>
        <v>0</v>
      </c>
      <c r="F68" s="133"/>
    </row>
    <row r="69" spans="1:7" hidden="1" x14ac:dyDescent="0.35">
      <c r="A69" s="127">
        <v>2512</v>
      </c>
      <c r="B69" s="129" t="s">
        <v>171</v>
      </c>
      <c r="C69" s="28"/>
      <c r="D69" s="28">
        <f t="shared" si="1"/>
        <v>0</v>
      </c>
      <c r="F69" s="133"/>
    </row>
    <row r="70" spans="1:7" hidden="1" x14ac:dyDescent="0.25">
      <c r="A70" s="27">
        <v>2513</v>
      </c>
      <c r="B70" s="29" t="s">
        <v>22</v>
      </c>
      <c r="C70" s="28"/>
      <c r="D70" s="28">
        <f t="shared" si="1"/>
        <v>0</v>
      </c>
      <c r="F70" s="133"/>
    </row>
    <row r="71" spans="1:7" hidden="1" x14ac:dyDescent="0.25">
      <c r="A71" s="27">
        <v>2515</v>
      </c>
      <c r="B71" s="29" t="s">
        <v>172</v>
      </c>
      <c r="C71" s="28">
        <v>0</v>
      </c>
      <c r="D71" s="28">
        <f t="shared" si="1"/>
        <v>0</v>
      </c>
      <c r="F71" s="133"/>
    </row>
    <row r="72" spans="1:7" hidden="1" x14ac:dyDescent="0.25">
      <c r="A72" s="27">
        <v>2519</v>
      </c>
      <c r="B72" s="29" t="s">
        <v>24</v>
      </c>
      <c r="C72" s="28"/>
      <c r="D72" s="28">
        <f t="shared" si="1"/>
        <v>0</v>
      </c>
      <c r="F72" s="133"/>
    </row>
    <row r="73" spans="1:7" hidden="1" x14ac:dyDescent="0.25">
      <c r="A73" s="27">
        <v>5238</v>
      </c>
      <c r="B73" s="29" t="s">
        <v>174</v>
      </c>
      <c r="C73" s="28"/>
      <c r="D73" s="28">
        <f t="shared" si="1"/>
        <v>0</v>
      </c>
      <c r="F73" s="133"/>
    </row>
    <row r="74" spans="1:7" hidden="1" x14ac:dyDescent="0.25">
      <c r="A74" s="27">
        <v>5240</v>
      </c>
      <c r="B74" s="29" t="s">
        <v>25</v>
      </c>
      <c r="C74" s="28"/>
      <c r="D74" s="28">
        <f t="shared" si="1"/>
        <v>0</v>
      </c>
      <c r="F74" s="133"/>
    </row>
    <row r="75" spans="1:7" x14ac:dyDescent="0.25">
      <c r="A75" s="27">
        <v>5250</v>
      </c>
      <c r="B75" s="29" t="s">
        <v>26</v>
      </c>
      <c r="C75" s="28">
        <v>0.04</v>
      </c>
      <c r="D75" s="28">
        <f t="shared" si="1"/>
        <v>2.4</v>
      </c>
      <c r="F75" s="133"/>
    </row>
    <row r="76" spans="1:7" x14ac:dyDescent="0.25">
      <c r="A76" s="32"/>
      <c r="B76" s="34" t="s">
        <v>175</v>
      </c>
      <c r="C76" s="31">
        <f>SUM(C35:C75)</f>
        <v>2.4800000000000004</v>
      </c>
      <c r="D76" s="31">
        <f>SUM(D35:D75)</f>
        <v>148.79999999999998</v>
      </c>
      <c r="F76" s="133"/>
    </row>
    <row r="77" spans="1:7" x14ac:dyDescent="0.25">
      <c r="A77" s="32"/>
      <c r="B77" s="34" t="s">
        <v>32</v>
      </c>
      <c r="C77" s="31">
        <f>C76+C33</f>
        <v>11.269999999999998</v>
      </c>
      <c r="D77" s="31">
        <f>D76+D33</f>
        <v>676.19999999999993</v>
      </c>
      <c r="G77" s="87"/>
    </row>
    <row r="78" spans="1:7" x14ac:dyDescent="0.35">
      <c r="A78" s="35"/>
      <c r="B78" s="20"/>
      <c r="C78" s="130"/>
      <c r="D78" s="130"/>
      <c r="F78" s="87"/>
    </row>
    <row r="79" spans="1:7" x14ac:dyDescent="0.35">
      <c r="A79" s="267" t="s">
        <v>176</v>
      </c>
      <c r="B79" s="268"/>
      <c r="C79" s="38">
        <v>1</v>
      </c>
      <c r="D79" s="102">
        <v>60</v>
      </c>
    </row>
    <row r="80" spans="1:7" x14ac:dyDescent="0.35">
      <c r="A80" s="267" t="s">
        <v>46</v>
      </c>
      <c r="B80" s="268"/>
      <c r="C80" s="31">
        <f>ROUND(C77/C79,2)</f>
        <v>11.27</v>
      </c>
      <c r="D80" s="106">
        <f>ROUND(D77/D79,2)</f>
        <v>11.27</v>
      </c>
    </row>
    <row r="81" spans="1:4" x14ac:dyDescent="0.35">
      <c r="A81" s="20"/>
      <c r="B81" s="103"/>
    </row>
    <row r="82" spans="1:4" x14ac:dyDescent="0.35">
      <c r="A82" s="267" t="s">
        <v>37</v>
      </c>
      <c r="B82" s="268"/>
      <c r="C82" s="39"/>
      <c r="D82" s="149"/>
    </row>
    <row r="83" spans="1:4" x14ac:dyDescent="0.35">
      <c r="A83" s="267" t="s">
        <v>55</v>
      </c>
      <c r="B83" s="268"/>
      <c r="C83" s="39"/>
      <c r="D83" s="39"/>
    </row>
    <row r="84" spans="1:4" x14ac:dyDescent="0.35">
      <c r="A84" s="17"/>
      <c r="B84" s="17"/>
      <c r="C84" s="17"/>
      <c r="D84" s="17"/>
    </row>
    <row r="85" spans="1:4" x14ac:dyDescent="0.35">
      <c r="A85" s="17" t="s">
        <v>38</v>
      </c>
      <c r="B85" s="17"/>
      <c r="C85" s="17"/>
      <c r="D85" s="17"/>
    </row>
    <row r="86" spans="1:4" x14ac:dyDescent="0.35">
      <c r="A86" s="17"/>
      <c r="B86" s="17"/>
      <c r="C86" s="17"/>
      <c r="D86" s="17"/>
    </row>
    <row r="87" spans="1:4" x14ac:dyDescent="0.35">
      <c r="A87" s="17" t="s">
        <v>268</v>
      </c>
      <c r="B87" s="18"/>
      <c r="C87" s="17"/>
      <c r="D87" s="17"/>
    </row>
    <row r="88" spans="1:4" x14ac:dyDescent="0.35">
      <c r="A88" s="17"/>
      <c r="B88" s="96"/>
      <c r="C88" s="17"/>
      <c r="D88" s="17"/>
    </row>
    <row r="89" spans="1:4" x14ac:dyDescent="0.35">
      <c r="B89" s="35"/>
    </row>
    <row r="90" spans="1:4" x14ac:dyDescent="0.35">
      <c r="B90" s="20"/>
    </row>
  </sheetData>
  <mergeCells count="8">
    <mergeCell ref="A82:B82"/>
    <mergeCell ref="A83:B83"/>
    <mergeCell ref="C3:D3"/>
    <mergeCell ref="A7:D7"/>
    <mergeCell ref="A9:B9"/>
    <mergeCell ref="A10:B10"/>
    <mergeCell ref="A79:B79"/>
    <mergeCell ref="A80:B80"/>
  </mergeCells>
  <pageMargins left="0.70866141732283461" right="0.70866141732283461" top="0.69" bottom="0.65" header="0.31496062992125984" footer="0.16"/>
  <pageSetup paperSize="9" scale="66" orientation="portrait" r:id="rId1"/>
  <headerFooter>
    <oddFooter>&amp;C&amp;"Times New Roman,Regular"&amp;F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topLeftCell="A52" workbookViewId="0">
      <selection activeCell="D82" sqref="D82"/>
    </sheetView>
  </sheetViews>
  <sheetFormatPr defaultColWidth="9.1796875" defaultRowHeight="15.5" x14ac:dyDescent="0.35"/>
  <cols>
    <col min="1" max="1" width="13.26953125" style="6" customWidth="1"/>
    <col min="2" max="2" width="94.7265625" style="6" customWidth="1"/>
    <col min="3" max="3" width="17.26953125" style="100" hidden="1" customWidth="1"/>
    <col min="4" max="4" width="28.54296875" style="6" customWidth="1"/>
    <col min="5" max="5" width="9.1796875" style="3"/>
    <col min="6" max="6" width="9.54296875" style="3" bestFit="1" customWidth="1"/>
    <col min="7" max="16384" width="9.1796875" style="3"/>
  </cols>
  <sheetData>
    <row r="1" spans="1:4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56</v>
      </c>
      <c r="C3" s="257"/>
      <c r="D3" s="264"/>
    </row>
    <row r="4" spans="1:4" x14ac:dyDescent="0.35">
      <c r="A4" s="12"/>
      <c r="B4" s="11"/>
      <c r="C4" s="101"/>
      <c r="D4" s="96"/>
    </row>
    <row r="5" spans="1:4" x14ac:dyDescent="0.35">
      <c r="A5" s="12"/>
      <c r="B5" s="15"/>
      <c r="C5" s="15"/>
      <c r="D5" s="35" t="s">
        <v>279</v>
      </c>
    </row>
    <row r="6" spans="1:4" x14ac:dyDescent="0.35">
      <c r="A6" s="12"/>
      <c r="B6" s="11"/>
      <c r="C6" s="10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x14ac:dyDescent="0.35">
      <c r="A9" s="262" t="s">
        <v>1</v>
      </c>
      <c r="B9" s="262"/>
      <c r="C9" s="10"/>
    </row>
    <row r="10" spans="1:4" x14ac:dyDescent="0.35">
      <c r="A10" s="262" t="s">
        <v>0</v>
      </c>
      <c r="B10" s="262"/>
      <c r="C10" s="10"/>
    </row>
    <row r="11" spans="1:4" x14ac:dyDescent="0.35">
      <c r="A11" s="9"/>
      <c r="B11" s="9" t="s">
        <v>216</v>
      </c>
      <c r="C11" s="10"/>
    </row>
    <row r="12" spans="1:4" x14ac:dyDescent="0.35">
      <c r="A12" s="9"/>
      <c r="B12" s="9" t="s">
        <v>293</v>
      </c>
      <c r="C12" s="10"/>
      <c r="D12" s="14"/>
    </row>
    <row r="13" spans="1:4" x14ac:dyDescent="0.35">
      <c r="A13" s="9"/>
      <c r="B13" s="9"/>
      <c r="C13" s="10"/>
      <c r="D13" s="14"/>
    </row>
    <row r="14" spans="1:4" x14ac:dyDescent="0.35">
      <c r="A14" s="9" t="s">
        <v>2</v>
      </c>
      <c r="B14" s="9" t="s">
        <v>259</v>
      </c>
      <c r="C14" s="10"/>
    </row>
    <row r="15" spans="1:4" ht="67.5" customHeight="1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/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6">
        <v>185.2</v>
      </c>
      <c r="D18" s="28">
        <f>C18*30</f>
        <v>5556</v>
      </c>
    </row>
    <row r="19" spans="1:4" ht="15.75" customHeight="1" x14ac:dyDescent="0.25">
      <c r="A19" s="27">
        <v>1200</v>
      </c>
      <c r="B19" s="29" t="s">
        <v>192</v>
      </c>
      <c r="C19" s="102">
        <v>44.61</v>
      </c>
      <c r="D19" s="28">
        <f t="shared" ref="D19:D37" si="0">C19*30</f>
        <v>1338.3</v>
      </c>
    </row>
    <row r="20" spans="1:4" hidden="1" x14ac:dyDescent="0.25">
      <c r="A20" s="27">
        <v>2210</v>
      </c>
      <c r="B20" s="29" t="s">
        <v>27</v>
      </c>
      <c r="C20" s="102"/>
      <c r="D20" s="28">
        <f t="shared" si="0"/>
        <v>0</v>
      </c>
    </row>
    <row r="21" spans="1:4" x14ac:dyDescent="0.25">
      <c r="A21" s="27">
        <v>2222</v>
      </c>
      <c r="B21" s="29" t="s">
        <v>190</v>
      </c>
      <c r="C21" s="102">
        <v>2.1800000000000002</v>
      </c>
      <c r="D21" s="28">
        <f t="shared" si="0"/>
        <v>65.400000000000006</v>
      </c>
    </row>
    <row r="22" spans="1:4" x14ac:dyDescent="0.25">
      <c r="A22" s="27">
        <v>2223</v>
      </c>
      <c r="B22" s="29" t="s">
        <v>29</v>
      </c>
      <c r="C22" s="102">
        <v>6.69</v>
      </c>
      <c r="D22" s="28">
        <f t="shared" si="0"/>
        <v>200.70000000000002</v>
      </c>
    </row>
    <row r="23" spans="1:4" hidden="1" x14ac:dyDescent="0.25">
      <c r="A23" s="27"/>
      <c r="B23" s="29"/>
      <c r="C23" s="102"/>
      <c r="D23" s="28">
        <f t="shared" si="0"/>
        <v>0</v>
      </c>
    </row>
    <row r="24" spans="1:4" hidden="1" x14ac:dyDescent="0.25">
      <c r="A24" s="27"/>
      <c r="B24" s="29"/>
      <c r="C24" s="102"/>
      <c r="D24" s="28">
        <f t="shared" si="0"/>
        <v>0</v>
      </c>
    </row>
    <row r="25" spans="1:4" hidden="1" x14ac:dyDescent="0.25">
      <c r="A25" s="27">
        <v>2243</v>
      </c>
      <c r="B25" s="29" t="s">
        <v>9</v>
      </c>
      <c r="C25" s="102"/>
      <c r="D25" s="28">
        <f t="shared" si="0"/>
        <v>0</v>
      </c>
    </row>
    <row r="26" spans="1:4" x14ac:dyDescent="0.25">
      <c r="A26" s="27">
        <v>2244</v>
      </c>
      <c r="B26" s="29" t="s">
        <v>193</v>
      </c>
      <c r="C26" s="102">
        <v>5.58</v>
      </c>
      <c r="D26" s="28">
        <f t="shared" si="0"/>
        <v>167.4</v>
      </c>
    </row>
    <row r="27" spans="1:4" hidden="1" x14ac:dyDescent="0.25">
      <c r="A27" s="27">
        <v>2251</v>
      </c>
      <c r="B27" s="29" t="s">
        <v>60</v>
      </c>
      <c r="C27" s="102"/>
      <c r="D27" s="28">
        <f t="shared" si="0"/>
        <v>0</v>
      </c>
    </row>
    <row r="28" spans="1:4" hidden="1" x14ac:dyDescent="0.25">
      <c r="A28" s="27">
        <v>2261</v>
      </c>
      <c r="B28" s="29" t="s">
        <v>11</v>
      </c>
      <c r="C28" s="102"/>
      <c r="D28" s="28">
        <f t="shared" si="0"/>
        <v>0</v>
      </c>
    </row>
    <row r="29" spans="1:4" hidden="1" x14ac:dyDescent="0.25">
      <c r="A29" s="27">
        <v>2279</v>
      </c>
      <c r="B29" s="29" t="s">
        <v>14</v>
      </c>
      <c r="C29" s="102"/>
      <c r="D29" s="28">
        <f t="shared" si="0"/>
        <v>0</v>
      </c>
    </row>
    <row r="30" spans="1:4" x14ac:dyDescent="0.25">
      <c r="A30" s="27">
        <v>2311</v>
      </c>
      <c r="B30" s="29" t="s">
        <v>72</v>
      </c>
      <c r="C30" s="45">
        <v>2.98</v>
      </c>
      <c r="D30" s="28">
        <f t="shared" si="0"/>
        <v>89.4</v>
      </c>
    </row>
    <row r="31" spans="1:4" x14ac:dyDescent="0.25">
      <c r="A31" s="27">
        <v>2312</v>
      </c>
      <c r="B31" s="29" t="s">
        <v>16</v>
      </c>
      <c r="C31" s="102">
        <v>18.739999999999998</v>
      </c>
      <c r="D31" s="28">
        <f t="shared" si="0"/>
        <v>562.19999999999993</v>
      </c>
    </row>
    <row r="32" spans="1:4" x14ac:dyDescent="0.25">
      <c r="A32" s="27">
        <v>2321</v>
      </c>
      <c r="B32" s="29" t="s">
        <v>17</v>
      </c>
      <c r="C32" s="45">
        <v>9.17</v>
      </c>
      <c r="D32" s="28">
        <f t="shared" si="0"/>
        <v>275.10000000000002</v>
      </c>
    </row>
    <row r="33" spans="1:6" x14ac:dyDescent="0.25">
      <c r="A33" s="27">
        <v>2350</v>
      </c>
      <c r="B33" s="29" t="s">
        <v>224</v>
      </c>
      <c r="C33" s="45">
        <v>4.24</v>
      </c>
      <c r="D33" s="28">
        <f t="shared" si="0"/>
        <v>127.2</v>
      </c>
    </row>
    <row r="34" spans="1:6" hidden="1" x14ac:dyDescent="0.25">
      <c r="A34" s="27">
        <v>2361</v>
      </c>
      <c r="B34" s="29" t="s">
        <v>20</v>
      </c>
      <c r="C34" s="102"/>
      <c r="D34" s="28">
        <f t="shared" si="0"/>
        <v>0</v>
      </c>
    </row>
    <row r="35" spans="1:6" hidden="1" x14ac:dyDescent="0.25">
      <c r="A35" s="27">
        <v>2370</v>
      </c>
      <c r="B35" s="29" t="s">
        <v>69</v>
      </c>
      <c r="C35" s="102"/>
      <c r="D35" s="28">
        <f t="shared" si="0"/>
        <v>0</v>
      </c>
    </row>
    <row r="36" spans="1:6" hidden="1" x14ac:dyDescent="0.25">
      <c r="A36" s="55">
        <v>2513</v>
      </c>
      <c r="B36" s="29" t="s">
        <v>22</v>
      </c>
      <c r="C36" s="102"/>
      <c r="D36" s="28">
        <f t="shared" si="0"/>
        <v>0</v>
      </c>
    </row>
    <row r="37" spans="1:6" x14ac:dyDescent="0.25">
      <c r="A37" s="27">
        <v>5238</v>
      </c>
      <c r="B37" s="29" t="s">
        <v>122</v>
      </c>
      <c r="C37" s="45">
        <v>6.38</v>
      </c>
      <c r="D37" s="28">
        <f t="shared" si="0"/>
        <v>191.4</v>
      </c>
    </row>
    <row r="38" spans="1:6" x14ac:dyDescent="0.25">
      <c r="A38" s="27"/>
      <c r="B38" s="30" t="s">
        <v>65</v>
      </c>
      <c r="C38" s="31">
        <f>SUM(C18:C37)</f>
        <v>285.77000000000004</v>
      </c>
      <c r="D38" s="31">
        <f>SUM(D18:D37)</f>
        <v>8573.0999999999985</v>
      </c>
    </row>
    <row r="39" spans="1:6" x14ac:dyDescent="0.25">
      <c r="A39" s="32"/>
      <c r="B39" s="27" t="s">
        <v>64</v>
      </c>
      <c r="C39" s="26"/>
      <c r="D39" s="28"/>
    </row>
    <row r="40" spans="1:6" x14ac:dyDescent="0.25">
      <c r="A40" s="27">
        <v>1100</v>
      </c>
      <c r="B40" s="27" t="s">
        <v>63</v>
      </c>
      <c r="C40" s="28">
        <v>82.89</v>
      </c>
      <c r="D40" s="28">
        <f>C40*30</f>
        <v>2486.6999999999998</v>
      </c>
      <c r="F40" s="87"/>
    </row>
    <row r="41" spans="1:6" ht="15.75" customHeight="1" x14ac:dyDescent="0.25">
      <c r="A41" s="27">
        <v>1200</v>
      </c>
      <c r="B41" s="29" t="s">
        <v>192</v>
      </c>
      <c r="C41" s="45">
        <v>19.97</v>
      </c>
      <c r="D41" s="28">
        <f t="shared" ref="D41:D67" si="1">C41*30</f>
        <v>599.09999999999991</v>
      </c>
      <c r="F41" s="87"/>
    </row>
    <row r="42" spans="1:6" ht="15.75" customHeight="1" x14ac:dyDescent="0.25">
      <c r="A42" s="27">
        <v>2100</v>
      </c>
      <c r="B42" s="29" t="s">
        <v>239</v>
      </c>
      <c r="C42" s="45">
        <v>0.82</v>
      </c>
      <c r="D42" s="28">
        <f t="shared" si="1"/>
        <v>24.599999999999998</v>
      </c>
      <c r="F42" s="87"/>
    </row>
    <row r="43" spans="1:6" x14ac:dyDescent="0.25">
      <c r="A43" s="33">
        <v>2210</v>
      </c>
      <c r="B43" s="29" t="s">
        <v>142</v>
      </c>
      <c r="C43" s="102">
        <v>1.25</v>
      </c>
      <c r="D43" s="28">
        <f t="shared" si="1"/>
        <v>37.5</v>
      </c>
      <c r="F43" s="87"/>
    </row>
    <row r="44" spans="1:6" hidden="1" x14ac:dyDescent="0.25">
      <c r="A44" s="27">
        <v>2222</v>
      </c>
      <c r="B44" s="29" t="s">
        <v>28</v>
      </c>
      <c r="C44" s="102"/>
      <c r="D44" s="28">
        <f t="shared" si="1"/>
        <v>0</v>
      </c>
      <c r="F44" s="87"/>
    </row>
    <row r="45" spans="1:6" x14ac:dyDescent="0.25">
      <c r="A45" s="27">
        <v>2223</v>
      </c>
      <c r="B45" s="29" t="s">
        <v>29</v>
      </c>
      <c r="C45" s="45">
        <v>0.57999999999999996</v>
      </c>
      <c r="D45" s="28">
        <f t="shared" si="1"/>
        <v>17.399999999999999</v>
      </c>
      <c r="F45" s="87"/>
    </row>
    <row r="46" spans="1:6" x14ac:dyDescent="0.25">
      <c r="A46" s="33">
        <v>2224</v>
      </c>
      <c r="B46" s="29" t="s">
        <v>225</v>
      </c>
      <c r="C46" s="102">
        <v>0.5</v>
      </c>
      <c r="D46" s="28">
        <f t="shared" si="1"/>
        <v>15</v>
      </c>
      <c r="F46" s="87"/>
    </row>
    <row r="47" spans="1:6" x14ac:dyDescent="0.25">
      <c r="A47" s="27">
        <v>2231</v>
      </c>
      <c r="B47" s="29" t="s">
        <v>226</v>
      </c>
      <c r="C47" s="102">
        <v>0.12</v>
      </c>
      <c r="D47" s="28">
        <f t="shared" si="1"/>
        <v>3.5999999999999996</v>
      </c>
      <c r="F47" s="87"/>
    </row>
    <row r="48" spans="1:6" x14ac:dyDescent="0.25">
      <c r="A48" s="27">
        <v>2235</v>
      </c>
      <c r="B48" s="29" t="s">
        <v>240</v>
      </c>
      <c r="C48" s="102">
        <v>0.54</v>
      </c>
      <c r="D48" s="28">
        <f t="shared" si="1"/>
        <v>16.200000000000003</v>
      </c>
      <c r="F48" s="87"/>
    </row>
    <row r="49" spans="1:6" x14ac:dyDescent="0.35">
      <c r="A49" s="27">
        <v>2239</v>
      </c>
      <c r="B49" s="13" t="s">
        <v>145</v>
      </c>
      <c r="C49" s="102">
        <v>0.55000000000000004</v>
      </c>
      <c r="D49" s="28">
        <f t="shared" si="1"/>
        <v>16.5</v>
      </c>
      <c r="F49" s="87"/>
    </row>
    <row r="50" spans="1:6" x14ac:dyDescent="0.25">
      <c r="A50" s="27">
        <v>2242</v>
      </c>
      <c r="B50" s="29" t="s">
        <v>8</v>
      </c>
      <c r="C50" s="102">
        <v>0.11</v>
      </c>
      <c r="D50" s="28">
        <f t="shared" si="1"/>
        <v>3.3</v>
      </c>
      <c r="F50" s="87"/>
    </row>
    <row r="51" spans="1:6" x14ac:dyDescent="0.25">
      <c r="A51" s="27">
        <v>2243</v>
      </c>
      <c r="B51" s="29" t="s">
        <v>9</v>
      </c>
      <c r="C51" s="45">
        <v>2.02</v>
      </c>
      <c r="D51" s="28">
        <f t="shared" si="1"/>
        <v>60.6</v>
      </c>
      <c r="F51" s="87"/>
    </row>
    <row r="52" spans="1:6" x14ac:dyDescent="0.25">
      <c r="A52" s="27">
        <v>2244</v>
      </c>
      <c r="B52" s="29" t="s">
        <v>193</v>
      </c>
      <c r="C52" s="102">
        <f>8.35+0.22</f>
        <v>8.57</v>
      </c>
      <c r="D52" s="28">
        <f t="shared" si="1"/>
        <v>257.10000000000002</v>
      </c>
      <c r="F52" s="87"/>
    </row>
    <row r="53" spans="1:6" hidden="1" x14ac:dyDescent="0.25">
      <c r="A53" s="27">
        <v>2247</v>
      </c>
      <c r="B53" s="25" t="s">
        <v>59</v>
      </c>
      <c r="C53" s="26">
        <v>0</v>
      </c>
      <c r="D53" s="28">
        <f t="shared" si="1"/>
        <v>0</v>
      </c>
      <c r="F53" s="87"/>
    </row>
    <row r="54" spans="1:6" x14ac:dyDescent="0.25">
      <c r="A54" s="27">
        <v>2250</v>
      </c>
      <c r="B54" s="29" t="s">
        <v>186</v>
      </c>
      <c r="C54" s="45">
        <v>2.52</v>
      </c>
      <c r="D54" s="28">
        <f t="shared" si="1"/>
        <v>75.599999999999994</v>
      </c>
      <c r="F54" s="87"/>
    </row>
    <row r="55" spans="1:6" x14ac:dyDescent="0.25">
      <c r="A55" s="27">
        <v>2262</v>
      </c>
      <c r="B55" s="29" t="s">
        <v>12</v>
      </c>
      <c r="C55" s="102">
        <v>0.62</v>
      </c>
      <c r="D55" s="28">
        <f t="shared" si="1"/>
        <v>18.600000000000001</v>
      </c>
      <c r="F55" s="87"/>
    </row>
    <row r="56" spans="1:6" hidden="1" x14ac:dyDescent="0.25">
      <c r="A56" s="27">
        <v>2264</v>
      </c>
      <c r="B56" s="29" t="s">
        <v>13</v>
      </c>
      <c r="C56" s="102"/>
      <c r="D56" s="28">
        <f t="shared" si="1"/>
        <v>0</v>
      </c>
      <c r="F56" s="87"/>
    </row>
    <row r="57" spans="1:6" hidden="1" x14ac:dyDescent="0.25">
      <c r="A57" s="27">
        <v>2279</v>
      </c>
      <c r="B57" s="29" t="s">
        <v>14</v>
      </c>
      <c r="C57" s="102"/>
      <c r="D57" s="28">
        <f t="shared" si="1"/>
        <v>0</v>
      </c>
      <c r="F57" s="87"/>
    </row>
    <row r="58" spans="1:6" x14ac:dyDescent="0.25">
      <c r="A58" s="27">
        <v>2311</v>
      </c>
      <c r="B58" s="29" t="s">
        <v>15</v>
      </c>
      <c r="C58" s="102">
        <v>0.17</v>
      </c>
      <c r="D58" s="28">
        <f t="shared" si="1"/>
        <v>5.1000000000000005</v>
      </c>
      <c r="F58" s="87"/>
    </row>
    <row r="59" spans="1:6" x14ac:dyDescent="0.25">
      <c r="A59" s="27">
        <v>2312</v>
      </c>
      <c r="B59" s="29" t="s">
        <v>16</v>
      </c>
      <c r="C59" s="102">
        <v>0.11</v>
      </c>
      <c r="D59" s="28">
        <f t="shared" si="1"/>
        <v>3.3</v>
      </c>
      <c r="F59" s="87"/>
    </row>
    <row r="60" spans="1:6" x14ac:dyDescent="0.25">
      <c r="A60" s="27">
        <v>2314</v>
      </c>
      <c r="B60" s="29" t="s">
        <v>242</v>
      </c>
      <c r="C60" s="102">
        <v>0.11</v>
      </c>
      <c r="D60" s="28">
        <f t="shared" si="1"/>
        <v>3.3</v>
      </c>
      <c r="F60" s="87"/>
    </row>
    <row r="61" spans="1:6" x14ac:dyDescent="0.25">
      <c r="A61" s="27">
        <v>2321</v>
      </c>
      <c r="B61" s="29" t="s">
        <v>17</v>
      </c>
      <c r="C61" s="102">
        <v>0.86</v>
      </c>
      <c r="D61" s="28">
        <f t="shared" si="1"/>
        <v>25.8</v>
      </c>
      <c r="F61" s="87"/>
    </row>
    <row r="62" spans="1:6" x14ac:dyDescent="0.25">
      <c r="A62" s="27">
        <v>2322</v>
      </c>
      <c r="B62" s="29" t="s">
        <v>18</v>
      </c>
      <c r="C62" s="102">
        <v>0.9</v>
      </c>
      <c r="D62" s="28">
        <f t="shared" si="1"/>
        <v>27</v>
      </c>
      <c r="F62" s="87"/>
    </row>
    <row r="63" spans="1:6" x14ac:dyDescent="0.25">
      <c r="A63" s="27">
        <v>2350</v>
      </c>
      <c r="B63" s="29" t="s">
        <v>224</v>
      </c>
      <c r="C63" s="102">
        <v>1.1499999999999999</v>
      </c>
      <c r="D63" s="28">
        <f t="shared" si="1"/>
        <v>34.5</v>
      </c>
      <c r="F63" s="87"/>
    </row>
    <row r="64" spans="1:6" x14ac:dyDescent="0.25">
      <c r="A64" s="27">
        <v>2512</v>
      </c>
      <c r="B64" s="29" t="s">
        <v>201</v>
      </c>
      <c r="C64" s="102">
        <v>87.62</v>
      </c>
      <c r="D64" s="28">
        <f t="shared" si="1"/>
        <v>2628.6000000000004</v>
      </c>
      <c r="F64" s="87"/>
    </row>
    <row r="65" spans="1:7" x14ac:dyDescent="0.25">
      <c r="A65" s="27">
        <v>2513</v>
      </c>
      <c r="B65" s="29" t="s">
        <v>238</v>
      </c>
      <c r="C65" s="102">
        <v>1.91</v>
      </c>
      <c r="D65" s="28">
        <f t="shared" si="1"/>
        <v>57.3</v>
      </c>
      <c r="F65" s="87"/>
    </row>
    <row r="66" spans="1:7" x14ac:dyDescent="0.25">
      <c r="A66" s="27">
        <v>2515</v>
      </c>
      <c r="B66" s="29" t="s">
        <v>58</v>
      </c>
      <c r="C66" s="102">
        <v>0.19</v>
      </c>
      <c r="D66" s="28">
        <f t="shared" si="1"/>
        <v>5.7</v>
      </c>
      <c r="F66" s="87"/>
    </row>
    <row r="67" spans="1:7" x14ac:dyDescent="0.25">
      <c r="A67" s="27">
        <v>5239</v>
      </c>
      <c r="B67" s="29" t="s">
        <v>57</v>
      </c>
      <c r="C67" s="45">
        <v>4.99</v>
      </c>
      <c r="D67" s="28">
        <f t="shared" si="1"/>
        <v>149.70000000000002</v>
      </c>
      <c r="F67" s="87"/>
    </row>
    <row r="68" spans="1:7" hidden="1" x14ac:dyDescent="0.25">
      <c r="A68" s="27">
        <v>5240</v>
      </c>
      <c r="B68" s="29" t="s">
        <v>25</v>
      </c>
      <c r="C68" s="102"/>
      <c r="D68" s="28">
        <f>C68*22</f>
        <v>0</v>
      </c>
    </row>
    <row r="69" spans="1:7" hidden="1" x14ac:dyDescent="0.25">
      <c r="A69" s="27">
        <v>5250</v>
      </c>
      <c r="B69" s="29" t="s">
        <v>26</v>
      </c>
      <c r="C69" s="102"/>
      <c r="D69" s="28">
        <f>C69*22</f>
        <v>0</v>
      </c>
    </row>
    <row r="70" spans="1:7" x14ac:dyDescent="0.25">
      <c r="A70" s="32"/>
      <c r="B70" s="34" t="s">
        <v>66</v>
      </c>
      <c r="C70" s="31">
        <f>SUM(C40:C69)</f>
        <v>219.07000000000002</v>
      </c>
      <c r="D70" s="31">
        <f>SUM(D40:D69)</f>
        <v>6572.0999999999995</v>
      </c>
      <c r="G70" s="87"/>
    </row>
    <row r="71" spans="1:7" x14ac:dyDescent="0.25">
      <c r="A71" s="32"/>
      <c r="B71" s="34" t="s">
        <v>32</v>
      </c>
      <c r="C71" s="31">
        <f>C38+C70</f>
        <v>504.84000000000003</v>
      </c>
      <c r="D71" s="31">
        <f>D38+D70</f>
        <v>15145.199999999997</v>
      </c>
    </row>
    <row r="72" spans="1:7" x14ac:dyDescent="0.35">
      <c r="A72" s="35"/>
      <c r="B72" s="20"/>
      <c r="C72" s="103"/>
      <c r="D72" s="92"/>
      <c r="F72" s="87"/>
      <c r="G72" s="87"/>
    </row>
    <row r="73" spans="1:7" x14ac:dyDescent="0.25">
      <c r="A73" s="262" t="s">
        <v>45</v>
      </c>
      <c r="B73" s="262"/>
      <c r="C73" s="107">
        <v>1</v>
      </c>
      <c r="D73" s="105">
        <v>30</v>
      </c>
    </row>
    <row r="74" spans="1:7" x14ac:dyDescent="0.3">
      <c r="A74" s="262" t="s">
        <v>46</v>
      </c>
      <c r="B74" s="262"/>
      <c r="C74" s="108">
        <f>C71/C73</f>
        <v>504.84000000000003</v>
      </c>
      <c r="D74" s="108">
        <f>D71/D73</f>
        <v>504.83999999999992</v>
      </c>
      <c r="F74" s="150"/>
    </row>
    <row r="75" spans="1:7" x14ac:dyDescent="0.3">
      <c r="A75" s="9"/>
      <c r="B75" s="9"/>
      <c r="C75" s="10"/>
      <c r="D75" s="36"/>
      <c r="G75" s="87"/>
    </row>
    <row r="76" spans="1:7" x14ac:dyDescent="0.35">
      <c r="A76" s="267" t="s">
        <v>37</v>
      </c>
      <c r="B76" s="268"/>
      <c r="C76" s="104"/>
      <c r="D76" s="119"/>
    </row>
    <row r="77" spans="1:7" x14ac:dyDescent="0.35">
      <c r="A77" s="267" t="s">
        <v>54</v>
      </c>
      <c r="B77" s="268"/>
      <c r="C77" s="104"/>
      <c r="D77" s="120"/>
    </row>
    <row r="78" spans="1:7" x14ac:dyDescent="0.35">
      <c r="A78" s="17"/>
      <c r="B78" s="17"/>
      <c r="C78" s="19"/>
      <c r="D78" s="65"/>
    </row>
    <row r="79" spans="1:7" x14ac:dyDescent="0.35">
      <c r="A79" s="17" t="s">
        <v>38</v>
      </c>
      <c r="B79" s="17"/>
      <c r="C79" s="19"/>
      <c r="D79" s="17"/>
    </row>
    <row r="80" spans="1:7" x14ac:dyDescent="0.35">
      <c r="A80" s="17"/>
      <c r="B80" s="17"/>
      <c r="C80" s="19"/>
      <c r="D80" s="65"/>
    </row>
    <row r="81" spans="1:4" x14ac:dyDescent="0.35">
      <c r="A81" s="17" t="s">
        <v>280</v>
      </c>
      <c r="B81" s="18"/>
      <c r="C81" s="96"/>
      <c r="D81" s="91"/>
    </row>
    <row r="82" spans="1:4" x14ac:dyDescent="0.35">
      <c r="A82" s="17"/>
      <c r="B82" s="96"/>
      <c r="C82" s="96"/>
      <c r="D82" s="65"/>
    </row>
    <row r="83" spans="1:4" x14ac:dyDescent="0.35">
      <c r="A83" s="17"/>
      <c r="B83" s="19"/>
      <c r="C83" s="19"/>
      <c r="D83" s="17"/>
    </row>
    <row r="84" spans="1:4" x14ac:dyDescent="0.35">
      <c r="D84" s="92"/>
    </row>
  </sheetData>
  <mergeCells count="10">
    <mergeCell ref="A73:B73"/>
    <mergeCell ref="A74:B74"/>
    <mergeCell ref="A76:B76"/>
    <mergeCell ref="A77:B77"/>
    <mergeCell ref="B1:D1"/>
    <mergeCell ref="B2:D2"/>
    <mergeCell ref="B3:D3"/>
    <mergeCell ref="A7:D7"/>
    <mergeCell ref="A9:B9"/>
    <mergeCell ref="A10:B10"/>
  </mergeCells>
  <pageMargins left="0.2" right="0.2" top="0.59" bottom="0.36" header="0.3" footer="0.3"/>
  <pageSetup paperSize="9" scale="74" fitToHeight="0" orientation="portrait" r:id="rId1"/>
  <legacy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0"/>
  <sheetViews>
    <sheetView view="pageLayout" zoomScale="90" zoomScaleNormal="100" zoomScalePageLayoutView="90" workbookViewId="0">
      <selection activeCell="D85" sqref="D85"/>
    </sheetView>
  </sheetViews>
  <sheetFormatPr defaultRowHeight="15.5" x14ac:dyDescent="0.35"/>
  <cols>
    <col min="1" max="1" width="11.81640625" style="6" customWidth="1"/>
    <col min="2" max="2" width="94.7265625" style="6" customWidth="1"/>
    <col min="3" max="3" width="17.26953125" style="100" hidden="1" customWidth="1"/>
    <col min="4" max="4" width="31.54296875" style="6" customWidth="1"/>
  </cols>
  <sheetData>
    <row r="1" spans="1:4" x14ac:dyDescent="0.35">
      <c r="A1" s="12"/>
      <c r="B1" s="258" t="s">
        <v>35</v>
      </c>
      <c r="C1" s="258"/>
      <c r="D1" s="259"/>
    </row>
    <row r="2" spans="1:4" x14ac:dyDescent="0.35">
      <c r="A2" s="12"/>
      <c r="B2" s="260" t="s">
        <v>39</v>
      </c>
      <c r="C2" s="260"/>
      <c r="D2" s="261"/>
    </row>
    <row r="3" spans="1:4" x14ac:dyDescent="0.35">
      <c r="A3" s="12"/>
      <c r="B3" s="257" t="s">
        <v>135</v>
      </c>
      <c r="C3" s="257"/>
      <c r="D3" s="264"/>
    </row>
    <row r="4" spans="1:4" x14ac:dyDescent="0.35">
      <c r="A4" s="12"/>
      <c r="B4" s="11"/>
      <c r="C4" s="101"/>
      <c r="D4" s="96"/>
    </row>
    <row r="5" spans="1:4" x14ac:dyDescent="0.35">
      <c r="A5" s="12"/>
      <c r="B5" s="15"/>
      <c r="C5" s="15"/>
      <c r="D5" s="11" t="str">
        <f>'1.6.1.'!D5</f>
        <v>2019. gada  15.martā</v>
      </c>
    </row>
    <row r="6" spans="1:4" x14ac:dyDescent="0.35">
      <c r="A6" s="12"/>
      <c r="B6" s="11"/>
      <c r="C6" s="101"/>
      <c r="D6" s="11"/>
    </row>
    <row r="7" spans="1:4" ht="15" x14ac:dyDescent="0.3">
      <c r="A7" s="263" t="s">
        <v>5</v>
      </c>
      <c r="B7" s="263"/>
      <c r="C7" s="263"/>
      <c r="D7" s="263"/>
    </row>
    <row r="8" spans="1:4" x14ac:dyDescent="0.35">
      <c r="A8" s="97"/>
      <c r="B8" s="97"/>
      <c r="C8" s="97"/>
    </row>
    <row r="9" spans="1:4" ht="15.75" customHeight="1" x14ac:dyDescent="0.35">
      <c r="A9" s="262" t="s">
        <v>1</v>
      </c>
      <c r="B9" s="262"/>
      <c r="C9" s="10"/>
    </row>
    <row r="10" spans="1:4" ht="15.75" customHeight="1" x14ac:dyDescent="0.35">
      <c r="A10" s="262" t="s">
        <v>0</v>
      </c>
      <c r="B10" s="262"/>
      <c r="C10" s="10"/>
    </row>
    <row r="11" spans="1:4" x14ac:dyDescent="0.35">
      <c r="A11" s="9"/>
      <c r="B11" s="9" t="s">
        <v>126</v>
      </c>
      <c r="C11" s="10"/>
    </row>
    <row r="12" spans="1:4" x14ac:dyDescent="0.35">
      <c r="A12" s="9"/>
      <c r="B12" s="9" t="s">
        <v>123</v>
      </c>
      <c r="C12" s="10"/>
      <c r="D12" s="14"/>
    </row>
    <row r="13" spans="1:4" x14ac:dyDescent="0.35">
      <c r="A13" s="9"/>
      <c r="B13" s="9" t="s">
        <v>125</v>
      </c>
      <c r="C13" s="10"/>
      <c r="D13" s="14"/>
    </row>
    <row r="14" spans="1:4" x14ac:dyDescent="0.35">
      <c r="A14" s="9" t="s">
        <v>2</v>
      </c>
      <c r="B14" s="9" t="str">
        <f>'1.6.1.'!B14</f>
        <v>2019.gadā un turpmāk</v>
      </c>
      <c r="C14" s="10"/>
    </row>
    <row r="15" spans="1:4" ht="49.5" customHeight="1" x14ac:dyDescent="0.25">
      <c r="A15" s="54" t="s">
        <v>3</v>
      </c>
      <c r="B15" s="54" t="s">
        <v>4</v>
      </c>
      <c r="C15" s="54"/>
      <c r="D15" s="54" t="s">
        <v>53</v>
      </c>
    </row>
    <row r="16" spans="1:4" ht="15" x14ac:dyDescent="0.25">
      <c r="A16" s="22">
        <v>1</v>
      </c>
      <c r="B16" s="23">
        <v>2</v>
      </c>
      <c r="C16" s="23"/>
      <c r="D16" s="23">
        <v>3</v>
      </c>
    </row>
    <row r="17" spans="1:4" x14ac:dyDescent="0.25">
      <c r="A17" s="24"/>
      <c r="B17" s="25" t="s">
        <v>68</v>
      </c>
      <c r="C17" s="26"/>
      <c r="D17" s="26"/>
    </row>
    <row r="18" spans="1:4" x14ac:dyDescent="0.25">
      <c r="A18" s="27">
        <v>1100</v>
      </c>
      <c r="B18" s="27" t="s">
        <v>63</v>
      </c>
      <c r="C18" s="26">
        <v>0.59</v>
      </c>
      <c r="D18" s="28">
        <v>18</v>
      </c>
    </row>
    <row r="19" spans="1:4" ht="15.75" customHeight="1" x14ac:dyDescent="0.25">
      <c r="A19" s="27">
        <v>1200</v>
      </c>
      <c r="B19" s="29" t="s">
        <v>62</v>
      </c>
      <c r="C19" s="102">
        <v>0.14000000000000001</v>
      </c>
      <c r="D19" s="28">
        <v>4.34</v>
      </c>
    </row>
    <row r="20" spans="1:4" hidden="1" x14ac:dyDescent="0.25">
      <c r="A20" s="27">
        <v>2210</v>
      </c>
      <c r="B20" s="29" t="s">
        <v>27</v>
      </c>
      <c r="C20" s="102"/>
      <c r="D20" s="28">
        <f t="shared" ref="D20:D35" si="0">C20*25</f>
        <v>0</v>
      </c>
    </row>
    <row r="21" spans="1:4" hidden="1" x14ac:dyDescent="0.25">
      <c r="A21" s="27">
        <v>2222</v>
      </c>
      <c r="B21" s="29" t="s">
        <v>28</v>
      </c>
      <c r="C21" s="102"/>
      <c r="D21" s="28">
        <f t="shared" si="0"/>
        <v>0</v>
      </c>
    </row>
    <row r="22" spans="1:4" hidden="1" x14ac:dyDescent="0.25">
      <c r="A22" s="27">
        <v>2223</v>
      </c>
      <c r="B22" s="29" t="s">
        <v>29</v>
      </c>
      <c r="C22" s="102"/>
      <c r="D22" s="28">
        <f t="shared" si="0"/>
        <v>0</v>
      </c>
    </row>
    <row r="23" spans="1:4" hidden="1" x14ac:dyDescent="0.25">
      <c r="A23" s="27">
        <v>2243</v>
      </c>
      <c r="B23" s="29" t="s">
        <v>9</v>
      </c>
      <c r="C23" s="102"/>
      <c r="D23" s="28">
        <f t="shared" si="0"/>
        <v>0</v>
      </c>
    </row>
    <row r="24" spans="1:4" hidden="1" x14ac:dyDescent="0.25">
      <c r="A24" s="27">
        <v>2244</v>
      </c>
      <c r="B24" s="29" t="s">
        <v>10</v>
      </c>
      <c r="C24" s="102"/>
      <c r="D24" s="28">
        <f t="shared" si="0"/>
        <v>0</v>
      </c>
    </row>
    <row r="25" spans="1:4" hidden="1" x14ac:dyDescent="0.25">
      <c r="A25" s="27">
        <v>2251</v>
      </c>
      <c r="B25" s="29" t="s">
        <v>60</v>
      </c>
      <c r="C25" s="102"/>
      <c r="D25" s="28">
        <f t="shared" si="0"/>
        <v>0</v>
      </c>
    </row>
    <row r="26" spans="1:4" hidden="1" x14ac:dyDescent="0.25">
      <c r="A26" s="27">
        <v>2261</v>
      </c>
      <c r="B26" s="29" t="s">
        <v>11</v>
      </c>
      <c r="C26" s="102"/>
      <c r="D26" s="28">
        <f t="shared" si="0"/>
        <v>0</v>
      </c>
    </row>
    <row r="27" spans="1:4" hidden="1" x14ac:dyDescent="0.25">
      <c r="A27" s="27">
        <v>2279</v>
      </c>
      <c r="B27" s="29" t="s">
        <v>14</v>
      </c>
      <c r="C27" s="102"/>
      <c r="D27" s="28">
        <f t="shared" si="0"/>
        <v>0</v>
      </c>
    </row>
    <row r="28" spans="1:4" x14ac:dyDescent="0.25">
      <c r="A28" s="27">
        <v>2311</v>
      </c>
      <c r="B28" s="29" t="s">
        <v>72</v>
      </c>
      <c r="C28" s="45">
        <v>0.8</v>
      </c>
      <c r="D28" s="28">
        <f t="shared" si="0"/>
        <v>20</v>
      </c>
    </row>
    <row r="29" spans="1:4" hidden="1" x14ac:dyDescent="0.25">
      <c r="A29" s="27">
        <v>2312</v>
      </c>
      <c r="B29" s="29" t="s">
        <v>16</v>
      </c>
      <c r="C29" s="102"/>
      <c r="D29" s="28">
        <f t="shared" si="0"/>
        <v>0</v>
      </c>
    </row>
    <row r="30" spans="1:4" hidden="1" x14ac:dyDescent="0.25">
      <c r="A30" s="27">
        <v>2321</v>
      </c>
      <c r="B30" s="29" t="s">
        <v>17</v>
      </c>
      <c r="C30" s="102"/>
      <c r="D30" s="28">
        <f t="shared" si="0"/>
        <v>0</v>
      </c>
    </row>
    <row r="31" spans="1:4" hidden="1" x14ac:dyDescent="0.25">
      <c r="A31" s="27">
        <v>2350</v>
      </c>
      <c r="B31" s="29" t="s">
        <v>19</v>
      </c>
      <c r="C31" s="102"/>
      <c r="D31" s="28">
        <f t="shared" si="0"/>
        <v>0</v>
      </c>
    </row>
    <row r="32" spans="1:4" hidden="1" x14ac:dyDescent="0.25">
      <c r="A32" s="27">
        <v>2361</v>
      </c>
      <c r="B32" s="29" t="s">
        <v>20</v>
      </c>
      <c r="C32" s="102"/>
      <c r="D32" s="28">
        <f t="shared" si="0"/>
        <v>0</v>
      </c>
    </row>
    <row r="33" spans="1:4" hidden="1" x14ac:dyDescent="0.25">
      <c r="A33" s="27">
        <v>2370</v>
      </c>
      <c r="B33" s="29" t="s">
        <v>69</v>
      </c>
      <c r="C33" s="102"/>
      <c r="D33" s="28">
        <f t="shared" si="0"/>
        <v>0</v>
      </c>
    </row>
    <row r="34" spans="1:4" hidden="1" x14ac:dyDescent="0.25">
      <c r="A34" s="55">
        <v>2513</v>
      </c>
      <c r="B34" s="29" t="s">
        <v>22</v>
      </c>
      <c r="C34" s="102"/>
      <c r="D34" s="28">
        <f t="shared" si="0"/>
        <v>0</v>
      </c>
    </row>
    <row r="35" spans="1:4" x14ac:dyDescent="0.25">
      <c r="A35" s="27">
        <v>5238</v>
      </c>
      <c r="B35" s="29" t="s">
        <v>122</v>
      </c>
      <c r="C35" s="102">
        <v>0.03</v>
      </c>
      <c r="D35" s="28">
        <f t="shared" si="0"/>
        <v>0.75</v>
      </c>
    </row>
    <row r="36" spans="1:4" x14ac:dyDescent="0.25">
      <c r="A36" s="27"/>
      <c r="B36" s="30" t="s">
        <v>65</v>
      </c>
      <c r="C36" s="31">
        <f>SUM(C18:C35)</f>
        <v>1.56</v>
      </c>
      <c r="D36" s="31">
        <f>SUM(D18:D35)</f>
        <v>43.09</v>
      </c>
    </row>
    <row r="37" spans="1:4" x14ac:dyDescent="0.25">
      <c r="A37" s="32"/>
      <c r="B37" s="27" t="s">
        <v>64</v>
      </c>
      <c r="C37" s="26"/>
      <c r="D37" s="26"/>
    </row>
    <row r="38" spans="1:4" x14ac:dyDescent="0.25">
      <c r="A38" s="27">
        <v>1100</v>
      </c>
      <c r="B38" s="27" t="s">
        <v>63</v>
      </c>
      <c r="C38" s="26">
        <v>0.14000000000000001</v>
      </c>
      <c r="D38" s="28">
        <v>3.5</v>
      </c>
    </row>
    <row r="39" spans="1:4" ht="15.75" customHeight="1" x14ac:dyDescent="0.25">
      <c r="A39" s="27">
        <v>1200</v>
      </c>
      <c r="B39" s="29" t="s">
        <v>62</v>
      </c>
      <c r="C39" s="102">
        <v>0.03</v>
      </c>
      <c r="D39" s="28">
        <v>0.75</v>
      </c>
    </row>
    <row r="40" spans="1:4" x14ac:dyDescent="0.25">
      <c r="A40" s="33">
        <v>2210</v>
      </c>
      <c r="B40" s="29" t="s">
        <v>27</v>
      </c>
      <c r="C40" s="102">
        <v>0.02</v>
      </c>
      <c r="D40" s="28">
        <v>0.5</v>
      </c>
    </row>
    <row r="41" spans="1:4" x14ac:dyDescent="0.25">
      <c r="A41" s="27">
        <v>2222</v>
      </c>
      <c r="B41" s="29" t="s">
        <v>28</v>
      </c>
      <c r="C41" s="102">
        <v>7.0000000000000007E-2</v>
      </c>
      <c r="D41" s="28">
        <v>1.75</v>
      </c>
    </row>
    <row r="42" spans="1:4" x14ac:dyDescent="0.25">
      <c r="A42" s="27">
        <v>2223</v>
      </c>
      <c r="B42" s="29" t="s">
        <v>29</v>
      </c>
      <c r="C42" s="102">
        <v>0.08</v>
      </c>
      <c r="D42" s="28">
        <v>2</v>
      </c>
    </row>
    <row r="43" spans="1:4" hidden="1" x14ac:dyDescent="0.25">
      <c r="A43" s="33"/>
      <c r="B43" s="29"/>
      <c r="C43" s="102"/>
      <c r="D43" s="28">
        <f t="shared" ref="D43:D62" si="1">C43*25</f>
        <v>0</v>
      </c>
    </row>
    <row r="44" spans="1:4" hidden="1" x14ac:dyDescent="0.25">
      <c r="A44" s="27">
        <v>2230</v>
      </c>
      <c r="B44" s="29" t="s">
        <v>30</v>
      </c>
      <c r="C44" s="102"/>
      <c r="D44" s="28">
        <f t="shared" si="1"/>
        <v>0</v>
      </c>
    </row>
    <row r="45" spans="1:4" hidden="1" x14ac:dyDescent="0.25">
      <c r="A45" s="27"/>
      <c r="B45" s="29"/>
      <c r="C45" s="102"/>
      <c r="D45" s="28">
        <f t="shared" si="1"/>
        <v>0</v>
      </c>
    </row>
    <row r="46" spans="1:4" hidden="1" x14ac:dyDescent="0.25">
      <c r="A46" s="27"/>
      <c r="B46" s="29"/>
      <c r="C46" s="102"/>
      <c r="D46" s="28">
        <f t="shared" si="1"/>
        <v>0</v>
      </c>
    </row>
    <row r="47" spans="1:4" hidden="1" x14ac:dyDescent="0.25">
      <c r="A47" s="27">
        <v>2241</v>
      </c>
      <c r="B47" s="29" t="s">
        <v>7</v>
      </c>
      <c r="C47" s="102"/>
      <c r="D47" s="28">
        <f t="shared" si="1"/>
        <v>0</v>
      </c>
    </row>
    <row r="48" spans="1:4" hidden="1" x14ac:dyDescent="0.25">
      <c r="A48" s="27">
        <v>2242</v>
      </c>
      <c r="B48" s="29" t="s">
        <v>8</v>
      </c>
      <c r="C48" s="102"/>
      <c r="D48" s="28">
        <f t="shared" si="1"/>
        <v>0</v>
      </c>
    </row>
    <row r="49" spans="1:4" x14ac:dyDescent="0.25">
      <c r="A49" s="27">
        <v>2243</v>
      </c>
      <c r="B49" s="29" t="s">
        <v>9</v>
      </c>
      <c r="C49" s="102">
        <v>0.02</v>
      </c>
      <c r="D49" s="28">
        <v>0.5</v>
      </c>
    </row>
    <row r="50" spans="1:4" x14ac:dyDescent="0.25">
      <c r="A50" s="27">
        <v>2244</v>
      </c>
      <c r="B50" s="29" t="s">
        <v>10</v>
      </c>
      <c r="C50" s="102">
        <v>0.03</v>
      </c>
      <c r="D50" s="28">
        <v>1</v>
      </c>
    </row>
    <row r="51" spans="1:4" hidden="1" x14ac:dyDescent="0.25">
      <c r="A51" s="27">
        <v>2247</v>
      </c>
      <c r="B51" s="25" t="s">
        <v>59</v>
      </c>
      <c r="C51" s="26"/>
      <c r="D51" s="28">
        <f t="shared" si="1"/>
        <v>0</v>
      </c>
    </row>
    <row r="52" spans="1:4" hidden="1" x14ac:dyDescent="0.25">
      <c r="A52" s="27">
        <v>2251</v>
      </c>
      <c r="B52" s="29" t="s">
        <v>60</v>
      </c>
      <c r="C52" s="102"/>
      <c r="D52" s="28">
        <f t="shared" si="1"/>
        <v>0</v>
      </c>
    </row>
    <row r="53" spans="1:4" hidden="1" x14ac:dyDescent="0.25">
      <c r="A53" s="27">
        <v>2259</v>
      </c>
      <c r="B53" s="29" t="s">
        <v>61</v>
      </c>
      <c r="C53" s="102"/>
      <c r="D53" s="28">
        <f t="shared" si="1"/>
        <v>0</v>
      </c>
    </row>
    <row r="54" spans="1:4" hidden="1" x14ac:dyDescent="0.25">
      <c r="A54" s="27">
        <v>2262</v>
      </c>
      <c r="B54" s="29" t="s">
        <v>12</v>
      </c>
      <c r="C54" s="102"/>
      <c r="D54" s="28">
        <f t="shared" si="1"/>
        <v>0</v>
      </c>
    </row>
    <row r="55" spans="1:4" hidden="1" x14ac:dyDescent="0.25">
      <c r="A55" s="27">
        <v>2264</v>
      </c>
      <c r="B55" s="29" t="s">
        <v>13</v>
      </c>
      <c r="C55" s="102"/>
      <c r="D55" s="28">
        <f t="shared" si="1"/>
        <v>0</v>
      </c>
    </row>
    <row r="56" spans="1:4" hidden="1" x14ac:dyDescent="0.25">
      <c r="A56" s="27">
        <v>2279</v>
      </c>
      <c r="B56" s="29" t="s">
        <v>14</v>
      </c>
      <c r="C56" s="102"/>
      <c r="D56" s="28">
        <f t="shared" si="1"/>
        <v>0</v>
      </c>
    </row>
    <row r="57" spans="1:4" x14ac:dyDescent="0.25">
      <c r="A57" s="27">
        <v>2311</v>
      </c>
      <c r="B57" s="29" t="s">
        <v>15</v>
      </c>
      <c r="C57" s="102">
        <v>0.02</v>
      </c>
      <c r="D57" s="28">
        <f t="shared" si="1"/>
        <v>0.5</v>
      </c>
    </row>
    <row r="58" spans="1:4" x14ac:dyDescent="0.25">
      <c r="A58" s="27">
        <v>2312</v>
      </c>
      <c r="B58" s="29" t="s">
        <v>16</v>
      </c>
      <c r="C58" s="102">
        <v>0.03</v>
      </c>
      <c r="D58" s="28">
        <f t="shared" si="1"/>
        <v>0.75</v>
      </c>
    </row>
    <row r="59" spans="1:4" x14ac:dyDescent="0.25">
      <c r="A59" s="27">
        <v>2321</v>
      </c>
      <c r="B59" s="29" t="s">
        <v>17</v>
      </c>
      <c r="C59" s="102">
        <v>0.09</v>
      </c>
      <c r="D59" s="28">
        <f t="shared" si="1"/>
        <v>2.25</v>
      </c>
    </row>
    <row r="60" spans="1:4" hidden="1" x14ac:dyDescent="0.25">
      <c r="A60" s="27">
        <v>2322</v>
      </c>
      <c r="B60" s="29" t="s">
        <v>18</v>
      </c>
      <c r="C60" s="102"/>
      <c r="D60" s="28">
        <f t="shared" si="1"/>
        <v>0</v>
      </c>
    </row>
    <row r="61" spans="1:4" hidden="1" x14ac:dyDescent="0.25">
      <c r="A61" s="27">
        <v>2350</v>
      </c>
      <c r="B61" s="29" t="s">
        <v>19</v>
      </c>
      <c r="C61" s="102"/>
      <c r="D61" s="28">
        <f t="shared" si="1"/>
        <v>0</v>
      </c>
    </row>
    <row r="62" spans="1:4" ht="15.75" hidden="1" customHeight="1" x14ac:dyDescent="0.25">
      <c r="A62" s="27">
        <v>2515</v>
      </c>
      <c r="B62" s="29" t="s">
        <v>58</v>
      </c>
      <c r="C62" s="102"/>
      <c r="D62" s="28">
        <f t="shared" si="1"/>
        <v>0</v>
      </c>
    </row>
    <row r="63" spans="1:4" ht="15.75" customHeight="1" x14ac:dyDescent="0.25">
      <c r="A63" s="27">
        <v>5232</v>
      </c>
      <c r="B63" s="29" t="s">
        <v>23</v>
      </c>
      <c r="C63" s="102">
        <v>0.11</v>
      </c>
      <c r="D63" s="28">
        <v>2.66</v>
      </c>
    </row>
    <row r="64" spans="1:4" hidden="1" x14ac:dyDescent="0.25">
      <c r="A64" s="27">
        <v>5240</v>
      </c>
      <c r="B64" s="29" t="s">
        <v>25</v>
      </c>
      <c r="C64" s="102"/>
      <c r="D64" s="28">
        <f>C64*24</f>
        <v>0</v>
      </c>
    </row>
    <row r="65" spans="1:4" ht="15.75" hidden="1" customHeight="1" x14ac:dyDescent="0.25">
      <c r="A65" s="27">
        <v>5250</v>
      </c>
      <c r="B65" s="29" t="s">
        <v>26</v>
      </c>
      <c r="C65" s="102"/>
      <c r="D65" s="28">
        <f>C65*24</f>
        <v>0</v>
      </c>
    </row>
    <row r="66" spans="1:4" ht="15.75" customHeight="1" x14ac:dyDescent="0.25">
      <c r="A66" s="32"/>
      <c r="B66" s="34" t="s">
        <v>66</v>
      </c>
      <c r="C66" s="31">
        <f>SUM(C38:C65)</f>
        <v>0.64</v>
      </c>
      <c r="D66" s="31">
        <f>SUM(D38:D65)</f>
        <v>16.16</v>
      </c>
    </row>
    <row r="67" spans="1:4" x14ac:dyDescent="0.25">
      <c r="A67" s="32"/>
      <c r="B67" s="34" t="s">
        <v>32</v>
      </c>
      <c r="C67" s="31">
        <f>C36+C66</f>
        <v>2.2000000000000002</v>
      </c>
      <c r="D67" s="31">
        <f>D36+D66</f>
        <v>59.25</v>
      </c>
    </row>
    <row r="68" spans="1:4" x14ac:dyDescent="0.35">
      <c r="A68" s="35"/>
      <c r="B68" s="20"/>
      <c r="C68" s="103"/>
      <c r="D68" s="92"/>
    </row>
    <row r="69" spans="1:4" x14ac:dyDescent="0.25">
      <c r="A69" s="262" t="s">
        <v>45</v>
      </c>
      <c r="B69" s="262"/>
      <c r="C69" s="105">
        <v>1</v>
      </c>
      <c r="D69" s="105">
        <v>25</v>
      </c>
    </row>
    <row r="70" spans="1:4" x14ac:dyDescent="0.3">
      <c r="A70" s="262" t="s">
        <v>46</v>
      </c>
      <c r="B70" s="262"/>
      <c r="C70" s="95">
        <f>C67/C69</f>
        <v>2.2000000000000002</v>
      </c>
      <c r="D70" s="108">
        <f>D67/D69</f>
        <v>2.37</v>
      </c>
    </row>
    <row r="71" spans="1:4" x14ac:dyDescent="0.3">
      <c r="A71" s="9"/>
      <c r="B71" s="9"/>
      <c r="C71" s="10"/>
      <c r="D71" s="36"/>
    </row>
    <row r="72" spans="1:4" x14ac:dyDescent="0.35">
      <c r="A72" s="267" t="s">
        <v>37</v>
      </c>
      <c r="B72" s="268"/>
      <c r="C72" s="104"/>
      <c r="D72" s="39"/>
    </row>
    <row r="73" spans="1:4" x14ac:dyDescent="0.35">
      <c r="A73" s="267" t="s">
        <v>54</v>
      </c>
      <c r="B73" s="268"/>
      <c r="C73" s="104"/>
      <c r="D73" s="39"/>
    </row>
    <row r="74" spans="1:4" x14ac:dyDescent="0.35">
      <c r="A74" s="17"/>
      <c r="B74" s="17"/>
      <c r="C74" s="19"/>
      <c r="D74" s="65"/>
    </row>
    <row r="75" spans="1:4" x14ac:dyDescent="0.35">
      <c r="A75" s="17" t="s">
        <v>38</v>
      </c>
      <c r="B75" s="17"/>
      <c r="C75" s="19"/>
      <c r="D75" s="17"/>
    </row>
    <row r="76" spans="1:4" x14ac:dyDescent="0.35">
      <c r="A76" s="17"/>
      <c r="B76" s="17"/>
      <c r="C76" s="19"/>
      <c r="D76" s="65"/>
    </row>
    <row r="77" spans="1:4" x14ac:dyDescent="0.35">
      <c r="A77" s="17" t="s">
        <v>47</v>
      </c>
      <c r="B77" s="18"/>
      <c r="C77" s="96"/>
      <c r="D77" s="91"/>
    </row>
    <row r="78" spans="1:4" x14ac:dyDescent="0.35">
      <c r="A78" s="17"/>
      <c r="B78" s="96"/>
      <c r="C78" s="96"/>
      <c r="D78" s="65"/>
    </row>
    <row r="79" spans="1:4" x14ac:dyDescent="0.35">
      <c r="A79" s="17"/>
      <c r="B79" s="19"/>
      <c r="C79" s="19"/>
      <c r="D79" s="17"/>
    </row>
    <row r="80" spans="1:4" x14ac:dyDescent="0.35">
      <c r="D80" s="92"/>
    </row>
  </sheetData>
  <mergeCells count="10">
    <mergeCell ref="A72:B72"/>
    <mergeCell ref="A73:B73"/>
    <mergeCell ref="B1:D1"/>
    <mergeCell ref="B2:D2"/>
    <mergeCell ref="B3:D3"/>
    <mergeCell ref="A7:D7"/>
    <mergeCell ref="A69:B69"/>
    <mergeCell ref="A70:B70"/>
    <mergeCell ref="A9:B9"/>
    <mergeCell ref="A10:B10"/>
  </mergeCells>
  <pageMargins left="0.7" right="0.7" top="0.75" bottom="0.75" header="0.3" footer="0.3"/>
  <pageSetup paperSize="9" scale="64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view="pageLayout" topLeftCell="A46" zoomScale="90" zoomScaleNormal="100" zoomScalePageLayoutView="90" workbookViewId="0">
      <selection activeCell="A75" sqref="A75"/>
    </sheetView>
  </sheetViews>
  <sheetFormatPr defaultColWidth="9.1796875" defaultRowHeight="15.5" x14ac:dyDescent="0.35"/>
  <cols>
    <col min="1" max="1" width="12.1796875" style="6" customWidth="1"/>
    <col min="2" max="2" width="94.26953125" style="6" customWidth="1"/>
    <col min="3" max="3" width="12.7265625" style="6" hidden="1" customWidth="1"/>
    <col min="4" max="4" width="25.81640625" style="6" hidden="1" customWidth="1"/>
    <col min="5" max="5" width="20.54296875" style="6" hidden="1" customWidth="1"/>
    <col min="6" max="6" width="31.453125" style="6" customWidth="1"/>
    <col min="7" max="16384" width="9.1796875" style="3"/>
  </cols>
  <sheetData>
    <row r="1" spans="1:6" ht="15.75" customHeight="1" x14ac:dyDescent="0.35">
      <c r="A1" s="12"/>
      <c r="B1" s="258" t="s">
        <v>35</v>
      </c>
      <c r="C1" s="258"/>
      <c r="D1" s="258"/>
      <c r="E1" s="258"/>
      <c r="F1" s="259"/>
    </row>
    <row r="2" spans="1:6" x14ac:dyDescent="0.35">
      <c r="A2" s="12"/>
      <c r="B2" s="260" t="s">
        <v>39</v>
      </c>
      <c r="C2" s="260"/>
      <c r="D2" s="260"/>
      <c r="E2" s="260"/>
      <c r="F2" s="261"/>
    </row>
    <row r="3" spans="1:6" x14ac:dyDescent="0.35">
      <c r="A3" s="12"/>
      <c r="B3" s="257" t="s">
        <v>135</v>
      </c>
      <c r="C3" s="264"/>
      <c r="D3" s="264"/>
      <c r="E3" s="264"/>
      <c r="F3" s="264"/>
    </row>
    <row r="4" spans="1:6" x14ac:dyDescent="0.35">
      <c r="A4" s="12"/>
      <c r="B4" s="11"/>
      <c r="C4" s="11"/>
      <c r="D4" s="11"/>
      <c r="E4" s="13"/>
      <c r="F4" s="96"/>
    </row>
    <row r="5" spans="1:6" x14ac:dyDescent="0.35">
      <c r="A5" s="12"/>
      <c r="B5" s="15"/>
      <c r="C5" s="15"/>
      <c r="D5" s="15"/>
      <c r="E5" s="12"/>
      <c r="F5" s="11" t="str">
        <f>'1.6.2.'!D5</f>
        <v>2019. gada  15.martā</v>
      </c>
    </row>
    <row r="6" spans="1:6" x14ac:dyDescent="0.35">
      <c r="A6" s="12"/>
      <c r="B6" s="11"/>
      <c r="C6" s="11"/>
      <c r="D6" s="11"/>
      <c r="E6" s="11"/>
      <c r="F6" s="11"/>
    </row>
    <row r="7" spans="1:6" ht="15" x14ac:dyDescent="0.3">
      <c r="A7" s="263" t="s">
        <v>5</v>
      </c>
      <c r="B7" s="263"/>
      <c r="C7" s="263"/>
      <c r="D7" s="263"/>
      <c r="E7" s="263"/>
      <c r="F7" s="263"/>
    </row>
    <row r="8" spans="1:6" x14ac:dyDescent="0.35">
      <c r="A8" s="97"/>
      <c r="B8" s="97"/>
      <c r="C8" s="97"/>
      <c r="D8" s="97"/>
      <c r="E8" s="97"/>
    </row>
    <row r="9" spans="1:6" ht="15.75" customHeight="1" x14ac:dyDescent="0.35">
      <c r="A9" s="262" t="s">
        <v>1</v>
      </c>
      <c r="B9" s="262"/>
      <c r="C9" s="9"/>
      <c r="D9" s="9"/>
      <c r="E9" s="9"/>
    </row>
    <row r="10" spans="1:6" ht="15.75" customHeight="1" x14ac:dyDescent="0.35">
      <c r="A10" s="262" t="s">
        <v>0</v>
      </c>
      <c r="B10" s="262"/>
      <c r="C10" s="9"/>
      <c r="D10" s="9"/>
      <c r="E10" s="9"/>
    </row>
    <row r="11" spans="1:6" ht="15" customHeight="1" x14ac:dyDescent="0.25">
      <c r="A11" s="9"/>
      <c r="B11" s="262" t="s">
        <v>127</v>
      </c>
      <c r="C11" s="262"/>
      <c r="D11" s="262"/>
      <c r="E11" s="262"/>
      <c r="F11" s="262"/>
    </row>
    <row r="12" spans="1:6" ht="15" customHeight="1" x14ac:dyDescent="0.35">
      <c r="A12" s="9"/>
      <c r="B12" s="262" t="s">
        <v>101</v>
      </c>
      <c r="C12" s="265"/>
      <c r="D12" s="265"/>
      <c r="E12" s="9"/>
      <c r="F12" s="14"/>
    </row>
    <row r="13" spans="1:6" ht="15.75" customHeight="1" x14ac:dyDescent="0.35">
      <c r="A13" s="9" t="s">
        <v>2</v>
      </c>
      <c r="B13" s="9" t="str">
        <f>'1.6.2.'!B14</f>
        <v>2019.gadā un turpmāk</v>
      </c>
      <c r="C13" s="9"/>
      <c r="D13" s="9"/>
      <c r="E13" s="9"/>
    </row>
    <row r="14" spans="1:6" ht="63.75" customHeight="1" x14ac:dyDescent="0.25">
      <c r="A14" s="54" t="s">
        <v>3</v>
      </c>
      <c r="B14" s="54" t="s">
        <v>4</v>
      </c>
      <c r="C14" s="54" t="s">
        <v>42</v>
      </c>
      <c r="D14" s="54" t="s">
        <v>52</v>
      </c>
      <c r="E14" s="54" t="s">
        <v>44</v>
      </c>
      <c r="F14" s="54" t="s">
        <v>53</v>
      </c>
    </row>
    <row r="15" spans="1:6" ht="15" x14ac:dyDescent="0.25">
      <c r="A15" s="22">
        <v>1</v>
      </c>
      <c r="B15" s="23">
        <v>2</v>
      </c>
      <c r="C15" s="23">
        <v>3</v>
      </c>
      <c r="D15" s="23">
        <v>3</v>
      </c>
      <c r="E15" s="23">
        <v>4</v>
      </c>
      <c r="F15" s="23">
        <v>3</v>
      </c>
    </row>
    <row r="16" spans="1:6" ht="15" customHeight="1" x14ac:dyDescent="0.25">
      <c r="A16" s="24"/>
      <c r="B16" s="25" t="s">
        <v>68</v>
      </c>
      <c r="C16" s="26"/>
      <c r="D16" s="26"/>
      <c r="E16" s="26"/>
      <c r="F16" s="26"/>
    </row>
    <row r="17" spans="1:6" ht="15" customHeight="1" x14ac:dyDescent="0.25">
      <c r="A17" s="27">
        <v>1100</v>
      </c>
      <c r="B17" s="27" t="s">
        <v>63</v>
      </c>
      <c r="C17" s="28">
        <v>5789.22</v>
      </c>
      <c r="D17" s="28">
        <v>0</v>
      </c>
      <c r="E17" s="28">
        <v>3074.97</v>
      </c>
      <c r="F17" s="28">
        <v>1212.3900000000001</v>
      </c>
    </row>
    <row r="18" spans="1:6" ht="15.75" customHeight="1" x14ac:dyDescent="0.25">
      <c r="A18" s="27">
        <v>1200</v>
      </c>
      <c r="B18" s="29" t="s">
        <v>62</v>
      </c>
      <c r="C18" s="28">
        <v>1365.67</v>
      </c>
      <c r="D18" s="28">
        <v>0</v>
      </c>
      <c r="E18" s="28">
        <v>725.39</v>
      </c>
      <c r="F18" s="28">
        <v>292.06</v>
      </c>
    </row>
    <row r="19" spans="1:6" hidden="1" x14ac:dyDescent="0.25">
      <c r="A19" s="27">
        <v>2210</v>
      </c>
      <c r="B19" s="29" t="s">
        <v>27</v>
      </c>
      <c r="C19" s="28"/>
      <c r="D19" s="28"/>
      <c r="E19" s="28"/>
      <c r="F19" s="28"/>
    </row>
    <row r="20" spans="1:6" ht="15" customHeight="1" x14ac:dyDescent="0.25">
      <c r="A20" s="27">
        <v>2222</v>
      </c>
      <c r="B20" s="29" t="s">
        <v>28</v>
      </c>
      <c r="C20" s="28">
        <v>516.82000000000005</v>
      </c>
      <c r="D20" s="28">
        <v>0</v>
      </c>
      <c r="E20" s="28">
        <f>ROUND(C20/2,2)</f>
        <v>258.41000000000003</v>
      </c>
      <c r="F20" s="28">
        <v>13.7</v>
      </c>
    </row>
    <row r="21" spans="1:6" ht="15" customHeight="1" x14ac:dyDescent="0.25">
      <c r="A21" s="27">
        <v>2223</v>
      </c>
      <c r="B21" s="29" t="s">
        <v>29</v>
      </c>
      <c r="C21" s="28">
        <v>175.44</v>
      </c>
      <c r="D21" s="28">
        <v>0</v>
      </c>
      <c r="E21" s="28">
        <f>ROUND(C21/2,2)</f>
        <v>87.72</v>
      </c>
      <c r="F21" s="28">
        <v>30.1</v>
      </c>
    </row>
    <row r="22" spans="1:6" ht="15" customHeight="1" x14ac:dyDescent="0.25">
      <c r="A22" s="27">
        <v>2243</v>
      </c>
      <c r="B22" s="29" t="s">
        <v>9</v>
      </c>
      <c r="C22" s="28">
        <v>125.47</v>
      </c>
      <c r="D22" s="28">
        <v>0</v>
      </c>
      <c r="E22" s="28">
        <f>ROUND(C22/2,2)</f>
        <v>62.74</v>
      </c>
      <c r="F22" s="28">
        <v>64.2</v>
      </c>
    </row>
    <row r="23" spans="1:6" ht="15" customHeight="1" x14ac:dyDescent="0.25">
      <c r="A23" s="27">
        <v>2244</v>
      </c>
      <c r="B23" s="29" t="s">
        <v>10</v>
      </c>
      <c r="C23" s="28"/>
      <c r="D23" s="28"/>
      <c r="E23" s="28"/>
      <c r="F23" s="28">
        <v>73.09</v>
      </c>
    </row>
    <row r="24" spans="1:6" ht="15" hidden="1" customHeight="1" x14ac:dyDescent="0.25">
      <c r="A24" s="27">
        <v>2251</v>
      </c>
      <c r="B24" s="29" t="s">
        <v>60</v>
      </c>
      <c r="C24" s="28"/>
      <c r="D24" s="28"/>
      <c r="E24" s="28"/>
      <c r="F24" s="28"/>
    </row>
    <row r="25" spans="1:6" ht="15" hidden="1" customHeight="1" x14ac:dyDescent="0.25">
      <c r="A25" s="27">
        <v>2264</v>
      </c>
      <c r="B25" s="29" t="s">
        <v>13</v>
      </c>
      <c r="C25" s="28"/>
      <c r="D25" s="28"/>
      <c r="E25" s="28"/>
      <c r="F25" s="28"/>
    </row>
    <row r="26" spans="1:6" ht="15" hidden="1" customHeight="1" x14ac:dyDescent="0.25">
      <c r="A26" s="27">
        <v>2279</v>
      </c>
      <c r="B26" s="29" t="s">
        <v>14</v>
      </c>
      <c r="C26" s="28"/>
      <c r="D26" s="28"/>
      <c r="E26" s="28"/>
      <c r="F26" s="28"/>
    </row>
    <row r="27" spans="1:6" ht="15" customHeight="1" x14ac:dyDescent="0.25">
      <c r="A27" s="27">
        <v>2311</v>
      </c>
      <c r="B27" s="29" t="s">
        <v>72</v>
      </c>
      <c r="C27" s="28"/>
      <c r="D27" s="28"/>
      <c r="E27" s="28"/>
      <c r="F27" s="28">
        <v>18.28</v>
      </c>
    </row>
    <row r="28" spans="1:6" ht="15" customHeight="1" x14ac:dyDescent="0.25">
      <c r="A28" s="27">
        <v>2312</v>
      </c>
      <c r="B28" s="29" t="s">
        <v>16</v>
      </c>
      <c r="C28" s="28"/>
      <c r="D28" s="28"/>
      <c r="E28" s="28"/>
      <c r="F28" s="28">
        <v>110.19</v>
      </c>
    </row>
    <row r="29" spans="1:6" ht="15" customHeight="1" x14ac:dyDescent="0.25">
      <c r="A29" s="27">
        <v>2321</v>
      </c>
      <c r="B29" s="29" t="s">
        <v>17</v>
      </c>
      <c r="C29" s="28">
        <v>241.21</v>
      </c>
      <c r="D29" s="28">
        <v>0</v>
      </c>
      <c r="E29" s="28">
        <f>ROUND(C29/2,2)</f>
        <v>120.61</v>
      </c>
      <c r="F29" s="28">
        <v>39.729999999999997</v>
      </c>
    </row>
    <row r="30" spans="1:6" ht="15" customHeight="1" x14ac:dyDescent="0.25">
      <c r="A30" s="27">
        <v>2350</v>
      </c>
      <c r="B30" s="29" t="s">
        <v>19</v>
      </c>
      <c r="C30" s="28">
        <v>35.270000000000003</v>
      </c>
      <c r="D30" s="28">
        <v>0</v>
      </c>
      <c r="E30" s="28">
        <f>ROUND(C30/2,2)</f>
        <v>17.64</v>
      </c>
      <c r="F30" s="28">
        <v>79.94</v>
      </c>
    </row>
    <row r="31" spans="1:6" ht="15" hidden="1" customHeight="1" x14ac:dyDescent="0.25">
      <c r="A31" s="27">
        <v>2361</v>
      </c>
      <c r="B31" s="29" t="s">
        <v>20</v>
      </c>
      <c r="C31" s="28"/>
      <c r="D31" s="28"/>
      <c r="E31" s="28"/>
      <c r="F31" s="28"/>
    </row>
    <row r="32" spans="1:6" x14ac:dyDescent="0.25">
      <c r="A32" s="27">
        <v>2370</v>
      </c>
      <c r="B32" s="29" t="s">
        <v>69</v>
      </c>
      <c r="C32" s="28"/>
      <c r="D32" s="28"/>
      <c r="E32" s="28"/>
      <c r="F32" s="28">
        <v>42.65</v>
      </c>
    </row>
    <row r="33" spans="1:6" ht="15.75" hidden="1" customHeight="1" x14ac:dyDescent="0.25">
      <c r="A33" s="55">
        <v>2513</v>
      </c>
      <c r="B33" s="29" t="s">
        <v>22</v>
      </c>
      <c r="C33" s="28"/>
      <c r="D33" s="28"/>
      <c r="E33" s="28"/>
      <c r="F33" s="28"/>
    </row>
    <row r="34" spans="1:6" ht="15" customHeight="1" x14ac:dyDescent="0.25">
      <c r="A34" s="27">
        <v>5230</v>
      </c>
      <c r="B34" s="29" t="s">
        <v>57</v>
      </c>
      <c r="C34" s="28">
        <v>1.8</v>
      </c>
      <c r="D34" s="28">
        <v>0</v>
      </c>
      <c r="E34" s="28">
        <f>ROUND(C34/2,2)</f>
        <v>0.9</v>
      </c>
      <c r="F34" s="28">
        <v>145.37</v>
      </c>
    </row>
    <row r="35" spans="1:6" ht="15" customHeight="1" x14ac:dyDescent="0.25">
      <c r="A35" s="27"/>
      <c r="B35" s="30" t="s">
        <v>65</v>
      </c>
      <c r="C35" s="31">
        <f>SUM(C17:C34)</f>
        <v>8250.9</v>
      </c>
      <c r="D35" s="31">
        <f>SUM(D17:D34)</f>
        <v>0</v>
      </c>
      <c r="E35" s="31">
        <f>SUM(E17:E34)</f>
        <v>4348.3799999999992</v>
      </c>
      <c r="F35" s="31">
        <f>SUM(F17:F34)</f>
        <v>2121.7000000000003</v>
      </c>
    </row>
    <row r="36" spans="1:6" ht="15" customHeight="1" x14ac:dyDescent="0.25">
      <c r="A36" s="32"/>
      <c r="B36" s="27" t="s">
        <v>64</v>
      </c>
      <c r="C36" s="26"/>
      <c r="D36" s="26"/>
      <c r="E36" s="26"/>
      <c r="F36" s="26"/>
    </row>
    <row r="37" spans="1:6" ht="15" customHeight="1" x14ac:dyDescent="0.25">
      <c r="A37" s="27">
        <v>1100</v>
      </c>
      <c r="B37" s="27" t="s">
        <v>63</v>
      </c>
      <c r="C37" s="28">
        <v>4429</v>
      </c>
      <c r="D37" s="28">
        <v>0</v>
      </c>
      <c r="E37" s="28">
        <f t="shared" ref="E37:E55" si="0">ROUND(C37/2,2)</f>
        <v>2214.5</v>
      </c>
      <c r="F37" s="28">
        <v>207.5</v>
      </c>
    </row>
    <row r="38" spans="1:6" ht="15.75" customHeight="1" x14ac:dyDescent="0.25">
      <c r="A38" s="27">
        <v>1200</v>
      </c>
      <c r="B38" s="29" t="s">
        <v>62</v>
      </c>
      <c r="C38" s="28">
        <v>1044.8</v>
      </c>
      <c r="D38" s="28">
        <v>0</v>
      </c>
      <c r="E38" s="28">
        <f t="shared" si="0"/>
        <v>522.4</v>
      </c>
      <c r="F38" s="28">
        <v>49.99</v>
      </c>
    </row>
    <row r="39" spans="1:6" ht="15" customHeight="1" x14ac:dyDescent="0.25">
      <c r="A39" s="33">
        <v>2210</v>
      </c>
      <c r="B39" s="29" t="s">
        <v>27</v>
      </c>
      <c r="C39" s="28">
        <v>93.67</v>
      </c>
      <c r="D39" s="28">
        <v>0</v>
      </c>
      <c r="E39" s="28">
        <f t="shared" si="0"/>
        <v>46.84</v>
      </c>
      <c r="F39" s="28">
        <v>5.96</v>
      </c>
    </row>
    <row r="40" spans="1:6" ht="15" customHeight="1" x14ac:dyDescent="0.25">
      <c r="A40" s="27">
        <v>2230</v>
      </c>
      <c r="B40" s="29" t="s">
        <v>30</v>
      </c>
      <c r="C40" s="28">
        <v>72.349999999999994</v>
      </c>
      <c r="D40" s="28">
        <v>0</v>
      </c>
      <c r="E40" s="28">
        <f t="shared" si="0"/>
        <v>36.18</v>
      </c>
      <c r="F40" s="28">
        <v>4.84</v>
      </c>
    </row>
    <row r="41" spans="1:6" ht="15" customHeight="1" x14ac:dyDescent="0.25">
      <c r="A41" s="27">
        <v>2241</v>
      </c>
      <c r="B41" s="29" t="s">
        <v>7</v>
      </c>
      <c r="C41" s="28">
        <v>0.1</v>
      </c>
      <c r="D41" s="28">
        <v>0</v>
      </c>
      <c r="E41" s="28">
        <f t="shared" si="0"/>
        <v>0.05</v>
      </c>
      <c r="F41" s="28">
        <v>0.9</v>
      </c>
    </row>
    <row r="42" spans="1:6" ht="15" customHeight="1" x14ac:dyDescent="0.25">
      <c r="A42" s="27">
        <v>2242</v>
      </c>
      <c r="B42" s="29" t="s">
        <v>8</v>
      </c>
      <c r="C42" s="28">
        <v>21.56</v>
      </c>
      <c r="D42" s="28">
        <v>0</v>
      </c>
      <c r="E42" s="28">
        <f t="shared" si="0"/>
        <v>10.78</v>
      </c>
      <c r="F42" s="28">
        <v>0.34</v>
      </c>
    </row>
    <row r="43" spans="1:6" ht="15" customHeight="1" x14ac:dyDescent="0.25">
      <c r="A43" s="27">
        <v>2243</v>
      </c>
      <c r="B43" s="29" t="s">
        <v>9</v>
      </c>
      <c r="C43" s="28">
        <v>68.84</v>
      </c>
      <c r="D43" s="28">
        <v>0</v>
      </c>
      <c r="E43" s="28">
        <f t="shared" si="0"/>
        <v>34.42</v>
      </c>
      <c r="F43" s="28">
        <v>2.73</v>
      </c>
    </row>
    <row r="44" spans="1:6" ht="15" customHeight="1" x14ac:dyDescent="0.25">
      <c r="A44" s="27">
        <v>2244</v>
      </c>
      <c r="B44" s="29" t="s">
        <v>10</v>
      </c>
      <c r="C44" s="28"/>
      <c r="D44" s="28"/>
      <c r="E44" s="28"/>
      <c r="F44" s="28">
        <v>0.74</v>
      </c>
    </row>
    <row r="45" spans="1:6" ht="15.75" customHeight="1" x14ac:dyDescent="0.25">
      <c r="A45" s="27">
        <v>2247</v>
      </c>
      <c r="B45" s="25" t="s">
        <v>59</v>
      </c>
      <c r="C45" s="28">
        <v>5.71</v>
      </c>
      <c r="D45" s="28">
        <v>0</v>
      </c>
      <c r="E45" s="28">
        <f t="shared" si="0"/>
        <v>2.86</v>
      </c>
      <c r="F45" s="28">
        <v>0.98</v>
      </c>
    </row>
    <row r="46" spans="1:6" ht="15" customHeight="1" x14ac:dyDescent="0.25">
      <c r="A46" s="27">
        <v>2251</v>
      </c>
      <c r="B46" s="29" t="s">
        <v>60</v>
      </c>
      <c r="C46" s="28">
        <v>145.52000000000001</v>
      </c>
      <c r="D46" s="28">
        <v>0</v>
      </c>
      <c r="E46" s="28">
        <f t="shared" si="0"/>
        <v>72.760000000000005</v>
      </c>
      <c r="F46" s="28">
        <v>7.72</v>
      </c>
    </row>
    <row r="47" spans="1:6" ht="15" customHeight="1" x14ac:dyDescent="0.25">
      <c r="A47" s="27">
        <v>2259</v>
      </c>
      <c r="B47" s="29" t="s">
        <v>61</v>
      </c>
      <c r="C47" s="28">
        <v>0.48</v>
      </c>
      <c r="D47" s="28">
        <v>0</v>
      </c>
      <c r="E47" s="28">
        <f t="shared" si="0"/>
        <v>0.24</v>
      </c>
      <c r="F47" s="28">
        <v>0.06</v>
      </c>
    </row>
    <row r="48" spans="1:6" ht="15" customHeight="1" x14ac:dyDescent="0.25">
      <c r="A48" s="27">
        <v>2261</v>
      </c>
      <c r="B48" s="29" t="s">
        <v>11</v>
      </c>
      <c r="C48" s="28"/>
      <c r="D48" s="28"/>
      <c r="E48" s="28"/>
      <c r="F48" s="28">
        <v>2.46</v>
      </c>
    </row>
    <row r="49" spans="1:6" ht="15" customHeight="1" x14ac:dyDescent="0.25">
      <c r="A49" s="27">
        <v>2262</v>
      </c>
      <c r="B49" s="29" t="s">
        <v>12</v>
      </c>
      <c r="C49" s="28">
        <v>63.08</v>
      </c>
      <c r="D49" s="28">
        <v>0</v>
      </c>
      <c r="E49" s="28">
        <f t="shared" si="0"/>
        <v>31.54</v>
      </c>
      <c r="F49" s="28">
        <v>8.1199999999999992</v>
      </c>
    </row>
    <row r="50" spans="1:6" ht="15" customHeight="1" x14ac:dyDescent="0.25">
      <c r="A50" s="27">
        <v>2264</v>
      </c>
      <c r="B50" s="29" t="s">
        <v>13</v>
      </c>
      <c r="C50" s="28">
        <v>1.18</v>
      </c>
      <c r="D50" s="28">
        <v>0</v>
      </c>
      <c r="E50" s="28">
        <f t="shared" si="0"/>
        <v>0.59</v>
      </c>
      <c r="F50" s="28">
        <v>0</v>
      </c>
    </row>
    <row r="51" spans="1:6" ht="15.75" customHeight="1" x14ac:dyDescent="0.25">
      <c r="A51" s="27">
        <v>2279</v>
      </c>
      <c r="B51" s="29" t="s">
        <v>14</v>
      </c>
      <c r="C51" s="28">
        <v>259.89</v>
      </c>
      <c r="D51" s="28">
        <v>0</v>
      </c>
      <c r="E51" s="28">
        <f t="shared" si="0"/>
        <v>129.94999999999999</v>
      </c>
      <c r="F51" s="28">
        <v>0.92</v>
      </c>
    </row>
    <row r="52" spans="1:6" ht="15.75" customHeight="1" x14ac:dyDescent="0.25">
      <c r="A52" s="27">
        <v>2311</v>
      </c>
      <c r="B52" s="29" t="s">
        <v>15</v>
      </c>
      <c r="C52" s="28">
        <v>24.47</v>
      </c>
      <c r="D52" s="28">
        <v>0</v>
      </c>
      <c r="E52" s="28">
        <f t="shared" si="0"/>
        <v>12.24</v>
      </c>
      <c r="F52" s="28">
        <v>14.56</v>
      </c>
    </row>
    <row r="53" spans="1:6" ht="15" customHeight="1" x14ac:dyDescent="0.25">
      <c r="A53" s="27">
        <v>2312</v>
      </c>
      <c r="B53" s="29" t="s">
        <v>16</v>
      </c>
      <c r="C53" s="28">
        <v>45.22</v>
      </c>
      <c r="D53" s="28">
        <v>0</v>
      </c>
      <c r="E53" s="28">
        <f t="shared" si="0"/>
        <v>22.61</v>
      </c>
      <c r="F53" s="28">
        <v>1.02</v>
      </c>
    </row>
    <row r="54" spans="1:6" ht="15" customHeight="1" x14ac:dyDescent="0.25">
      <c r="A54" s="27">
        <v>2322</v>
      </c>
      <c r="B54" s="29" t="s">
        <v>18</v>
      </c>
      <c r="C54" s="28">
        <v>170.03</v>
      </c>
      <c r="D54" s="28">
        <v>0</v>
      </c>
      <c r="E54" s="28">
        <f t="shared" si="0"/>
        <v>85.02</v>
      </c>
      <c r="F54" s="28">
        <v>10.69</v>
      </c>
    </row>
    <row r="55" spans="1:6" ht="15" customHeight="1" x14ac:dyDescent="0.25">
      <c r="A55" s="27">
        <v>2350</v>
      </c>
      <c r="B55" s="29" t="s">
        <v>19</v>
      </c>
      <c r="C55" s="28">
        <v>193.6</v>
      </c>
      <c r="D55" s="28">
        <v>0</v>
      </c>
      <c r="E55" s="28">
        <f t="shared" si="0"/>
        <v>96.8</v>
      </c>
      <c r="F55" s="28">
        <v>20.75</v>
      </c>
    </row>
    <row r="56" spans="1:6" ht="15" customHeight="1" x14ac:dyDescent="0.25">
      <c r="A56" s="27">
        <v>2361</v>
      </c>
      <c r="B56" s="29" t="s">
        <v>20</v>
      </c>
      <c r="C56" s="28"/>
      <c r="D56" s="28"/>
      <c r="E56" s="28"/>
      <c r="F56" s="28">
        <v>6.34</v>
      </c>
    </row>
    <row r="57" spans="1:6" ht="15" customHeight="1" x14ac:dyDescent="0.25">
      <c r="A57" s="27">
        <v>2370</v>
      </c>
      <c r="B57" s="29" t="s">
        <v>69</v>
      </c>
      <c r="C57" s="28"/>
      <c r="D57" s="28"/>
      <c r="E57" s="28"/>
      <c r="F57" s="28">
        <v>4.8499999999999996</v>
      </c>
    </row>
    <row r="58" spans="1:6" ht="15" customHeight="1" x14ac:dyDescent="0.25">
      <c r="A58" s="27">
        <v>2400</v>
      </c>
      <c r="B58" s="29" t="s">
        <v>31</v>
      </c>
      <c r="C58" s="28"/>
      <c r="D58" s="28"/>
      <c r="E58" s="28"/>
      <c r="F58" s="28">
        <v>1.17</v>
      </c>
    </row>
    <row r="59" spans="1:6" ht="15" customHeight="1" x14ac:dyDescent="0.25">
      <c r="A59" s="27">
        <v>2515</v>
      </c>
      <c r="B59" s="29" t="s">
        <v>58</v>
      </c>
      <c r="C59" s="28"/>
      <c r="D59" s="28"/>
      <c r="E59" s="28"/>
      <c r="F59" s="28">
        <v>3.17</v>
      </c>
    </row>
    <row r="60" spans="1:6" ht="15" customHeight="1" x14ac:dyDescent="0.25">
      <c r="A60" s="27">
        <v>2519</v>
      </c>
      <c r="B60" s="29" t="s">
        <v>24</v>
      </c>
      <c r="C60" s="28"/>
      <c r="D60" s="28"/>
      <c r="E60" s="28"/>
      <c r="F60" s="28">
        <v>7</v>
      </c>
    </row>
    <row r="61" spans="1:6" ht="15" customHeight="1" x14ac:dyDescent="0.25">
      <c r="A61" s="27">
        <v>5232</v>
      </c>
      <c r="B61" s="29" t="s">
        <v>23</v>
      </c>
      <c r="C61" s="28"/>
      <c r="D61" s="28"/>
      <c r="E61" s="28"/>
      <c r="F61" s="28">
        <v>49.97</v>
      </c>
    </row>
    <row r="62" spans="1:6" ht="15" customHeight="1" x14ac:dyDescent="0.25">
      <c r="A62" s="27">
        <v>5240</v>
      </c>
      <c r="B62" s="29" t="s">
        <v>25</v>
      </c>
      <c r="C62" s="28"/>
      <c r="D62" s="28"/>
      <c r="E62" s="28"/>
      <c r="F62" s="28">
        <v>10.06</v>
      </c>
    </row>
    <row r="63" spans="1:6" ht="15" customHeight="1" x14ac:dyDescent="0.25">
      <c r="A63" s="27">
        <v>5250</v>
      </c>
      <c r="B63" s="29" t="s">
        <v>26</v>
      </c>
      <c r="C63" s="28"/>
      <c r="D63" s="28"/>
      <c r="E63" s="28"/>
      <c r="F63" s="28">
        <v>38.6</v>
      </c>
    </row>
    <row r="64" spans="1:6" ht="15" customHeight="1" x14ac:dyDescent="0.25">
      <c r="A64" s="32"/>
      <c r="B64" s="34" t="s">
        <v>66</v>
      </c>
      <c r="C64" s="31">
        <f>SUM(C37:C55)</f>
        <v>6639.5000000000027</v>
      </c>
      <c r="D64" s="31">
        <f>SUM(D37:D55)</f>
        <v>0</v>
      </c>
      <c r="E64" s="31">
        <f>SUM(E37:E55)</f>
        <v>3319.7800000000007</v>
      </c>
      <c r="F64" s="31">
        <f>SUM(F37:F63)</f>
        <v>461.44</v>
      </c>
    </row>
    <row r="65" spans="1:6" ht="15" customHeight="1" x14ac:dyDescent="0.25">
      <c r="A65" s="32"/>
      <c r="B65" s="34" t="s">
        <v>32</v>
      </c>
      <c r="C65" s="31" t="e">
        <f>#REF!+C28</f>
        <v>#REF!</v>
      </c>
      <c r="D65" s="31" t="e">
        <f>#REF!+D28</f>
        <v>#REF!</v>
      </c>
      <c r="E65" s="31" t="e">
        <f>#REF!+E28</f>
        <v>#REF!</v>
      </c>
      <c r="F65" s="31">
        <f>F35+F64</f>
        <v>2583.1400000000003</v>
      </c>
    </row>
    <row r="66" spans="1:6" x14ac:dyDescent="0.35">
      <c r="A66" s="35"/>
      <c r="B66" s="20"/>
    </row>
    <row r="67" spans="1:6" ht="15.75" customHeight="1" x14ac:dyDescent="0.25">
      <c r="A67" s="262" t="s">
        <v>45</v>
      </c>
      <c r="B67" s="262"/>
      <c r="C67" s="10">
        <v>148</v>
      </c>
      <c r="D67" s="21">
        <v>0</v>
      </c>
      <c r="E67" s="21">
        <v>74</v>
      </c>
      <c r="F67" s="107">
        <v>1</v>
      </c>
    </row>
    <row r="68" spans="1:6" ht="15.75" customHeight="1" x14ac:dyDescent="0.3">
      <c r="A68" s="262" t="s">
        <v>46</v>
      </c>
      <c r="B68" s="262"/>
      <c r="C68" s="36" t="e">
        <f>#REF!/C67</f>
        <v>#REF!</v>
      </c>
      <c r="D68" s="37">
        <v>0</v>
      </c>
      <c r="E68" s="37" t="e">
        <f>#REF!/E67</f>
        <v>#REF!</v>
      </c>
      <c r="F68" s="37">
        <f>F65/F67</f>
        <v>2583.1400000000003</v>
      </c>
    </row>
    <row r="69" spans="1:6" ht="15.75" customHeight="1" x14ac:dyDescent="0.3">
      <c r="A69" s="9"/>
      <c r="B69" s="9"/>
      <c r="C69" s="36"/>
      <c r="D69" s="36"/>
      <c r="E69" s="36"/>
      <c r="F69" s="36"/>
    </row>
    <row r="70" spans="1:6" s="2" customFormat="1" x14ac:dyDescent="0.35">
      <c r="A70" s="267" t="s">
        <v>37</v>
      </c>
      <c r="B70" s="268"/>
      <c r="C70" s="39"/>
      <c r="D70" s="39"/>
      <c r="E70" s="39"/>
      <c r="F70" s="39"/>
    </row>
    <row r="71" spans="1:6" s="2" customFormat="1" x14ac:dyDescent="0.35">
      <c r="A71" s="267" t="s">
        <v>54</v>
      </c>
      <c r="B71" s="268"/>
      <c r="C71" s="16"/>
      <c r="D71" s="40"/>
      <c r="E71" s="39"/>
      <c r="F71" s="39"/>
    </row>
    <row r="72" spans="1:6" s="2" customFormat="1" x14ac:dyDescent="0.35">
      <c r="A72" s="17"/>
      <c r="B72" s="17"/>
      <c r="C72" s="17"/>
      <c r="D72" s="17"/>
      <c r="E72" s="17"/>
      <c r="F72" s="17"/>
    </row>
    <row r="73" spans="1:6" s="2" customFormat="1" x14ac:dyDescent="0.35">
      <c r="A73" s="17" t="s">
        <v>38</v>
      </c>
      <c r="B73" s="17"/>
      <c r="C73" s="17"/>
      <c r="D73" s="17"/>
      <c r="E73" s="17"/>
      <c r="F73" s="65"/>
    </row>
    <row r="74" spans="1:6" s="2" customFormat="1" x14ac:dyDescent="0.35">
      <c r="A74" s="17"/>
      <c r="B74" s="17"/>
      <c r="C74" s="17"/>
      <c r="D74" s="17"/>
      <c r="E74" s="17"/>
      <c r="F74" s="17"/>
    </row>
    <row r="75" spans="1:6" s="2" customFormat="1" x14ac:dyDescent="0.35">
      <c r="A75" s="17" t="s">
        <v>47</v>
      </c>
      <c r="B75" s="18"/>
      <c r="C75" s="18"/>
      <c r="D75" s="18"/>
      <c r="E75" s="18"/>
      <c r="F75" s="18"/>
    </row>
    <row r="76" spans="1:6" s="2" customFormat="1" ht="13.9" customHeight="1" x14ac:dyDescent="0.35">
      <c r="A76" s="17"/>
      <c r="B76" s="96"/>
      <c r="C76" s="19"/>
      <c r="D76" s="19"/>
      <c r="E76" s="17"/>
      <c r="F76" s="17"/>
    </row>
    <row r="77" spans="1:6" s="2" customFormat="1" ht="13.9" customHeight="1" x14ac:dyDescent="0.35">
      <c r="A77" s="17"/>
      <c r="B77" s="19"/>
      <c r="C77" s="17"/>
      <c r="D77" s="17"/>
      <c r="E77" s="17"/>
      <c r="F77" s="17"/>
    </row>
    <row r="78" spans="1:6" s="1" customFormat="1" x14ac:dyDescent="0.35">
      <c r="A78" s="6"/>
      <c r="B78" s="6"/>
      <c r="C78" s="100"/>
      <c r="D78" s="6"/>
      <c r="E78" s="6"/>
      <c r="F78" s="6"/>
    </row>
  </sheetData>
  <mergeCells count="12">
    <mergeCell ref="B12:D12"/>
    <mergeCell ref="A67:B67"/>
    <mergeCell ref="A68:B68"/>
    <mergeCell ref="A70:B70"/>
    <mergeCell ref="A71:B71"/>
    <mergeCell ref="B1:F1"/>
    <mergeCell ref="B2:F2"/>
    <mergeCell ref="B3:F3"/>
    <mergeCell ref="A7:F7"/>
    <mergeCell ref="A9:B9"/>
    <mergeCell ref="A10:B10"/>
    <mergeCell ref="B11:F11"/>
  </mergeCells>
  <pageMargins left="0.7" right="0.7" top="0.75" bottom="0.75" header="0.3" footer="0.3"/>
  <pageSetup paperSize="9" scale="64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view="pageLayout" topLeftCell="A51" zoomScale="90" zoomScaleNormal="100" zoomScalePageLayoutView="90" workbookViewId="0">
      <selection activeCell="A75" sqref="A75:A80"/>
    </sheetView>
  </sheetViews>
  <sheetFormatPr defaultColWidth="9.1796875" defaultRowHeight="15.5" x14ac:dyDescent="0.35"/>
  <cols>
    <col min="1" max="1" width="12.81640625" style="6" customWidth="1"/>
    <col min="2" max="2" width="95" style="6" customWidth="1"/>
    <col min="3" max="3" width="12.7265625" style="6" hidden="1" customWidth="1"/>
    <col min="4" max="4" width="25.81640625" style="6" hidden="1" customWidth="1"/>
    <col min="5" max="5" width="4.54296875" style="6" hidden="1" customWidth="1"/>
    <col min="6" max="6" width="32.54296875" style="6" customWidth="1"/>
    <col min="7" max="16384" width="9.1796875" style="3"/>
  </cols>
  <sheetData>
    <row r="1" spans="1:6" ht="15.75" customHeight="1" x14ac:dyDescent="0.35">
      <c r="A1" s="12"/>
      <c r="B1" s="258" t="s">
        <v>35</v>
      </c>
      <c r="C1" s="258"/>
      <c r="D1" s="258"/>
      <c r="E1" s="258"/>
      <c r="F1" s="259"/>
    </row>
    <row r="2" spans="1:6" x14ac:dyDescent="0.35">
      <c r="A2" s="12"/>
      <c r="B2" s="260" t="s">
        <v>39</v>
      </c>
      <c r="C2" s="260"/>
      <c r="D2" s="260"/>
      <c r="E2" s="260"/>
      <c r="F2" s="261"/>
    </row>
    <row r="3" spans="1:6" x14ac:dyDescent="0.35">
      <c r="A3" s="12"/>
      <c r="B3" s="257" t="s">
        <v>135</v>
      </c>
      <c r="C3" s="264"/>
      <c r="D3" s="264"/>
      <c r="E3" s="264"/>
      <c r="F3" s="264"/>
    </row>
    <row r="4" spans="1:6" x14ac:dyDescent="0.35">
      <c r="A4" s="12"/>
      <c r="B4" s="11"/>
      <c r="C4" s="11"/>
      <c r="D4" s="11"/>
      <c r="E4" s="13"/>
      <c r="F4" s="96"/>
    </row>
    <row r="5" spans="1:6" x14ac:dyDescent="0.35">
      <c r="A5" s="12"/>
      <c r="B5" s="15"/>
      <c r="C5" s="15"/>
      <c r="D5" s="15"/>
      <c r="E5" s="12"/>
      <c r="F5" s="11" t="str">
        <f>'1.2.'!F5</f>
        <v>2019. gada  15.martā</v>
      </c>
    </row>
    <row r="6" spans="1:6" x14ac:dyDescent="0.35">
      <c r="A6" s="12"/>
      <c r="B6" s="11"/>
      <c r="C6" s="11"/>
      <c r="D6" s="11"/>
      <c r="E6" s="11"/>
      <c r="F6" s="11"/>
    </row>
    <row r="7" spans="1:6" ht="15" x14ac:dyDescent="0.3">
      <c r="A7" s="263" t="s">
        <v>5</v>
      </c>
      <c r="B7" s="263"/>
      <c r="C7" s="263"/>
      <c r="D7" s="263"/>
      <c r="E7" s="263"/>
      <c r="F7" s="263"/>
    </row>
    <row r="8" spans="1:6" x14ac:dyDescent="0.35">
      <c r="A8" s="97"/>
      <c r="B8" s="97"/>
      <c r="C8" s="97"/>
      <c r="D8" s="97"/>
      <c r="E8" s="97"/>
    </row>
    <row r="9" spans="1:6" ht="15.75" customHeight="1" x14ac:dyDescent="0.35">
      <c r="A9" s="262" t="s">
        <v>1</v>
      </c>
      <c r="B9" s="262"/>
      <c r="C9" s="9"/>
      <c r="D9" s="9"/>
      <c r="E9" s="9"/>
    </row>
    <row r="10" spans="1:6" ht="15.75" customHeight="1" x14ac:dyDescent="0.35">
      <c r="A10" s="262" t="s">
        <v>0</v>
      </c>
      <c r="B10" s="262"/>
      <c r="C10" s="9"/>
      <c r="D10" s="9"/>
      <c r="E10" s="9"/>
    </row>
    <row r="11" spans="1:6" ht="15" customHeight="1" x14ac:dyDescent="0.25">
      <c r="A11" s="9"/>
      <c r="B11" s="262" t="s">
        <v>127</v>
      </c>
      <c r="C11" s="262"/>
      <c r="D11" s="262"/>
      <c r="E11" s="262"/>
      <c r="F11" s="262"/>
    </row>
    <row r="12" spans="1:6" ht="15" customHeight="1" x14ac:dyDescent="0.35">
      <c r="A12" s="9"/>
      <c r="B12" s="262" t="s">
        <v>133</v>
      </c>
      <c r="C12" s="265"/>
      <c r="D12" s="265"/>
      <c r="E12" s="9"/>
      <c r="F12" s="14"/>
    </row>
    <row r="13" spans="1:6" ht="15.75" customHeight="1" x14ac:dyDescent="0.35">
      <c r="A13" s="9" t="s">
        <v>2</v>
      </c>
      <c r="B13" s="9" t="str">
        <f>'1.2.'!B13</f>
        <v>2019.gadā un turpmāk</v>
      </c>
      <c r="C13" s="9"/>
      <c r="D13" s="9"/>
      <c r="E13" s="9"/>
    </row>
    <row r="14" spans="1:6" ht="56.25" customHeight="1" x14ac:dyDescent="0.25">
      <c r="A14" s="54" t="s">
        <v>3</v>
      </c>
      <c r="B14" s="54" t="s">
        <v>4</v>
      </c>
      <c r="C14" s="54" t="s">
        <v>42</v>
      </c>
      <c r="D14" s="54" t="s">
        <v>52</v>
      </c>
      <c r="E14" s="54" t="s">
        <v>44</v>
      </c>
      <c r="F14" s="54" t="s">
        <v>53</v>
      </c>
    </row>
    <row r="15" spans="1:6" ht="15" x14ac:dyDescent="0.25">
      <c r="A15" s="22">
        <v>1</v>
      </c>
      <c r="B15" s="23">
        <v>2</v>
      </c>
      <c r="C15" s="23">
        <v>3</v>
      </c>
      <c r="D15" s="23">
        <v>3</v>
      </c>
      <c r="E15" s="23">
        <v>4</v>
      </c>
      <c r="F15" s="23">
        <v>3</v>
      </c>
    </row>
    <row r="16" spans="1:6" ht="15" customHeight="1" x14ac:dyDescent="0.25">
      <c r="A16" s="24"/>
      <c r="B16" s="25" t="s">
        <v>68</v>
      </c>
      <c r="C16" s="26"/>
      <c r="D16" s="26"/>
      <c r="E16" s="26"/>
      <c r="F16" s="26"/>
    </row>
    <row r="17" spans="1:6" ht="15" customHeight="1" x14ac:dyDescent="0.25">
      <c r="A17" s="27">
        <v>1100</v>
      </c>
      <c r="B17" s="27" t="s">
        <v>63</v>
      </c>
      <c r="C17" s="28">
        <v>5789.22</v>
      </c>
      <c r="D17" s="28">
        <v>0</v>
      </c>
      <c r="E17" s="28">
        <v>3074.97</v>
      </c>
      <c r="F17" s="28">
        <v>1212.3900000000001</v>
      </c>
    </row>
    <row r="18" spans="1:6" ht="15.75" customHeight="1" x14ac:dyDescent="0.25">
      <c r="A18" s="27">
        <v>1200</v>
      </c>
      <c r="B18" s="29" t="s">
        <v>62</v>
      </c>
      <c r="C18" s="28">
        <v>1365.67</v>
      </c>
      <c r="D18" s="28">
        <v>0</v>
      </c>
      <c r="E18" s="28">
        <v>725.39</v>
      </c>
      <c r="F18" s="28">
        <v>292.06</v>
      </c>
    </row>
    <row r="19" spans="1:6" hidden="1" x14ac:dyDescent="0.25">
      <c r="A19" s="27">
        <v>2210</v>
      </c>
      <c r="B19" s="29" t="s">
        <v>27</v>
      </c>
      <c r="C19" s="28"/>
      <c r="D19" s="28"/>
      <c r="E19" s="28"/>
      <c r="F19" s="28"/>
    </row>
    <row r="20" spans="1:6" ht="15" customHeight="1" x14ac:dyDescent="0.25">
      <c r="A20" s="27">
        <v>2222</v>
      </c>
      <c r="B20" s="29" t="s">
        <v>28</v>
      </c>
      <c r="C20" s="28">
        <v>516.82000000000005</v>
      </c>
      <c r="D20" s="28">
        <v>0</v>
      </c>
      <c r="E20" s="28">
        <f>ROUND(C20/2,2)</f>
        <v>258.41000000000003</v>
      </c>
      <c r="F20" s="28">
        <v>6.85</v>
      </c>
    </row>
    <row r="21" spans="1:6" ht="15" customHeight="1" x14ac:dyDescent="0.25">
      <c r="A21" s="27">
        <v>2223</v>
      </c>
      <c r="B21" s="29" t="s">
        <v>29</v>
      </c>
      <c r="C21" s="28">
        <v>175.44</v>
      </c>
      <c r="D21" s="28">
        <v>0</v>
      </c>
      <c r="E21" s="28">
        <f>ROUND(C21/2,2)</f>
        <v>87.72</v>
      </c>
      <c r="F21" s="28">
        <v>35.43</v>
      </c>
    </row>
    <row r="22" spans="1:6" ht="15" customHeight="1" x14ac:dyDescent="0.25">
      <c r="A22" s="27">
        <v>2243</v>
      </c>
      <c r="B22" s="29" t="s">
        <v>9</v>
      </c>
      <c r="C22" s="28">
        <v>125.47</v>
      </c>
      <c r="D22" s="28">
        <v>0</v>
      </c>
      <c r="E22" s="28">
        <f>ROUND(C22/2,2)</f>
        <v>62.74</v>
      </c>
      <c r="F22" s="28">
        <v>12.3</v>
      </c>
    </row>
    <row r="23" spans="1:6" ht="15" customHeight="1" x14ac:dyDescent="0.25">
      <c r="A23" s="27">
        <v>2244</v>
      </c>
      <c r="B23" s="29" t="s">
        <v>10</v>
      </c>
      <c r="C23" s="28"/>
      <c r="D23" s="28"/>
      <c r="E23" s="28"/>
      <c r="F23" s="28">
        <v>73.09</v>
      </c>
    </row>
    <row r="24" spans="1:6" ht="15" hidden="1" customHeight="1" x14ac:dyDescent="0.25">
      <c r="A24" s="27">
        <v>2251</v>
      </c>
      <c r="B24" s="29" t="s">
        <v>60</v>
      </c>
      <c r="C24" s="28"/>
      <c r="D24" s="28"/>
      <c r="E24" s="28"/>
      <c r="F24" s="28"/>
    </row>
    <row r="25" spans="1:6" ht="15" hidden="1" customHeight="1" x14ac:dyDescent="0.25">
      <c r="A25" s="27">
        <v>2264</v>
      </c>
      <c r="B25" s="29" t="s">
        <v>13</v>
      </c>
      <c r="C25" s="28"/>
      <c r="D25" s="28"/>
      <c r="E25" s="28"/>
      <c r="F25" s="28"/>
    </row>
    <row r="26" spans="1:6" ht="15" hidden="1" customHeight="1" x14ac:dyDescent="0.25">
      <c r="A26" s="27">
        <v>2279</v>
      </c>
      <c r="B26" s="29" t="s">
        <v>14</v>
      </c>
      <c r="C26" s="28"/>
      <c r="D26" s="28"/>
      <c r="E26" s="28"/>
      <c r="F26" s="28"/>
    </row>
    <row r="27" spans="1:6" ht="15" customHeight="1" x14ac:dyDescent="0.25">
      <c r="A27" s="27">
        <v>2311</v>
      </c>
      <c r="B27" s="29" t="s">
        <v>72</v>
      </c>
      <c r="C27" s="28"/>
      <c r="D27" s="28"/>
      <c r="E27" s="28"/>
      <c r="F27" s="28">
        <v>13.61</v>
      </c>
    </row>
    <row r="28" spans="1:6" ht="15" customHeight="1" x14ac:dyDescent="0.25">
      <c r="A28" s="27">
        <v>2312</v>
      </c>
      <c r="B28" s="29" t="s">
        <v>16</v>
      </c>
      <c r="C28" s="28"/>
      <c r="D28" s="28"/>
      <c r="E28" s="28"/>
      <c r="F28" s="28">
        <v>20.440000000000001</v>
      </c>
    </row>
    <row r="29" spans="1:6" ht="15" customHeight="1" x14ac:dyDescent="0.25">
      <c r="A29" s="27">
        <v>2321</v>
      </c>
      <c r="B29" s="29" t="s">
        <v>17</v>
      </c>
      <c r="C29" s="28">
        <v>241.21</v>
      </c>
      <c r="D29" s="28">
        <v>0</v>
      </c>
      <c r="E29" s="28">
        <f>ROUND(C29/2,2)</f>
        <v>120.61</v>
      </c>
      <c r="F29" s="28">
        <v>39.729999999999997</v>
      </c>
    </row>
    <row r="30" spans="1:6" ht="15" customHeight="1" x14ac:dyDescent="0.25">
      <c r="A30" s="27">
        <v>2350</v>
      </c>
      <c r="B30" s="29" t="s">
        <v>19</v>
      </c>
      <c r="C30" s="28">
        <v>35.270000000000003</v>
      </c>
      <c r="D30" s="28">
        <v>0</v>
      </c>
      <c r="E30" s="28">
        <f>ROUND(C30/2,2)</f>
        <v>17.64</v>
      </c>
      <c r="F30" s="28">
        <v>8.1999999999999993</v>
      </c>
    </row>
    <row r="31" spans="1:6" ht="15" hidden="1" customHeight="1" x14ac:dyDescent="0.25">
      <c r="A31" s="27">
        <v>2361</v>
      </c>
      <c r="B31" s="29" t="s">
        <v>20</v>
      </c>
      <c r="C31" s="28"/>
      <c r="D31" s="28"/>
      <c r="E31" s="28"/>
      <c r="F31" s="28"/>
    </row>
    <row r="32" spans="1:6" x14ac:dyDescent="0.25">
      <c r="A32" s="27">
        <v>2370</v>
      </c>
      <c r="B32" s="29" t="s">
        <v>69</v>
      </c>
      <c r="C32" s="28"/>
      <c r="D32" s="28"/>
      <c r="E32" s="28"/>
      <c r="F32" s="28">
        <v>13.61</v>
      </c>
    </row>
    <row r="33" spans="1:6" ht="15.75" hidden="1" customHeight="1" x14ac:dyDescent="0.25">
      <c r="A33" s="55">
        <v>2513</v>
      </c>
      <c r="B33" s="29" t="s">
        <v>22</v>
      </c>
      <c r="C33" s="28"/>
      <c r="D33" s="28"/>
      <c r="E33" s="28"/>
      <c r="F33" s="28"/>
    </row>
    <row r="34" spans="1:6" ht="15" customHeight="1" x14ac:dyDescent="0.25">
      <c r="A34" s="27">
        <v>5230</v>
      </c>
      <c r="B34" s="29" t="s">
        <v>57</v>
      </c>
      <c r="C34" s="28">
        <v>1.8</v>
      </c>
      <c r="D34" s="28">
        <v>0</v>
      </c>
      <c r="E34" s="28">
        <f>ROUND(C34/2,2)</f>
        <v>0.9</v>
      </c>
      <c r="F34" s="28">
        <v>20.5</v>
      </c>
    </row>
    <row r="35" spans="1:6" ht="15" customHeight="1" x14ac:dyDescent="0.25">
      <c r="A35" s="27"/>
      <c r="B35" s="30" t="s">
        <v>65</v>
      </c>
      <c r="C35" s="31">
        <f>SUM(C17:C34)</f>
        <v>8250.9</v>
      </c>
      <c r="D35" s="31">
        <f>SUM(D17:D34)</f>
        <v>0</v>
      </c>
      <c r="E35" s="31">
        <f>SUM(E17:E34)</f>
        <v>4348.3799999999992</v>
      </c>
      <c r="F35" s="31">
        <f>SUM(F17:F34)</f>
        <v>1748.2099999999998</v>
      </c>
    </row>
    <row r="36" spans="1:6" ht="15" customHeight="1" x14ac:dyDescent="0.25">
      <c r="A36" s="32"/>
      <c r="B36" s="27" t="s">
        <v>64</v>
      </c>
      <c r="C36" s="26"/>
      <c r="D36" s="26"/>
      <c r="E36" s="26"/>
      <c r="F36" s="26"/>
    </row>
    <row r="37" spans="1:6" ht="15" customHeight="1" x14ac:dyDescent="0.25">
      <c r="A37" s="27">
        <v>1100</v>
      </c>
      <c r="B37" s="27" t="s">
        <v>63</v>
      </c>
      <c r="C37" s="28">
        <v>4429</v>
      </c>
      <c r="D37" s="28">
        <v>0</v>
      </c>
      <c r="E37" s="28">
        <f t="shared" ref="E37:E55" si="0">ROUND(C37/2,2)</f>
        <v>2214.5</v>
      </c>
      <c r="F37" s="28">
        <v>213.43</v>
      </c>
    </row>
    <row r="38" spans="1:6" ht="15.75" customHeight="1" x14ac:dyDescent="0.25">
      <c r="A38" s="27">
        <v>1200</v>
      </c>
      <c r="B38" s="29" t="s">
        <v>62</v>
      </c>
      <c r="C38" s="28">
        <v>1044.8</v>
      </c>
      <c r="D38" s="28">
        <v>0</v>
      </c>
      <c r="E38" s="28">
        <f t="shared" si="0"/>
        <v>522.4</v>
      </c>
      <c r="F38" s="28">
        <v>51.42</v>
      </c>
    </row>
    <row r="39" spans="1:6" ht="15" customHeight="1" x14ac:dyDescent="0.35">
      <c r="A39" s="33">
        <v>2210</v>
      </c>
      <c r="B39" s="29" t="s">
        <v>27</v>
      </c>
      <c r="C39" s="28">
        <v>93.67</v>
      </c>
      <c r="D39" s="28">
        <v>0</v>
      </c>
      <c r="E39" s="28">
        <f t="shared" si="0"/>
        <v>46.84</v>
      </c>
      <c r="F39" s="93">
        <v>6.07</v>
      </c>
    </row>
    <row r="40" spans="1:6" ht="15" customHeight="1" x14ac:dyDescent="0.35">
      <c r="A40" s="27">
        <v>2230</v>
      </c>
      <c r="B40" s="29" t="s">
        <v>30</v>
      </c>
      <c r="C40" s="28">
        <v>72.349999999999994</v>
      </c>
      <c r="D40" s="28">
        <v>0</v>
      </c>
      <c r="E40" s="28">
        <f t="shared" si="0"/>
        <v>36.18</v>
      </c>
      <c r="F40" s="93">
        <v>4.93</v>
      </c>
    </row>
    <row r="41" spans="1:6" ht="15" customHeight="1" x14ac:dyDescent="0.35">
      <c r="A41" s="27">
        <v>2241</v>
      </c>
      <c r="B41" s="29" t="s">
        <v>7</v>
      </c>
      <c r="C41" s="28">
        <v>0.1</v>
      </c>
      <c r="D41" s="28">
        <v>0</v>
      </c>
      <c r="E41" s="28">
        <f t="shared" si="0"/>
        <v>0.05</v>
      </c>
      <c r="F41" s="93">
        <v>0.92</v>
      </c>
    </row>
    <row r="42" spans="1:6" ht="15" customHeight="1" x14ac:dyDescent="0.35">
      <c r="A42" s="27">
        <v>2242</v>
      </c>
      <c r="B42" s="29" t="s">
        <v>8</v>
      </c>
      <c r="C42" s="28">
        <v>21.56</v>
      </c>
      <c r="D42" s="28">
        <v>0</v>
      </c>
      <c r="E42" s="28">
        <f t="shared" si="0"/>
        <v>10.78</v>
      </c>
      <c r="F42" s="93">
        <v>0.35</v>
      </c>
    </row>
    <row r="43" spans="1:6" ht="15" customHeight="1" x14ac:dyDescent="0.35">
      <c r="A43" s="27">
        <v>2243</v>
      </c>
      <c r="B43" s="29" t="s">
        <v>9</v>
      </c>
      <c r="C43" s="28">
        <v>68.84</v>
      </c>
      <c r="D43" s="28">
        <v>0</v>
      </c>
      <c r="E43" s="28">
        <f t="shared" si="0"/>
        <v>34.42</v>
      </c>
      <c r="F43" s="93">
        <v>3.41</v>
      </c>
    </row>
    <row r="44" spans="1:6" ht="15" customHeight="1" x14ac:dyDescent="0.35">
      <c r="A44" s="27">
        <v>2244</v>
      </c>
      <c r="B44" s="29" t="s">
        <v>10</v>
      </c>
      <c r="C44" s="28"/>
      <c r="D44" s="28"/>
      <c r="E44" s="28"/>
      <c r="F44" s="93">
        <v>0.76</v>
      </c>
    </row>
    <row r="45" spans="1:6" ht="15.75" customHeight="1" x14ac:dyDescent="0.35">
      <c r="A45" s="27">
        <v>2247</v>
      </c>
      <c r="B45" s="25" t="s">
        <v>59</v>
      </c>
      <c r="C45" s="28">
        <v>5.71</v>
      </c>
      <c r="D45" s="28">
        <v>0</v>
      </c>
      <c r="E45" s="28">
        <f t="shared" si="0"/>
        <v>2.86</v>
      </c>
      <c r="F45" s="93">
        <v>1</v>
      </c>
    </row>
    <row r="46" spans="1:6" ht="15" customHeight="1" x14ac:dyDescent="0.35">
      <c r="A46" s="27">
        <v>2251</v>
      </c>
      <c r="B46" s="29" t="s">
        <v>60</v>
      </c>
      <c r="C46" s="28">
        <v>145.52000000000001</v>
      </c>
      <c r="D46" s="28">
        <v>0</v>
      </c>
      <c r="E46" s="28">
        <f t="shared" si="0"/>
        <v>72.760000000000005</v>
      </c>
      <c r="F46" s="93">
        <v>7.86</v>
      </c>
    </row>
    <row r="47" spans="1:6" ht="15" hidden="1" customHeight="1" x14ac:dyDescent="0.35">
      <c r="A47" s="27">
        <v>2259</v>
      </c>
      <c r="B47" s="29" t="s">
        <v>61</v>
      </c>
      <c r="C47" s="28">
        <v>0.48</v>
      </c>
      <c r="D47" s="28">
        <v>0</v>
      </c>
      <c r="E47" s="28">
        <f t="shared" si="0"/>
        <v>0.24</v>
      </c>
      <c r="F47" s="93"/>
    </row>
    <row r="48" spans="1:6" ht="15" customHeight="1" x14ac:dyDescent="0.35">
      <c r="A48" s="27">
        <v>2261</v>
      </c>
      <c r="B48" s="29" t="s">
        <v>11</v>
      </c>
      <c r="C48" s="28"/>
      <c r="D48" s="28"/>
      <c r="E48" s="28"/>
      <c r="F48" s="93">
        <v>2.5</v>
      </c>
    </row>
    <row r="49" spans="1:6" ht="15" customHeight="1" x14ac:dyDescent="0.35">
      <c r="A49" s="27">
        <v>2262</v>
      </c>
      <c r="B49" s="29" t="s">
        <v>12</v>
      </c>
      <c r="C49" s="28">
        <v>63.08</v>
      </c>
      <c r="D49" s="28">
        <v>0</v>
      </c>
      <c r="E49" s="28">
        <f t="shared" si="0"/>
        <v>31.54</v>
      </c>
      <c r="F49" s="93">
        <v>8.26</v>
      </c>
    </row>
    <row r="50" spans="1:6" ht="15" hidden="1" customHeight="1" x14ac:dyDescent="0.35">
      <c r="A50" s="27">
        <v>2264</v>
      </c>
      <c r="B50" s="29" t="s">
        <v>13</v>
      </c>
      <c r="C50" s="28">
        <v>1.18</v>
      </c>
      <c r="D50" s="28">
        <v>0</v>
      </c>
      <c r="E50" s="28">
        <f t="shared" si="0"/>
        <v>0.59</v>
      </c>
      <c r="F50" s="93"/>
    </row>
    <row r="51" spans="1:6" ht="15.75" customHeight="1" x14ac:dyDescent="0.35">
      <c r="A51" s="27">
        <v>2279</v>
      </c>
      <c r="B51" s="29" t="s">
        <v>14</v>
      </c>
      <c r="C51" s="28">
        <v>259.89</v>
      </c>
      <c r="D51" s="28">
        <v>0</v>
      </c>
      <c r="E51" s="28">
        <f t="shared" si="0"/>
        <v>129.94999999999999</v>
      </c>
      <c r="F51" s="93">
        <v>0.94</v>
      </c>
    </row>
    <row r="52" spans="1:6" ht="15.75" customHeight="1" x14ac:dyDescent="0.35">
      <c r="A52" s="27">
        <v>2311</v>
      </c>
      <c r="B52" s="29" t="s">
        <v>15</v>
      </c>
      <c r="C52" s="28">
        <v>24.47</v>
      </c>
      <c r="D52" s="28">
        <v>0</v>
      </c>
      <c r="E52" s="28">
        <f t="shared" si="0"/>
        <v>12.24</v>
      </c>
      <c r="F52" s="93">
        <v>14.82</v>
      </c>
    </row>
    <row r="53" spans="1:6" ht="15" customHeight="1" x14ac:dyDescent="0.35">
      <c r="A53" s="27">
        <v>2312</v>
      </c>
      <c r="B53" s="29" t="s">
        <v>16</v>
      </c>
      <c r="C53" s="28">
        <v>45.22</v>
      </c>
      <c r="D53" s="28">
        <v>0</v>
      </c>
      <c r="E53" s="28">
        <f t="shared" si="0"/>
        <v>22.61</v>
      </c>
      <c r="F53" s="93">
        <v>1.03</v>
      </c>
    </row>
    <row r="54" spans="1:6" ht="15" customHeight="1" x14ac:dyDescent="0.35">
      <c r="A54" s="27">
        <v>2322</v>
      </c>
      <c r="B54" s="29" t="s">
        <v>18</v>
      </c>
      <c r="C54" s="28">
        <v>170.03</v>
      </c>
      <c r="D54" s="28">
        <v>0</v>
      </c>
      <c r="E54" s="28">
        <f t="shared" si="0"/>
        <v>85.02</v>
      </c>
      <c r="F54" s="93">
        <v>10.88</v>
      </c>
    </row>
    <row r="55" spans="1:6" ht="15" customHeight="1" x14ac:dyDescent="0.35">
      <c r="A55" s="27">
        <v>2350</v>
      </c>
      <c r="B55" s="29" t="s">
        <v>19</v>
      </c>
      <c r="C55" s="28">
        <v>193.6</v>
      </c>
      <c r="D55" s="28">
        <v>0</v>
      </c>
      <c r="E55" s="28">
        <f t="shared" si="0"/>
        <v>96.8</v>
      </c>
      <c r="F55" s="93">
        <v>21.11</v>
      </c>
    </row>
    <row r="56" spans="1:6" ht="15" customHeight="1" x14ac:dyDescent="0.35">
      <c r="A56" s="27">
        <v>2361</v>
      </c>
      <c r="B56" s="29" t="s">
        <v>20</v>
      </c>
      <c r="C56" s="28"/>
      <c r="D56" s="28"/>
      <c r="E56" s="28"/>
      <c r="F56" s="93">
        <v>6.45</v>
      </c>
    </row>
    <row r="57" spans="1:6" ht="15" customHeight="1" x14ac:dyDescent="0.35">
      <c r="A57" s="27">
        <v>2370</v>
      </c>
      <c r="B57" s="29" t="s">
        <v>69</v>
      </c>
      <c r="C57" s="28"/>
      <c r="D57" s="28"/>
      <c r="E57" s="28"/>
      <c r="F57" s="93">
        <v>4.93</v>
      </c>
    </row>
    <row r="58" spans="1:6" ht="15" customHeight="1" x14ac:dyDescent="0.35">
      <c r="A58" s="27">
        <v>2400</v>
      </c>
      <c r="B58" s="29" t="s">
        <v>31</v>
      </c>
      <c r="C58" s="28"/>
      <c r="D58" s="28"/>
      <c r="E58" s="28"/>
      <c r="F58" s="93">
        <v>1.19</v>
      </c>
    </row>
    <row r="59" spans="1:6" ht="15" customHeight="1" x14ac:dyDescent="0.35">
      <c r="A59" s="27">
        <v>2515</v>
      </c>
      <c r="B59" s="29" t="s">
        <v>58</v>
      </c>
      <c r="C59" s="28"/>
      <c r="D59" s="28"/>
      <c r="E59" s="28"/>
      <c r="F59" s="93">
        <v>3.27</v>
      </c>
    </row>
    <row r="60" spans="1:6" ht="15" customHeight="1" x14ac:dyDescent="0.35">
      <c r="A60" s="27">
        <v>2519</v>
      </c>
      <c r="B60" s="29" t="s">
        <v>24</v>
      </c>
      <c r="C60" s="28"/>
      <c r="D60" s="28"/>
      <c r="E60" s="28"/>
      <c r="F60" s="93">
        <v>7.13</v>
      </c>
    </row>
    <row r="61" spans="1:6" ht="15" customHeight="1" x14ac:dyDescent="0.35">
      <c r="A61" s="27">
        <v>5232</v>
      </c>
      <c r="B61" s="29" t="s">
        <v>23</v>
      </c>
      <c r="C61" s="28"/>
      <c r="D61" s="28"/>
      <c r="E61" s="28"/>
      <c r="F61" s="93">
        <v>50.84</v>
      </c>
    </row>
    <row r="62" spans="1:6" ht="15" customHeight="1" x14ac:dyDescent="0.35">
      <c r="A62" s="27">
        <v>5240</v>
      </c>
      <c r="B62" s="29" t="s">
        <v>25</v>
      </c>
      <c r="C62" s="28"/>
      <c r="D62" s="28"/>
      <c r="E62" s="28"/>
      <c r="F62" s="93">
        <v>10.23</v>
      </c>
    </row>
    <row r="63" spans="1:6" ht="15" customHeight="1" x14ac:dyDescent="0.35">
      <c r="A63" s="27">
        <v>5250</v>
      </c>
      <c r="B63" s="29" t="s">
        <v>26</v>
      </c>
      <c r="C63" s="28"/>
      <c r="D63" s="28"/>
      <c r="E63" s="28"/>
      <c r="F63" s="93">
        <v>40.89</v>
      </c>
    </row>
    <row r="64" spans="1:6" ht="15" customHeight="1" x14ac:dyDescent="0.25">
      <c r="A64" s="32"/>
      <c r="B64" s="34" t="s">
        <v>66</v>
      </c>
      <c r="C64" s="31">
        <f>SUM(C37:C55)</f>
        <v>6639.5000000000027</v>
      </c>
      <c r="D64" s="31">
        <f>SUM(D37:D55)</f>
        <v>0</v>
      </c>
      <c r="E64" s="31">
        <f>SUM(E37:E55)</f>
        <v>3319.7800000000007</v>
      </c>
      <c r="F64" s="31">
        <f>SUM(F37:F63)</f>
        <v>474.62</v>
      </c>
    </row>
    <row r="65" spans="1:6" ht="15" customHeight="1" x14ac:dyDescent="0.25">
      <c r="A65" s="32"/>
      <c r="B65" s="34" t="s">
        <v>32</v>
      </c>
      <c r="C65" s="31" t="e">
        <f>#REF!+C28</f>
        <v>#REF!</v>
      </c>
      <c r="D65" s="31" t="e">
        <f>#REF!+D28</f>
        <v>#REF!</v>
      </c>
      <c r="E65" s="31" t="e">
        <f>#REF!+E28</f>
        <v>#REF!</v>
      </c>
      <c r="F65" s="31">
        <f>F35+F64</f>
        <v>2222.83</v>
      </c>
    </row>
    <row r="66" spans="1:6" x14ac:dyDescent="0.35">
      <c r="A66" s="35"/>
      <c r="B66" s="20"/>
    </row>
    <row r="67" spans="1:6" ht="15.75" customHeight="1" x14ac:dyDescent="0.25">
      <c r="A67" s="262" t="s">
        <v>45</v>
      </c>
      <c r="B67" s="262"/>
      <c r="C67" s="10">
        <v>148</v>
      </c>
      <c r="D67" s="21">
        <v>0</v>
      </c>
      <c r="E67" s="21">
        <v>74</v>
      </c>
      <c r="F67" s="107">
        <v>1</v>
      </c>
    </row>
    <row r="68" spans="1:6" ht="15.75" customHeight="1" x14ac:dyDescent="0.3">
      <c r="A68" s="262" t="s">
        <v>46</v>
      </c>
      <c r="B68" s="262"/>
      <c r="C68" s="36" t="e">
        <f>#REF!/C67</f>
        <v>#REF!</v>
      </c>
      <c r="D68" s="37">
        <v>0</v>
      </c>
      <c r="E68" s="37" t="e">
        <f>#REF!/E67</f>
        <v>#REF!</v>
      </c>
      <c r="F68" s="108">
        <f>F65/F67</f>
        <v>2222.83</v>
      </c>
    </row>
    <row r="69" spans="1:6" ht="15.75" customHeight="1" x14ac:dyDescent="0.3">
      <c r="A69" s="9"/>
      <c r="B69" s="9"/>
      <c r="C69" s="36"/>
      <c r="D69" s="36"/>
      <c r="E69" s="36"/>
      <c r="F69" s="36"/>
    </row>
    <row r="70" spans="1:6" s="2" customFormat="1" x14ac:dyDescent="0.35">
      <c r="A70" s="267" t="s">
        <v>37</v>
      </c>
      <c r="B70" s="268"/>
      <c r="C70" s="39"/>
      <c r="D70" s="39"/>
      <c r="E70" s="39"/>
      <c r="F70" s="39"/>
    </row>
    <row r="71" spans="1:6" s="2" customFormat="1" x14ac:dyDescent="0.35">
      <c r="A71" s="267" t="s">
        <v>54</v>
      </c>
      <c r="B71" s="268"/>
      <c r="C71" s="16"/>
      <c r="D71" s="40"/>
      <c r="E71" s="39"/>
      <c r="F71" s="39"/>
    </row>
    <row r="72" spans="1:6" s="2" customFormat="1" x14ac:dyDescent="0.35">
      <c r="A72" s="17"/>
      <c r="B72" s="17"/>
      <c r="C72" s="17"/>
      <c r="D72" s="17"/>
      <c r="E72" s="17"/>
      <c r="F72" s="17"/>
    </row>
    <row r="73" spans="1:6" s="2" customFormat="1" x14ac:dyDescent="0.35">
      <c r="A73" s="17" t="s">
        <v>38</v>
      </c>
      <c r="B73" s="17"/>
      <c r="C73" s="17"/>
      <c r="D73" s="17"/>
      <c r="E73" s="17"/>
      <c r="F73" s="65"/>
    </row>
    <row r="74" spans="1:6" s="2" customFormat="1" x14ac:dyDescent="0.35">
      <c r="A74" s="17"/>
      <c r="B74" s="17"/>
      <c r="C74" s="17"/>
      <c r="D74" s="17"/>
      <c r="E74" s="17"/>
      <c r="F74" s="17"/>
    </row>
    <row r="75" spans="1:6" s="2" customFormat="1" x14ac:dyDescent="0.35">
      <c r="A75" s="17" t="s">
        <v>47</v>
      </c>
      <c r="B75" s="18"/>
      <c r="C75" s="18"/>
      <c r="D75" s="18"/>
      <c r="E75" s="18"/>
      <c r="F75" s="18"/>
    </row>
    <row r="76" spans="1:6" s="2" customFormat="1" ht="13.9" customHeight="1" x14ac:dyDescent="0.35">
      <c r="A76" s="17"/>
      <c r="B76" s="96"/>
      <c r="C76" s="19"/>
      <c r="D76" s="19"/>
      <c r="E76" s="17"/>
      <c r="F76" s="17"/>
    </row>
    <row r="77" spans="1:6" s="2" customFormat="1" ht="13.9" customHeight="1" x14ac:dyDescent="0.35">
      <c r="A77" s="17"/>
      <c r="B77" s="19"/>
      <c r="C77" s="17"/>
      <c r="D77" s="17"/>
      <c r="E77" s="17"/>
      <c r="F77" s="17"/>
    </row>
    <row r="78" spans="1:6" s="1" customFormat="1" x14ac:dyDescent="0.35">
      <c r="A78" s="6"/>
      <c r="B78" s="6"/>
      <c r="C78" s="100"/>
      <c r="D78" s="6"/>
      <c r="E78" s="6"/>
      <c r="F78" s="6"/>
    </row>
  </sheetData>
  <mergeCells count="12">
    <mergeCell ref="B12:D12"/>
    <mergeCell ref="A67:B67"/>
    <mergeCell ref="A68:B68"/>
    <mergeCell ref="A70:B70"/>
    <mergeCell ref="A71:B71"/>
    <mergeCell ref="B1:F1"/>
    <mergeCell ref="B2:F2"/>
    <mergeCell ref="B3:F3"/>
    <mergeCell ref="A7:F7"/>
    <mergeCell ref="A9:B9"/>
    <mergeCell ref="A10:B10"/>
    <mergeCell ref="B11:F11"/>
  </mergeCells>
  <pageMargins left="0.7" right="0.7" top="0.75" bottom="0.75" header="0.3" footer="0.3"/>
  <pageSetup paperSize="9" scale="63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view="pageLayout" topLeftCell="A51" zoomScale="90" zoomScaleNormal="90" zoomScalePageLayoutView="90" workbookViewId="0">
      <selection activeCell="A75" sqref="A75:A79"/>
    </sheetView>
  </sheetViews>
  <sheetFormatPr defaultColWidth="9.1796875" defaultRowHeight="15.5" x14ac:dyDescent="0.35"/>
  <cols>
    <col min="1" max="1" width="12.7265625" style="6" customWidth="1"/>
    <col min="2" max="2" width="97.81640625" style="6" customWidth="1"/>
    <col min="3" max="3" width="12.7265625" style="6" hidden="1" customWidth="1"/>
    <col min="4" max="4" width="25.81640625" style="6" hidden="1" customWidth="1"/>
    <col min="5" max="5" width="20.54296875" style="6" hidden="1" customWidth="1"/>
    <col min="6" max="6" width="32.54296875" style="6" customWidth="1"/>
    <col min="7" max="16384" width="9.1796875" style="3"/>
  </cols>
  <sheetData>
    <row r="1" spans="1:6" ht="15.75" customHeight="1" x14ac:dyDescent="0.35">
      <c r="A1" s="12"/>
      <c r="B1" s="258" t="s">
        <v>35</v>
      </c>
      <c r="C1" s="258"/>
      <c r="D1" s="258"/>
      <c r="E1" s="258"/>
      <c r="F1" s="259"/>
    </row>
    <row r="2" spans="1:6" x14ac:dyDescent="0.35">
      <c r="A2" s="12"/>
      <c r="B2" s="260" t="s">
        <v>39</v>
      </c>
      <c r="C2" s="260"/>
      <c r="D2" s="260"/>
      <c r="E2" s="260"/>
      <c r="F2" s="261"/>
    </row>
    <row r="3" spans="1:6" x14ac:dyDescent="0.35">
      <c r="A3" s="12"/>
      <c r="B3" s="257" t="s">
        <v>135</v>
      </c>
      <c r="C3" s="264"/>
      <c r="D3" s="264"/>
      <c r="E3" s="264"/>
      <c r="F3" s="264"/>
    </row>
    <row r="4" spans="1:6" x14ac:dyDescent="0.35">
      <c r="A4" s="12"/>
      <c r="B4" s="11"/>
      <c r="C4" s="11"/>
      <c r="D4" s="11"/>
      <c r="E4" s="13"/>
      <c r="F4" s="96"/>
    </row>
    <row r="5" spans="1:6" x14ac:dyDescent="0.35">
      <c r="A5" s="12"/>
      <c r="B5" s="15"/>
      <c r="C5" s="15"/>
      <c r="D5" s="15"/>
      <c r="E5" s="12"/>
      <c r="F5" s="11" t="str">
        <f>'2.2.'!F5</f>
        <v>2019. gada  15.martā</v>
      </c>
    </row>
    <row r="6" spans="1:6" x14ac:dyDescent="0.35">
      <c r="A6" s="12"/>
      <c r="B6" s="11"/>
      <c r="C6" s="11"/>
      <c r="D6" s="11"/>
      <c r="E6" s="11"/>
      <c r="F6" s="11"/>
    </row>
    <row r="7" spans="1:6" ht="15" x14ac:dyDescent="0.3">
      <c r="A7" s="263" t="s">
        <v>5</v>
      </c>
      <c r="B7" s="263"/>
      <c r="C7" s="263"/>
      <c r="D7" s="263"/>
      <c r="E7" s="263"/>
      <c r="F7" s="263"/>
    </row>
    <row r="8" spans="1:6" x14ac:dyDescent="0.35">
      <c r="A8" s="97"/>
      <c r="B8" s="97"/>
      <c r="C8" s="97"/>
      <c r="D8" s="97"/>
      <c r="E8" s="97"/>
    </row>
    <row r="9" spans="1:6" ht="15.75" customHeight="1" x14ac:dyDescent="0.35">
      <c r="A9" s="262" t="s">
        <v>1</v>
      </c>
      <c r="B9" s="262"/>
      <c r="C9" s="9"/>
      <c r="D9" s="9"/>
      <c r="E9" s="9"/>
    </row>
    <row r="10" spans="1:6" ht="15.75" customHeight="1" x14ac:dyDescent="0.35">
      <c r="A10" s="262" t="s">
        <v>0</v>
      </c>
      <c r="B10" s="262"/>
      <c r="C10" s="9"/>
      <c r="D10" s="9"/>
      <c r="E10" s="9"/>
    </row>
    <row r="11" spans="1:6" ht="15" customHeight="1" x14ac:dyDescent="0.25">
      <c r="A11" s="9"/>
      <c r="B11" s="262" t="s">
        <v>127</v>
      </c>
      <c r="C11" s="262"/>
      <c r="D11" s="262"/>
      <c r="E11" s="262"/>
      <c r="F11" s="262"/>
    </row>
    <row r="12" spans="1:6" ht="15" customHeight="1" x14ac:dyDescent="0.35">
      <c r="A12" s="9"/>
      <c r="B12" s="262" t="s">
        <v>102</v>
      </c>
      <c r="C12" s="265"/>
      <c r="D12" s="265"/>
      <c r="E12" s="9"/>
      <c r="F12" s="14"/>
    </row>
    <row r="13" spans="1:6" ht="15.75" customHeight="1" x14ac:dyDescent="0.35">
      <c r="A13" s="9" t="s">
        <v>2</v>
      </c>
      <c r="B13" s="9" t="str">
        <f>'2.2.'!B13</f>
        <v>2019.gadā un turpmāk</v>
      </c>
      <c r="C13" s="9"/>
      <c r="D13" s="9"/>
      <c r="E13" s="9"/>
    </row>
    <row r="14" spans="1:6" ht="66.75" customHeight="1" x14ac:dyDescent="0.25">
      <c r="A14" s="54" t="s">
        <v>3</v>
      </c>
      <c r="B14" s="54" t="s">
        <v>4</v>
      </c>
      <c r="C14" s="54" t="s">
        <v>42</v>
      </c>
      <c r="D14" s="54" t="s">
        <v>52</v>
      </c>
      <c r="E14" s="54" t="s">
        <v>44</v>
      </c>
      <c r="F14" s="54" t="s">
        <v>53</v>
      </c>
    </row>
    <row r="15" spans="1:6" ht="15" x14ac:dyDescent="0.25">
      <c r="A15" s="22">
        <v>1</v>
      </c>
      <c r="B15" s="23">
        <v>2</v>
      </c>
      <c r="C15" s="23">
        <v>3</v>
      </c>
      <c r="D15" s="23">
        <v>3</v>
      </c>
      <c r="E15" s="23">
        <v>4</v>
      </c>
      <c r="F15" s="23">
        <v>3</v>
      </c>
    </row>
    <row r="16" spans="1:6" ht="15" customHeight="1" x14ac:dyDescent="0.25">
      <c r="A16" s="24"/>
      <c r="B16" s="25" t="s">
        <v>68</v>
      </c>
      <c r="C16" s="26"/>
      <c r="D16" s="26"/>
      <c r="E16" s="26"/>
      <c r="F16" s="26"/>
    </row>
    <row r="17" spans="1:6" ht="15" customHeight="1" x14ac:dyDescent="0.25">
      <c r="A17" s="27">
        <v>1100</v>
      </c>
      <c r="B17" s="27" t="s">
        <v>63</v>
      </c>
      <c r="C17" s="28">
        <v>5789.22</v>
      </c>
      <c r="D17" s="28">
        <v>0</v>
      </c>
      <c r="E17" s="28">
        <v>3074.97</v>
      </c>
      <c r="F17" s="28">
        <v>1184.9100000000001</v>
      </c>
    </row>
    <row r="18" spans="1:6" ht="15.75" customHeight="1" x14ac:dyDescent="0.25">
      <c r="A18" s="27">
        <v>1200</v>
      </c>
      <c r="B18" s="29" t="s">
        <v>62</v>
      </c>
      <c r="C18" s="28">
        <v>1365.67</v>
      </c>
      <c r="D18" s="28">
        <v>0</v>
      </c>
      <c r="E18" s="28">
        <v>725.39</v>
      </c>
      <c r="F18" s="28">
        <v>285.44</v>
      </c>
    </row>
    <row r="19" spans="1:6" hidden="1" x14ac:dyDescent="0.25">
      <c r="A19" s="27">
        <v>2210</v>
      </c>
      <c r="B19" s="29" t="s">
        <v>27</v>
      </c>
      <c r="C19" s="28"/>
      <c r="D19" s="28"/>
      <c r="E19" s="28"/>
      <c r="F19" s="28">
        <v>0</v>
      </c>
    </row>
    <row r="20" spans="1:6" ht="15" customHeight="1" x14ac:dyDescent="0.25">
      <c r="A20" s="27">
        <v>2222</v>
      </c>
      <c r="B20" s="29" t="s">
        <v>28</v>
      </c>
      <c r="C20" s="28">
        <v>516.82000000000005</v>
      </c>
      <c r="D20" s="28">
        <v>0</v>
      </c>
      <c r="E20" s="28">
        <f>ROUND(C20/2,2)</f>
        <v>258.41000000000003</v>
      </c>
      <c r="F20" s="28">
        <v>4.76</v>
      </c>
    </row>
    <row r="21" spans="1:6" ht="15" customHeight="1" x14ac:dyDescent="0.25">
      <c r="A21" s="27">
        <v>2223</v>
      </c>
      <c r="B21" s="29" t="s">
        <v>29</v>
      </c>
      <c r="C21" s="28">
        <v>175.44</v>
      </c>
      <c r="D21" s="28">
        <v>0</v>
      </c>
      <c r="E21" s="28">
        <f>ROUND(C21/2,2)</f>
        <v>87.72</v>
      </c>
      <c r="F21" s="28">
        <v>21.9</v>
      </c>
    </row>
    <row r="22" spans="1:6" ht="15" hidden="1" customHeight="1" x14ac:dyDescent="0.25">
      <c r="A22" s="27">
        <v>2243</v>
      </c>
      <c r="B22" s="29" t="s">
        <v>9</v>
      </c>
      <c r="C22" s="28">
        <v>125.47</v>
      </c>
      <c r="D22" s="28">
        <v>0</v>
      </c>
      <c r="E22" s="28">
        <f>ROUND(C22/2,2)</f>
        <v>62.74</v>
      </c>
      <c r="F22" s="28">
        <v>0</v>
      </c>
    </row>
    <row r="23" spans="1:6" ht="15" customHeight="1" x14ac:dyDescent="0.25">
      <c r="A23" s="27">
        <v>2244</v>
      </c>
      <c r="B23" s="29" t="s">
        <v>10</v>
      </c>
      <c r="C23" s="28"/>
      <c r="D23" s="28"/>
      <c r="E23" s="28"/>
      <c r="F23" s="28">
        <v>45.18</v>
      </c>
    </row>
    <row r="24" spans="1:6" ht="15" customHeight="1" x14ac:dyDescent="0.25">
      <c r="A24" s="27">
        <v>2251</v>
      </c>
      <c r="B24" s="29" t="s">
        <v>60</v>
      </c>
      <c r="C24" s="28"/>
      <c r="D24" s="28"/>
      <c r="E24" s="28"/>
      <c r="F24" s="28">
        <v>18.78</v>
      </c>
    </row>
    <row r="25" spans="1:6" ht="15" hidden="1" customHeight="1" x14ac:dyDescent="0.25">
      <c r="A25" s="27">
        <v>2264</v>
      </c>
      <c r="B25" s="29" t="s">
        <v>13</v>
      </c>
      <c r="C25" s="28"/>
      <c r="D25" s="28"/>
      <c r="E25" s="28"/>
      <c r="F25" s="28"/>
    </row>
    <row r="26" spans="1:6" ht="15" hidden="1" customHeight="1" x14ac:dyDescent="0.25">
      <c r="A26" s="27">
        <v>2279</v>
      </c>
      <c r="B26" s="29" t="s">
        <v>14</v>
      </c>
      <c r="C26" s="28"/>
      <c r="D26" s="28"/>
      <c r="E26" s="28"/>
      <c r="F26" s="28">
        <v>0</v>
      </c>
    </row>
    <row r="27" spans="1:6" ht="15" customHeight="1" x14ac:dyDescent="0.25">
      <c r="A27" s="27">
        <v>2311</v>
      </c>
      <c r="B27" s="29" t="s">
        <v>72</v>
      </c>
      <c r="C27" s="28"/>
      <c r="D27" s="28"/>
      <c r="E27" s="28"/>
      <c r="F27" s="28">
        <v>14.77</v>
      </c>
    </row>
    <row r="28" spans="1:6" ht="15" customHeight="1" x14ac:dyDescent="0.25">
      <c r="A28" s="27">
        <v>2312</v>
      </c>
      <c r="B28" s="29" t="s">
        <v>16</v>
      </c>
      <c r="C28" s="28"/>
      <c r="D28" s="28"/>
      <c r="E28" s="28"/>
      <c r="F28" s="28">
        <v>33.25</v>
      </c>
    </row>
    <row r="29" spans="1:6" ht="15" customHeight="1" x14ac:dyDescent="0.25">
      <c r="A29" s="27">
        <v>2321</v>
      </c>
      <c r="B29" s="29" t="s">
        <v>17</v>
      </c>
      <c r="C29" s="28">
        <v>241.21</v>
      </c>
      <c r="D29" s="28">
        <v>0</v>
      </c>
      <c r="E29" s="28">
        <f>ROUND(C29/2,2)</f>
        <v>120.61</v>
      </c>
      <c r="F29" s="28">
        <v>24.56</v>
      </c>
    </row>
    <row r="30" spans="1:6" ht="15" customHeight="1" x14ac:dyDescent="0.25">
      <c r="A30" s="27">
        <v>2350</v>
      </c>
      <c r="B30" s="29" t="s">
        <v>19</v>
      </c>
      <c r="C30" s="28">
        <v>35.270000000000003</v>
      </c>
      <c r="D30" s="28">
        <v>0</v>
      </c>
      <c r="E30" s="28">
        <f>ROUND(C30/2,2)</f>
        <v>17.64</v>
      </c>
      <c r="F30" s="28">
        <v>8.31</v>
      </c>
    </row>
    <row r="31" spans="1:6" ht="15" hidden="1" customHeight="1" x14ac:dyDescent="0.25">
      <c r="A31" s="27">
        <v>2361</v>
      </c>
      <c r="B31" s="29" t="s">
        <v>20</v>
      </c>
      <c r="C31" s="28"/>
      <c r="D31" s="28"/>
      <c r="E31" s="28"/>
      <c r="F31" s="28"/>
    </row>
    <row r="32" spans="1:6" x14ac:dyDescent="0.25">
      <c r="A32" s="27">
        <v>2370</v>
      </c>
      <c r="B32" s="29" t="s">
        <v>69</v>
      </c>
      <c r="C32" s="28"/>
      <c r="D32" s="28"/>
      <c r="E32" s="28"/>
      <c r="F32" s="28">
        <v>22.13</v>
      </c>
    </row>
    <row r="33" spans="1:6" ht="15.75" hidden="1" customHeight="1" x14ac:dyDescent="0.25">
      <c r="A33" s="55">
        <v>2513</v>
      </c>
      <c r="B33" s="29" t="s">
        <v>22</v>
      </c>
      <c r="C33" s="28"/>
      <c r="D33" s="28"/>
      <c r="E33" s="28"/>
      <c r="F33" s="28"/>
    </row>
    <row r="34" spans="1:6" ht="15" customHeight="1" x14ac:dyDescent="0.25">
      <c r="A34" s="27">
        <v>5230</v>
      </c>
      <c r="B34" s="29" t="s">
        <v>57</v>
      </c>
      <c r="C34" s="28">
        <v>1.8</v>
      </c>
      <c r="D34" s="28">
        <v>0</v>
      </c>
      <c r="E34" s="28">
        <f>ROUND(C34/2,2)</f>
        <v>0.9</v>
      </c>
      <c r="F34" s="28">
        <v>43.83</v>
      </c>
    </row>
    <row r="35" spans="1:6" ht="15" customHeight="1" x14ac:dyDescent="0.25">
      <c r="A35" s="27"/>
      <c r="B35" s="30" t="s">
        <v>65</v>
      </c>
      <c r="C35" s="31">
        <f>SUM(C17:C34)</f>
        <v>8250.9</v>
      </c>
      <c r="D35" s="31">
        <f>SUM(D17:D34)</f>
        <v>0</v>
      </c>
      <c r="E35" s="31">
        <f>SUM(E17:E34)</f>
        <v>4348.3799999999992</v>
      </c>
      <c r="F35" s="31">
        <f>SUM(F17:F34)</f>
        <v>1707.8200000000002</v>
      </c>
    </row>
    <row r="36" spans="1:6" ht="15" customHeight="1" x14ac:dyDescent="0.25">
      <c r="A36" s="32"/>
      <c r="B36" s="27" t="s">
        <v>64</v>
      </c>
      <c r="C36" s="26"/>
      <c r="D36" s="26"/>
      <c r="E36" s="26"/>
      <c r="F36" s="26"/>
    </row>
    <row r="37" spans="1:6" ht="15" customHeight="1" x14ac:dyDescent="0.25">
      <c r="A37" s="27">
        <v>1100</v>
      </c>
      <c r="B37" s="27" t="s">
        <v>63</v>
      </c>
      <c r="C37" s="28">
        <v>4429</v>
      </c>
      <c r="D37" s="28">
        <v>0</v>
      </c>
      <c r="E37" s="28">
        <f t="shared" ref="E37:E55" si="0">ROUND(C37/2,2)</f>
        <v>2214.5</v>
      </c>
      <c r="F37" s="28">
        <v>246.45</v>
      </c>
    </row>
    <row r="38" spans="1:6" ht="15.75" customHeight="1" x14ac:dyDescent="0.25">
      <c r="A38" s="27">
        <v>1200</v>
      </c>
      <c r="B38" s="29" t="s">
        <v>62</v>
      </c>
      <c r="C38" s="28">
        <v>1044.8</v>
      </c>
      <c r="D38" s="28">
        <v>0</v>
      </c>
      <c r="E38" s="28">
        <f t="shared" si="0"/>
        <v>522.4</v>
      </c>
      <c r="F38" s="28">
        <v>59.37</v>
      </c>
    </row>
    <row r="39" spans="1:6" ht="15" customHeight="1" x14ac:dyDescent="0.25">
      <c r="A39" s="33">
        <v>2210</v>
      </c>
      <c r="B39" s="29" t="s">
        <v>27</v>
      </c>
      <c r="C39" s="28">
        <v>93.67</v>
      </c>
      <c r="D39" s="28">
        <v>0</v>
      </c>
      <c r="E39" s="28">
        <f t="shared" si="0"/>
        <v>46.84</v>
      </c>
      <c r="F39" s="28">
        <v>7.18</v>
      </c>
    </row>
    <row r="40" spans="1:6" ht="15" customHeight="1" x14ac:dyDescent="0.25">
      <c r="A40" s="27">
        <v>2230</v>
      </c>
      <c r="B40" s="29" t="s">
        <v>30</v>
      </c>
      <c r="C40" s="28">
        <v>72.349999999999994</v>
      </c>
      <c r="D40" s="28">
        <v>0</v>
      </c>
      <c r="E40" s="28">
        <f t="shared" si="0"/>
        <v>36.18</v>
      </c>
      <c r="F40" s="28">
        <v>5.83</v>
      </c>
    </row>
    <row r="41" spans="1:6" ht="15" customHeight="1" x14ac:dyDescent="0.25">
      <c r="A41" s="27">
        <v>2241</v>
      </c>
      <c r="B41" s="29" t="s">
        <v>7</v>
      </c>
      <c r="C41" s="28">
        <v>0.1</v>
      </c>
      <c r="D41" s="28">
        <v>0</v>
      </c>
      <c r="E41" s="28">
        <f t="shared" si="0"/>
        <v>0.05</v>
      </c>
      <c r="F41" s="28">
        <v>1.08</v>
      </c>
    </row>
    <row r="42" spans="1:6" ht="15" customHeight="1" x14ac:dyDescent="0.25">
      <c r="A42" s="27">
        <v>2242</v>
      </c>
      <c r="B42" s="29" t="s">
        <v>8</v>
      </c>
      <c r="C42" s="28">
        <v>21.56</v>
      </c>
      <c r="D42" s="28">
        <v>0</v>
      </c>
      <c r="E42" s="28">
        <f t="shared" si="0"/>
        <v>10.78</v>
      </c>
      <c r="F42" s="28">
        <v>0.41</v>
      </c>
    </row>
    <row r="43" spans="1:6" ht="15" customHeight="1" x14ac:dyDescent="0.25">
      <c r="A43" s="27">
        <v>2243</v>
      </c>
      <c r="B43" s="29" t="s">
        <v>9</v>
      </c>
      <c r="C43" s="28">
        <v>68.84</v>
      </c>
      <c r="D43" s="28">
        <v>0</v>
      </c>
      <c r="E43" s="28">
        <f t="shared" si="0"/>
        <v>34.42</v>
      </c>
      <c r="F43" s="28">
        <v>4.03</v>
      </c>
    </row>
    <row r="44" spans="1:6" ht="15" customHeight="1" x14ac:dyDescent="0.25">
      <c r="A44" s="27">
        <v>2244</v>
      </c>
      <c r="B44" s="29" t="s">
        <v>10</v>
      </c>
      <c r="C44" s="28"/>
      <c r="D44" s="28"/>
      <c r="E44" s="28"/>
      <c r="F44" s="28">
        <v>0.89</v>
      </c>
    </row>
    <row r="45" spans="1:6" ht="15.75" customHeight="1" x14ac:dyDescent="0.25">
      <c r="A45" s="27">
        <v>2247</v>
      </c>
      <c r="B45" s="25" t="s">
        <v>59</v>
      </c>
      <c r="C45" s="28">
        <v>5.71</v>
      </c>
      <c r="D45" s="28">
        <v>0</v>
      </c>
      <c r="E45" s="28">
        <f t="shared" si="0"/>
        <v>2.86</v>
      </c>
      <c r="F45" s="28">
        <v>1.18</v>
      </c>
    </row>
    <row r="46" spans="1:6" ht="15" customHeight="1" x14ac:dyDescent="0.25">
      <c r="A46" s="27">
        <v>2251</v>
      </c>
      <c r="B46" s="29" t="s">
        <v>60</v>
      </c>
      <c r="C46" s="28">
        <v>145.52000000000001</v>
      </c>
      <c r="D46" s="28">
        <v>0</v>
      </c>
      <c r="E46" s="28">
        <f t="shared" si="0"/>
        <v>72.760000000000005</v>
      </c>
      <c r="F46" s="28">
        <v>9.2799999999999994</v>
      </c>
    </row>
    <row r="47" spans="1:6" ht="15" customHeight="1" x14ac:dyDescent="0.25">
      <c r="A47" s="27">
        <v>2259</v>
      </c>
      <c r="B47" s="29" t="s">
        <v>61</v>
      </c>
      <c r="C47" s="28">
        <v>0.48</v>
      </c>
      <c r="D47" s="28">
        <v>0</v>
      </c>
      <c r="E47" s="28">
        <f t="shared" si="0"/>
        <v>0.24</v>
      </c>
      <c r="F47" s="28">
        <v>7.0000000000000007E-2</v>
      </c>
    </row>
    <row r="48" spans="1:6" ht="15" customHeight="1" x14ac:dyDescent="0.25">
      <c r="A48" s="27">
        <v>2261</v>
      </c>
      <c r="B48" s="29" t="s">
        <v>11</v>
      </c>
      <c r="C48" s="28"/>
      <c r="D48" s="28"/>
      <c r="E48" s="28"/>
      <c r="F48" s="28">
        <v>2.96</v>
      </c>
    </row>
    <row r="49" spans="1:6" ht="15" customHeight="1" x14ac:dyDescent="0.25">
      <c r="A49" s="27">
        <v>2262</v>
      </c>
      <c r="B49" s="29" t="s">
        <v>12</v>
      </c>
      <c r="C49" s="28">
        <v>63.08</v>
      </c>
      <c r="D49" s="28">
        <v>0</v>
      </c>
      <c r="E49" s="28">
        <f t="shared" si="0"/>
        <v>31.54</v>
      </c>
      <c r="F49" s="28">
        <v>9.76</v>
      </c>
    </row>
    <row r="50" spans="1:6" ht="15" hidden="1" customHeight="1" x14ac:dyDescent="0.25">
      <c r="A50" s="27">
        <v>2264</v>
      </c>
      <c r="B50" s="29" t="s">
        <v>13</v>
      </c>
      <c r="C50" s="28">
        <v>1.18</v>
      </c>
      <c r="D50" s="28">
        <v>0</v>
      </c>
      <c r="E50" s="28">
        <f t="shared" si="0"/>
        <v>0.59</v>
      </c>
      <c r="F50" s="28">
        <v>0</v>
      </c>
    </row>
    <row r="51" spans="1:6" ht="15.75" customHeight="1" x14ac:dyDescent="0.25">
      <c r="A51" s="27">
        <v>2279</v>
      </c>
      <c r="B51" s="29" t="s">
        <v>14</v>
      </c>
      <c r="C51" s="28">
        <v>259.89</v>
      </c>
      <c r="D51" s="28">
        <v>0</v>
      </c>
      <c r="E51" s="28">
        <f t="shared" si="0"/>
        <v>129.94999999999999</v>
      </c>
      <c r="F51" s="28">
        <v>1.1100000000000001</v>
      </c>
    </row>
    <row r="52" spans="1:6" ht="15.75" customHeight="1" x14ac:dyDescent="0.25">
      <c r="A52" s="27">
        <v>2311</v>
      </c>
      <c r="B52" s="29" t="s">
        <v>15</v>
      </c>
      <c r="C52" s="28">
        <v>24.47</v>
      </c>
      <c r="D52" s="28">
        <v>0</v>
      </c>
      <c r="E52" s="28">
        <f t="shared" si="0"/>
        <v>12.24</v>
      </c>
      <c r="F52" s="28">
        <v>17.510000000000002</v>
      </c>
    </row>
    <row r="53" spans="1:6" ht="15" customHeight="1" x14ac:dyDescent="0.25">
      <c r="A53" s="27">
        <v>2312</v>
      </c>
      <c r="B53" s="29" t="s">
        <v>16</v>
      </c>
      <c r="C53" s="28">
        <v>45.22</v>
      </c>
      <c r="D53" s="28">
        <v>0</v>
      </c>
      <c r="E53" s="28">
        <f t="shared" si="0"/>
        <v>22.61</v>
      </c>
      <c r="F53" s="28">
        <v>1.22</v>
      </c>
    </row>
    <row r="54" spans="1:6" ht="15" customHeight="1" x14ac:dyDescent="0.25">
      <c r="A54" s="27">
        <v>2322</v>
      </c>
      <c r="B54" s="29" t="s">
        <v>18</v>
      </c>
      <c r="C54" s="28">
        <v>170.03</v>
      </c>
      <c r="D54" s="28">
        <v>0</v>
      </c>
      <c r="E54" s="28">
        <f t="shared" si="0"/>
        <v>85.02</v>
      </c>
      <c r="F54" s="28">
        <v>12.86</v>
      </c>
    </row>
    <row r="55" spans="1:6" ht="15" customHeight="1" x14ac:dyDescent="0.25">
      <c r="A55" s="27">
        <v>2350</v>
      </c>
      <c r="B55" s="29" t="s">
        <v>19</v>
      </c>
      <c r="C55" s="28">
        <v>193.6</v>
      </c>
      <c r="D55" s="28">
        <v>0</v>
      </c>
      <c r="E55" s="28">
        <f t="shared" si="0"/>
        <v>96.8</v>
      </c>
      <c r="F55" s="28">
        <v>24.95</v>
      </c>
    </row>
    <row r="56" spans="1:6" ht="15" customHeight="1" x14ac:dyDescent="0.25">
      <c r="A56" s="27">
        <v>2361</v>
      </c>
      <c r="B56" s="29" t="s">
        <v>20</v>
      </c>
      <c r="C56" s="28"/>
      <c r="D56" s="28"/>
      <c r="E56" s="28"/>
      <c r="F56" s="28">
        <v>7.62</v>
      </c>
    </row>
    <row r="57" spans="1:6" ht="15" customHeight="1" x14ac:dyDescent="0.25">
      <c r="A57" s="27">
        <v>2370</v>
      </c>
      <c r="B57" s="29" t="s">
        <v>69</v>
      </c>
      <c r="C57" s="28"/>
      <c r="D57" s="28"/>
      <c r="E57" s="28"/>
      <c r="F57" s="28">
        <v>5.83</v>
      </c>
    </row>
    <row r="58" spans="1:6" ht="15" customHeight="1" x14ac:dyDescent="0.25">
      <c r="A58" s="27">
        <v>2400</v>
      </c>
      <c r="B58" s="29" t="s">
        <v>31</v>
      </c>
      <c r="C58" s="28"/>
      <c r="D58" s="28"/>
      <c r="E58" s="28"/>
      <c r="F58" s="28">
        <v>1.41</v>
      </c>
    </row>
    <row r="59" spans="1:6" ht="15" customHeight="1" x14ac:dyDescent="0.25">
      <c r="A59" s="27">
        <v>2515</v>
      </c>
      <c r="B59" s="29" t="s">
        <v>58</v>
      </c>
      <c r="C59" s="28"/>
      <c r="D59" s="28"/>
      <c r="E59" s="28"/>
      <c r="F59" s="28">
        <v>3.81</v>
      </c>
    </row>
    <row r="60" spans="1:6" ht="15" customHeight="1" x14ac:dyDescent="0.25">
      <c r="A60" s="27">
        <v>2519</v>
      </c>
      <c r="B60" s="29" t="s">
        <v>24</v>
      </c>
      <c r="C60" s="28"/>
      <c r="D60" s="28"/>
      <c r="E60" s="28"/>
      <c r="F60" s="28">
        <v>8.42</v>
      </c>
    </row>
    <row r="61" spans="1:6" ht="15" customHeight="1" x14ac:dyDescent="0.25">
      <c r="A61" s="27">
        <v>5232</v>
      </c>
      <c r="B61" s="29" t="s">
        <v>23</v>
      </c>
      <c r="C61" s="28"/>
      <c r="D61" s="28"/>
      <c r="E61" s="28"/>
      <c r="F61" s="28">
        <v>60.08</v>
      </c>
    </row>
    <row r="62" spans="1:6" ht="15" customHeight="1" x14ac:dyDescent="0.25">
      <c r="A62" s="27">
        <v>5240</v>
      </c>
      <c r="B62" s="29" t="s">
        <v>25</v>
      </c>
      <c r="C62" s="28"/>
      <c r="D62" s="28"/>
      <c r="E62" s="28"/>
      <c r="F62" s="28">
        <v>12.09</v>
      </c>
    </row>
    <row r="63" spans="1:6" ht="15" customHeight="1" x14ac:dyDescent="0.25">
      <c r="A63" s="27">
        <v>5250</v>
      </c>
      <c r="B63" s="29" t="s">
        <v>26</v>
      </c>
      <c r="C63" s="28"/>
      <c r="D63" s="28"/>
      <c r="E63" s="28"/>
      <c r="F63" s="28">
        <v>48.32</v>
      </c>
    </row>
    <row r="64" spans="1:6" ht="15" customHeight="1" x14ac:dyDescent="0.25">
      <c r="A64" s="32"/>
      <c r="B64" s="34" t="s">
        <v>66</v>
      </c>
      <c r="C64" s="31">
        <f>SUM(C37:C55)</f>
        <v>6639.5000000000027</v>
      </c>
      <c r="D64" s="31">
        <f>SUM(D37:D55)</f>
        <v>0</v>
      </c>
      <c r="E64" s="31">
        <f>SUM(E37:E55)</f>
        <v>3319.7800000000007</v>
      </c>
      <c r="F64" s="31">
        <f>SUM(F37:F63)</f>
        <v>553.71999999999991</v>
      </c>
    </row>
    <row r="65" spans="1:6" ht="15" customHeight="1" x14ac:dyDescent="0.25">
      <c r="A65" s="32"/>
      <c r="B65" s="34" t="s">
        <v>32</v>
      </c>
      <c r="C65" s="31" t="e">
        <f>#REF!+C28</f>
        <v>#REF!</v>
      </c>
      <c r="D65" s="31" t="e">
        <f>#REF!+D28</f>
        <v>#REF!</v>
      </c>
      <c r="E65" s="31" t="e">
        <f>#REF!+E28</f>
        <v>#REF!</v>
      </c>
      <c r="F65" s="31">
        <f>F35+F64</f>
        <v>2261.54</v>
      </c>
    </row>
    <row r="66" spans="1:6" x14ac:dyDescent="0.35">
      <c r="A66" s="35"/>
      <c r="B66" s="20"/>
    </row>
    <row r="67" spans="1:6" ht="15.75" customHeight="1" x14ac:dyDescent="0.25">
      <c r="A67" s="262" t="s">
        <v>45</v>
      </c>
      <c r="B67" s="262"/>
      <c r="C67" s="10">
        <v>148</v>
      </c>
      <c r="D67" s="21">
        <v>0</v>
      </c>
      <c r="E67" s="21">
        <v>74</v>
      </c>
      <c r="F67" s="107">
        <v>1</v>
      </c>
    </row>
    <row r="68" spans="1:6" ht="15.75" customHeight="1" x14ac:dyDescent="0.3">
      <c r="A68" s="262" t="s">
        <v>46</v>
      </c>
      <c r="B68" s="262"/>
      <c r="C68" s="36" t="e">
        <f>#REF!/C67</f>
        <v>#REF!</v>
      </c>
      <c r="D68" s="37">
        <v>0</v>
      </c>
      <c r="E68" s="37" t="e">
        <f>#REF!/E67</f>
        <v>#REF!</v>
      </c>
      <c r="F68" s="108">
        <f>F65/F67</f>
        <v>2261.54</v>
      </c>
    </row>
    <row r="69" spans="1:6" ht="15.75" customHeight="1" x14ac:dyDescent="0.3">
      <c r="A69" s="9"/>
      <c r="B69" s="9"/>
      <c r="C69" s="36"/>
      <c r="D69" s="36"/>
      <c r="E69" s="36"/>
      <c r="F69" s="36"/>
    </row>
    <row r="70" spans="1:6" s="2" customFormat="1" x14ac:dyDescent="0.35">
      <c r="A70" s="267" t="s">
        <v>37</v>
      </c>
      <c r="B70" s="268"/>
      <c r="C70" s="39"/>
      <c r="D70" s="39"/>
      <c r="E70" s="39"/>
      <c r="F70" s="39"/>
    </row>
    <row r="71" spans="1:6" s="2" customFormat="1" x14ac:dyDescent="0.35">
      <c r="A71" s="267" t="s">
        <v>54</v>
      </c>
      <c r="B71" s="268"/>
      <c r="C71" s="16"/>
      <c r="D71" s="40"/>
      <c r="E71" s="39"/>
      <c r="F71" s="39"/>
    </row>
    <row r="72" spans="1:6" s="2" customFormat="1" x14ac:dyDescent="0.35">
      <c r="A72" s="17"/>
      <c r="B72" s="17"/>
      <c r="C72" s="17"/>
      <c r="D72" s="17"/>
      <c r="E72" s="17"/>
      <c r="F72" s="17"/>
    </row>
    <row r="73" spans="1:6" s="2" customFormat="1" x14ac:dyDescent="0.35">
      <c r="A73" s="17" t="s">
        <v>38</v>
      </c>
      <c r="B73" s="17"/>
      <c r="C73" s="17"/>
      <c r="D73" s="17"/>
      <c r="E73" s="17"/>
      <c r="F73" s="65"/>
    </row>
    <row r="74" spans="1:6" s="2" customFormat="1" x14ac:dyDescent="0.35">
      <c r="A74" s="17"/>
      <c r="B74" s="17"/>
      <c r="C74" s="17"/>
      <c r="D74" s="17"/>
      <c r="E74" s="17"/>
      <c r="F74" s="17"/>
    </row>
    <row r="75" spans="1:6" s="2" customFormat="1" x14ac:dyDescent="0.35">
      <c r="A75" s="17" t="s">
        <v>47</v>
      </c>
      <c r="B75" s="18"/>
      <c r="C75" s="18"/>
      <c r="D75" s="18"/>
      <c r="E75" s="18"/>
      <c r="F75" s="18"/>
    </row>
    <row r="76" spans="1:6" s="2" customFormat="1" ht="13.9" customHeight="1" x14ac:dyDescent="0.35">
      <c r="A76" s="17"/>
      <c r="B76" s="96"/>
      <c r="C76" s="19"/>
      <c r="D76" s="19"/>
      <c r="E76" s="17"/>
      <c r="F76" s="17"/>
    </row>
    <row r="77" spans="1:6" s="2" customFormat="1" ht="13.9" customHeight="1" x14ac:dyDescent="0.35">
      <c r="A77" s="17"/>
      <c r="B77" s="19"/>
      <c r="C77" s="17"/>
      <c r="D77" s="17"/>
      <c r="E77" s="17"/>
      <c r="F77" s="17"/>
    </row>
    <row r="78" spans="1:6" s="1" customFormat="1" x14ac:dyDescent="0.35">
      <c r="A78" s="6"/>
      <c r="B78" s="6"/>
      <c r="C78" s="100"/>
      <c r="D78" s="6"/>
      <c r="E78" s="6"/>
      <c r="F78" s="6"/>
    </row>
  </sheetData>
  <mergeCells count="12">
    <mergeCell ref="A67:B67"/>
    <mergeCell ref="A68:B68"/>
    <mergeCell ref="A70:B70"/>
    <mergeCell ref="A71:B71"/>
    <mergeCell ref="B12:D12"/>
    <mergeCell ref="B3:F3"/>
    <mergeCell ref="B1:F1"/>
    <mergeCell ref="B2:F2"/>
    <mergeCell ref="A9:B9"/>
    <mergeCell ref="A10:B10"/>
    <mergeCell ref="A7:F7"/>
    <mergeCell ref="B11:F11"/>
  </mergeCells>
  <pageMargins left="0.70866141732283472" right="0.70866141732283472" top="0.74803149606299213" bottom="0.74803149606299213" header="0.31496062992125984" footer="0.31496062992125984"/>
  <pageSetup paperSize="9" scale="62" firstPageNumber="6" fitToHeight="0" orientation="portrait" useFirstPageNumber="1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view="pageLayout" topLeftCell="A45" zoomScale="90" zoomScaleNormal="90" zoomScalePageLayoutView="90" workbookViewId="0">
      <selection activeCell="B76" sqref="B76"/>
    </sheetView>
  </sheetViews>
  <sheetFormatPr defaultColWidth="9.1796875" defaultRowHeight="15.5" x14ac:dyDescent="0.35"/>
  <cols>
    <col min="1" max="1" width="12.26953125" style="6" customWidth="1"/>
    <col min="2" max="2" width="97.81640625" style="6" customWidth="1"/>
    <col min="3" max="3" width="12.81640625" style="6" hidden="1" customWidth="1"/>
    <col min="4" max="4" width="25.81640625" style="6" hidden="1" customWidth="1"/>
    <col min="5" max="5" width="23.26953125" style="6" hidden="1" customWidth="1"/>
    <col min="6" max="6" width="33.1796875" style="6" customWidth="1"/>
    <col min="7" max="16384" width="9.1796875" style="3"/>
  </cols>
  <sheetData>
    <row r="1" spans="1:6" ht="15.75" customHeight="1" x14ac:dyDescent="0.35">
      <c r="A1" s="12"/>
      <c r="B1" s="258" t="s">
        <v>35</v>
      </c>
      <c r="C1" s="258"/>
      <c r="D1" s="258"/>
      <c r="E1" s="258"/>
      <c r="F1" s="259"/>
    </row>
    <row r="2" spans="1:6" x14ac:dyDescent="0.35">
      <c r="A2" s="12"/>
      <c r="B2" s="260" t="s">
        <v>39</v>
      </c>
      <c r="C2" s="260"/>
      <c r="D2" s="260"/>
      <c r="E2" s="260"/>
      <c r="F2" s="261"/>
    </row>
    <row r="3" spans="1:6" x14ac:dyDescent="0.35">
      <c r="A3" s="12"/>
      <c r="B3" s="257" t="s">
        <v>135</v>
      </c>
      <c r="C3" s="264"/>
      <c r="D3" s="264"/>
      <c r="E3" s="264"/>
      <c r="F3" s="264"/>
    </row>
    <row r="4" spans="1:6" x14ac:dyDescent="0.35">
      <c r="A4" s="12"/>
      <c r="B4" s="11"/>
      <c r="C4" s="11"/>
      <c r="D4" s="11"/>
      <c r="E4" s="13"/>
      <c r="F4" s="96"/>
    </row>
    <row r="5" spans="1:6" x14ac:dyDescent="0.35">
      <c r="A5" s="12"/>
      <c r="B5" s="15"/>
      <c r="C5" s="15"/>
      <c r="D5" s="15"/>
      <c r="E5" s="12"/>
      <c r="F5" s="11" t="str">
        <f>'2.3.'!F5</f>
        <v>2019. gada  15.martā</v>
      </c>
    </row>
    <row r="6" spans="1:6" x14ac:dyDescent="0.35">
      <c r="A6" s="12"/>
      <c r="B6" s="11"/>
      <c r="C6" s="11"/>
      <c r="D6" s="11"/>
      <c r="E6" s="11"/>
      <c r="F6" s="11"/>
    </row>
    <row r="7" spans="1:6" ht="15" x14ac:dyDescent="0.3">
      <c r="A7" s="263" t="s">
        <v>5</v>
      </c>
      <c r="B7" s="263"/>
      <c r="C7" s="263"/>
      <c r="D7" s="263"/>
      <c r="E7" s="263"/>
      <c r="F7" s="263"/>
    </row>
    <row r="8" spans="1:6" x14ac:dyDescent="0.35">
      <c r="A8" s="97"/>
      <c r="B8" s="97"/>
      <c r="C8" s="97"/>
      <c r="D8" s="97"/>
      <c r="E8" s="97"/>
    </row>
    <row r="9" spans="1:6" ht="15" customHeight="1" x14ac:dyDescent="0.35">
      <c r="A9" s="262" t="s">
        <v>1</v>
      </c>
      <c r="B9" s="262"/>
      <c r="C9" s="9"/>
      <c r="D9" s="9"/>
      <c r="E9" s="9"/>
    </row>
    <row r="10" spans="1:6" ht="15" customHeight="1" x14ac:dyDescent="0.35">
      <c r="A10" s="262" t="s">
        <v>0</v>
      </c>
      <c r="B10" s="262"/>
      <c r="C10" s="9"/>
      <c r="D10" s="9"/>
      <c r="E10" s="9"/>
    </row>
    <row r="11" spans="1:6" ht="15" customHeight="1" x14ac:dyDescent="0.25">
      <c r="A11" s="9"/>
      <c r="B11" s="262" t="s">
        <v>127</v>
      </c>
      <c r="C11" s="262"/>
      <c r="D11" s="262"/>
      <c r="E11" s="262"/>
      <c r="F11" s="262"/>
    </row>
    <row r="12" spans="1:6" ht="15" customHeight="1" x14ac:dyDescent="0.35">
      <c r="A12" s="9"/>
      <c r="B12" s="262" t="s">
        <v>103</v>
      </c>
      <c r="C12" s="265"/>
      <c r="D12" s="265"/>
      <c r="E12" s="9"/>
      <c r="F12" s="14"/>
    </row>
    <row r="13" spans="1:6" ht="15" customHeight="1" x14ac:dyDescent="0.35">
      <c r="A13" s="9" t="s">
        <v>2</v>
      </c>
      <c r="B13" s="9" t="str">
        <f>'2.3.'!B13</f>
        <v>2019.gadā un turpmāk</v>
      </c>
      <c r="C13" s="9"/>
      <c r="D13" s="9"/>
      <c r="E13" s="9"/>
    </row>
    <row r="14" spans="1:6" ht="67.5" customHeight="1" x14ac:dyDescent="0.25">
      <c r="A14" s="54" t="s">
        <v>3</v>
      </c>
      <c r="B14" s="54" t="s">
        <v>4</v>
      </c>
      <c r="C14" s="54" t="s">
        <v>42</v>
      </c>
      <c r="D14" s="54" t="s">
        <v>52</v>
      </c>
      <c r="E14" s="54" t="s">
        <v>44</v>
      </c>
      <c r="F14" s="54" t="s">
        <v>53</v>
      </c>
    </row>
    <row r="15" spans="1:6" ht="15" x14ac:dyDescent="0.25">
      <c r="A15" s="22">
        <v>1</v>
      </c>
      <c r="B15" s="23">
        <v>2</v>
      </c>
      <c r="C15" s="23">
        <v>3</v>
      </c>
      <c r="D15" s="23">
        <v>3</v>
      </c>
      <c r="E15" s="23">
        <v>4</v>
      </c>
      <c r="F15" s="23">
        <v>3</v>
      </c>
    </row>
    <row r="16" spans="1:6" ht="15" customHeight="1" x14ac:dyDescent="0.25">
      <c r="A16" s="24"/>
      <c r="B16" s="25" t="s">
        <v>68</v>
      </c>
      <c r="C16" s="26"/>
      <c r="D16" s="26"/>
      <c r="E16" s="26"/>
      <c r="F16" s="26"/>
    </row>
    <row r="17" spans="1:6" x14ac:dyDescent="0.25">
      <c r="A17" s="27">
        <v>1100</v>
      </c>
      <c r="B17" s="27" t="s">
        <v>63</v>
      </c>
      <c r="C17" s="28">
        <v>5789.22</v>
      </c>
      <c r="D17" s="28">
        <v>0</v>
      </c>
      <c r="E17" s="28">
        <v>3074.97</v>
      </c>
      <c r="F17" s="28">
        <v>1180.07</v>
      </c>
    </row>
    <row r="18" spans="1:6" ht="15.75" customHeight="1" x14ac:dyDescent="0.25">
      <c r="A18" s="27">
        <v>1200</v>
      </c>
      <c r="B18" s="29" t="s">
        <v>62</v>
      </c>
      <c r="C18" s="28">
        <v>1365.67</v>
      </c>
      <c r="D18" s="28">
        <v>0</v>
      </c>
      <c r="E18" s="28">
        <v>725.39</v>
      </c>
      <c r="F18" s="28">
        <v>284.27999999999997</v>
      </c>
    </row>
    <row r="19" spans="1:6" ht="15" hidden="1" customHeight="1" x14ac:dyDescent="0.25">
      <c r="A19" s="27">
        <v>2210</v>
      </c>
      <c r="B19" s="29" t="s">
        <v>27</v>
      </c>
      <c r="C19" s="28"/>
      <c r="D19" s="28"/>
      <c r="E19" s="28"/>
      <c r="F19" s="28">
        <v>0</v>
      </c>
    </row>
    <row r="20" spans="1:6" ht="15" customHeight="1" x14ac:dyDescent="0.25">
      <c r="A20" s="27">
        <v>2222</v>
      </c>
      <c r="B20" s="29" t="s">
        <v>28</v>
      </c>
      <c r="C20" s="28">
        <v>516.82000000000005</v>
      </c>
      <c r="D20" s="28">
        <v>0</v>
      </c>
      <c r="E20" s="28">
        <f>ROUND(C20/2,2)</f>
        <v>258.41000000000003</v>
      </c>
      <c r="F20" s="28">
        <v>8.8800000000000008</v>
      </c>
    </row>
    <row r="21" spans="1:6" ht="15" customHeight="1" x14ac:dyDescent="0.25">
      <c r="A21" s="27">
        <v>2223</v>
      </c>
      <c r="B21" s="29" t="s">
        <v>29</v>
      </c>
      <c r="C21" s="28">
        <v>175.44</v>
      </c>
      <c r="D21" s="28">
        <v>0</v>
      </c>
      <c r="E21" s="28">
        <f>ROUND(C21/2,2)</f>
        <v>87.72</v>
      </c>
      <c r="F21" s="28">
        <v>40.869999999999997</v>
      </c>
    </row>
    <row r="22" spans="1:6" ht="15" customHeight="1" x14ac:dyDescent="0.25">
      <c r="A22" s="27">
        <v>2243</v>
      </c>
      <c r="B22" s="29" t="s">
        <v>9</v>
      </c>
      <c r="C22" s="28">
        <v>125.47</v>
      </c>
      <c r="D22" s="28">
        <v>0</v>
      </c>
      <c r="E22" s="28">
        <f>ROUND(C22/2,2)</f>
        <v>62.74</v>
      </c>
      <c r="F22" s="28">
        <v>15.85</v>
      </c>
    </row>
    <row r="23" spans="1:6" ht="15" customHeight="1" x14ac:dyDescent="0.25">
      <c r="A23" s="27">
        <v>2244</v>
      </c>
      <c r="B23" s="29" t="s">
        <v>10</v>
      </c>
      <c r="C23" s="28"/>
      <c r="D23" s="28"/>
      <c r="E23" s="28"/>
      <c r="F23" s="28">
        <v>84.3</v>
      </c>
    </row>
    <row r="24" spans="1:6" ht="15" hidden="1" customHeight="1" x14ac:dyDescent="0.25">
      <c r="A24" s="27">
        <v>2251</v>
      </c>
      <c r="B24" s="29" t="s">
        <v>60</v>
      </c>
      <c r="C24" s="28"/>
      <c r="D24" s="28"/>
      <c r="E24" s="28"/>
      <c r="F24" s="28">
        <v>0</v>
      </c>
    </row>
    <row r="25" spans="1:6" ht="15" hidden="1" customHeight="1" x14ac:dyDescent="0.25">
      <c r="A25" s="27">
        <v>2261</v>
      </c>
      <c r="B25" s="29" t="s">
        <v>11</v>
      </c>
      <c r="C25" s="28"/>
      <c r="D25" s="28"/>
      <c r="E25" s="28"/>
      <c r="F25" s="28"/>
    </row>
    <row r="26" spans="1:6" ht="15" hidden="1" customHeight="1" x14ac:dyDescent="0.25">
      <c r="A26" s="27">
        <v>2279</v>
      </c>
      <c r="B26" s="29" t="s">
        <v>14</v>
      </c>
      <c r="C26" s="28"/>
      <c r="D26" s="28"/>
      <c r="E26" s="28"/>
      <c r="F26" s="28">
        <v>0</v>
      </c>
    </row>
    <row r="27" spans="1:6" ht="15" customHeight="1" x14ac:dyDescent="0.25">
      <c r="A27" s="27">
        <v>2311</v>
      </c>
      <c r="B27" s="29" t="s">
        <v>72</v>
      </c>
      <c r="C27" s="28"/>
      <c r="D27" s="28"/>
      <c r="E27" s="28"/>
      <c r="F27" s="28">
        <v>17.88</v>
      </c>
    </row>
    <row r="28" spans="1:6" ht="15" customHeight="1" x14ac:dyDescent="0.25">
      <c r="A28" s="27">
        <v>2312</v>
      </c>
      <c r="B28" s="29" t="s">
        <v>16</v>
      </c>
      <c r="C28" s="28"/>
      <c r="D28" s="28"/>
      <c r="E28" s="28"/>
      <c r="F28" s="28">
        <v>78.510000000000005</v>
      </c>
    </row>
    <row r="29" spans="1:6" ht="15" customHeight="1" x14ac:dyDescent="0.25">
      <c r="A29" s="27">
        <v>2321</v>
      </c>
      <c r="B29" s="29" t="s">
        <v>17</v>
      </c>
      <c r="C29" s="28">
        <v>241.21</v>
      </c>
      <c r="D29" s="28">
        <v>0</v>
      </c>
      <c r="E29" s="28">
        <f>ROUND(C29/2,2)</f>
        <v>120.61</v>
      </c>
      <c r="F29" s="28">
        <v>45.83</v>
      </c>
    </row>
    <row r="30" spans="1:6" ht="15" customHeight="1" x14ac:dyDescent="0.25">
      <c r="A30" s="27">
        <v>2350</v>
      </c>
      <c r="B30" s="29" t="s">
        <v>19</v>
      </c>
      <c r="C30" s="28">
        <v>35.270000000000003</v>
      </c>
      <c r="D30" s="28">
        <v>0</v>
      </c>
      <c r="E30" s="28">
        <f>ROUND(C30/2,2)</f>
        <v>17.64</v>
      </c>
      <c r="F30" s="28">
        <v>7.93</v>
      </c>
    </row>
    <row r="31" spans="1:6" x14ac:dyDescent="0.25">
      <c r="A31" s="27">
        <v>2361</v>
      </c>
      <c r="B31" s="29" t="s">
        <v>20</v>
      </c>
      <c r="C31" s="28"/>
      <c r="D31" s="28"/>
      <c r="E31" s="28"/>
      <c r="F31" s="28">
        <v>26.82</v>
      </c>
    </row>
    <row r="32" spans="1:6" x14ac:dyDescent="0.25">
      <c r="A32" s="27">
        <v>2370</v>
      </c>
      <c r="B32" s="29" t="s">
        <v>69</v>
      </c>
      <c r="C32" s="28"/>
      <c r="D32" s="28"/>
      <c r="E32" s="28"/>
      <c r="F32" s="28">
        <v>44.71</v>
      </c>
    </row>
    <row r="33" spans="1:6" ht="15" hidden="1" customHeight="1" x14ac:dyDescent="0.25">
      <c r="A33" s="55">
        <v>2513</v>
      </c>
      <c r="B33" s="29" t="s">
        <v>22</v>
      </c>
      <c r="C33" s="28"/>
      <c r="D33" s="28"/>
      <c r="E33" s="28"/>
      <c r="F33" s="28"/>
    </row>
    <row r="34" spans="1:6" ht="15" customHeight="1" x14ac:dyDescent="0.25">
      <c r="A34" s="27">
        <v>5230</v>
      </c>
      <c r="B34" s="29" t="s">
        <v>57</v>
      </c>
      <c r="C34" s="28">
        <v>1.8</v>
      </c>
      <c r="D34" s="28">
        <v>0</v>
      </c>
      <c r="E34" s="28">
        <f>ROUND(C34/2,2)</f>
        <v>0.9</v>
      </c>
      <c r="F34" s="28">
        <v>55.47</v>
      </c>
    </row>
    <row r="35" spans="1:6" ht="15" customHeight="1" x14ac:dyDescent="0.25">
      <c r="A35" s="27"/>
      <c r="B35" s="30" t="s">
        <v>65</v>
      </c>
      <c r="C35" s="31">
        <f>SUM(C17:C34)</f>
        <v>8250.9</v>
      </c>
      <c r="D35" s="31">
        <f>SUM(D17:D34)</f>
        <v>0</v>
      </c>
      <c r="E35" s="31">
        <f>SUM(E17:E34)</f>
        <v>4348.3799999999992</v>
      </c>
      <c r="F35" s="31">
        <f>SUM(F17:F34)</f>
        <v>1891.3999999999999</v>
      </c>
    </row>
    <row r="36" spans="1:6" ht="15" customHeight="1" x14ac:dyDescent="0.25">
      <c r="A36" s="32"/>
      <c r="B36" s="27" t="s">
        <v>64</v>
      </c>
      <c r="C36" s="26"/>
      <c r="D36" s="26"/>
      <c r="E36" s="26"/>
      <c r="F36" s="26"/>
    </row>
    <row r="37" spans="1:6" ht="15.75" customHeight="1" x14ac:dyDescent="0.25">
      <c r="A37" s="27">
        <v>1100</v>
      </c>
      <c r="B37" s="27" t="s">
        <v>63</v>
      </c>
      <c r="C37" s="28">
        <v>4429</v>
      </c>
      <c r="D37" s="28">
        <v>0</v>
      </c>
      <c r="E37" s="28">
        <f t="shared" ref="E37:E55" si="0">ROUND(C37/2,2)</f>
        <v>2214.5</v>
      </c>
      <c r="F37" s="28">
        <v>184.44</v>
      </c>
    </row>
    <row r="38" spans="1:6" ht="15.75" customHeight="1" x14ac:dyDescent="0.25">
      <c r="A38" s="27">
        <v>1200</v>
      </c>
      <c r="B38" s="29" t="s">
        <v>62</v>
      </c>
      <c r="C38" s="28">
        <v>1044.8</v>
      </c>
      <c r="D38" s="28">
        <v>0</v>
      </c>
      <c r="E38" s="28">
        <f t="shared" si="0"/>
        <v>522.4</v>
      </c>
      <c r="F38" s="28">
        <v>44.43</v>
      </c>
    </row>
    <row r="39" spans="1:6" ht="15" customHeight="1" x14ac:dyDescent="0.25">
      <c r="A39" s="33">
        <v>2210</v>
      </c>
      <c r="B39" s="29" t="s">
        <v>27</v>
      </c>
      <c r="C39" s="28">
        <v>93.67</v>
      </c>
      <c r="D39" s="28">
        <v>0</v>
      </c>
      <c r="E39" s="28">
        <f t="shared" si="0"/>
        <v>46.84</v>
      </c>
      <c r="F39" s="28">
        <v>7.09</v>
      </c>
    </row>
    <row r="40" spans="1:6" ht="15" customHeight="1" x14ac:dyDescent="0.25">
      <c r="A40" s="27">
        <v>2230</v>
      </c>
      <c r="B40" s="29" t="s">
        <v>30</v>
      </c>
      <c r="C40" s="28">
        <v>72.349999999999994</v>
      </c>
      <c r="D40" s="28">
        <v>0</v>
      </c>
      <c r="E40" s="28">
        <f t="shared" si="0"/>
        <v>36.18</v>
      </c>
      <c r="F40" s="28">
        <v>9.18</v>
      </c>
    </row>
    <row r="41" spans="1:6" ht="15" customHeight="1" x14ac:dyDescent="0.25">
      <c r="A41" s="27">
        <v>2241</v>
      </c>
      <c r="B41" s="29" t="s">
        <v>7</v>
      </c>
      <c r="C41" s="28">
        <v>0.1</v>
      </c>
      <c r="D41" s="28">
        <v>0</v>
      </c>
      <c r="E41" s="28">
        <f t="shared" si="0"/>
        <v>0.05</v>
      </c>
      <c r="F41" s="28">
        <v>1.66</v>
      </c>
    </row>
    <row r="42" spans="1:6" ht="15.75" customHeight="1" x14ac:dyDescent="0.25">
      <c r="A42" s="27">
        <v>2242</v>
      </c>
      <c r="B42" s="29" t="s">
        <v>8</v>
      </c>
      <c r="C42" s="28">
        <v>21.56</v>
      </c>
      <c r="D42" s="28">
        <v>0</v>
      </c>
      <c r="E42" s="28">
        <f t="shared" si="0"/>
        <v>10.78</v>
      </c>
      <c r="F42" s="28">
        <v>6.33</v>
      </c>
    </row>
    <row r="43" spans="1:6" ht="15" customHeight="1" x14ac:dyDescent="0.25">
      <c r="A43" s="27">
        <v>2243</v>
      </c>
      <c r="B43" s="29" t="s">
        <v>9</v>
      </c>
      <c r="C43" s="28">
        <v>68.84</v>
      </c>
      <c r="D43" s="28">
        <v>0</v>
      </c>
      <c r="E43" s="28">
        <f t="shared" si="0"/>
        <v>34.42</v>
      </c>
      <c r="F43" s="28">
        <v>6.21</v>
      </c>
    </row>
    <row r="44" spans="1:6" x14ac:dyDescent="0.25">
      <c r="A44" s="27">
        <v>2244</v>
      </c>
      <c r="B44" s="29" t="s">
        <v>10</v>
      </c>
      <c r="C44" s="28"/>
      <c r="D44" s="28"/>
      <c r="E44" s="28"/>
      <c r="F44" s="28">
        <v>24.91</v>
      </c>
    </row>
    <row r="45" spans="1:6" x14ac:dyDescent="0.25">
      <c r="A45" s="27">
        <v>2247</v>
      </c>
      <c r="B45" s="25" t="s">
        <v>59</v>
      </c>
      <c r="C45" s="28">
        <v>5.71</v>
      </c>
      <c r="D45" s="28">
        <v>0</v>
      </c>
      <c r="E45" s="28">
        <f t="shared" si="0"/>
        <v>2.86</v>
      </c>
      <c r="F45" s="28">
        <v>1.83</v>
      </c>
    </row>
    <row r="46" spans="1:6" ht="15" customHeight="1" x14ac:dyDescent="0.25">
      <c r="A46" s="27">
        <v>2251</v>
      </c>
      <c r="B46" s="29" t="s">
        <v>60</v>
      </c>
      <c r="C46" s="28">
        <v>145.52000000000001</v>
      </c>
      <c r="D46" s="28">
        <v>0</v>
      </c>
      <c r="E46" s="28">
        <f t="shared" si="0"/>
        <v>72.760000000000005</v>
      </c>
      <c r="F46" s="28">
        <v>9.18</v>
      </c>
    </row>
    <row r="47" spans="1:6" ht="15" customHeight="1" x14ac:dyDescent="0.25">
      <c r="A47" s="27">
        <v>2259</v>
      </c>
      <c r="B47" s="29" t="s">
        <v>61</v>
      </c>
      <c r="C47" s="28">
        <v>0.48</v>
      </c>
      <c r="D47" s="28">
        <v>0</v>
      </c>
      <c r="E47" s="28">
        <f t="shared" si="0"/>
        <v>0.24</v>
      </c>
      <c r="F47" s="28">
        <v>0.11</v>
      </c>
    </row>
    <row r="48" spans="1:6" ht="15" customHeight="1" x14ac:dyDescent="0.25">
      <c r="A48" s="27">
        <v>2261</v>
      </c>
      <c r="B48" s="29" t="s">
        <v>11</v>
      </c>
      <c r="C48" s="28"/>
      <c r="D48" s="28"/>
      <c r="E48" s="28"/>
      <c r="F48" s="28">
        <v>4.5599999999999996</v>
      </c>
    </row>
    <row r="49" spans="1:6" ht="15" customHeight="1" x14ac:dyDescent="0.25">
      <c r="A49" s="27">
        <v>2262</v>
      </c>
      <c r="B49" s="29" t="s">
        <v>12</v>
      </c>
      <c r="C49" s="28">
        <v>63.08</v>
      </c>
      <c r="D49" s="28">
        <v>0</v>
      </c>
      <c r="E49" s="28">
        <f t="shared" si="0"/>
        <v>31.54</v>
      </c>
      <c r="F49" s="28">
        <v>9.65</v>
      </c>
    </row>
    <row r="50" spans="1:6" ht="15.75" customHeight="1" x14ac:dyDescent="0.25">
      <c r="A50" s="27">
        <v>2264</v>
      </c>
      <c r="B50" s="29" t="s">
        <v>13</v>
      </c>
      <c r="C50" s="28">
        <v>1.18</v>
      </c>
      <c r="D50" s="28">
        <v>0</v>
      </c>
      <c r="E50" s="28">
        <f t="shared" si="0"/>
        <v>0.59</v>
      </c>
      <c r="F50" s="28">
        <v>0.11</v>
      </c>
    </row>
    <row r="51" spans="1:6" x14ac:dyDescent="0.25">
      <c r="A51" s="27">
        <v>2279</v>
      </c>
      <c r="B51" s="29" t="s">
        <v>14</v>
      </c>
      <c r="C51" s="28">
        <v>259.89</v>
      </c>
      <c r="D51" s="28">
        <v>0</v>
      </c>
      <c r="E51" s="28">
        <f t="shared" si="0"/>
        <v>129.94999999999999</v>
      </c>
      <c r="F51" s="28">
        <v>3.27</v>
      </c>
    </row>
    <row r="52" spans="1:6" hidden="1" x14ac:dyDescent="0.25">
      <c r="A52" s="27">
        <v>2311</v>
      </c>
      <c r="B52" s="29" t="s">
        <v>15</v>
      </c>
      <c r="C52" s="28">
        <v>24.47</v>
      </c>
      <c r="D52" s="28">
        <v>0</v>
      </c>
      <c r="E52" s="28">
        <f t="shared" si="0"/>
        <v>12.24</v>
      </c>
      <c r="F52" s="28"/>
    </row>
    <row r="53" spans="1:6" hidden="1" x14ac:dyDescent="0.25">
      <c r="A53" s="27">
        <v>2312</v>
      </c>
      <c r="B53" s="29" t="s">
        <v>16</v>
      </c>
      <c r="C53" s="28">
        <v>45.22</v>
      </c>
      <c r="D53" s="28">
        <v>0</v>
      </c>
      <c r="E53" s="28">
        <f t="shared" si="0"/>
        <v>22.61</v>
      </c>
      <c r="F53" s="28"/>
    </row>
    <row r="54" spans="1:6" x14ac:dyDescent="0.25">
      <c r="A54" s="27">
        <v>2322</v>
      </c>
      <c r="B54" s="29" t="s">
        <v>18</v>
      </c>
      <c r="C54" s="28">
        <v>170.03</v>
      </c>
      <c r="D54" s="28">
        <v>0</v>
      </c>
      <c r="E54" s="28">
        <f t="shared" si="0"/>
        <v>85.02</v>
      </c>
      <c r="F54" s="28">
        <v>12.72</v>
      </c>
    </row>
    <row r="55" spans="1:6" ht="15" customHeight="1" x14ac:dyDescent="0.25">
      <c r="A55" s="27">
        <v>2350</v>
      </c>
      <c r="B55" s="29" t="s">
        <v>19</v>
      </c>
      <c r="C55" s="28">
        <v>193.6</v>
      </c>
      <c r="D55" s="28">
        <v>0</v>
      </c>
      <c r="E55" s="28">
        <f t="shared" si="0"/>
        <v>96.8</v>
      </c>
      <c r="F55" s="28">
        <v>24.67</v>
      </c>
    </row>
    <row r="56" spans="1:6" x14ac:dyDescent="0.25">
      <c r="A56" s="27">
        <v>2361</v>
      </c>
      <c r="B56" s="29" t="s">
        <v>20</v>
      </c>
      <c r="C56" s="28"/>
      <c r="D56" s="28"/>
      <c r="E56" s="28"/>
      <c r="F56" s="28">
        <v>7.53</v>
      </c>
    </row>
    <row r="57" spans="1:6" ht="15" customHeight="1" x14ac:dyDescent="0.25">
      <c r="A57" s="27">
        <v>2370</v>
      </c>
      <c r="B57" s="29" t="s">
        <v>69</v>
      </c>
      <c r="C57" s="28"/>
      <c r="D57" s="28"/>
      <c r="E57" s="28"/>
      <c r="F57" s="28">
        <v>5.77</v>
      </c>
    </row>
    <row r="58" spans="1:6" x14ac:dyDescent="0.25">
      <c r="A58" s="27">
        <v>2400</v>
      </c>
      <c r="B58" s="29" t="s">
        <v>31</v>
      </c>
      <c r="C58" s="28"/>
      <c r="D58" s="28"/>
      <c r="E58" s="28"/>
      <c r="F58" s="28">
        <v>2.17</v>
      </c>
    </row>
    <row r="59" spans="1:6" x14ac:dyDescent="0.25">
      <c r="A59" s="27">
        <v>2513</v>
      </c>
      <c r="B59" s="29" t="s">
        <v>22</v>
      </c>
      <c r="C59" s="28"/>
      <c r="D59" s="28"/>
      <c r="E59" s="28"/>
      <c r="F59" s="28">
        <v>5.22</v>
      </c>
    </row>
    <row r="60" spans="1:6" x14ac:dyDescent="0.25">
      <c r="A60" s="27">
        <v>2515</v>
      </c>
      <c r="B60" s="29" t="s">
        <v>58</v>
      </c>
      <c r="C60" s="28"/>
      <c r="D60" s="28"/>
      <c r="E60" s="28"/>
      <c r="F60" s="28">
        <v>5.87</v>
      </c>
    </row>
    <row r="61" spans="1:6" x14ac:dyDescent="0.25">
      <c r="A61" s="27">
        <v>2519</v>
      </c>
      <c r="B61" s="29" t="s">
        <v>24</v>
      </c>
      <c r="C61" s="28"/>
      <c r="D61" s="28"/>
      <c r="E61" s="28"/>
      <c r="F61" s="28">
        <v>13</v>
      </c>
    </row>
    <row r="62" spans="1:6" x14ac:dyDescent="0.25">
      <c r="A62" s="27">
        <v>5232</v>
      </c>
      <c r="B62" s="29" t="s">
        <v>23</v>
      </c>
      <c r="C62" s="28"/>
      <c r="D62" s="28"/>
      <c r="E62" s="28"/>
      <c r="F62" s="28">
        <v>49.66</v>
      </c>
    </row>
    <row r="63" spans="1:6" hidden="1" x14ac:dyDescent="0.25">
      <c r="A63" s="27">
        <v>5240</v>
      </c>
      <c r="B63" s="29" t="s">
        <v>25</v>
      </c>
      <c r="C63" s="28"/>
      <c r="D63" s="28"/>
      <c r="E63" s="28"/>
      <c r="F63" s="28">
        <v>0</v>
      </c>
    </row>
    <row r="64" spans="1:6" ht="15" customHeight="1" x14ac:dyDescent="0.25">
      <c r="A64" s="27">
        <v>5250</v>
      </c>
      <c r="B64" s="29" t="s">
        <v>26</v>
      </c>
      <c r="C64" s="28"/>
      <c r="D64" s="28"/>
      <c r="E64" s="28"/>
      <c r="F64" s="28">
        <v>21.87</v>
      </c>
    </row>
    <row r="65" spans="1:6" ht="15" customHeight="1" x14ac:dyDescent="0.25">
      <c r="A65" s="32"/>
      <c r="B65" s="34" t="s">
        <v>66</v>
      </c>
      <c r="C65" s="31">
        <f>SUM(C37:C55)</f>
        <v>6639.5000000000027</v>
      </c>
      <c r="D65" s="31">
        <f>SUM(D37:D55)</f>
        <v>0</v>
      </c>
      <c r="E65" s="31">
        <f>SUM(E37:E55)</f>
        <v>3319.7800000000007</v>
      </c>
      <c r="F65" s="31">
        <f>SUM(F37:F64)</f>
        <v>461.44000000000005</v>
      </c>
    </row>
    <row r="66" spans="1:6" x14ac:dyDescent="0.25">
      <c r="A66" s="32"/>
      <c r="B66" s="34" t="s">
        <v>32</v>
      </c>
      <c r="C66" s="31" t="e">
        <f>#REF!+C28</f>
        <v>#REF!</v>
      </c>
      <c r="D66" s="31" t="e">
        <f>#REF!+D28</f>
        <v>#REF!</v>
      </c>
      <c r="E66" s="31" t="e">
        <f>#REF!+E28</f>
        <v>#REF!</v>
      </c>
      <c r="F66" s="31">
        <f>F35+F65</f>
        <v>2352.84</v>
      </c>
    </row>
    <row r="67" spans="1:6" x14ac:dyDescent="0.35">
      <c r="A67" s="35"/>
      <c r="B67" s="20"/>
    </row>
    <row r="68" spans="1:6" x14ac:dyDescent="0.25">
      <c r="A68" s="262" t="s">
        <v>45</v>
      </c>
      <c r="B68" s="262"/>
      <c r="C68" s="10">
        <v>2172</v>
      </c>
      <c r="D68" s="21">
        <v>0</v>
      </c>
      <c r="E68" s="21">
        <v>1086</v>
      </c>
      <c r="F68" s="107">
        <v>1</v>
      </c>
    </row>
    <row r="69" spans="1:6" x14ac:dyDescent="0.3">
      <c r="A69" s="262" t="s">
        <v>46</v>
      </c>
      <c r="B69" s="262"/>
      <c r="C69" s="36" t="e">
        <f>C66/C68</f>
        <v>#REF!</v>
      </c>
      <c r="D69" s="37">
        <v>0</v>
      </c>
      <c r="E69" s="37" t="e">
        <f>E66/E68</f>
        <v>#REF!</v>
      </c>
      <c r="F69" s="108">
        <f>F66/F68</f>
        <v>2352.84</v>
      </c>
    </row>
    <row r="70" spans="1:6" x14ac:dyDescent="0.3">
      <c r="A70" s="9"/>
      <c r="B70" s="9"/>
      <c r="C70" s="36"/>
      <c r="D70" s="36"/>
      <c r="E70" s="36"/>
      <c r="F70" s="36"/>
    </row>
    <row r="71" spans="1:6" s="2" customFormat="1" x14ac:dyDescent="0.35">
      <c r="A71" s="267" t="s">
        <v>37</v>
      </c>
      <c r="B71" s="268"/>
      <c r="C71" s="39"/>
      <c r="D71" s="39"/>
      <c r="E71" s="39"/>
      <c r="F71" s="39"/>
    </row>
    <row r="72" spans="1:6" s="2" customFormat="1" x14ac:dyDescent="0.35">
      <c r="A72" s="267" t="s">
        <v>54</v>
      </c>
      <c r="B72" s="268"/>
      <c r="C72" s="16"/>
      <c r="D72" s="40"/>
      <c r="E72" s="39"/>
      <c r="F72" s="39"/>
    </row>
    <row r="73" spans="1:6" s="2" customFormat="1" x14ac:dyDescent="0.35">
      <c r="A73" s="17"/>
      <c r="B73" s="17"/>
      <c r="C73" s="17"/>
      <c r="D73" s="17"/>
      <c r="E73" s="17"/>
      <c r="F73" s="65"/>
    </row>
    <row r="74" spans="1:6" s="2" customFormat="1" x14ac:dyDescent="0.35">
      <c r="A74" s="17" t="s">
        <v>38</v>
      </c>
      <c r="B74" s="17"/>
      <c r="C74" s="17"/>
      <c r="D74" s="17"/>
      <c r="E74" s="17"/>
      <c r="F74" s="17"/>
    </row>
    <row r="75" spans="1:6" s="2" customFormat="1" x14ac:dyDescent="0.35">
      <c r="A75" s="17"/>
      <c r="B75" s="17"/>
      <c r="C75" s="17"/>
      <c r="D75" s="17"/>
      <c r="E75" s="17"/>
      <c r="F75" s="17"/>
    </row>
    <row r="76" spans="1:6" s="2" customFormat="1" x14ac:dyDescent="0.35">
      <c r="A76" s="17" t="str">
        <f>'1.1.'!A75</f>
        <v>Aprēķinu sastādīja: SIVA Finanšu nodaļas vecākā finanšu ekonomiste Anita Ozoliņa</v>
      </c>
      <c r="B76" s="18"/>
      <c r="C76" s="18"/>
      <c r="D76" s="18"/>
      <c r="E76" s="18"/>
      <c r="F76" s="18"/>
    </row>
    <row r="77" spans="1:6" s="2" customFormat="1" ht="13.9" customHeight="1" x14ac:dyDescent="0.35">
      <c r="A77" s="17"/>
      <c r="B77" s="96"/>
      <c r="C77" s="19"/>
      <c r="D77" s="19"/>
      <c r="E77" s="17"/>
      <c r="F77" s="17"/>
    </row>
    <row r="78" spans="1:6" s="2" customFormat="1" ht="13.9" customHeight="1" x14ac:dyDescent="0.35">
      <c r="A78" s="17"/>
      <c r="B78" s="19"/>
      <c r="C78" s="17"/>
      <c r="D78" s="17"/>
      <c r="E78" s="17"/>
      <c r="F78" s="17"/>
    </row>
    <row r="79" spans="1:6" s="1" customFormat="1" x14ac:dyDescent="0.35">
      <c r="A79" s="6"/>
      <c r="B79" s="6"/>
      <c r="C79" s="100"/>
      <c r="D79" s="6"/>
      <c r="E79" s="6"/>
      <c r="F79" s="6"/>
    </row>
  </sheetData>
  <mergeCells count="12">
    <mergeCell ref="A68:B68"/>
    <mergeCell ref="A69:B69"/>
    <mergeCell ref="A71:B71"/>
    <mergeCell ref="A72:B72"/>
    <mergeCell ref="B12:D12"/>
    <mergeCell ref="B3:F3"/>
    <mergeCell ref="B1:F1"/>
    <mergeCell ref="B2:F2"/>
    <mergeCell ref="A9:B9"/>
    <mergeCell ref="A10:B10"/>
    <mergeCell ref="A7:F7"/>
    <mergeCell ref="B11:F11"/>
  </mergeCells>
  <pageMargins left="0.70866141732283472" right="0.70866141732283472" top="0.74803149606299213" bottom="0.74803149606299213" header="0.31496062992125984" footer="0.31496062992125984"/>
  <pageSetup paperSize="9" scale="62" firstPageNumber="7" orientation="portrait" useFirstPageNumber="1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view="pageLayout" zoomScale="90" zoomScaleNormal="100" zoomScalePageLayoutView="90" workbookViewId="0">
      <selection activeCell="B76" sqref="B76"/>
    </sheetView>
  </sheetViews>
  <sheetFormatPr defaultColWidth="9.1796875" defaultRowHeight="15.5" x14ac:dyDescent="0.35"/>
  <cols>
    <col min="1" max="1" width="12" style="6" customWidth="1"/>
    <col min="2" max="2" width="94.81640625" style="6" customWidth="1"/>
    <col min="3" max="3" width="12.81640625" style="6" hidden="1" customWidth="1"/>
    <col min="4" max="4" width="25.81640625" style="6" hidden="1" customWidth="1"/>
    <col min="5" max="5" width="16.453125" style="6" hidden="1" customWidth="1"/>
    <col min="6" max="6" width="31.7265625" style="6" customWidth="1"/>
    <col min="7" max="16384" width="9.1796875" style="3"/>
  </cols>
  <sheetData>
    <row r="1" spans="1:6" ht="15.75" customHeight="1" x14ac:dyDescent="0.35">
      <c r="A1" s="12"/>
      <c r="B1" s="258" t="s">
        <v>35</v>
      </c>
      <c r="C1" s="258"/>
      <c r="D1" s="258"/>
      <c r="E1" s="258"/>
      <c r="F1" s="259"/>
    </row>
    <row r="2" spans="1:6" x14ac:dyDescent="0.35">
      <c r="A2" s="12"/>
      <c r="B2" s="260" t="s">
        <v>39</v>
      </c>
      <c r="C2" s="260"/>
      <c r="D2" s="260"/>
      <c r="E2" s="260"/>
      <c r="F2" s="261"/>
    </row>
    <row r="3" spans="1:6" x14ac:dyDescent="0.35">
      <c r="A3" s="12"/>
      <c r="B3" s="257" t="s">
        <v>135</v>
      </c>
      <c r="C3" s="264"/>
      <c r="D3" s="264"/>
      <c r="E3" s="264"/>
      <c r="F3" s="264"/>
    </row>
    <row r="4" spans="1:6" x14ac:dyDescent="0.35">
      <c r="A4" s="12"/>
      <c r="B4" s="11"/>
      <c r="C4" s="11"/>
      <c r="D4" s="11"/>
      <c r="E4" s="13"/>
      <c r="F4" s="96"/>
    </row>
    <row r="5" spans="1:6" x14ac:dyDescent="0.35">
      <c r="A5" s="12"/>
      <c r="B5" s="15"/>
      <c r="C5" s="15"/>
      <c r="D5" s="15"/>
      <c r="E5" s="12"/>
      <c r="F5" s="11" t="str">
        <f>'1.1.'!C5</f>
        <v xml:space="preserve">2020.gada 07.aprīlī </v>
      </c>
    </row>
    <row r="6" spans="1:6" x14ac:dyDescent="0.35">
      <c r="A6" s="12"/>
      <c r="B6" s="11"/>
      <c r="C6" s="11"/>
      <c r="D6" s="11"/>
      <c r="E6" s="11"/>
      <c r="F6" s="11"/>
    </row>
    <row r="7" spans="1:6" ht="15" x14ac:dyDescent="0.3">
      <c r="A7" s="263" t="s">
        <v>5</v>
      </c>
      <c r="B7" s="263"/>
      <c r="C7" s="263"/>
      <c r="D7" s="263"/>
      <c r="E7" s="263"/>
      <c r="F7" s="263"/>
    </row>
    <row r="8" spans="1:6" x14ac:dyDescent="0.35">
      <c r="A8" s="97"/>
      <c r="B8" s="97"/>
      <c r="C8" s="97"/>
      <c r="D8" s="97"/>
      <c r="E8" s="97"/>
    </row>
    <row r="9" spans="1:6" ht="15" customHeight="1" x14ac:dyDescent="0.35">
      <c r="A9" s="262" t="s">
        <v>1</v>
      </c>
      <c r="B9" s="262"/>
      <c r="C9" s="9"/>
      <c r="D9" s="9"/>
      <c r="E9" s="9"/>
    </row>
    <row r="10" spans="1:6" ht="15" customHeight="1" x14ac:dyDescent="0.35">
      <c r="A10" s="262" t="s">
        <v>0</v>
      </c>
      <c r="B10" s="262"/>
      <c r="C10" s="9"/>
      <c r="D10" s="9"/>
      <c r="E10" s="9"/>
    </row>
    <row r="11" spans="1:6" ht="15" customHeight="1" x14ac:dyDescent="0.25">
      <c r="A11" s="9"/>
      <c r="B11" s="262" t="s">
        <v>127</v>
      </c>
      <c r="C11" s="262"/>
      <c r="D11" s="262"/>
      <c r="E11" s="262"/>
      <c r="F11" s="262"/>
    </row>
    <row r="12" spans="1:6" ht="15" customHeight="1" x14ac:dyDescent="0.35">
      <c r="A12" s="9"/>
      <c r="B12" s="262" t="s">
        <v>131</v>
      </c>
      <c r="C12" s="265"/>
      <c r="D12" s="265"/>
      <c r="E12" s="9"/>
      <c r="F12" s="14"/>
    </row>
    <row r="13" spans="1:6" ht="15" customHeight="1" x14ac:dyDescent="0.35">
      <c r="A13" s="9" t="s">
        <v>2</v>
      </c>
      <c r="B13" s="9" t="str">
        <f>'1.1.'!B13</f>
        <v>2019.gadā un turpmāk</v>
      </c>
      <c r="C13" s="9"/>
      <c r="D13" s="9"/>
      <c r="E13" s="9"/>
    </row>
    <row r="14" spans="1:6" ht="60.75" customHeight="1" x14ac:dyDescent="0.25">
      <c r="A14" s="54" t="s">
        <v>3</v>
      </c>
      <c r="B14" s="54" t="s">
        <v>4</v>
      </c>
      <c r="C14" s="54" t="s">
        <v>42</v>
      </c>
      <c r="D14" s="54" t="s">
        <v>52</v>
      </c>
      <c r="E14" s="54" t="s">
        <v>44</v>
      </c>
      <c r="F14" s="54" t="s">
        <v>53</v>
      </c>
    </row>
    <row r="15" spans="1:6" ht="14.25" customHeight="1" x14ac:dyDescent="0.25">
      <c r="A15" s="22">
        <v>1</v>
      </c>
      <c r="B15" s="23">
        <v>2</v>
      </c>
      <c r="C15" s="23">
        <v>3</v>
      </c>
      <c r="D15" s="23">
        <v>3</v>
      </c>
      <c r="E15" s="23">
        <v>4</v>
      </c>
      <c r="F15" s="23">
        <v>3</v>
      </c>
    </row>
    <row r="16" spans="1:6" ht="15" customHeight="1" x14ac:dyDescent="0.25">
      <c r="A16" s="24"/>
      <c r="B16" s="25" t="s">
        <v>68</v>
      </c>
      <c r="C16" s="26"/>
      <c r="D16" s="26"/>
      <c r="E16" s="26"/>
      <c r="F16" s="26"/>
    </row>
    <row r="17" spans="1:6" ht="15" customHeight="1" x14ac:dyDescent="0.25">
      <c r="A17" s="27">
        <v>1100</v>
      </c>
      <c r="B17" s="27" t="s">
        <v>63</v>
      </c>
      <c r="C17" s="28">
        <v>5789.22</v>
      </c>
      <c r="D17" s="28">
        <v>0</v>
      </c>
      <c r="E17" s="28">
        <v>3074.97</v>
      </c>
      <c r="F17" s="28">
        <f>[1]JPV_programmas!$K$199</f>
        <v>1307.1430598669624</v>
      </c>
    </row>
    <row r="18" spans="1:6" ht="15.75" customHeight="1" x14ac:dyDescent="0.25">
      <c r="A18" s="27">
        <v>1200</v>
      </c>
      <c r="B18" s="29" t="s">
        <v>62</v>
      </c>
      <c r="C18" s="28">
        <v>1365.67</v>
      </c>
      <c r="D18" s="28">
        <v>0</v>
      </c>
      <c r="E18" s="28">
        <v>725.39</v>
      </c>
      <c r="F18" s="28">
        <f>[1]JPV_programmas!$K$200</f>
        <v>314.89076312195124</v>
      </c>
    </row>
    <row r="19" spans="1:6" ht="15" hidden="1" customHeight="1" x14ac:dyDescent="0.25">
      <c r="A19" s="27">
        <v>2210</v>
      </c>
      <c r="B19" s="29" t="s">
        <v>27</v>
      </c>
      <c r="C19" s="28"/>
      <c r="D19" s="28"/>
      <c r="E19" s="28"/>
      <c r="F19" s="28"/>
    </row>
    <row r="20" spans="1:6" ht="15" customHeight="1" x14ac:dyDescent="0.25">
      <c r="A20" s="27">
        <v>2222</v>
      </c>
      <c r="B20" s="29" t="s">
        <v>28</v>
      </c>
      <c r="C20" s="28">
        <v>516.82000000000005</v>
      </c>
      <c r="D20" s="28">
        <v>0</v>
      </c>
      <c r="E20" s="28">
        <f>ROUND(C20/2,2)</f>
        <v>258.41000000000003</v>
      </c>
      <c r="F20" s="28">
        <f>[1]JPV_programmas!$K$207</f>
        <v>7.6198495755093134</v>
      </c>
    </row>
    <row r="21" spans="1:6" ht="15" customHeight="1" x14ac:dyDescent="0.25">
      <c r="A21" s="27">
        <v>2223</v>
      </c>
      <c r="B21" s="29" t="s">
        <v>29</v>
      </c>
      <c r="C21" s="28">
        <v>175.44</v>
      </c>
      <c r="D21" s="28">
        <v>0</v>
      </c>
      <c r="E21" s="28">
        <f>ROUND(C21/2,2)</f>
        <v>87.72</v>
      </c>
      <c r="F21" s="28">
        <f>[1]JPV_programmas!$K$205</f>
        <v>35.08926367356468</v>
      </c>
    </row>
    <row r="22" spans="1:6" ht="15" customHeight="1" x14ac:dyDescent="0.25">
      <c r="A22" s="27">
        <v>2243</v>
      </c>
      <c r="B22" s="29" t="s">
        <v>9</v>
      </c>
      <c r="C22" s="28">
        <v>125.47</v>
      </c>
      <c r="D22" s="28">
        <v>0</v>
      </c>
      <c r="E22" s="28">
        <f>ROUND(C22/2,2)</f>
        <v>62.74</v>
      </c>
      <c r="F22" s="28">
        <v>0</v>
      </c>
    </row>
    <row r="23" spans="1:6" ht="15" customHeight="1" x14ac:dyDescent="0.25">
      <c r="A23" s="27">
        <v>2244</v>
      </c>
      <c r="B23" s="29" t="s">
        <v>10</v>
      </c>
      <c r="C23" s="28"/>
      <c r="D23" s="28"/>
      <c r="E23" s="28"/>
      <c r="F23" s="28">
        <f>[1]JPV_programmas!$K$206</f>
        <v>72.375448572510464</v>
      </c>
    </row>
    <row r="24" spans="1:6" ht="15" hidden="1" customHeight="1" x14ac:dyDescent="0.25">
      <c r="A24" s="27">
        <v>2251</v>
      </c>
      <c r="B24" s="29" t="s">
        <v>60</v>
      </c>
      <c r="C24" s="28"/>
      <c r="D24" s="28"/>
      <c r="E24" s="28"/>
      <c r="F24" s="28"/>
    </row>
    <row r="25" spans="1:6" ht="15" hidden="1" customHeight="1" x14ac:dyDescent="0.25">
      <c r="A25" s="27">
        <v>2261</v>
      </c>
      <c r="B25" s="29" t="s">
        <v>11</v>
      </c>
      <c r="C25" s="28"/>
      <c r="D25" s="28"/>
      <c r="E25" s="28"/>
      <c r="F25" s="28"/>
    </row>
    <row r="26" spans="1:6" ht="15" hidden="1" customHeight="1" x14ac:dyDescent="0.25">
      <c r="A26" s="27">
        <v>2279</v>
      </c>
      <c r="B26" s="29" t="s">
        <v>14</v>
      </c>
      <c r="C26" s="28"/>
      <c r="D26" s="28"/>
      <c r="E26" s="28"/>
      <c r="F26" s="28"/>
    </row>
    <row r="27" spans="1:6" ht="15" customHeight="1" x14ac:dyDescent="0.25">
      <c r="A27" s="27">
        <v>2311</v>
      </c>
      <c r="B27" s="29" t="s">
        <v>72</v>
      </c>
      <c r="C27" s="28"/>
      <c r="D27" s="28"/>
      <c r="E27" s="28"/>
      <c r="F27" s="28">
        <v>0</v>
      </c>
    </row>
    <row r="28" spans="1:6" ht="15" customHeight="1" x14ac:dyDescent="0.25">
      <c r="A28" s="27">
        <v>2312</v>
      </c>
      <c r="B28" s="29" t="s">
        <v>16</v>
      </c>
      <c r="C28" s="28"/>
      <c r="D28" s="28"/>
      <c r="E28" s="28"/>
      <c r="F28" s="28">
        <f>[1]JPV_programmas!$K$202</f>
        <v>169.85125098039219</v>
      </c>
    </row>
    <row r="29" spans="1:6" ht="15" customHeight="1" x14ac:dyDescent="0.25">
      <c r="A29" s="27">
        <v>2321</v>
      </c>
      <c r="B29" s="29" t="s">
        <v>17</v>
      </c>
      <c r="C29" s="28">
        <v>241.21</v>
      </c>
      <c r="D29" s="28">
        <v>0</v>
      </c>
      <c r="E29" s="28">
        <f>ROUND(C29/2,2)</f>
        <v>120.61</v>
      </c>
      <c r="F29" s="28">
        <f>[1]JPV_programmas!$K$204</f>
        <v>39.344752915968591</v>
      </c>
    </row>
    <row r="30" spans="1:6" ht="15" customHeight="1" x14ac:dyDescent="0.25">
      <c r="A30" s="27">
        <v>2350</v>
      </c>
      <c r="B30" s="29" t="s">
        <v>19</v>
      </c>
      <c r="C30" s="28">
        <v>35.270000000000003</v>
      </c>
      <c r="D30" s="28">
        <v>0</v>
      </c>
      <c r="E30" s="28">
        <f>ROUND(C30/2,2)</f>
        <v>17.64</v>
      </c>
      <c r="F30" s="28">
        <v>0</v>
      </c>
    </row>
    <row r="31" spans="1:6" hidden="1" x14ac:dyDescent="0.25">
      <c r="A31" s="27">
        <v>2361</v>
      </c>
      <c r="B31" s="29" t="s">
        <v>20</v>
      </c>
      <c r="C31" s="28"/>
      <c r="D31" s="28"/>
      <c r="E31" s="28"/>
      <c r="F31" s="28"/>
    </row>
    <row r="32" spans="1:6" x14ac:dyDescent="0.25">
      <c r="A32" s="27">
        <v>2370</v>
      </c>
      <c r="B32" s="29" t="s">
        <v>69</v>
      </c>
      <c r="C32" s="28"/>
      <c r="D32" s="28"/>
      <c r="E32" s="28"/>
      <c r="F32" s="28">
        <f>[1]JPV_programmas!$K$201</f>
        <v>106.98600000000002</v>
      </c>
    </row>
    <row r="33" spans="1:6" ht="15" hidden="1" customHeight="1" x14ac:dyDescent="0.25">
      <c r="A33" s="55">
        <v>2513</v>
      </c>
      <c r="B33" s="29" t="s">
        <v>22</v>
      </c>
      <c r="C33" s="28"/>
      <c r="D33" s="28"/>
      <c r="E33" s="28"/>
      <c r="F33" s="28"/>
    </row>
    <row r="34" spans="1:6" ht="15" customHeight="1" x14ac:dyDescent="0.25">
      <c r="A34" s="27">
        <v>5230</v>
      </c>
      <c r="B34" s="29" t="s">
        <v>57</v>
      </c>
      <c r="C34" s="28">
        <v>1.8</v>
      </c>
      <c r="D34" s="28">
        <v>0</v>
      </c>
      <c r="E34" s="28">
        <f>ROUND(C34/2,2)</f>
        <v>0.9</v>
      </c>
      <c r="F34" s="28">
        <f>[1]JPV_programmas!$K$203</f>
        <v>34.199195144134428</v>
      </c>
    </row>
    <row r="35" spans="1:6" ht="15" customHeight="1" x14ac:dyDescent="0.25">
      <c r="A35" s="27"/>
      <c r="B35" s="30" t="s">
        <v>65</v>
      </c>
      <c r="C35" s="31">
        <f>SUM(C17:C34)</f>
        <v>8250.9</v>
      </c>
      <c r="D35" s="31">
        <f>SUM(D17:D34)</f>
        <v>0</v>
      </c>
      <c r="E35" s="31">
        <f>SUM(E17:E34)</f>
        <v>4348.3799999999992</v>
      </c>
      <c r="F35" s="31">
        <f>SUM(F17:F34)</f>
        <v>2087.4995838509935</v>
      </c>
    </row>
    <row r="36" spans="1:6" ht="15" customHeight="1" x14ac:dyDescent="0.25">
      <c r="A36" s="32"/>
      <c r="B36" s="27" t="s">
        <v>64</v>
      </c>
      <c r="C36" s="26"/>
      <c r="D36" s="26"/>
      <c r="E36" s="26"/>
      <c r="F36" s="26"/>
    </row>
    <row r="37" spans="1:6" ht="15" customHeight="1" x14ac:dyDescent="0.25">
      <c r="A37" s="27">
        <v>1100</v>
      </c>
      <c r="B37" s="27" t="s">
        <v>63</v>
      </c>
      <c r="C37" s="28">
        <v>4429</v>
      </c>
      <c r="D37" s="28">
        <v>0</v>
      </c>
      <c r="E37" s="28">
        <f t="shared" ref="E37:E55" si="0">ROUND(C37/2,2)</f>
        <v>2214.5</v>
      </c>
      <c r="F37" s="28">
        <v>249.01</v>
      </c>
    </row>
    <row r="38" spans="1:6" ht="15" customHeight="1" x14ac:dyDescent="0.25">
      <c r="A38" s="27">
        <v>1200</v>
      </c>
      <c r="B38" s="29" t="s">
        <v>62</v>
      </c>
      <c r="C38" s="28">
        <v>1044.8</v>
      </c>
      <c r="D38" s="28">
        <v>0</v>
      </c>
      <c r="E38" s="28">
        <f t="shared" si="0"/>
        <v>522.4</v>
      </c>
      <c r="F38" s="28">
        <v>59.99</v>
      </c>
    </row>
    <row r="39" spans="1:6" ht="15" customHeight="1" x14ac:dyDescent="0.25">
      <c r="A39" s="33">
        <v>2210</v>
      </c>
      <c r="B39" s="29" t="s">
        <v>27</v>
      </c>
      <c r="C39" s="28">
        <v>93.67</v>
      </c>
      <c r="D39" s="28">
        <v>0</v>
      </c>
      <c r="E39" s="28">
        <f t="shared" si="0"/>
        <v>46.84</v>
      </c>
      <c r="F39" s="28">
        <v>7.47</v>
      </c>
    </row>
    <row r="40" spans="1:6" ht="15" customHeight="1" x14ac:dyDescent="0.25">
      <c r="A40" s="27">
        <v>2230</v>
      </c>
      <c r="B40" s="29" t="s">
        <v>30</v>
      </c>
      <c r="C40" s="28">
        <v>72.349999999999994</v>
      </c>
      <c r="D40" s="28">
        <v>0</v>
      </c>
      <c r="E40" s="28">
        <f t="shared" si="0"/>
        <v>36.18</v>
      </c>
      <c r="F40" s="28">
        <v>9.66</v>
      </c>
    </row>
    <row r="41" spans="1:6" ht="15" customHeight="1" x14ac:dyDescent="0.25">
      <c r="A41" s="27">
        <v>2241</v>
      </c>
      <c r="B41" s="29" t="s">
        <v>7</v>
      </c>
      <c r="C41" s="28">
        <v>0.1</v>
      </c>
      <c r="D41" s="28">
        <v>0</v>
      </c>
      <c r="E41" s="28">
        <f t="shared" si="0"/>
        <v>0.05</v>
      </c>
      <c r="F41" s="28">
        <v>1.74</v>
      </c>
    </row>
    <row r="42" spans="1:6" ht="15" customHeight="1" x14ac:dyDescent="0.25">
      <c r="A42" s="27">
        <v>2242</v>
      </c>
      <c r="B42" s="29" t="s">
        <v>8</v>
      </c>
      <c r="C42" s="28">
        <v>21.56</v>
      </c>
      <c r="D42" s="28">
        <v>0</v>
      </c>
      <c r="E42" s="28">
        <f t="shared" si="0"/>
        <v>10.78</v>
      </c>
      <c r="F42" s="28">
        <v>6.65</v>
      </c>
    </row>
    <row r="43" spans="1:6" ht="15" customHeight="1" x14ac:dyDescent="0.25">
      <c r="A43" s="27">
        <v>2243</v>
      </c>
      <c r="B43" s="29" t="s">
        <v>9</v>
      </c>
      <c r="C43" s="28">
        <v>68.84</v>
      </c>
      <c r="D43" s="28">
        <v>0</v>
      </c>
      <c r="E43" s="28">
        <f t="shared" si="0"/>
        <v>34.42</v>
      </c>
      <c r="F43" s="28">
        <v>6.54</v>
      </c>
    </row>
    <row r="44" spans="1:6" x14ac:dyDescent="0.25">
      <c r="A44" s="27">
        <v>2244</v>
      </c>
      <c r="B44" s="29" t="s">
        <v>10</v>
      </c>
      <c r="C44" s="28"/>
      <c r="D44" s="28"/>
      <c r="E44" s="28"/>
      <c r="F44" s="28">
        <v>26.23</v>
      </c>
    </row>
    <row r="45" spans="1:6" x14ac:dyDescent="0.25">
      <c r="A45" s="27">
        <v>2247</v>
      </c>
      <c r="B45" s="25" t="s">
        <v>59</v>
      </c>
      <c r="C45" s="28">
        <v>5.71</v>
      </c>
      <c r="D45" s="28">
        <v>0</v>
      </c>
      <c r="E45" s="28">
        <f t="shared" si="0"/>
        <v>2.86</v>
      </c>
      <c r="F45" s="28">
        <v>1.93</v>
      </c>
    </row>
    <row r="46" spans="1:6" ht="15" customHeight="1" x14ac:dyDescent="0.25">
      <c r="A46" s="27">
        <v>2251</v>
      </c>
      <c r="B46" s="29" t="s">
        <v>60</v>
      </c>
      <c r="C46" s="28">
        <v>145.52000000000001</v>
      </c>
      <c r="D46" s="28">
        <v>0</v>
      </c>
      <c r="E46" s="28">
        <f t="shared" si="0"/>
        <v>72.760000000000005</v>
      </c>
      <c r="F46" s="28">
        <v>9.66</v>
      </c>
    </row>
    <row r="47" spans="1:6" ht="15" customHeight="1" x14ac:dyDescent="0.25">
      <c r="A47" s="27">
        <v>2259</v>
      </c>
      <c r="B47" s="29" t="s">
        <v>61</v>
      </c>
      <c r="C47" s="28">
        <v>0.48</v>
      </c>
      <c r="D47" s="28">
        <v>0</v>
      </c>
      <c r="E47" s="28">
        <f t="shared" si="0"/>
        <v>0.24</v>
      </c>
      <c r="F47" s="28">
        <v>0.12</v>
      </c>
    </row>
    <row r="48" spans="1:6" ht="15" customHeight="1" x14ac:dyDescent="0.25">
      <c r="A48" s="27">
        <v>2261</v>
      </c>
      <c r="B48" s="29" t="s">
        <v>11</v>
      </c>
      <c r="C48" s="28"/>
      <c r="D48" s="28"/>
      <c r="E48" s="28"/>
      <c r="F48" s="28">
        <v>4.8</v>
      </c>
    </row>
    <row r="49" spans="1:6" ht="15" customHeight="1" x14ac:dyDescent="0.25">
      <c r="A49" s="27">
        <v>2262</v>
      </c>
      <c r="B49" s="29" t="s">
        <v>12</v>
      </c>
      <c r="C49" s="28">
        <v>63.08</v>
      </c>
      <c r="D49" s="28">
        <v>0</v>
      </c>
      <c r="E49" s="28">
        <f t="shared" si="0"/>
        <v>31.54</v>
      </c>
      <c r="F49" s="28">
        <v>10.16</v>
      </c>
    </row>
    <row r="50" spans="1:6" ht="15.75" customHeight="1" x14ac:dyDescent="0.25">
      <c r="A50" s="27">
        <v>2264</v>
      </c>
      <c r="B50" s="29" t="s">
        <v>13</v>
      </c>
      <c r="C50" s="28">
        <v>1.18</v>
      </c>
      <c r="D50" s="28">
        <v>0</v>
      </c>
      <c r="E50" s="28">
        <f t="shared" si="0"/>
        <v>0.59</v>
      </c>
      <c r="F50" s="28">
        <v>0.12</v>
      </c>
    </row>
    <row r="51" spans="1:6" x14ac:dyDescent="0.25">
      <c r="A51" s="27">
        <v>2279</v>
      </c>
      <c r="B51" s="29" t="s">
        <v>14</v>
      </c>
      <c r="C51" s="28">
        <v>259.89</v>
      </c>
      <c r="D51" s="28">
        <v>0</v>
      </c>
      <c r="E51" s="28">
        <f t="shared" si="0"/>
        <v>129.94999999999999</v>
      </c>
      <c r="F51" s="28">
        <v>3.45</v>
      </c>
    </row>
    <row r="52" spans="1:6" x14ac:dyDescent="0.25">
      <c r="A52" s="27">
        <v>2311</v>
      </c>
      <c r="B52" s="29" t="s">
        <v>15</v>
      </c>
      <c r="C52" s="28">
        <v>24.47</v>
      </c>
      <c r="D52" s="28">
        <v>0</v>
      </c>
      <c r="E52" s="28">
        <f t="shared" si="0"/>
        <v>12.24</v>
      </c>
      <c r="F52" s="28">
        <v>4.74</v>
      </c>
    </row>
    <row r="53" spans="1:6" x14ac:dyDescent="0.25">
      <c r="A53" s="27">
        <v>2312</v>
      </c>
      <c r="B53" s="29" t="s">
        <v>16</v>
      </c>
      <c r="C53" s="28">
        <v>45.22</v>
      </c>
      <c r="D53" s="28">
        <v>0</v>
      </c>
      <c r="E53" s="28">
        <f t="shared" si="0"/>
        <v>22.61</v>
      </c>
      <c r="F53" s="28">
        <v>4.83</v>
      </c>
    </row>
    <row r="54" spans="1:6" x14ac:dyDescent="0.25">
      <c r="A54" s="27">
        <v>2322</v>
      </c>
      <c r="B54" s="29" t="s">
        <v>18</v>
      </c>
      <c r="C54" s="28">
        <v>170.03</v>
      </c>
      <c r="D54" s="28">
        <v>0</v>
      </c>
      <c r="E54" s="28">
        <f t="shared" si="0"/>
        <v>85.02</v>
      </c>
      <c r="F54" s="28">
        <v>13.39</v>
      </c>
    </row>
    <row r="55" spans="1:6" ht="15" customHeight="1" x14ac:dyDescent="0.25">
      <c r="A55" s="27">
        <v>2350</v>
      </c>
      <c r="B55" s="29" t="s">
        <v>19</v>
      </c>
      <c r="C55" s="28">
        <v>193.6</v>
      </c>
      <c r="D55" s="28">
        <v>0</v>
      </c>
      <c r="E55" s="28">
        <f t="shared" si="0"/>
        <v>96.8</v>
      </c>
      <c r="F55" s="28">
        <v>17.54</v>
      </c>
    </row>
    <row r="56" spans="1:6" x14ac:dyDescent="0.25">
      <c r="A56" s="27">
        <v>2361</v>
      </c>
      <c r="B56" s="29" t="s">
        <v>20</v>
      </c>
      <c r="C56" s="28"/>
      <c r="D56" s="28"/>
      <c r="E56" s="28"/>
      <c r="F56" s="28">
        <v>7.94</v>
      </c>
    </row>
    <row r="57" spans="1:6" ht="15" customHeight="1" x14ac:dyDescent="0.25">
      <c r="A57" s="27">
        <v>2370</v>
      </c>
      <c r="B57" s="29" t="s">
        <v>69</v>
      </c>
      <c r="C57" s="28"/>
      <c r="D57" s="28"/>
      <c r="E57" s="28"/>
      <c r="F57" s="28">
        <v>6.07</v>
      </c>
    </row>
    <row r="58" spans="1:6" x14ac:dyDescent="0.25">
      <c r="A58" s="27">
        <v>2400</v>
      </c>
      <c r="B58" s="29" t="s">
        <v>31</v>
      </c>
      <c r="C58" s="28"/>
      <c r="D58" s="28"/>
      <c r="E58" s="28"/>
      <c r="F58" s="28">
        <v>2.2799999999999998</v>
      </c>
    </row>
    <row r="59" spans="1:6" x14ac:dyDescent="0.25">
      <c r="A59" s="27">
        <v>2513</v>
      </c>
      <c r="B59" s="29" t="s">
        <v>22</v>
      </c>
      <c r="C59" s="28"/>
      <c r="D59" s="28"/>
      <c r="E59" s="28"/>
      <c r="F59" s="28">
        <v>5.5</v>
      </c>
    </row>
    <row r="60" spans="1:6" x14ac:dyDescent="0.25">
      <c r="A60" s="27">
        <v>2515</v>
      </c>
      <c r="B60" s="29" t="s">
        <v>58</v>
      </c>
      <c r="C60" s="28"/>
      <c r="D60" s="28"/>
      <c r="E60" s="28"/>
      <c r="F60" s="28">
        <v>6.18</v>
      </c>
    </row>
    <row r="61" spans="1:6" x14ac:dyDescent="0.25">
      <c r="A61" s="27">
        <v>2519</v>
      </c>
      <c r="B61" s="29" t="s">
        <v>24</v>
      </c>
      <c r="C61" s="28"/>
      <c r="D61" s="28"/>
      <c r="E61" s="28"/>
      <c r="F61" s="28">
        <v>13.68</v>
      </c>
    </row>
    <row r="62" spans="1:6" x14ac:dyDescent="0.25">
      <c r="A62" s="27">
        <v>5232</v>
      </c>
      <c r="B62" s="29" t="s">
        <v>23</v>
      </c>
      <c r="C62" s="28"/>
      <c r="D62" s="28"/>
      <c r="E62" s="28"/>
      <c r="F62" s="28">
        <v>52.6</v>
      </c>
    </row>
    <row r="63" spans="1:6" hidden="1" x14ac:dyDescent="0.25">
      <c r="A63" s="27">
        <v>5240</v>
      </c>
      <c r="B63" s="29" t="s">
        <v>25</v>
      </c>
      <c r="C63" s="28"/>
      <c r="D63" s="28"/>
      <c r="E63" s="28"/>
      <c r="F63" s="28"/>
    </row>
    <row r="64" spans="1:6" ht="15" customHeight="1" x14ac:dyDescent="0.25">
      <c r="A64" s="27">
        <v>5250</v>
      </c>
      <c r="B64" s="29" t="s">
        <v>26</v>
      </c>
      <c r="C64" s="28"/>
      <c r="D64" s="28"/>
      <c r="E64" s="28"/>
      <c r="F64" s="28">
        <v>21.45</v>
      </c>
    </row>
    <row r="65" spans="1:6" ht="15" customHeight="1" x14ac:dyDescent="0.25">
      <c r="A65" s="32"/>
      <c r="B65" s="34" t="s">
        <v>66</v>
      </c>
      <c r="C65" s="31">
        <f>SUM(C37:C55)</f>
        <v>6639.5000000000027</v>
      </c>
      <c r="D65" s="31">
        <f>SUM(D37:D55)</f>
        <v>0</v>
      </c>
      <c r="E65" s="31">
        <f>SUM(E37:E55)</f>
        <v>3319.7800000000007</v>
      </c>
      <c r="F65" s="31">
        <f>SUM(F37:F64)</f>
        <v>553.73000000000013</v>
      </c>
    </row>
    <row r="66" spans="1:6" x14ac:dyDescent="0.25">
      <c r="A66" s="32"/>
      <c r="B66" s="34" t="s">
        <v>32</v>
      </c>
      <c r="C66" s="31" t="e">
        <f>#REF!+C28</f>
        <v>#REF!</v>
      </c>
      <c r="D66" s="31" t="e">
        <f>#REF!+D28</f>
        <v>#REF!</v>
      </c>
      <c r="E66" s="31" t="e">
        <f>#REF!+E28</f>
        <v>#REF!</v>
      </c>
      <c r="F66" s="31">
        <f>F35+F65</f>
        <v>2641.2295838509935</v>
      </c>
    </row>
    <row r="67" spans="1:6" x14ac:dyDescent="0.35">
      <c r="A67" s="35"/>
      <c r="B67" s="20"/>
    </row>
    <row r="68" spans="1:6" x14ac:dyDescent="0.25">
      <c r="A68" s="262" t="s">
        <v>45</v>
      </c>
      <c r="B68" s="262"/>
      <c r="C68" s="10">
        <v>2172</v>
      </c>
      <c r="D68" s="21">
        <v>0</v>
      </c>
      <c r="E68" s="21">
        <v>1086</v>
      </c>
      <c r="F68" s="107">
        <v>1</v>
      </c>
    </row>
    <row r="69" spans="1:6" x14ac:dyDescent="0.3">
      <c r="A69" s="262" t="s">
        <v>46</v>
      </c>
      <c r="B69" s="262"/>
      <c r="C69" s="36" t="e">
        <f>C66/C68</f>
        <v>#REF!</v>
      </c>
      <c r="D69" s="37">
        <v>0</v>
      </c>
      <c r="E69" s="37" t="e">
        <f>E66/E68</f>
        <v>#REF!</v>
      </c>
      <c r="F69" s="108">
        <f>F66/F68</f>
        <v>2641.2295838509935</v>
      </c>
    </row>
    <row r="70" spans="1:6" x14ac:dyDescent="0.3">
      <c r="A70" s="9"/>
      <c r="B70" s="9"/>
      <c r="C70" s="36"/>
      <c r="D70" s="36"/>
      <c r="E70" s="36"/>
      <c r="F70" s="36"/>
    </row>
    <row r="71" spans="1:6" s="2" customFormat="1" x14ac:dyDescent="0.35">
      <c r="A71" s="267" t="s">
        <v>37</v>
      </c>
      <c r="B71" s="268"/>
      <c r="C71" s="39"/>
      <c r="D71" s="39"/>
      <c r="E71" s="39"/>
      <c r="F71" s="39"/>
    </row>
    <row r="72" spans="1:6" s="2" customFormat="1" x14ac:dyDescent="0.35">
      <c r="A72" s="267" t="s">
        <v>54</v>
      </c>
      <c r="B72" s="268"/>
      <c r="C72" s="16"/>
      <c r="D72" s="40"/>
      <c r="E72" s="39"/>
      <c r="F72" s="39"/>
    </row>
    <row r="73" spans="1:6" s="2" customFormat="1" x14ac:dyDescent="0.35">
      <c r="A73" s="17"/>
      <c r="B73" s="17"/>
      <c r="C73" s="17"/>
      <c r="D73" s="17"/>
      <c r="E73" s="17"/>
      <c r="F73" s="65"/>
    </row>
    <row r="74" spans="1:6" s="2" customFormat="1" x14ac:dyDescent="0.35">
      <c r="A74" s="17" t="s">
        <v>38</v>
      </c>
      <c r="B74" s="17"/>
      <c r="C74" s="17"/>
      <c r="D74" s="17"/>
      <c r="E74" s="17"/>
      <c r="F74" s="17"/>
    </row>
    <row r="75" spans="1:6" s="2" customFormat="1" x14ac:dyDescent="0.35">
      <c r="A75" s="17"/>
      <c r="B75" s="17"/>
      <c r="C75" s="17"/>
      <c r="D75" s="17"/>
      <c r="E75" s="17"/>
      <c r="F75" s="17"/>
    </row>
    <row r="76" spans="1:6" s="2" customFormat="1" x14ac:dyDescent="0.35">
      <c r="A76" s="17" t="s">
        <v>47</v>
      </c>
      <c r="B76" s="18"/>
      <c r="C76" s="18"/>
      <c r="D76" s="18"/>
      <c r="E76" s="18"/>
      <c r="F76" s="18"/>
    </row>
    <row r="77" spans="1:6" s="2" customFormat="1" ht="13.9" customHeight="1" x14ac:dyDescent="0.35">
      <c r="A77" s="17"/>
      <c r="B77" s="96"/>
      <c r="C77" s="19"/>
      <c r="D77" s="19"/>
      <c r="E77" s="17"/>
      <c r="F77" s="17"/>
    </row>
    <row r="78" spans="1:6" s="2" customFormat="1" ht="13.9" customHeight="1" x14ac:dyDescent="0.35">
      <c r="A78" s="17"/>
      <c r="B78" s="19"/>
      <c r="C78" s="17"/>
      <c r="D78" s="17"/>
      <c r="E78" s="17"/>
      <c r="F78" s="17"/>
    </row>
    <row r="79" spans="1:6" s="1" customFormat="1" x14ac:dyDescent="0.35">
      <c r="A79" s="6"/>
      <c r="B79" s="6"/>
      <c r="C79" s="100"/>
      <c r="D79" s="6"/>
      <c r="E79" s="6"/>
      <c r="F79" s="6"/>
    </row>
  </sheetData>
  <mergeCells count="12">
    <mergeCell ref="A72:B72"/>
    <mergeCell ref="B1:F1"/>
    <mergeCell ref="B2:F2"/>
    <mergeCell ref="B3:F3"/>
    <mergeCell ref="A7:F7"/>
    <mergeCell ref="A9:B9"/>
    <mergeCell ref="B11:F11"/>
    <mergeCell ref="A10:B10"/>
    <mergeCell ref="B12:D12"/>
    <mergeCell ref="A68:B68"/>
    <mergeCell ref="A69:B69"/>
    <mergeCell ref="A71:B71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3"/>
  <sheetViews>
    <sheetView view="pageLayout" topLeftCell="A53" zoomScale="90" zoomScaleNormal="100" zoomScalePageLayoutView="90" workbookViewId="0">
      <selection activeCell="C3" sqref="C3"/>
    </sheetView>
  </sheetViews>
  <sheetFormatPr defaultRowHeight="15.5" x14ac:dyDescent="0.35"/>
  <cols>
    <col min="1" max="1" width="12.453125" style="6" customWidth="1"/>
    <col min="2" max="2" width="94" style="6" customWidth="1"/>
    <col min="3" max="3" width="31.7265625" style="6" customWidth="1"/>
  </cols>
  <sheetData>
    <row r="1" spans="1:3" x14ac:dyDescent="0.35">
      <c r="A1" s="13"/>
      <c r="B1" s="258" t="s">
        <v>35</v>
      </c>
      <c r="C1" s="258"/>
    </row>
    <row r="2" spans="1:3" x14ac:dyDescent="0.35">
      <c r="A2" s="13"/>
      <c r="B2" s="260" t="s">
        <v>39</v>
      </c>
      <c r="C2" s="260"/>
    </row>
    <row r="3" spans="1:3" x14ac:dyDescent="0.35">
      <c r="A3" s="13"/>
      <c r="B3" s="11"/>
      <c r="C3" s="115" t="s">
        <v>135</v>
      </c>
    </row>
    <row r="4" spans="1:3" x14ac:dyDescent="0.35">
      <c r="A4" s="13"/>
      <c r="B4" s="257"/>
      <c r="C4" s="257"/>
    </row>
    <row r="5" spans="1:3" x14ac:dyDescent="0.35">
      <c r="A5" s="13"/>
      <c r="B5" s="260" t="str">
        <f>'1.1.'!C5</f>
        <v xml:space="preserve">2020.gada 07.aprīlī </v>
      </c>
      <c r="C5" s="260"/>
    </row>
    <row r="6" spans="1:3" ht="15" x14ac:dyDescent="0.3">
      <c r="A6" s="263" t="s">
        <v>5</v>
      </c>
      <c r="B6" s="263"/>
      <c r="C6" s="263"/>
    </row>
    <row r="7" spans="1:3" x14ac:dyDescent="0.25">
      <c r="A7" s="262" t="s">
        <v>1</v>
      </c>
      <c r="B7" s="262"/>
      <c r="C7" s="9"/>
    </row>
    <row r="8" spans="1:3" x14ac:dyDescent="0.25">
      <c r="A8" s="262" t="s">
        <v>0</v>
      </c>
      <c r="B8" s="262"/>
      <c r="C8" s="9"/>
    </row>
    <row r="9" spans="1:3" x14ac:dyDescent="0.25">
      <c r="A9" s="9"/>
      <c r="B9" s="9" t="s">
        <v>87</v>
      </c>
      <c r="C9" s="9"/>
    </row>
    <row r="10" spans="1:3" x14ac:dyDescent="0.25">
      <c r="A10" s="9"/>
      <c r="B10" s="262" t="s">
        <v>89</v>
      </c>
      <c r="C10" s="265"/>
    </row>
    <row r="11" spans="1:3" ht="31" x14ac:dyDescent="0.25">
      <c r="A11" s="9"/>
      <c r="B11" s="9" t="s">
        <v>88</v>
      </c>
      <c r="C11" s="9"/>
    </row>
    <row r="12" spans="1:3" x14ac:dyDescent="0.25">
      <c r="A12" s="9" t="s">
        <v>2</v>
      </c>
      <c r="B12" s="9" t="str">
        <f>'1.1.'!B13</f>
        <v>2019.gadā un turpmāk</v>
      </c>
      <c r="C12" s="9"/>
    </row>
    <row r="13" spans="1:3" ht="54.75" customHeight="1" x14ac:dyDescent="0.25">
      <c r="A13" s="54" t="s">
        <v>3</v>
      </c>
      <c r="B13" s="54" t="s">
        <v>4</v>
      </c>
      <c r="C13" s="54" t="s">
        <v>53</v>
      </c>
    </row>
    <row r="14" spans="1:3" ht="15" x14ac:dyDescent="0.25">
      <c r="A14" s="22">
        <v>1</v>
      </c>
      <c r="B14" s="23">
        <v>2</v>
      </c>
      <c r="C14" s="23">
        <v>3</v>
      </c>
    </row>
    <row r="15" spans="1:3" x14ac:dyDescent="0.25">
      <c r="A15" s="24"/>
      <c r="B15" s="25" t="s">
        <v>68</v>
      </c>
      <c r="C15" s="32"/>
    </row>
    <row r="16" spans="1:3" x14ac:dyDescent="0.35">
      <c r="A16" s="27">
        <v>1100</v>
      </c>
      <c r="B16" s="27" t="s">
        <v>63</v>
      </c>
      <c r="C16" s="93">
        <v>1200.1500000000001</v>
      </c>
    </row>
    <row r="17" spans="1:3" ht="15.75" customHeight="1" x14ac:dyDescent="0.35">
      <c r="A17" s="27">
        <v>1200</v>
      </c>
      <c r="B17" s="29" t="s">
        <v>62</v>
      </c>
      <c r="C17" s="93">
        <v>289.12</v>
      </c>
    </row>
    <row r="18" spans="1:3" hidden="1" x14ac:dyDescent="0.35">
      <c r="A18" s="27">
        <v>2210</v>
      </c>
      <c r="B18" s="29" t="s">
        <v>27</v>
      </c>
      <c r="C18" s="93">
        <v>0</v>
      </c>
    </row>
    <row r="19" spans="1:3" x14ac:dyDescent="0.35">
      <c r="A19" s="27">
        <v>2222</v>
      </c>
      <c r="B19" s="29" t="s">
        <v>28</v>
      </c>
      <c r="C19" s="93">
        <f>30.43*0.2</f>
        <v>6.0860000000000003</v>
      </c>
    </row>
    <row r="20" spans="1:3" x14ac:dyDescent="0.35">
      <c r="A20" s="27">
        <v>2223</v>
      </c>
      <c r="B20" s="29" t="s">
        <v>29</v>
      </c>
      <c r="C20" s="93">
        <v>19.62</v>
      </c>
    </row>
    <row r="21" spans="1:3" x14ac:dyDescent="0.35">
      <c r="A21" s="27">
        <v>2243</v>
      </c>
      <c r="B21" s="29" t="s">
        <v>9</v>
      </c>
      <c r="C21" s="93">
        <f>18.61*0.2</f>
        <v>3.722</v>
      </c>
    </row>
    <row r="22" spans="1:3" x14ac:dyDescent="0.35">
      <c r="A22" s="27">
        <v>2244</v>
      </c>
      <c r="B22" s="29" t="s">
        <v>10</v>
      </c>
      <c r="C22" s="93">
        <v>40.47</v>
      </c>
    </row>
    <row r="23" spans="1:3" ht="15" customHeight="1" x14ac:dyDescent="0.35">
      <c r="A23" s="27">
        <v>2251</v>
      </c>
      <c r="B23" s="29" t="s">
        <v>60</v>
      </c>
      <c r="C23" s="93">
        <f>30.43*0.3</f>
        <v>9.1289999999999996</v>
      </c>
    </row>
    <row r="24" spans="1:3" hidden="1" x14ac:dyDescent="0.35">
      <c r="A24" s="27">
        <v>2261</v>
      </c>
      <c r="B24" s="29" t="s">
        <v>11</v>
      </c>
      <c r="C24" s="93">
        <v>0</v>
      </c>
    </row>
    <row r="25" spans="1:3" hidden="1" x14ac:dyDescent="0.35">
      <c r="A25" s="27">
        <v>2264</v>
      </c>
      <c r="B25" s="29" t="s">
        <v>13</v>
      </c>
      <c r="C25" s="93">
        <v>0</v>
      </c>
    </row>
    <row r="26" spans="1:3" hidden="1" x14ac:dyDescent="0.35">
      <c r="A26" s="27">
        <v>2279</v>
      </c>
      <c r="B26" s="29" t="s">
        <v>14</v>
      </c>
      <c r="C26" s="93">
        <v>0</v>
      </c>
    </row>
    <row r="27" spans="1:3" x14ac:dyDescent="0.35">
      <c r="A27" s="27">
        <v>2311</v>
      </c>
      <c r="B27" s="29" t="s">
        <v>72</v>
      </c>
      <c r="C27" s="93">
        <f>10.75*0.2</f>
        <v>2.15</v>
      </c>
    </row>
    <row r="28" spans="1:3" x14ac:dyDescent="0.35">
      <c r="A28" s="27">
        <v>2312</v>
      </c>
      <c r="B28" s="29" t="s">
        <v>16</v>
      </c>
      <c r="C28" s="93">
        <f>18.61*0.8</f>
        <v>14.888</v>
      </c>
    </row>
    <row r="29" spans="1:3" ht="15" customHeight="1" x14ac:dyDescent="0.35">
      <c r="A29" s="27">
        <v>2321</v>
      </c>
      <c r="B29" s="29" t="s">
        <v>17</v>
      </c>
      <c r="C29" s="93">
        <v>22</v>
      </c>
    </row>
    <row r="30" spans="1:3" hidden="1" x14ac:dyDescent="0.35">
      <c r="A30" s="27">
        <v>2350</v>
      </c>
      <c r="B30" s="29" t="s">
        <v>19</v>
      </c>
      <c r="C30" s="93">
        <v>0</v>
      </c>
    </row>
    <row r="31" spans="1:3" hidden="1" x14ac:dyDescent="0.35">
      <c r="A31" s="27">
        <v>2361</v>
      </c>
      <c r="B31" s="29" t="s">
        <v>20</v>
      </c>
      <c r="C31" s="93">
        <v>0</v>
      </c>
    </row>
    <row r="32" spans="1:3" x14ac:dyDescent="0.35">
      <c r="A32" s="27">
        <v>2370</v>
      </c>
      <c r="B32" s="29" t="s">
        <v>69</v>
      </c>
      <c r="C32" s="93">
        <f>10.75*0.8</f>
        <v>8.6</v>
      </c>
    </row>
    <row r="33" spans="1:3" hidden="1" x14ac:dyDescent="0.35">
      <c r="A33" s="55">
        <v>2513</v>
      </c>
      <c r="B33" s="29" t="s">
        <v>22</v>
      </c>
      <c r="C33" s="93">
        <v>0</v>
      </c>
    </row>
    <row r="34" spans="1:3" x14ac:dyDescent="0.35">
      <c r="A34" s="27">
        <v>5230</v>
      </c>
      <c r="B34" s="29" t="s">
        <v>57</v>
      </c>
      <c r="C34" s="93">
        <f>30.43*0.5</f>
        <v>15.215</v>
      </c>
    </row>
    <row r="35" spans="1:3" x14ac:dyDescent="0.25">
      <c r="A35" s="27"/>
      <c r="B35" s="30" t="s">
        <v>65</v>
      </c>
      <c r="C35" s="31">
        <f>SUM(C16:C34)</f>
        <v>1631.1499999999996</v>
      </c>
    </row>
    <row r="36" spans="1:3" x14ac:dyDescent="0.25">
      <c r="A36" s="32"/>
      <c r="B36" s="27" t="s">
        <v>64</v>
      </c>
      <c r="C36" s="26"/>
    </row>
    <row r="37" spans="1:3" x14ac:dyDescent="0.35">
      <c r="A37" s="27">
        <v>1100</v>
      </c>
      <c r="B37" s="27" t="s">
        <v>63</v>
      </c>
      <c r="C37" s="93">
        <v>350.54</v>
      </c>
    </row>
    <row r="38" spans="1:3" ht="15.75" customHeight="1" x14ac:dyDescent="0.35">
      <c r="A38" s="27">
        <v>1200</v>
      </c>
      <c r="B38" s="29" t="s">
        <v>62</v>
      </c>
      <c r="C38" s="93">
        <v>84.44</v>
      </c>
    </row>
    <row r="39" spans="1:3" x14ac:dyDescent="0.35">
      <c r="A39" s="33">
        <v>2210</v>
      </c>
      <c r="B39" s="29" t="s">
        <v>27</v>
      </c>
      <c r="C39" s="93">
        <v>1.87</v>
      </c>
    </row>
    <row r="40" spans="1:3" x14ac:dyDescent="0.35">
      <c r="A40" s="33">
        <v>2224</v>
      </c>
      <c r="B40" s="29" t="s">
        <v>85</v>
      </c>
      <c r="C40" s="93">
        <v>1.5</v>
      </c>
    </row>
    <row r="41" spans="1:3" ht="15" customHeight="1" x14ac:dyDescent="0.35">
      <c r="A41" s="27">
        <v>2230</v>
      </c>
      <c r="B41" s="29" t="s">
        <v>30</v>
      </c>
      <c r="C41" s="93">
        <v>5.55</v>
      </c>
    </row>
    <row r="42" spans="1:3" ht="0.75" hidden="1" customHeight="1" x14ac:dyDescent="0.35">
      <c r="A42" s="27">
        <v>2241</v>
      </c>
      <c r="B42" s="29" t="s">
        <v>7</v>
      </c>
      <c r="C42" s="93">
        <v>0</v>
      </c>
    </row>
    <row r="43" spans="1:3" x14ac:dyDescent="0.35">
      <c r="A43" s="27">
        <v>2242</v>
      </c>
      <c r="B43" s="29" t="s">
        <v>8</v>
      </c>
      <c r="C43" s="93">
        <v>0.65</v>
      </c>
    </row>
    <row r="44" spans="1:3" x14ac:dyDescent="0.35">
      <c r="A44" s="27">
        <v>2243</v>
      </c>
      <c r="B44" s="29" t="s">
        <v>9</v>
      </c>
      <c r="C44" s="93">
        <v>4.2</v>
      </c>
    </row>
    <row r="45" spans="1:3" x14ac:dyDescent="0.35">
      <c r="A45" s="27">
        <v>2244</v>
      </c>
      <c r="B45" s="29" t="s">
        <v>10</v>
      </c>
      <c r="C45" s="93">
        <v>1.64</v>
      </c>
    </row>
    <row r="46" spans="1:3" x14ac:dyDescent="0.35">
      <c r="A46" s="27">
        <v>2247</v>
      </c>
      <c r="B46" s="25" t="s">
        <v>59</v>
      </c>
      <c r="C46" s="93">
        <v>0.48</v>
      </c>
    </row>
    <row r="47" spans="1:3" x14ac:dyDescent="0.35">
      <c r="A47" s="27">
        <v>2251</v>
      </c>
      <c r="B47" s="29" t="s">
        <v>60</v>
      </c>
      <c r="C47" s="93">
        <v>4.6500000000000004</v>
      </c>
    </row>
    <row r="48" spans="1:3" x14ac:dyDescent="0.35">
      <c r="A48" s="27">
        <v>2259</v>
      </c>
      <c r="B48" s="29" t="s">
        <v>61</v>
      </c>
      <c r="C48" s="93">
        <v>2.31</v>
      </c>
    </row>
    <row r="49" spans="1:3" x14ac:dyDescent="0.35">
      <c r="A49" s="27">
        <v>2261</v>
      </c>
      <c r="B49" s="29" t="s">
        <v>11</v>
      </c>
      <c r="C49" s="93">
        <v>4.1100000000000003</v>
      </c>
    </row>
    <row r="50" spans="1:3" x14ac:dyDescent="0.35">
      <c r="A50" s="27">
        <v>2262</v>
      </c>
      <c r="B50" s="29" t="s">
        <v>12</v>
      </c>
      <c r="C50" s="93">
        <v>3.22</v>
      </c>
    </row>
    <row r="51" spans="1:3" x14ac:dyDescent="0.35">
      <c r="A51" s="27">
        <v>2264</v>
      </c>
      <c r="B51" s="29" t="s">
        <v>13</v>
      </c>
      <c r="C51" s="93">
        <v>0.21</v>
      </c>
    </row>
    <row r="52" spans="1:3" x14ac:dyDescent="0.35">
      <c r="A52" s="27">
        <v>2279</v>
      </c>
      <c r="B52" s="29" t="s">
        <v>14</v>
      </c>
      <c r="C52" s="93">
        <v>2.16</v>
      </c>
    </row>
    <row r="53" spans="1:3" x14ac:dyDescent="0.35">
      <c r="A53" s="27">
        <v>2311</v>
      </c>
      <c r="B53" s="29" t="s">
        <v>15</v>
      </c>
      <c r="C53" s="93">
        <v>1.17</v>
      </c>
    </row>
    <row r="54" spans="1:3" x14ac:dyDescent="0.35">
      <c r="A54" s="27">
        <v>2312</v>
      </c>
      <c r="B54" s="29" t="s">
        <v>16</v>
      </c>
      <c r="C54" s="93">
        <v>0.66</v>
      </c>
    </row>
    <row r="55" spans="1:3" x14ac:dyDescent="0.35">
      <c r="A55" s="27">
        <v>2322</v>
      </c>
      <c r="B55" s="29" t="s">
        <v>18</v>
      </c>
      <c r="C55" s="93">
        <v>3.43</v>
      </c>
    </row>
    <row r="56" spans="1:3" ht="15.75" customHeight="1" x14ac:dyDescent="0.35">
      <c r="A56" s="27">
        <v>2350</v>
      </c>
      <c r="B56" s="29" t="s">
        <v>19</v>
      </c>
      <c r="C56" s="93">
        <v>7.31</v>
      </c>
    </row>
    <row r="57" spans="1:3" ht="0.75" hidden="1" customHeight="1" x14ac:dyDescent="0.35">
      <c r="A57" s="27">
        <v>2361</v>
      </c>
      <c r="B57" s="29" t="s">
        <v>20</v>
      </c>
      <c r="C57" s="93">
        <v>0</v>
      </c>
    </row>
    <row r="58" spans="1:3" x14ac:dyDescent="0.35">
      <c r="A58" s="27">
        <v>2370</v>
      </c>
      <c r="B58" s="29" t="s">
        <v>69</v>
      </c>
      <c r="C58" s="93">
        <v>3.1</v>
      </c>
    </row>
    <row r="59" spans="1:3" x14ac:dyDescent="0.35">
      <c r="A59" s="27">
        <v>2400</v>
      </c>
      <c r="B59" s="29" t="s">
        <v>31</v>
      </c>
      <c r="C59" s="93">
        <v>0.21</v>
      </c>
    </row>
    <row r="60" spans="1:3" ht="15.75" customHeight="1" x14ac:dyDescent="0.35">
      <c r="A60" s="27">
        <v>2513</v>
      </c>
      <c r="B60" s="29" t="s">
        <v>22</v>
      </c>
      <c r="C60" s="93">
        <v>1.45</v>
      </c>
    </row>
    <row r="61" spans="1:3" hidden="1" x14ac:dyDescent="0.35">
      <c r="A61" s="27">
        <v>2515</v>
      </c>
      <c r="B61" s="29" t="s">
        <v>58</v>
      </c>
      <c r="C61" s="93">
        <v>0</v>
      </c>
    </row>
    <row r="62" spans="1:3" x14ac:dyDescent="0.35">
      <c r="A62" s="27">
        <v>2519</v>
      </c>
      <c r="B62" s="29" t="s">
        <v>24</v>
      </c>
      <c r="C62" s="93">
        <v>11.54</v>
      </c>
    </row>
    <row r="63" spans="1:3" x14ac:dyDescent="0.35">
      <c r="A63" s="27">
        <v>5232</v>
      </c>
      <c r="B63" s="29" t="s">
        <v>23</v>
      </c>
      <c r="C63" s="93">
        <v>9.82</v>
      </c>
    </row>
    <row r="64" spans="1:3" hidden="1" x14ac:dyDescent="0.35">
      <c r="A64" s="27">
        <v>5240</v>
      </c>
      <c r="B64" s="29" t="s">
        <v>25</v>
      </c>
      <c r="C64" s="63">
        <v>0</v>
      </c>
    </row>
    <row r="65" spans="1:4" hidden="1" x14ac:dyDescent="0.35">
      <c r="A65" s="27">
        <v>5250</v>
      </c>
      <c r="B65" s="29" t="s">
        <v>26</v>
      </c>
      <c r="C65" s="63">
        <v>0</v>
      </c>
    </row>
    <row r="66" spans="1:4" x14ac:dyDescent="0.25">
      <c r="A66" s="32"/>
      <c r="B66" s="34" t="s">
        <v>66</v>
      </c>
      <c r="C66" s="31">
        <f>SUM(C37:C65)</f>
        <v>506.22000000000008</v>
      </c>
    </row>
    <row r="67" spans="1:4" x14ac:dyDescent="0.25">
      <c r="A67" s="32"/>
      <c r="B67" s="34" t="s">
        <v>32</v>
      </c>
      <c r="C67" s="31">
        <f>C35+C66</f>
        <v>2137.37</v>
      </c>
    </row>
    <row r="68" spans="1:4" hidden="1" x14ac:dyDescent="0.25">
      <c r="A68" s="27">
        <v>6290</v>
      </c>
      <c r="B68" s="29" t="s">
        <v>34</v>
      </c>
      <c r="C68" s="28"/>
    </row>
    <row r="69" spans="1:4" hidden="1" x14ac:dyDescent="0.25">
      <c r="A69" s="27">
        <v>5250</v>
      </c>
      <c r="B69" s="29" t="s">
        <v>26</v>
      </c>
      <c r="C69" s="45"/>
    </row>
    <row r="70" spans="1:4" hidden="1" x14ac:dyDescent="0.25">
      <c r="A70" s="32"/>
      <c r="B70" s="34" t="s">
        <v>32</v>
      </c>
      <c r="C70" s="31">
        <f>C67+C68+C69</f>
        <v>2137.37</v>
      </c>
      <c r="D70" s="60"/>
    </row>
    <row r="71" spans="1:4" x14ac:dyDescent="0.35">
      <c r="A71" s="35"/>
      <c r="B71" s="20"/>
    </row>
    <row r="72" spans="1:4" x14ac:dyDescent="0.25">
      <c r="A72" s="262" t="s">
        <v>45</v>
      </c>
      <c r="B72" s="262"/>
      <c r="C72" s="107">
        <v>1</v>
      </c>
    </row>
    <row r="73" spans="1:4" x14ac:dyDescent="0.3">
      <c r="A73" s="262" t="s">
        <v>46</v>
      </c>
      <c r="B73" s="262"/>
      <c r="C73" s="108">
        <f>C70/C72</f>
        <v>2137.37</v>
      </c>
      <c r="D73" s="60"/>
    </row>
    <row r="74" spans="1:4" x14ac:dyDescent="0.3">
      <c r="A74" s="9"/>
      <c r="B74" s="9"/>
      <c r="C74" s="36"/>
    </row>
    <row r="75" spans="1:4" x14ac:dyDescent="0.35">
      <c r="A75" s="267" t="s">
        <v>37</v>
      </c>
      <c r="B75" s="268"/>
      <c r="C75" s="39"/>
    </row>
    <row r="76" spans="1:4" x14ac:dyDescent="0.35">
      <c r="A76" s="267" t="s">
        <v>54</v>
      </c>
      <c r="B76" s="268"/>
      <c r="C76" s="40"/>
    </row>
    <row r="77" spans="1:4" x14ac:dyDescent="0.35">
      <c r="A77" s="17"/>
      <c r="B77" s="17"/>
      <c r="C77" s="17"/>
    </row>
    <row r="78" spans="1:4" x14ac:dyDescent="0.35">
      <c r="A78" s="17" t="s">
        <v>38</v>
      </c>
      <c r="B78" s="17"/>
      <c r="C78" s="17"/>
    </row>
    <row r="79" spans="1:4" x14ac:dyDescent="0.35">
      <c r="A79" s="17"/>
      <c r="B79" s="17"/>
      <c r="C79" s="17"/>
    </row>
    <row r="80" spans="1:4" x14ac:dyDescent="0.35">
      <c r="A80" s="17" t="s">
        <v>47</v>
      </c>
      <c r="B80" s="18"/>
      <c r="C80" s="18"/>
    </row>
    <row r="81" spans="1:3" x14ac:dyDescent="0.35">
      <c r="A81" s="17"/>
      <c r="B81" s="96"/>
      <c r="C81" s="19"/>
    </row>
    <row r="82" spans="1:3" x14ac:dyDescent="0.35">
      <c r="A82" s="17"/>
      <c r="B82" s="19"/>
      <c r="C82" s="17"/>
    </row>
    <row r="83" spans="1:3" x14ac:dyDescent="0.35">
      <c r="C83" s="100"/>
    </row>
  </sheetData>
  <mergeCells count="12">
    <mergeCell ref="A76:B76"/>
    <mergeCell ref="B1:C1"/>
    <mergeCell ref="B2:C2"/>
    <mergeCell ref="B4:C4"/>
    <mergeCell ref="A6:C6"/>
    <mergeCell ref="A7:B7"/>
    <mergeCell ref="A8:B8"/>
    <mergeCell ref="B5:C5"/>
    <mergeCell ref="B10:C10"/>
    <mergeCell ref="A72:B72"/>
    <mergeCell ref="A73:B73"/>
    <mergeCell ref="A75:B75"/>
  </mergeCells>
  <pageMargins left="0.45" right="0.66" top="0.75" bottom="0.75" header="0.3" footer="0.3"/>
  <pageSetup paperSize="9" scale="67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view="pageLayout" topLeftCell="A50" zoomScale="90" zoomScaleNormal="100" zoomScalePageLayoutView="90" workbookViewId="0">
      <selection activeCell="B3" sqref="B3:F3"/>
    </sheetView>
  </sheetViews>
  <sheetFormatPr defaultRowHeight="15.5" x14ac:dyDescent="0.35"/>
  <cols>
    <col min="1" max="1" width="13.1796875" style="6" customWidth="1"/>
    <col min="2" max="2" width="94.54296875" style="6" customWidth="1"/>
    <col min="3" max="3" width="32.1796875" style="6" customWidth="1"/>
    <col min="4" max="4" width="11.1796875" hidden="1" customWidth="1"/>
    <col min="5" max="5" width="0" hidden="1" customWidth="1"/>
    <col min="6" max="6" width="12" hidden="1" customWidth="1"/>
  </cols>
  <sheetData>
    <row r="1" spans="1:6" x14ac:dyDescent="0.35">
      <c r="A1" s="13"/>
      <c r="B1" s="258" t="s">
        <v>35</v>
      </c>
      <c r="C1" s="258"/>
      <c r="D1" s="258"/>
      <c r="E1" s="258"/>
      <c r="F1" s="259"/>
    </row>
    <row r="2" spans="1:6" x14ac:dyDescent="0.35">
      <c r="A2" s="13"/>
      <c r="B2" s="260" t="s">
        <v>39</v>
      </c>
      <c r="C2" s="260"/>
      <c r="D2" s="260"/>
      <c r="E2" s="260"/>
      <c r="F2" s="261"/>
    </row>
    <row r="3" spans="1:6" x14ac:dyDescent="0.35">
      <c r="A3" s="13"/>
      <c r="B3" s="257" t="s">
        <v>135</v>
      </c>
      <c r="C3" s="282"/>
      <c r="D3" s="282"/>
      <c r="E3" s="282"/>
      <c r="F3" s="282"/>
    </row>
    <row r="4" spans="1:6" x14ac:dyDescent="0.35">
      <c r="A4" s="13"/>
      <c r="B4" s="11"/>
      <c r="C4" s="96"/>
      <c r="D4" s="11"/>
      <c r="E4" s="13"/>
      <c r="F4" s="11" t="s">
        <v>36</v>
      </c>
    </row>
    <row r="5" spans="1:6" x14ac:dyDescent="0.35">
      <c r="A5" s="13"/>
      <c r="B5" s="260" t="str">
        <f>'3.1.1.'!B5:C5</f>
        <v xml:space="preserve">2020.gada 07.aprīlī </v>
      </c>
      <c r="C5" s="260"/>
      <c r="D5" s="260"/>
      <c r="E5" s="260"/>
      <c r="F5" s="260"/>
    </row>
    <row r="6" spans="1:6" ht="17.5" x14ac:dyDescent="0.35">
      <c r="A6" s="252" t="s">
        <v>5</v>
      </c>
      <c r="B6" s="252"/>
      <c r="C6" s="252"/>
      <c r="D6" s="252"/>
      <c r="E6" s="252"/>
      <c r="F6" s="252"/>
    </row>
    <row r="7" spans="1:6" x14ac:dyDescent="0.35">
      <c r="A7" s="262" t="s">
        <v>1</v>
      </c>
      <c r="B7" s="262"/>
      <c r="C7" s="9"/>
      <c r="D7" s="9"/>
      <c r="E7" s="9"/>
      <c r="F7" s="6"/>
    </row>
    <row r="8" spans="1:6" x14ac:dyDescent="0.35">
      <c r="A8" s="262" t="s">
        <v>0</v>
      </c>
      <c r="B8" s="262"/>
      <c r="C8" s="9"/>
      <c r="D8" s="9"/>
      <c r="E8" s="9"/>
      <c r="F8" s="6"/>
    </row>
    <row r="9" spans="1:6" x14ac:dyDescent="0.35">
      <c r="A9" s="9"/>
      <c r="B9" s="9" t="s">
        <v>87</v>
      </c>
      <c r="C9" s="9"/>
      <c r="D9" s="9"/>
      <c r="E9" s="9"/>
      <c r="F9" s="6"/>
    </row>
    <row r="10" spans="1:6" x14ac:dyDescent="0.35">
      <c r="A10" s="9"/>
      <c r="B10" s="9" t="s">
        <v>89</v>
      </c>
      <c r="C10" s="66"/>
      <c r="D10" s="66"/>
      <c r="E10" s="9"/>
      <c r="F10" s="14"/>
    </row>
    <row r="11" spans="1:6" ht="31" x14ac:dyDescent="0.25">
      <c r="A11" s="9"/>
      <c r="B11" s="86" t="s">
        <v>90</v>
      </c>
      <c r="C11" s="86"/>
      <c r="D11" s="86"/>
      <c r="E11" s="86"/>
      <c r="F11" s="86"/>
    </row>
    <row r="12" spans="1:6" x14ac:dyDescent="0.35">
      <c r="A12" s="9" t="s">
        <v>2</v>
      </c>
      <c r="B12" s="9" t="str">
        <f>'3.1.1.'!B12</f>
        <v>2019.gadā un turpmāk</v>
      </c>
      <c r="C12" s="9"/>
      <c r="D12" s="9"/>
      <c r="E12" s="9"/>
      <c r="F12" s="6"/>
    </row>
    <row r="13" spans="1:6" ht="52.5" customHeight="1" x14ac:dyDescent="0.25">
      <c r="A13" s="54" t="s">
        <v>3</v>
      </c>
      <c r="B13" s="54" t="s">
        <v>4</v>
      </c>
      <c r="C13" s="54" t="s">
        <v>53</v>
      </c>
      <c r="D13" s="54" t="s">
        <v>43</v>
      </c>
      <c r="E13" s="54" t="s">
        <v>44</v>
      </c>
      <c r="F13" s="54" t="s">
        <v>53</v>
      </c>
    </row>
    <row r="14" spans="1:6" ht="15" x14ac:dyDescent="0.25">
      <c r="A14" s="22">
        <v>1</v>
      </c>
      <c r="B14" s="23">
        <v>2</v>
      </c>
      <c r="C14" s="23">
        <v>3</v>
      </c>
      <c r="D14" s="23">
        <v>3</v>
      </c>
      <c r="E14" s="23">
        <v>4</v>
      </c>
      <c r="F14" s="23">
        <v>3</v>
      </c>
    </row>
    <row r="15" spans="1:6" x14ac:dyDescent="0.25">
      <c r="A15" s="24"/>
      <c r="B15" s="25" t="s">
        <v>68</v>
      </c>
      <c r="C15" s="32"/>
      <c r="D15" s="26"/>
      <c r="E15" s="26"/>
      <c r="F15" s="26"/>
    </row>
    <row r="16" spans="1:6" x14ac:dyDescent="0.35">
      <c r="A16" s="27">
        <v>1100</v>
      </c>
      <c r="B16" s="27" t="s">
        <v>63</v>
      </c>
      <c r="C16" s="93">
        <v>1212.69</v>
      </c>
      <c r="D16" s="28">
        <v>0</v>
      </c>
      <c r="E16" s="28">
        <v>3074.97</v>
      </c>
      <c r="F16" s="28"/>
    </row>
    <row r="17" spans="1:6" ht="15.75" customHeight="1" x14ac:dyDescent="0.35">
      <c r="A17" s="27">
        <v>1200</v>
      </c>
      <c r="B17" s="29" t="s">
        <v>62</v>
      </c>
      <c r="C17" s="93">
        <v>292.14</v>
      </c>
      <c r="D17" s="28">
        <v>0</v>
      </c>
      <c r="E17" s="28">
        <v>725.39</v>
      </c>
      <c r="F17" s="28"/>
    </row>
    <row r="18" spans="1:6" hidden="1" x14ac:dyDescent="0.35">
      <c r="A18" s="27">
        <v>2210</v>
      </c>
      <c r="B18" s="29" t="s">
        <v>27</v>
      </c>
      <c r="C18" s="93">
        <v>0</v>
      </c>
      <c r="D18" s="28"/>
      <c r="E18" s="28"/>
      <c r="F18" s="28"/>
    </row>
    <row r="19" spans="1:6" x14ac:dyDescent="0.35">
      <c r="A19" s="27">
        <v>2222</v>
      </c>
      <c r="B19" s="29" t="s">
        <v>28</v>
      </c>
      <c r="C19" s="93">
        <v>6.09</v>
      </c>
      <c r="D19" s="28">
        <v>0</v>
      </c>
      <c r="E19" s="28" t="e">
        <f>ROUND(#REF!/2,2)</f>
        <v>#REF!</v>
      </c>
      <c r="F19" s="28"/>
    </row>
    <row r="20" spans="1:6" x14ac:dyDescent="0.35">
      <c r="A20" s="27">
        <v>2223</v>
      </c>
      <c r="B20" s="29" t="s">
        <v>29</v>
      </c>
      <c r="C20" s="93">
        <v>18.75</v>
      </c>
      <c r="D20" s="28">
        <v>0</v>
      </c>
      <c r="E20" s="28" t="e">
        <f>ROUND(#REF!/2,2)</f>
        <v>#REF!</v>
      </c>
      <c r="F20" s="28"/>
    </row>
    <row r="21" spans="1:6" x14ac:dyDescent="0.35">
      <c r="A21" s="27">
        <v>2243</v>
      </c>
      <c r="B21" s="29" t="s">
        <v>9</v>
      </c>
      <c r="C21" s="93">
        <v>50.93</v>
      </c>
      <c r="D21" s="28">
        <v>0</v>
      </c>
      <c r="E21" s="28" t="e">
        <f>ROUND(#REF!/2,2)</f>
        <v>#REF!</v>
      </c>
      <c r="F21" s="28"/>
    </row>
    <row r="22" spans="1:6" x14ac:dyDescent="0.35">
      <c r="A22" s="27">
        <v>2244</v>
      </c>
      <c r="B22" s="29" t="s">
        <v>10</v>
      </c>
      <c r="C22" s="93">
        <v>40.58</v>
      </c>
      <c r="D22" s="28"/>
      <c r="E22" s="28"/>
      <c r="F22" s="28"/>
    </row>
    <row r="23" spans="1:6" ht="15.75" customHeight="1" x14ac:dyDescent="0.35">
      <c r="A23" s="27">
        <v>2251</v>
      </c>
      <c r="B23" s="29" t="s">
        <v>60</v>
      </c>
      <c r="C23" s="93">
        <v>20.46</v>
      </c>
      <c r="D23" s="28"/>
      <c r="E23" s="28"/>
      <c r="F23" s="28"/>
    </row>
    <row r="24" spans="1:6" ht="17.25" hidden="1" customHeight="1" x14ac:dyDescent="0.35">
      <c r="A24" s="27">
        <v>2261</v>
      </c>
      <c r="B24" s="29" t="s">
        <v>11</v>
      </c>
      <c r="C24" s="93">
        <v>0</v>
      </c>
      <c r="D24" s="28"/>
      <c r="E24" s="28"/>
      <c r="F24" s="28"/>
    </row>
    <row r="25" spans="1:6" ht="17.25" hidden="1" customHeight="1" x14ac:dyDescent="0.35">
      <c r="A25" s="27">
        <v>2264</v>
      </c>
      <c r="B25" s="29" t="s">
        <v>13</v>
      </c>
      <c r="C25" s="93">
        <v>0</v>
      </c>
      <c r="D25" s="28"/>
      <c r="E25" s="28"/>
      <c r="F25" s="28"/>
    </row>
    <row r="26" spans="1:6" ht="17.25" hidden="1" customHeight="1" x14ac:dyDescent="0.35">
      <c r="A26" s="27">
        <v>2279</v>
      </c>
      <c r="B26" s="29" t="s">
        <v>14</v>
      </c>
      <c r="C26" s="93">
        <v>0</v>
      </c>
      <c r="D26" s="28"/>
      <c r="E26" s="28"/>
      <c r="F26" s="28"/>
    </row>
    <row r="27" spans="1:6" ht="17.25" customHeight="1" x14ac:dyDescent="0.35">
      <c r="A27" s="27">
        <v>2311</v>
      </c>
      <c r="B27" s="29" t="s">
        <v>72</v>
      </c>
      <c r="C27" s="93">
        <v>10.23</v>
      </c>
      <c r="D27" s="28"/>
      <c r="E27" s="28"/>
      <c r="F27" s="28"/>
    </row>
    <row r="28" spans="1:6" x14ac:dyDescent="0.35">
      <c r="A28" s="27">
        <v>2312</v>
      </c>
      <c r="B28" s="29" t="s">
        <v>16</v>
      </c>
      <c r="C28" s="93">
        <v>65.52</v>
      </c>
      <c r="D28" s="28"/>
      <c r="E28" s="28"/>
      <c r="F28" s="28"/>
    </row>
    <row r="29" spans="1:6" ht="15" customHeight="1" x14ac:dyDescent="0.35">
      <c r="A29" s="27">
        <v>2321</v>
      </c>
      <c r="B29" s="29" t="s">
        <v>17</v>
      </c>
      <c r="C29" s="93">
        <v>21.03</v>
      </c>
      <c r="D29" s="28">
        <v>0</v>
      </c>
      <c r="E29" s="28" t="e">
        <f>ROUND(#REF!/2,2)</f>
        <v>#REF!</v>
      </c>
      <c r="F29" s="28"/>
    </row>
    <row r="30" spans="1:6" x14ac:dyDescent="0.35">
      <c r="A30" s="27">
        <v>2350</v>
      </c>
      <c r="B30" s="29" t="s">
        <v>19</v>
      </c>
      <c r="C30" s="93">
        <v>16.98</v>
      </c>
      <c r="D30" s="28">
        <v>0</v>
      </c>
      <c r="E30" s="28" t="e">
        <f>ROUND(#REF!/2,2)</f>
        <v>#REF!</v>
      </c>
      <c r="F30" s="28"/>
    </row>
    <row r="31" spans="1:6" hidden="1" x14ac:dyDescent="0.35">
      <c r="A31" s="27">
        <v>2361</v>
      </c>
      <c r="B31" s="29" t="s">
        <v>20</v>
      </c>
      <c r="C31" s="93">
        <v>0</v>
      </c>
      <c r="D31" s="28"/>
      <c r="E31" s="28"/>
      <c r="F31" s="28"/>
    </row>
    <row r="32" spans="1:6" x14ac:dyDescent="0.35">
      <c r="A32" s="27">
        <v>2370</v>
      </c>
      <c r="B32" s="29" t="s">
        <v>69</v>
      </c>
      <c r="C32" s="93">
        <v>11.57</v>
      </c>
      <c r="D32" s="28"/>
      <c r="E32" s="28"/>
      <c r="F32" s="28"/>
    </row>
    <row r="33" spans="1:6" hidden="1" x14ac:dyDescent="0.35">
      <c r="A33" s="55">
        <v>2513</v>
      </c>
      <c r="B33" s="29" t="s">
        <v>22</v>
      </c>
      <c r="C33" s="93">
        <v>0</v>
      </c>
      <c r="D33" s="28"/>
      <c r="E33" s="28"/>
      <c r="F33" s="28"/>
    </row>
    <row r="34" spans="1:6" x14ac:dyDescent="0.35">
      <c r="A34" s="27">
        <v>5230</v>
      </c>
      <c r="B34" s="29" t="s">
        <v>57</v>
      </c>
      <c r="C34" s="93">
        <v>101.87</v>
      </c>
      <c r="D34" s="28">
        <v>0</v>
      </c>
      <c r="E34" s="28" t="e">
        <f>ROUND(#REF!/2,2)</f>
        <v>#REF!</v>
      </c>
      <c r="F34" s="28"/>
    </row>
    <row r="35" spans="1:6" x14ac:dyDescent="0.25">
      <c r="A35" s="27"/>
      <c r="B35" s="30" t="s">
        <v>65</v>
      </c>
      <c r="C35" s="31">
        <f>SUM(C16:C34)</f>
        <v>1868.8399999999997</v>
      </c>
      <c r="D35" s="31">
        <f>SUM(D16:D34)</f>
        <v>0</v>
      </c>
      <c r="E35" s="31" t="e">
        <f>SUM(E16:E34)</f>
        <v>#REF!</v>
      </c>
      <c r="F35" s="31"/>
    </row>
    <row r="36" spans="1:6" x14ac:dyDescent="0.25">
      <c r="A36" s="32"/>
      <c r="B36" s="27" t="s">
        <v>64</v>
      </c>
      <c r="C36" s="26"/>
      <c r="D36" s="26"/>
      <c r="E36" s="26"/>
      <c r="F36" s="26"/>
    </row>
    <row r="37" spans="1:6" x14ac:dyDescent="0.35">
      <c r="A37" s="27">
        <v>1100</v>
      </c>
      <c r="B37" s="27" t="s">
        <v>63</v>
      </c>
      <c r="C37" s="93">
        <v>342.09</v>
      </c>
      <c r="D37" s="28">
        <v>0</v>
      </c>
      <c r="E37" s="28" t="e">
        <f>ROUND(#REF!/2,2)</f>
        <v>#REF!</v>
      </c>
      <c r="F37" s="28"/>
    </row>
    <row r="38" spans="1:6" ht="31" x14ac:dyDescent="0.35">
      <c r="A38" s="27">
        <v>1200</v>
      </c>
      <c r="B38" s="29" t="s">
        <v>62</v>
      </c>
      <c r="C38" s="93">
        <v>82.41</v>
      </c>
      <c r="D38" s="28">
        <v>0</v>
      </c>
      <c r="E38" s="28" t="e">
        <f>ROUND(#REF!/2,2)</f>
        <v>#REF!</v>
      </c>
      <c r="F38" s="28"/>
    </row>
    <row r="39" spans="1:6" x14ac:dyDescent="0.35">
      <c r="A39" s="33">
        <v>2210</v>
      </c>
      <c r="B39" s="29" t="s">
        <v>27</v>
      </c>
      <c r="C39" s="93">
        <v>1.83</v>
      </c>
      <c r="D39" s="28">
        <v>0</v>
      </c>
      <c r="E39" s="28" t="e">
        <f>ROUND(#REF!/2,2)</f>
        <v>#REF!</v>
      </c>
      <c r="F39" s="28"/>
    </row>
    <row r="40" spans="1:6" x14ac:dyDescent="0.35">
      <c r="A40" s="33">
        <v>2224</v>
      </c>
      <c r="B40" s="29" t="s">
        <v>85</v>
      </c>
      <c r="C40" s="93">
        <v>1.46</v>
      </c>
      <c r="D40" s="28"/>
      <c r="E40" s="28"/>
      <c r="F40" s="28"/>
    </row>
    <row r="41" spans="1:6" ht="14.25" customHeight="1" x14ac:dyDescent="0.35">
      <c r="A41" s="27">
        <v>2230</v>
      </c>
      <c r="B41" s="29" t="s">
        <v>30</v>
      </c>
      <c r="C41" s="93">
        <v>5.42</v>
      </c>
      <c r="D41" s="28">
        <v>0</v>
      </c>
      <c r="E41" s="28">
        <f t="shared" ref="E41:E56" si="0">ROUND(C41/2,2)</f>
        <v>2.71</v>
      </c>
      <c r="F41" s="28"/>
    </row>
    <row r="42" spans="1:6" hidden="1" x14ac:dyDescent="0.35">
      <c r="A42" s="27">
        <v>2241</v>
      </c>
      <c r="B42" s="29" t="s">
        <v>7</v>
      </c>
      <c r="C42" s="93">
        <v>0</v>
      </c>
      <c r="D42" s="28">
        <v>0</v>
      </c>
      <c r="E42" s="28">
        <f t="shared" si="0"/>
        <v>0</v>
      </c>
      <c r="F42" s="28"/>
    </row>
    <row r="43" spans="1:6" x14ac:dyDescent="0.35">
      <c r="A43" s="27">
        <v>2242</v>
      </c>
      <c r="B43" s="29" t="s">
        <v>8</v>
      </c>
      <c r="C43" s="93">
        <v>0.64</v>
      </c>
      <c r="D43" s="28">
        <v>0</v>
      </c>
      <c r="E43" s="28">
        <f t="shared" si="0"/>
        <v>0.32</v>
      </c>
      <c r="F43" s="28"/>
    </row>
    <row r="44" spans="1:6" x14ac:dyDescent="0.35">
      <c r="A44" s="27">
        <v>2243</v>
      </c>
      <c r="B44" s="29" t="s">
        <v>9</v>
      </c>
      <c r="C44" s="93">
        <v>17.7</v>
      </c>
      <c r="D44" s="28">
        <v>0</v>
      </c>
      <c r="E44" s="28">
        <f t="shared" si="0"/>
        <v>8.85</v>
      </c>
      <c r="F44" s="28"/>
    </row>
    <row r="45" spans="1:6" x14ac:dyDescent="0.35">
      <c r="A45" s="27">
        <v>2244</v>
      </c>
      <c r="B45" s="29" t="s">
        <v>10</v>
      </c>
      <c r="C45" s="93">
        <v>1.6</v>
      </c>
      <c r="D45" s="28"/>
      <c r="E45" s="28"/>
      <c r="F45" s="28"/>
    </row>
    <row r="46" spans="1:6" x14ac:dyDescent="0.35">
      <c r="A46" s="27">
        <v>2247</v>
      </c>
      <c r="B46" s="25" t="s">
        <v>59</v>
      </c>
      <c r="C46" s="93">
        <v>0.46</v>
      </c>
      <c r="D46" s="28">
        <v>0</v>
      </c>
      <c r="E46" s="28">
        <f t="shared" si="0"/>
        <v>0.23</v>
      </c>
      <c r="F46" s="28"/>
    </row>
    <row r="47" spans="1:6" x14ac:dyDescent="0.35">
      <c r="A47" s="27">
        <v>2251</v>
      </c>
      <c r="B47" s="29" t="s">
        <v>60</v>
      </c>
      <c r="C47" s="93">
        <v>4.53</v>
      </c>
      <c r="D47" s="28">
        <v>0</v>
      </c>
      <c r="E47" s="28">
        <f t="shared" si="0"/>
        <v>2.27</v>
      </c>
      <c r="F47" s="28"/>
    </row>
    <row r="48" spans="1:6" x14ac:dyDescent="0.35">
      <c r="A48" s="27">
        <v>2259</v>
      </c>
      <c r="B48" s="29" t="s">
        <v>61</v>
      </c>
      <c r="C48" s="93">
        <v>2.25</v>
      </c>
      <c r="D48" s="28">
        <v>0</v>
      </c>
      <c r="E48" s="28">
        <f t="shared" si="0"/>
        <v>1.1299999999999999</v>
      </c>
      <c r="F48" s="28"/>
    </row>
    <row r="49" spans="1:6" x14ac:dyDescent="0.35">
      <c r="A49" s="27">
        <v>2261</v>
      </c>
      <c r="B49" s="29" t="s">
        <v>11</v>
      </c>
      <c r="C49" s="93">
        <v>4.01</v>
      </c>
      <c r="D49" s="28"/>
      <c r="E49" s="28"/>
      <c r="F49" s="28"/>
    </row>
    <row r="50" spans="1:6" x14ac:dyDescent="0.35">
      <c r="A50" s="27">
        <v>2262</v>
      </c>
      <c r="B50" s="29" t="s">
        <v>12</v>
      </c>
      <c r="C50" s="93">
        <v>3.15</v>
      </c>
      <c r="D50" s="28">
        <v>0</v>
      </c>
      <c r="E50" s="28">
        <f t="shared" si="0"/>
        <v>1.58</v>
      </c>
      <c r="F50" s="28"/>
    </row>
    <row r="51" spans="1:6" x14ac:dyDescent="0.35">
      <c r="A51" s="27">
        <v>2264</v>
      </c>
      <c r="B51" s="29" t="s">
        <v>13</v>
      </c>
      <c r="C51" s="93">
        <v>0.2</v>
      </c>
      <c r="D51" s="28">
        <v>0</v>
      </c>
      <c r="E51" s="28">
        <f t="shared" si="0"/>
        <v>0.1</v>
      </c>
      <c r="F51" s="28"/>
    </row>
    <row r="52" spans="1:6" x14ac:dyDescent="0.35">
      <c r="A52" s="27">
        <v>2279</v>
      </c>
      <c r="B52" s="29" t="s">
        <v>14</v>
      </c>
      <c r="C52" s="93">
        <v>2.11</v>
      </c>
      <c r="D52" s="28">
        <v>0</v>
      </c>
      <c r="E52" s="28">
        <f t="shared" si="0"/>
        <v>1.06</v>
      </c>
      <c r="F52" s="28"/>
    </row>
    <row r="53" spans="1:6" x14ac:dyDescent="0.35">
      <c r="A53" s="27">
        <v>2311</v>
      </c>
      <c r="B53" s="29" t="s">
        <v>15</v>
      </c>
      <c r="C53" s="93">
        <v>1.1399999999999999</v>
      </c>
      <c r="D53" s="28">
        <v>0</v>
      </c>
      <c r="E53" s="28">
        <f t="shared" si="0"/>
        <v>0.56999999999999995</v>
      </c>
      <c r="F53" s="28"/>
    </row>
    <row r="54" spans="1:6" x14ac:dyDescent="0.35">
      <c r="A54" s="27">
        <v>2312</v>
      </c>
      <c r="B54" s="29" t="s">
        <v>16</v>
      </c>
      <c r="C54" s="93">
        <v>0.64</v>
      </c>
      <c r="D54" s="28">
        <v>0</v>
      </c>
      <c r="E54" s="28">
        <f t="shared" si="0"/>
        <v>0.32</v>
      </c>
      <c r="F54" s="28"/>
    </row>
    <row r="55" spans="1:6" x14ac:dyDescent="0.35">
      <c r="A55" s="27">
        <v>2322</v>
      </c>
      <c r="B55" s="29" t="s">
        <v>18</v>
      </c>
      <c r="C55" s="93">
        <v>3.34</v>
      </c>
      <c r="D55" s="28">
        <v>0</v>
      </c>
      <c r="E55" s="28">
        <f t="shared" si="0"/>
        <v>1.67</v>
      </c>
      <c r="F55" s="28"/>
    </row>
    <row r="56" spans="1:6" x14ac:dyDescent="0.35">
      <c r="A56" s="27">
        <v>2350</v>
      </c>
      <c r="B56" s="29" t="s">
        <v>19</v>
      </c>
      <c r="C56" s="93">
        <v>7.14</v>
      </c>
      <c r="D56" s="28">
        <v>0</v>
      </c>
      <c r="E56" s="28">
        <f t="shared" si="0"/>
        <v>3.57</v>
      </c>
      <c r="F56" s="28"/>
    </row>
    <row r="57" spans="1:6" ht="1.5" hidden="1" customHeight="1" x14ac:dyDescent="0.35">
      <c r="A57" s="27">
        <v>2361</v>
      </c>
      <c r="B57" s="29" t="s">
        <v>20</v>
      </c>
      <c r="C57" s="93">
        <v>0</v>
      </c>
      <c r="D57" s="28"/>
      <c r="E57" s="28"/>
      <c r="F57" s="28"/>
    </row>
    <row r="58" spans="1:6" x14ac:dyDescent="0.35">
      <c r="A58" s="27">
        <v>2370</v>
      </c>
      <c r="B58" s="29" t="s">
        <v>69</v>
      </c>
      <c r="C58" s="93">
        <v>3.03</v>
      </c>
      <c r="D58" s="28"/>
      <c r="E58" s="28"/>
      <c r="F58" s="28"/>
    </row>
    <row r="59" spans="1:6" x14ac:dyDescent="0.35">
      <c r="A59" s="27">
        <v>2400</v>
      </c>
      <c r="B59" s="29" t="s">
        <v>31</v>
      </c>
      <c r="C59" s="93">
        <v>0.21</v>
      </c>
      <c r="D59" s="28"/>
      <c r="E59" s="28"/>
      <c r="F59" s="28"/>
    </row>
    <row r="60" spans="1:6" ht="15" customHeight="1" x14ac:dyDescent="0.35">
      <c r="A60" s="27">
        <v>2513</v>
      </c>
      <c r="B60" s="29" t="s">
        <v>22</v>
      </c>
      <c r="C60" s="93">
        <v>1.41</v>
      </c>
      <c r="D60" s="28"/>
      <c r="E60" s="28"/>
      <c r="F60" s="28"/>
    </row>
    <row r="61" spans="1:6" ht="0.75" hidden="1" customHeight="1" x14ac:dyDescent="0.35">
      <c r="A61" s="27">
        <v>2515</v>
      </c>
      <c r="B61" s="29" t="s">
        <v>58</v>
      </c>
      <c r="C61" s="93">
        <v>0</v>
      </c>
      <c r="D61" s="28"/>
      <c r="E61" s="28"/>
      <c r="F61" s="28"/>
    </row>
    <row r="62" spans="1:6" x14ac:dyDescent="0.35">
      <c r="A62" s="27">
        <v>2519</v>
      </c>
      <c r="B62" s="29" t="s">
        <v>24</v>
      </c>
      <c r="C62" s="93">
        <v>11.27</v>
      </c>
      <c r="D62" s="28"/>
      <c r="E62" s="28"/>
      <c r="F62" s="28"/>
    </row>
    <row r="63" spans="1:6" x14ac:dyDescent="0.35">
      <c r="A63" s="27">
        <v>5232</v>
      </c>
      <c r="B63" s="29" t="s">
        <v>23</v>
      </c>
      <c r="C63" s="93">
        <v>9.57</v>
      </c>
      <c r="D63" s="28"/>
      <c r="E63" s="28"/>
      <c r="F63" s="28"/>
    </row>
    <row r="64" spans="1:6" hidden="1" x14ac:dyDescent="0.35">
      <c r="A64" s="27">
        <v>5240</v>
      </c>
      <c r="B64" s="29" t="s">
        <v>25</v>
      </c>
      <c r="C64" s="63">
        <v>0</v>
      </c>
      <c r="D64" s="28"/>
      <c r="E64" s="28"/>
      <c r="F64" s="28"/>
    </row>
    <row r="65" spans="1:6" hidden="1" x14ac:dyDescent="0.35">
      <c r="A65" s="27">
        <v>5250</v>
      </c>
      <c r="B65" s="29" t="s">
        <v>26</v>
      </c>
      <c r="C65" s="63">
        <v>0</v>
      </c>
      <c r="D65" s="28"/>
      <c r="E65" s="28"/>
      <c r="F65" s="28"/>
    </row>
    <row r="66" spans="1:6" x14ac:dyDescent="0.25">
      <c r="A66" s="32"/>
      <c r="B66" s="34" t="s">
        <v>66</v>
      </c>
      <c r="C66" s="31">
        <f>SUM(C37:C65)</f>
        <v>507.60999999999979</v>
      </c>
      <c r="D66" s="31">
        <f>SUM(D37:D56)</f>
        <v>0</v>
      </c>
      <c r="E66" s="31" t="e">
        <f>SUM(E37:E56)</f>
        <v>#REF!</v>
      </c>
      <c r="F66" s="31"/>
    </row>
    <row r="67" spans="1:6" x14ac:dyDescent="0.25">
      <c r="A67" s="32"/>
      <c r="B67" s="34" t="s">
        <v>32</v>
      </c>
      <c r="C67" s="31">
        <f>C35+C66</f>
        <v>2376.4499999999994</v>
      </c>
      <c r="D67" s="31" t="e">
        <f>#REF!+D28</f>
        <v>#REF!</v>
      </c>
      <c r="E67" s="31" t="e">
        <f>#REF!+E28</f>
        <v>#REF!</v>
      </c>
      <c r="F67" s="31"/>
    </row>
    <row r="68" spans="1:6" ht="0.75" customHeight="1" x14ac:dyDescent="0.25">
      <c r="A68" s="27">
        <v>6290</v>
      </c>
      <c r="B68" s="29" t="s">
        <v>34</v>
      </c>
      <c r="C68" s="28"/>
      <c r="D68" s="46">
        <v>0</v>
      </c>
      <c r="E68" s="28">
        <f>ROUND(C68/1007*504,2)</f>
        <v>0</v>
      </c>
      <c r="F68" s="28"/>
    </row>
    <row r="69" spans="1:6" hidden="1" x14ac:dyDescent="0.25">
      <c r="A69" s="27">
        <v>5250</v>
      </c>
      <c r="B69" s="29" t="s">
        <v>26</v>
      </c>
      <c r="C69" s="45"/>
      <c r="D69" s="29"/>
      <c r="E69" s="29"/>
      <c r="F69" s="45"/>
    </row>
    <row r="70" spans="1:6" ht="0.75" customHeight="1" x14ac:dyDescent="0.25">
      <c r="A70" s="32"/>
      <c r="B70" s="34" t="s">
        <v>32</v>
      </c>
      <c r="C70" s="31">
        <f>C67+C68+C69</f>
        <v>2376.4499999999994</v>
      </c>
      <c r="D70" s="47" t="e">
        <f>#REF!+D28</f>
        <v>#REF!</v>
      </c>
      <c r="E70" s="31" t="e">
        <f>#REF!+E28</f>
        <v>#REF!</v>
      </c>
      <c r="F70" s="31"/>
    </row>
    <row r="71" spans="1:6" x14ac:dyDescent="0.35">
      <c r="A71" s="35"/>
      <c r="B71" s="20"/>
      <c r="D71" s="20"/>
      <c r="E71" s="20"/>
      <c r="F71" s="6"/>
    </row>
    <row r="72" spans="1:6" x14ac:dyDescent="0.25">
      <c r="A72" s="262" t="s">
        <v>45</v>
      </c>
      <c r="B72" s="262"/>
      <c r="C72" s="107">
        <v>1</v>
      </c>
      <c r="D72" s="21">
        <v>0</v>
      </c>
      <c r="E72" s="21">
        <v>504</v>
      </c>
      <c r="F72" s="21"/>
    </row>
    <row r="73" spans="1:6" x14ac:dyDescent="0.3">
      <c r="A73" s="262" t="s">
        <v>46</v>
      </c>
      <c r="B73" s="262"/>
      <c r="C73" s="108">
        <f>C70/C72</f>
        <v>2376.4499999999994</v>
      </c>
      <c r="D73" s="37">
        <v>0</v>
      </c>
      <c r="E73" s="37" t="e">
        <f>E70/E72</f>
        <v>#REF!</v>
      </c>
      <c r="F73" s="37"/>
    </row>
    <row r="74" spans="1:6" x14ac:dyDescent="0.3">
      <c r="A74" s="9"/>
      <c r="B74" s="9"/>
      <c r="C74" s="36"/>
      <c r="D74" s="36"/>
      <c r="E74" s="36"/>
      <c r="F74" s="36"/>
    </row>
    <row r="75" spans="1:6" x14ac:dyDescent="0.35">
      <c r="A75" s="267" t="s">
        <v>37</v>
      </c>
      <c r="B75" s="268"/>
      <c r="C75" s="39"/>
      <c r="D75" s="39"/>
      <c r="E75" s="39"/>
      <c r="F75" s="39"/>
    </row>
    <row r="76" spans="1:6" x14ac:dyDescent="0.35">
      <c r="A76" s="267" t="s">
        <v>54</v>
      </c>
      <c r="B76" s="268"/>
      <c r="C76" s="40"/>
      <c r="D76" s="40"/>
      <c r="E76" s="39"/>
      <c r="F76" s="39"/>
    </row>
    <row r="77" spans="1:6" x14ac:dyDescent="0.35">
      <c r="A77" s="17" t="s">
        <v>38</v>
      </c>
      <c r="B77" s="17"/>
      <c r="C77" s="17"/>
      <c r="D77" s="17"/>
      <c r="E77" s="17"/>
      <c r="F77" s="17"/>
    </row>
    <row r="78" spans="1:6" x14ac:dyDescent="0.35">
      <c r="A78" s="17"/>
      <c r="B78" s="17"/>
      <c r="C78" s="17"/>
      <c r="D78" s="17"/>
      <c r="E78" s="17"/>
      <c r="F78" s="17"/>
    </row>
    <row r="79" spans="1:6" x14ac:dyDescent="0.35">
      <c r="A79" s="17" t="s">
        <v>47</v>
      </c>
      <c r="B79" s="18"/>
      <c r="C79" s="18"/>
      <c r="D79" s="18"/>
      <c r="E79" s="18"/>
      <c r="F79" s="18"/>
    </row>
    <row r="80" spans="1:6" x14ac:dyDescent="0.35">
      <c r="A80" s="17"/>
      <c r="B80" s="96"/>
      <c r="C80" s="19"/>
      <c r="D80" s="19"/>
      <c r="E80" s="17"/>
      <c r="F80" s="17"/>
    </row>
    <row r="81" spans="1:6" x14ac:dyDescent="0.35">
      <c r="A81" s="17"/>
      <c r="B81" s="19"/>
      <c r="C81" s="17"/>
      <c r="D81" s="2"/>
      <c r="E81" s="2"/>
      <c r="F81" s="2"/>
    </row>
    <row r="82" spans="1:6" x14ac:dyDescent="0.35">
      <c r="C82" s="100"/>
      <c r="D82" s="1"/>
      <c r="E82" s="1"/>
      <c r="F82" s="1"/>
    </row>
    <row r="83" spans="1:6" x14ac:dyDescent="0.35">
      <c r="D83" s="3"/>
      <c r="E83" s="3"/>
      <c r="F83" s="3"/>
    </row>
    <row r="84" spans="1:6" x14ac:dyDescent="0.35">
      <c r="D84" s="3"/>
      <c r="E84" s="3"/>
      <c r="F84" s="3"/>
    </row>
  </sheetData>
  <mergeCells count="11">
    <mergeCell ref="B5:F5"/>
    <mergeCell ref="A72:B72"/>
    <mergeCell ref="A73:B73"/>
    <mergeCell ref="A75:B75"/>
    <mergeCell ref="A76:B76"/>
    <mergeCell ref="B1:F1"/>
    <mergeCell ref="B2:F2"/>
    <mergeCell ref="B3:F3"/>
    <mergeCell ref="A6:F6"/>
    <mergeCell ref="A7:B7"/>
    <mergeCell ref="A8:B8"/>
  </mergeCells>
  <pageMargins left="0.7" right="0.7" top="0.75" bottom="0.75" header="0.3" footer="0.3"/>
  <pageSetup paperSize="9" scale="63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4"/>
  <sheetViews>
    <sheetView view="pageLayout" zoomScale="90" zoomScaleNormal="100" zoomScalePageLayoutView="90" workbookViewId="0">
      <selection activeCell="B33" sqref="B33"/>
    </sheetView>
  </sheetViews>
  <sheetFormatPr defaultRowHeight="15.5" x14ac:dyDescent="0.35"/>
  <cols>
    <col min="1" max="1" width="12.7265625" style="6" customWidth="1"/>
    <col min="2" max="2" width="95.7265625" style="6" customWidth="1"/>
    <col min="3" max="3" width="32.26953125" style="6" customWidth="1"/>
  </cols>
  <sheetData>
    <row r="1" spans="1:3" x14ac:dyDescent="0.35">
      <c r="A1" s="13"/>
      <c r="B1" s="258" t="s">
        <v>35</v>
      </c>
      <c r="C1" s="258"/>
    </row>
    <row r="2" spans="1:3" x14ac:dyDescent="0.35">
      <c r="A2" s="13"/>
      <c r="B2" s="260" t="s">
        <v>39</v>
      </c>
      <c r="C2" s="260"/>
    </row>
    <row r="3" spans="1:3" x14ac:dyDescent="0.35">
      <c r="A3" s="13"/>
      <c r="B3" s="257" t="s">
        <v>135</v>
      </c>
      <c r="C3" s="264"/>
    </row>
    <row r="4" spans="1:3" x14ac:dyDescent="0.35">
      <c r="A4" s="13"/>
      <c r="B4" s="35"/>
      <c r="C4" s="96"/>
    </row>
    <row r="5" spans="1:3" x14ac:dyDescent="0.35">
      <c r="A5" s="13"/>
      <c r="B5" s="260" t="str">
        <f>'3.1.2.'!B5:F5</f>
        <v xml:space="preserve">2020.gada 07.aprīlī </v>
      </c>
      <c r="C5" s="260"/>
    </row>
    <row r="6" spans="1:3" x14ac:dyDescent="0.35">
      <c r="A6" s="13"/>
      <c r="B6" s="11"/>
      <c r="C6" s="11"/>
    </row>
    <row r="7" spans="1:3" ht="15" x14ac:dyDescent="0.3">
      <c r="A7" s="263" t="s">
        <v>5</v>
      </c>
      <c r="B7" s="263"/>
      <c r="C7" s="263"/>
    </row>
    <row r="8" spans="1:3" ht="15" x14ac:dyDescent="0.3">
      <c r="A8" s="97"/>
      <c r="B8" s="97"/>
      <c r="C8" s="97"/>
    </row>
    <row r="9" spans="1:3" x14ac:dyDescent="0.25">
      <c r="A9" s="262" t="s">
        <v>1</v>
      </c>
      <c r="B9" s="262"/>
      <c r="C9" s="9"/>
    </row>
    <row r="10" spans="1:3" x14ac:dyDescent="0.25">
      <c r="A10" s="262" t="s">
        <v>0</v>
      </c>
      <c r="B10" s="262"/>
      <c r="C10" s="9"/>
    </row>
    <row r="11" spans="1:3" x14ac:dyDescent="0.25">
      <c r="A11" s="9"/>
      <c r="B11" s="9" t="s">
        <v>87</v>
      </c>
      <c r="C11" s="9"/>
    </row>
    <row r="12" spans="1:3" x14ac:dyDescent="0.25">
      <c r="A12" s="9"/>
      <c r="B12" s="262" t="s">
        <v>89</v>
      </c>
      <c r="C12" s="265"/>
    </row>
    <row r="13" spans="1:3" x14ac:dyDescent="0.25">
      <c r="A13" s="9"/>
      <c r="B13" s="262" t="s">
        <v>91</v>
      </c>
      <c r="C13" s="262"/>
    </row>
    <row r="14" spans="1:3" x14ac:dyDescent="0.25">
      <c r="A14" s="9" t="s">
        <v>2</v>
      </c>
      <c r="B14" s="9" t="str">
        <f>'3.1.2.'!B12</f>
        <v>2019.gadā un turpmāk</v>
      </c>
      <c r="C14" s="9"/>
    </row>
    <row r="15" spans="1:3" ht="62.25" customHeight="1" x14ac:dyDescent="0.25">
      <c r="A15" s="54" t="s">
        <v>3</v>
      </c>
      <c r="B15" s="54" t="s">
        <v>4</v>
      </c>
      <c r="C15" s="54" t="s">
        <v>53</v>
      </c>
    </row>
    <row r="16" spans="1:3" ht="15" x14ac:dyDescent="0.25">
      <c r="A16" s="22">
        <v>1</v>
      </c>
      <c r="B16" s="23">
        <v>2</v>
      </c>
      <c r="C16" s="23">
        <v>3</v>
      </c>
    </row>
    <row r="17" spans="1:3" x14ac:dyDescent="0.25">
      <c r="A17" s="24"/>
      <c r="B17" s="25" t="s">
        <v>68</v>
      </c>
      <c r="C17" s="32"/>
    </row>
    <row r="18" spans="1:3" x14ac:dyDescent="0.35">
      <c r="A18" s="27">
        <v>1100</v>
      </c>
      <c r="B18" s="27" t="s">
        <v>63</v>
      </c>
      <c r="C18" s="93">
        <v>1184.8900000000001</v>
      </c>
    </row>
    <row r="19" spans="1:3" ht="15.75" customHeight="1" x14ac:dyDescent="0.35">
      <c r="A19" s="27">
        <v>1200</v>
      </c>
      <c r="B19" s="29" t="s">
        <v>62</v>
      </c>
      <c r="C19" s="93">
        <v>285.44</v>
      </c>
    </row>
    <row r="20" spans="1:3" x14ac:dyDescent="0.35">
      <c r="A20" s="27">
        <v>2210</v>
      </c>
      <c r="B20" s="29" t="s">
        <v>27</v>
      </c>
      <c r="C20" s="93">
        <v>0</v>
      </c>
    </row>
    <row r="21" spans="1:3" x14ac:dyDescent="0.35">
      <c r="A21" s="27">
        <v>2222</v>
      </c>
      <c r="B21" s="29" t="s">
        <v>28</v>
      </c>
      <c r="C21" s="93">
        <v>6.2</v>
      </c>
    </row>
    <row r="22" spans="1:3" x14ac:dyDescent="0.35">
      <c r="A22" s="27">
        <v>2223</v>
      </c>
      <c r="B22" s="29" t="s">
        <v>29</v>
      </c>
      <c r="C22" s="93">
        <v>21.27</v>
      </c>
    </row>
    <row r="23" spans="1:3" hidden="1" x14ac:dyDescent="0.35">
      <c r="A23" s="27">
        <v>2243</v>
      </c>
      <c r="B23" s="29" t="s">
        <v>9</v>
      </c>
      <c r="C23" s="93">
        <v>0</v>
      </c>
    </row>
    <row r="24" spans="1:3" x14ac:dyDescent="0.35">
      <c r="A24" s="27">
        <v>2244</v>
      </c>
      <c r="B24" s="29" t="s">
        <v>10</v>
      </c>
      <c r="C24" s="93">
        <v>43.88</v>
      </c>
    </row>
    <row r="25" spans="1:3" hidden="1" x14ac:dyDescent="0.35">
      <c r="A25" s="27">
        <v>2251</v>
      </c>
      <c r="B25" s="29" t="s">
        <v>60</v>
      </c>
      <c r="C25" s="93">
        <v>0</v>
      </c>
    </row>
    <row r="26" spans="1:3" hidden="1" x14ac:dyDescent="0.35">
      <c r="A26" s="27">
        <v>2261</v>
      </c>
      <c r="B26" s="29" t="s">
        <v>11</v>
      </c>
      <c r="C26" s="93">
        <v>0</v>
      </c>
    </row>
    <row r="27" spans="1:3" hidden="1" x14ac:dyDescent="0.35">
      <c r="A27" s="27">
        <v>2264</v>
      </c>
      <c r="B27" s="29" t="s">
        <v>13</v>
      </c>
      <c r="C27" s="93">
        <v>0</v>
      </c>
    </row>
    <row r="28" spans="1:3" hidden="1" x14ac:dyDescent="0.35">
      <c r="A28" s="27">
        <v>2279</v>
      </c>
      <c r="B28" s="29" t="s">
        <v>14</v>
      </c>
      <c r="C28" s="93">
        <v>0</v>
      </c>
    </row>
    <row r="29" spans="1:3" x14ac:dyDescent="0.35">
      <c r="A29" s="27">
        <v>2311</v>
      </c>
      <c r="B29" s="29" t="s">
        <v>72</v>
      </c>
      <c r="C29" s="93">
        <v>5.44</v>
      </c>
    </row>
    <row r="30" spans="1:3" x14ac:dyDescent="0.35">
      <c r="A30" s="27">
        <v>2312</v>
      </c>
      <c r="B30" s="29" t="s">
        <v>16</v>
      </c>
      <c r="C30" s="93">
        <v>20.16</v>
      </c>
    </row>
    <row r="31" spans="1:3" x14ac:dyDescent="0.35">
      <c r="A31" s="27">
        <v>2321</v>
      </c>
      <c r="B31" s="29" t="s">
        <v>17</v>
      </c>
      <c r="C31" s="93">
        <v>23.85</v>
      </c>
    </row>
    <row r="32" spans="1:3" hidden="1" x14ac:dyDescent="0.35">
      <c r="A32" s="27">
        <v>2350</v>
      </c>
      <c r="B32" s="29" t="s">
        <v>19</v>
      </c>
      <c r="C32" s="93">
        <v>0</v>
      </c>
    </row>
    <row r="33" spans="1:3" x14ac:dyDescent="0.35">
      <c r="A33" s="27">
        <v>2361</v>
      </c>
      <c r="B33" s="29" t="s">
        <v>20</v>
      </c>
      <c r="C33" s="93">
        <v>7.43</v>
      </c>
    </row>
    <row r="34" spans="1:3" x14ac:dyDescent="0.35">
      <c r="A34" s="27">
        <v>2370</v>
      </c>
      <c r="B34" s="29" t="s">
        <v>69</v>
      </c>
      <c r="C34" s="93">
        <v>16.28</v>
      </c>
    </row>
    <row r="35" spans="1:3" hidden="1" x14ac:dyDescent="0.35">
      <c r="A35" s="55">
        <v>2513</v>
      </c>
      <c r="B35" s="29" t="s">
        <v>22</v>
      </c>
      <c r="C35" s="93">
        <v>0</v>
      </c>
    </row>
    <row r="36" spans="1:3" x14ac:dyDescent="0.35">
      <c r="A36" s="27">
        <v>5230</v>
      </c>
      <c r="B36" s="29" t="s">
        <v>57</v>
      </c>
      <c r="C36" s="93">
        <v>28.3</v>
      </c>
    </row>
    <row r="37" spans="1:3" x14ac:dyDescent="0.25">
      <c r="A37" s="27"/>
      <c r="B37" s="30" t="s">
        <v>65</v>
      </c>
      <c r="C37" s="31">
        <f>SUM(C18:C36)</f>
        <v>1643.1400000000003</v>
      </c>
    </row>
    <row r="38" spans="1:3" x14ac:dyDescent="0.25">
      <c r="A38" s="32"/>
      <c r="B38" s="27" t="s">
        <v>64</v>
      </c>
      <c r="C38" s="26"/>
    </row>
    <row r="39" spans="1:3" x14ac:dyDescent="0.35">
      <c r="A39" s="27">
        <v>1100</v>
      </c>
      <c r="B39" s="27" t="s">
        <v>63</v>
      </c>
      <c r="C39" s="93">
        <v>393.07</v>
      </c>
    </row>
    <row r="40" spans="1:3" ht="31" x14ac:dyDescent="0.35">
      <c r="A40" s="27">
        <v>1200</v>
      </c>
      <c r="B40" s="29" t="s">
        <v>62</v>
      </c>
      <c r="C40" s="93">
        <v>94.69</v>
      </c>
    </row>
    <row r="41" spans="1:3" x14ac:dyDescent="0.35">
      <c r="A41" s="33">
        <v>2210</v>
      </c>
      <c r="B41" s="29" t="s">
        <v>27</v>
      </c>
      <c r="C41" s="93">
        <v>1.6</v>
      </c>
    </row>
    <row r="42" spans="1:3" x14ac:dyDescent="0.35">
      <c r="A42" s="33">
        <v>2224</v>
      </c>
      <c r="B42" s="29" t="s">
        <v>85</v>
      </c>
      <c r="C42" s="93">
        <v>1.28</v>
      </c>
    </row>
    <row r="43" spans="1:3" x14ac:dyDescent="0.35">
      <c r="A43" s="27">
        <v>2230</v>
      </c>
      <c r="B43" s="29" t="s">
        <v>30</v>
      </c>
      <c r="C43" s="93">
        <v>4.76</v>
      </c>
    </row>
    <row r="44" spans="1:3" hidden="1" x14ac:dyDescent="0.35">
      <c r="A44" s="27">
        <v>2241</v>
      </c>
      <c r="B44" s="29" t="s">
        <v>7</v>
      </c>
      <c r="C44" s="93">
        <v>0</v>
      </c>
    </row>
    <row r="45" spans="1:3" x14ac:dyDescent="0.35">
      <c r="A45" s="27">
        <v>2242</v>
      </c>
      <c r="B45" s="29" t="s">
        <v>8</v>
      </c>
      <c r="C45" s="93">
        <v>0.56000000000000005</v>
      </c>
    </row>
    <row r="46" spans="1:3" x14ac:dyDescent="0.35">
      <c r="A46" s="27">
        <v>2243</v>
      </c>
      <c r="B46" s="29" t="s">
        <v>9</v>
      </c>
      <c r="C46" s="93">
        <v>3.6</v>
      </c>
    </row>
    <row r="47" spans="1:3" x14ac:dyDescent="0.35">
      <c r="A47" s="27">
        <v>2244</v>
      </c>
      <c r="B47" s="29" t="s">
        <v>10</v>
      </c>
      <c r="C47" s="93">
        <v>1.41</v>
      </c>
    </row>
    <row r="48" spans="1:3" x14ac:dyDescent="0.35">
      <c r="A48" s="27">
        <v>2247</v>
      </c>
      <c r="B48" s="25" t="s">
        <v>59</v>
      </c>
      <c r="C48" s="93">
        <v>0.41</v>
      </c>
    </row>
    <row r="49" spans="1:3" x14ac:dyDescent="0.35">
      <c r="A49" s="27">
        <v>2251</v>
      </c>
      <c r="B49" s="29" t="s">
        <v>60</v>
      </c>
      <c r="C49" s="93">
        <v>3.99</v>
      </c>
    </row>
    <row r="50" spans="1:3" x14ac:dyDescent="0.35">
      <c r="A50" s="27">
        <v>2259</v>
      </c>
      <c r="B50" s="29" t="s">
        <v>61</v>
      </c>
      <c r="C50" s="93">
        <v>1.98</v>
      </c>
    </row>
    <row r="51" spans="1:3" x14ac:dyDescent="0.35">
      <c r="A51" s="27">
        <v>2261</v>
      </c>
      <c r="B51" s="29" t="s">
        <v>11</v>
      </c>
      <c r="C51" s="93">
        <v>3.53</v>
      </c>
    </row>
    <row r="52" spans="1:3" x14ac:dyDescent="0.35">
      <c r="A52" s="27">
        <v>2262</v>
      </c>
      <c r="B52" s="29" t="s">
        <v>12</v>
      </c>
      <c r="C52" s="93">
        <v>2.77</v>
      </c>
    </row>
    <row r="53" spans="1:3" x14ac:dyDescent="0.35">
      <c r="A53" s="27">
        <v>2264</v>
      </c>
      <c r="B53" s="29" t="s">
        <v>13</v>
      </c>
      <c r="C53" s="93">
        <v>0.18</v>
      </c>
    </row>
    <row r="54" spans="1:3" x14ac:dyDescent="0.35">
      <c r="A54" s="27">
        <v>2279</v>
      </c>
      <c r="B54" s="29" t="s">
        <v>14</v>
      </c>
      <c r="C54" s="93">
        <v>1.85</v>
      </c>
    </row>
    <row r="55" spans="1:3" x14ac:dyDescent="0.35">
      <c r="A55" s="27">
        <v>2311</v>
      </c>
      <c r="B55" s="29" t="s">
        <v>15</v>
      </c>
      <c r="C55" s="93">
        <v>1.01</v>
      </c>
    </row>
    <row r="56" spans="1:3" x14ac:dyDescent="0.35">
      <c r="A56" s="27">
        <v>2312</v>
      </c>
      <c r="B56" s="29" t="s">
        <v>16</v>
      </c>
      <c r="C56" s="93">
        <v>0.56000000000000005</v>
      </c>
    </row>
    <row r="57" spans="1:3" x14ac:dyDescent="0.35">
      <c r="A57" s="27">
        <v>2322</v>
      </c>
      <c r="B57" s="29" t="s">
        <v>18</v>
      </c>
      <c r="C57" s="93">
        <v>2.94</v>
      </c>
    </row>
    <row r="58" spans="1:3" x14ac:dyDescent="0.35">
      <c r="A58" s="27">
        <v>2350</v>
      </c>
      <c r="B58" s="29" t="s">
        <v>19</v>
      </c>
      <c r="C58" s="93">
        <v>6.28</v>
      </c>
    </row>
    <row r="59" spans="1:3" hidden="1" x14ac:dyDescent="0.35">
      <c r="A59" s="27">
        <v>2361</v>
      </c>
      <c r="B59" s="29" t="s">
        <v>20</v>
      </c>
      <c r="C59" s="93">
        <v>0</v>
      </c>
    </row>
    <row r="60" spans="1:3" x14ac:dyDescent="0.35">
      <c r="A60" s="27">
        <v>2370</v>
      </c>
      <c r="B60" s="29" t="s">
        <v>69</v>
      </c>
      <c r="C60" s="93">
        <v>2.66</v>
      </c>
    </row>
    <row r="61" spans="1:3" x14ac:dyDescent="0.35">
      <c r="A61" s="27">
        <v>2400</v>
      </c>
      <c r="B61" s="29" t="s">
        <v>31</v>
      </c>
      <c r="C61" s="93">
        <v>0.18</v>
      </c>
    </row>
    <row r="62" spans="1:3" x14ac:dyDescent="0.35">
      <c r="A62" s="27">
        <v>2513</v>
      </c>
      <c r="B62" s="29" t="s">
        <v>22</v>
      </c>
      <c r="C62" s="93">
        <v>1.23</v>
      </c>
    </row>
    <row r="63" spans="1:3" hidden="1" x14ac:dyDescent="0.35">
      <c r="A63" s="27">
        <v>2515</v>
      </c>
      <c r="B63" s="29" t="s">
        <v>58</v>
      </c>
      <c r="C63" s="93">
        <v>0</v>
      </c>
    </row>
    <row r="64" spans="1:3" x14ac:dyDescent="0.35">
      <c r="A64" s="27">
        <v>2519</v>
      </c>
      <c r="B64" s="29" t="s">
        <v>24</v>
      </c>
      <c r="C64" s="93">
        <v>9.91</v>
      </c>
    </row>
    <row r="65" spans="1:3" x14ac:dyDescent="0.35">
      <c r="A65" s="27">
        <v>5232</v>
      </c>
      <c r="B65" s="29" t="s">
        <v>23</v>
      </c>
      <c r="C65" s="93">
        <v>8.42</v>
      </c>
    </row>
    <row r="66" spans="1:3" hidden="1" x14ac:dyDescent="0.35">
      <c r="A66" s="27">
        <v>5240</v>
      </c>
      <c r="B66" s="29" t="s">
        <v>25</v>
      </c>
      <c r="C66" s="63">
        <v>0</v>
      </c>
    </row>
    <row r="67" spans="1:3" hidden="1" x14ac:dyDescent="0.35">
      <c r="A67" s="27">
        <v>5250</v>
      </c>
      <c r="B67" s="29" t="s">
        <v>26</v>
      </c>
      <c r="C67" s="63">
        <v>0</v>
      </c>
    </row>
    <row r="68" spans="1:3" x14ac:dyDescent="0.25">
      <c r="A68" s="32"/>
      <c r="B68" s="34" t="s">
        <v>66</v>
      </c>
      <c r="C68" s="31">
        <f>SUM(C39:C67)</f>
        <v>548.86999999999989</v>
      </c>
    </row>
    <row r="69" spans="1:3" ht="14.25" customHeight="1" x14ac:dyDescent="0.25">
      <c r="A69" s="32"/>
      <c r="B69" s="34" t="s">
        <v>32</v>
      </c>
      <c r="C69" s="31">
        <f>C37+C68</f>
        <v>2192.0100000000002</v>
      </c>
    </row>
    <row r="70" spans="1:3" hidden="1" x14ac:dyDescent="0.25">
      <c r="A70" s="27">
        <v>6290</v>
      </c>
      <c r="B70" s="29" t="s">
        <v>34</v>
      </c>
      <c r="C70" s="28"/>
    </row>
    <row r="71" spans="1:3" hidden="1" x14ac:dyDescent="0.25">
      <c r="A71" s="27">
        <v>5250</v>
      </c>
      <c r="B71" s="29" t="s">
        <v>26</v>
      </c>
      <c r="C71" s="45"/>
    </row>
    <row r="72" spans="1:3" hidden="1" x14ac:dyDescent="0.25">
      <c r="A72" s="32"/>
      <c r="B72" s="34" t="s">
        <v>32</v>
      </c>
      <c r="C72" s="31">
        <f>C69+C70+C71</f>
        <v>2192.0100000000002</v>
      </c>
    </row>
    <row r="73" spans="1:3" x14ac:dyDescent="0.35">
      <c r="A73" s="35"/>
      <c r="B73" s="20"/>
    </row>
    <row r="74" spans="1:3" x14ac:dyDescent="0.25">
      <c r="A74" s="262" t="s">
        <v>45</v>
      </c>
      <c r="B74" s="262"/>
      <c r="C74" s="107">
        <v>1</v>
      </c>
    </row>
    <row r="75" spans="1:3" x14ac:dyDescent="0.3">
      <c r="A75" s="262" t="s">
        <v>46</v>
      </c>
      <c r="B75" s="262"/>
      <c r="C75" s="108">
        <f>C72/C74</f>
        <v>2192.0100000000002</v>
      </c>
    </row>
    <row r="76" spans="1:3" x14ac:dyDescent="0.3">
      <c r="A76" s="9"/>
      <c r="B76" s="9"/>
      <c r="C76" s="36"/>
    </row>
    <row r="77" spans="1:3" x14ac:dyDescent="0.35">
      <c r="A77" s="267" t="s">
        <v>37</v>
      </c>
      <c r="B77" s="268"/>
      <c r="C77" s="39"/>
    </row>
    <row r="78" spans="1:3" x14ac:dyDescent="0.35">
      <c r="A78" s="267" t="s">
        <v>54</v>
      </c>
      <c r="B78" s="268"/>
      <c r="C78" s="40"/>
    </row>
    <row r="79" spans="1:3" x14ac:dyDescent="0.35">
      <c r="A79" s="17" t="s">
        <v>38</v>
      </c>
      <c r="B79" s="17"/>
      <c r="C79" s="17"/>
    </row>
    <row r="80" spans="1:3" x14ac:dyDescent="0.35">
      <c r="A80" s="17"/>
      <c r="B80" s="17"/>
      <c r="C80" s="17"/>
    </row>
    <row r="81" spans="1:3" x14ac:dyDescent="0.35">
      <c r="A81" s="17" t="s">
        <v>47</v>
      </c>
      <c r="B81" s="18"/>
      <c r="C81" s="18"/>
    </row>
    <row r="82" spans="1:3" x14ac:dyDescent="0.35">
      <c r="A82" s="17"/>
      <c r="B82" s="96"/>
      <c r="C82" s="19"/>
    </row>
    <row r="83" spans="1:3" x14ac:dyDescent="0.35">
      <c r="A83" s="17"/>
      <c r="B83" s="19"/>
      <c r="C83" s="17" t="s">
        <v>86</v>
      </c>
    </row>
    <row r="84" spans="1:3" x14ac:dyDescent="0.35">
      <c r="C84" s="100"/>
    </row>
  </sheetData>
  <mergeCells count="13">
    <mergeCell ref="B12:C12"/>
    <mergeCell ref="B13:C13"/>
    <mergeCell ref="A74:B74"/>
    <mergeCell ref="A75:B75"/>
    <mergeCell ref="A77:B77"/>
    <mergeCell ref="A78:B78"/>
    <mergeCell ref="B1:C1"/>
    <mergeCell ref="B2:C2"/>
    <mergeCell ref="B3:C3"/>
    <mergeCell ref="A7:C7"/>
    <mergeCell ref="A9:B9"/>
    <mergeCell ref="A10:B10"/>
    <mergeCell ref="B5:C5"/>
  </mergeCells>
  <pageMargins left="0.7" right="0.7" top="0.75" bottom="0.75" header="0.3" footer="0.3"/>
  <pageSetup paperSize="9" scale="63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view="pageLayout" zoomScale="90" zoomScaleNormal="100" zoomScalePageLayoutView="90" workbookViewId="0">
      <selection activeCell="B9" sqref="B9"/>
    </sheetView>
  </sheetViews>
  <sheetFormatPr defaultRowHeight="15.5" x14ac:dyDescent="0.35"/>
  <cols>
    <col min="1" max="1" width="12.26953125" style="6" customWidth="1"/>
    <col min="2" max="2" width="94" style="6" customWidth="1"/>
    <col min="3" max="3" width="31.54296875" style="6" customWidth="1"/>
    <col min="4" max="4" width="11.1796875" hidden="1" customWidth="1"/>
    <col min="5" max="5" width="9.1796875" hidden="1" customWidth="1"/>
    <col min="6" max="6" width="15.54296875" hidden="1" customWidth="1"/>
  </cols>
  <sheetData>
    <row r="1" spans="1:8" x14ac:dyDescent="0.35">
      <c r="A1" s="13"/>
      <c r="B1" s="258" t="s">
        <v>35</v>
      </c>
      <c r="C1" s="258"/>
      <c r="D1" s="258"/>
      <c r="E1" s="258"/>
      <c r="F1" s="259"/>
    </row>
    <row r="2" spans="1:8" x14ac:dyDescent="0.35">
      <c r="A2" s="13"/>
      <c r="B2" s="260" t="s">
        <v>39</v>
      </c>
      <c r="C2" s="260"/>
      <c r="D2" s="260"/>
      <c r="E2" s="260"/>
      <c r="F2" s="261"/>
    </row>
    <row r="3" spans="1:8" x14ac:dyDescent="0.35">
      <c r="A3" s="13"/>
      <c r="B3" s="257" t="s">
        <v>135</v>
      </c>
      <c r="C3" s="282"/>
      <c r="D3" s="282"/>
      <c r="E3" s="282"/>
      <c r="F3" s="282"/>
    </row>
    <row r="4" spans="1:8" x14ac:dyDescent="0.35">
      <c r="A4" s="13"/>
      <c r="B4" s="11"/>
      <c r="C4" s="96"/>
      <c r="D4" s="11"/>
      <c r="E4" s="13"/>
      <c r="F4" s="11"/>
    </row>
    <row r="5" spans="1:8" x14ac:dyDescent="0.35">
      <c r="A5" s="13"/>
      <c r="B5" s="260" t="str">
        <f>'3.1.3.'!B5:C5</f>
        <v xml:space="preserve">2020.gada 07.aprīlī </v>
      </c>
      <c r="C5" s="260"/>
      <c r="D5" s="260"/>
      <c r="E5" s="260"/>
      <c r="F5" s="260"/>
    </row>
    <row r="6" spans="1:8" ht="17.5" x14ac:dyDescent="0.35">
      <c r="A6" s="252" t="s">
        <v>5</v>
      </c>
      <c r="B6" s="252"/>
      <c r="C6" s="252"/>
      <c r="D6" s="252"/>
      <c r="E6" s="252"/>
      <c r="F6" s="252"/>
    </row>
    <row r="7" spans="1:8" x14ac:dyDescent="0.35">
      <c r="A7" s="262" t="s">
        <v>1</v>
      </c>
      <c r="B7" s="262"/>
      <c r="C7" s="9"/>
      <c r="D7" s="9"/>
      <c r="E7" s="9"/>
      <c r="F7" s="6"/>
    </row>
    <row r="8" spans="1:8" x14ac:dyDescent="0.35">
      <c r="A8" s="262" t="s">
        <v>0</v>
      </c>
      <c r="B8" s="262"/>
      <c r="C8" s="9"/>
      <c r="D8" s="9"/>
      <c r="E8" s="9"/>
      <c r="F8" s="6"/>
    </row>
    <row r="9" spans="1:8" x14ac:dyDescent="0.35">
      <c r="A9" s="9"/>
      <c r="B9" s="9" t="s">
        <v>87</v>
      </c>
      <c r="C9" s="9"/>
      <c r="D9" s="9"/>
      <c r="E9" s="9"/>
      <c r="F9" s="6"/>
    </row>
    <row r="10" spans="1:8" x14ac:dyDescent="0.35">
      <c r="A10" s="9"/>
      <c r="B10" s="117" t="s">
        <v>93</v>
      </c>
      <c r="C10" s="86"/>
      <c r="D10" s="86"/>
      <c r="E10" s="9"/>
      <c r="F10" s="14"/>
    </row>
    <row r="11" spans="1:8" x14ac:dyDescent="0.35">
      <c r="A11" s="9"/>
      <c r="B11" s="262" t="s">
        <v>92</v>
      </c>
      <c r="C11" s="262"/>
      <c r="D11" s="262"/>
      <c r="E11" s="262"/>
      <c r="F11" s="259"/>
    </row>
    <row r="12" spans="1:8" x14ac:dyDescent="0.35">
      <c r="A12" s="9" t="s">
        <v>2</v>
      </c>
      <c r="B12" s="9" t="str">
        <f>'3.1.3.'!B14</f>
        <v>2019.gadā un turpmāk</v>
      </c>
      <c r="C12" s="9"/>
      <c r="D12" s="9"/>
      <c r="E12" s="9"/>
      <c r="F12" s="6"/>
    </row>
    <row r="13" spans="1:8" ht="60.75" customHeight="1" x14ac:dyDescent="0.25">
      <c r="A13" s="54" t="s">
        <v>3</v>
      </c>
      <c r="B13" s="54" t="s">
        <v>4</v>
      </c>
      <c r="C13" s="54" t="s">
        <v>53</v>
      </c>
      <c r="D13" s="54" t="s">
        <v>43</v>
      </c>
      <c r="E13" s="54" t="s">
        <v>44</v>
      </c>
      <c r="F13" s="54" t="s">
        <v>53</v>
      </c>
    </row>
    <row r="14" spans="1:8" ht="15" x14ac:dyDescent="0.25">
      <c r="A14" s="22">
        <v>1</v>
      </c>
      <c r="B14" s="23">
        <v>2</v>
      </c>
      <c r="C14" s="23">
        <v>3</v>
      </c>
      <c r="D14" s="23">
        <v>3</v>
      </c>
      <c r="E14" s="23">
        <v>4</v>
      </c>
      <c r="F14" s="23">
        <v>3</v>
      </c>
    </row>
    <row r="15" spans="1:8" x14ac:dyDescent="0.25">
      <c r="A15" s="24"/>
      <c r="B15" s="25" t="s">
        <v>68</v>
      </c>
      <c r="C15" s="32"/>
      <c r="D15" s="26"/>
      <c r="E15" s="26"/>
      <c r="F15" s="26"/>
    </row>
    <row r="16" spans="1:8" x14ac:dyDescent="0.35">
      <c r="A16" s="27">
        <v>1100</v>
      </c>
      <c r="B16" s="27" t="s">
        <v>63</v>
      </c>
      <c r="C16" s="93">
        <v>1254.5899999999999</v>
      </c>
      <c r="D16" s="67"/>
      <c r="E16" s="67"/>
      <c r="F16" s="67"/>
      <c r="G16" s="58"/>
      <c r="H16" s="58"/>
    </row>
    <row r="17" spans="1:8" ht="15.75" customHeight="1" x14ac:dyDescent="0.35">
      <c r="A17" s="27">
        <v>1200</v>
      </c>
      <c r="B17" s="29" t="s">
        <v>62</v>
      </c>
      <c r="C17" s="93">
        <v>302.23</v>
      </c>
      <c r="D17" s="67"/>
      <c r="E17" s="67"/>
      <c r="F17" s="67"/>
      <c r="G17" s="58"/>
      <c r="H17" s="58"/>
    </row>
    <row r="18" spans="1:8" hidden="1" x14ac:dyDescent="0.35">
      <c r="A18" s="27">
        <v>2210</v>
      </c>
      <c r="B18" s="29" t="s">
        <v>27</v>
      </c>
      <c r="C18" s="93">
        <v>0</v>
      </c>
      <c r="D18" s="67"/>
      <c r="E18" s="67"/>
      <c r="F18" s="67"/>
      <c r="G18" s="58"/>
      <c r="H18" s="58"/>
    </row>
    <row r="19" spans="1:8" x14ac:dyDescent="0.35">
      <c r="A19" s="27">
        <v>2222</v>
      </c>
      <c r="B19" s="29" t="s">
        <v>28</v>
      </c>
      <c r="C19" s="93">
        <v>1.55</v>
      </c>
      <c r="D19" s="67"/>
      <c r="E19" s="67"/>
      <c r="F19" s="67"/>
    </row>
    <row r="20" spans="1:8" x14ac:dyDescent="0.35">
      <c r="A20" s="27">
        <v>2223</v>
      </c>
      <c r="B20" s="29" t="s">
        <v>29</v>
      </c>
      <c r="C20" s="93">
        <v>4.07</v>
      </c>
      <c r="D20" s="67"/>
      <c r="E20" s="67"/>
      <c r="F20" s="67"/>
      <c r="G20" s="58"/>
      <c r="H20" s="58"/>
    </row>
    <row r="21" spans="1:8" x14ac:dyDescent="0.35">
      <c r="A21" s="27">
        <v>2243</v>
      </c>
      <c r="B21" s="29" t="s">
        <v>9</v>
      </c>
      <c r="C21" s="93">
        <v>0.97</v>
      </c>
      <c r="D21" s="67"/>
      <c r="E21" s="67"/>
      <c r="F21" s="67"/>
      <c r="G21" s="58"/>
      <c r="H21" s="58"/>
    </row>
    <row r="22" spans="1:8" x14ac:dyDescent="0.35">
      <c r="A22" s="27">
        <v>2244</v>
      </c>
      <c r="B22" s="29" t="s">
        <v>10</v>
      </c>
      <c r="C22" s="93">
        <v>10.52</v>
      </c>
      <c r="D22" s="67"/>
      <c r="E22" s="67"/>
      <c r="F22" s="67"/>
      <c r="G22" s="58"/>
      <c r="H22" s="58"/>
    </row>
    <row r="23" spans="1:8" hidden="1" x14ac:dyDescent="0.35">
      <c r="A23" s="27">
        <v>2251</v>
      </c>
      <c r="B23" s="29" t="s">
        <v>60</v>
      </c>
      <c r="C23" s="93">
        <v>0</v>
      </c>
      <c r="D23" s="67"/>
      <c r="E23" s="67"/>
      <c r="F23" s="67"/>
      <c r="G23" s="58"/>
      <c r="H23" s="58"/>
    </row>
    <row r="24" spans="1:8" hidden="1" x14ac:dyDescent="0.35">
      <c r="A24" s="27">
        <v>2261</v>
      </c>
      <c r="B24" s="29" t="s">
        <v>11</v>
      </c>
      <c r="C24" s="93">
        <v>0</v>
      </c>
      <c r="D24" s="67"/>
      <c r="E24" s="67"/>
      <c r="F24" s="67"/>
      <c r="G24" s="58"/>
      <c r="H24" s="58"/>
    </row>
    <row r="25" spans="1:8" hidden="1" x14ac:dyDescent="0.35">
      <c r="A25" s="27">
        <v>2264</v>
      </c>
      <c r="B25" s="29" t="s">
        <v>13</v>
      </c>
      <c r="C25" s="93">
        <v>0</v>
      </c>
      <c r="D25" s="67"/>
      <c r="E25" s="67"/>
      <c r="F25" s="67"/>
      <c r="G25" s="58"/>
      <c r="H25" s="58"/>
    </row>
    <row r="26" spans="1:8" hidden="1" x14ac:dyDescent="0.35">
      <c r="A26" s="27">
        <v>2279</v>
      </c>
      <c r="B26" s="29" t="s">
        <v>14</v>
      </c>
      <c r="C26" s="93">
        <v>0</v>
      </c>
      <c r="D26" s="67"/>
      <c r="E26" s="67"/>
      <c r="F26" s="67"/>
      <c r="G26" s="58"/>
      <c r="H26" s="58"/>
    </row>
    <row r="27" spans="1:8" x14ac:dyDescent="0.35">
      <c r="A27" s="27">
        <v>2311</v>
      </c>
      <c r="B27" s="29" t="s">
        <v>72</v>
      </c>
      <c r="C27" s="93">
        <v>3.03</v>
      </c>
      <c r="D27" s="67"/>
      <c r="E27" s="67"/>
      <c r="F27" s="68"/>
      <c r="G27" s="58"/>
      <c r="H27" s="58"/>
    </row>
    <row r="28" spans="1:8" x14ac:dyDescent="0.35">
      <c r="A28" s="27">
        <v>2312</v>
      </c>
      <c r="B28" s="29" t="s">
        <v>16</v>
      </c>
      <c r="C28" s="93">
        <v>4.84</v>
      </c>
      <c r="D28" s="67"/>
      <c r="E28" s="67"/>
      <c r="F28" s="68"/>
      <c r="G28" s="58"/>
      <c r="H28" s="58"/>
    </row>
    <row r="29" spans="1:8" x14ac:dyDescent="0.35">
      <c r="A29" s="27">
        <v>2321</v>
      </c>
      <c r="B29" s="29" t="s">
        <v>17</v>
      </c>
      <c r="C29" s="93">
        <v>5.78</v>
      </c>
      <c r="D29" s="67"/>
      <c r="E29" s="67"/>
      <c r="F29" s="67"/>
      <c r="G29" s="58"/>
      <c r="H29" s="58"/>
    </row>
    <row r="30" spans="1:8" hidden="1" x14ac:dyDescent="0.35">
      <c r="A30" s="27">
        <v>2350</v>
      </c>
      <c r="B30" s="29" t="s">
        <v>19</v>
      </c>
      <c r="C30" s="93">
        <v>0</v>
      </c>
      <c r="D30" s="67"/>
      <c r="E30" s="67"/>
      <c r="F30" s="67"/>
      <c r="G30" s="58"/>
      <c r="H30" s="58"/>
    </row>
    <row r="31" spans="1:8" hidden="1" x14ac:dyDescent="0.35">
      <c r="A31" s="27">
        <v>2361</v>
      </c>
      <c r="B31" s="29" t="s">
        <v>20</v>
      </c>
      <c r="C31" s="93">
        <v>0</v>
      </c>
      <c r="D31" s="67"/>
      <c r="E31" s="67"/>
      <c r="F31" s="67"/>
      <c r="G31" s="58"/>
      <c r="H31" s="58"/>
    </row>
    <row r="32" spans="1:8" x14ac:dyDescent="0.35">
      <c r="A32" s="27">
        <v>2370</v>
      </c>
      <c r="B32" s="29" t="s">
        <v>69</v>
      </c>
      <c r="C32" s="93">
        <v>7.05</v>
      </c>
      <c r="D32" s="67"/>
      <c r="E32" s="67"/>
      <c r="F32" s="84"/>
      <c r="G32" s="58"/>
      <c r="H32" s="58"/>
    </row>
    <row r="33" spans="1:12" hidden="1" x14ac:dyDescent="0.35">
      <c r="A33" s="55">
        <v>2513</v>
      </c>
      <c r="B33" s="29" t="s">
        <v>22</v>
      </c>
      <c r="C33" s="93">
        <v>0</v>
      </c>
      <c r="D33" s="67"/>
      <c r="E33" s="67"/>
      <c r="F33" s="67"/>
      <c r="G33" s="58"/>
      <c r="H33" s="58"/>
    </row>
    <row r="34" spans="1:12" x14ac:dyDescent="0.35">
      <c r="A34" s="27">
        <v>5230</v>
      </c>
      <c r="B34" s="29" t="s">
        <v>57</v>
      </c>
      <c r="C34" s="93">
        <v>5.79</v>
      </c>
      <c r="D34" s="67"/>
      <c r="E34" s="67"/>
      <c r="F34" s="84"/>
      <c r="G34" s="111"/>
      <c r="H34" s="58"/>
    </row>
    <row r="35" spans="1:12" x14ac:dyDescent="0.25">
      <c r="A35" s="27"/>
      <c r="B35" s="30" t="s">
        <v>65</v>
      </c>
      <c r="C35" s="31">
        <f>SUM(C16:C34)</f>
        <v>1600.4199999999996</v>
      </c>
      <c r="D35" s="69"/>
      <c r="E35" s="69"/>
      <c r="F35" s="69"/>
      <c r="G35" s="3"/>
      <c r="H35" s="58"/>
    </row>
    <row r="36" spans="1:12" x14ac:dyDescent="0.3">
      <c r="A36" s="32"/>
      <c r="B36" s="27" t="s">
        <v>64</v>
      </c>
      <c r="C36" s="26"/>
      <c r="D36" s="26"/>
      <c r="E36" s="26"/>
      <c r="F36" s="3"/>
      <c r="G36" s="3"/>
      <c r="H36" s="58"/>
      <c r="K36" s="3"/>
      <c r="L36" s="85"/>
    </row>
    <row r="37" spans="1:12" x14ac:dyDescent="0.35">
      <c r="A37" s="27">
        <v>1100</v>
      </c>
      <c r="B37" s="27" t="s">
        <v>63</v>
      </c>
      <c r="C37" s="93">
        <v>90.58</v>
      </c>
      <c r="D37" s="67"/>
      <c r="E37" s="67"/>
      <c r="F37" s="67"/>
      <c r="G37" s="3"/>
      <c r="H37" s="3"/>
      <c r="K37" s="3"/>
      <c r="L37" s="85"/>
    </row>
    <row r="38" spans="1:12" ht="15.75" customHeight="1" x14ac:dyDescent="0.35">
      <c r="A38" s="27">
        <v>1200</v>
      </c>
      <c r="B38" s="29" t="s">
        <v>62</v>
      </c>
      <c r="C38" s="93">
        <v>21.82</v>
      </c>
      <c r="D38" s="67"/>
      <c r="E38" s="67"/>
      <c r="F38" s="67"/>
      <c r="G38" s="3"/>
      <c r="H38" s="3"/>
    </row>
    <row r="39" spans="1:12" x14ac:dyDescent="0.35">
      <c r="A39" s="33">
        <v>2210</v>
      </c>
      <c r="B39" s="29" t="s">
        <v>27</v>
      </c>
      <c r="C39" s="93">
        <v>0.5</v>
      </c>
      <c r="D39" s="67"/>
      <c r="E39" s="67"/>
      <c r="F39" s="67"/>
      <c r="G39" s="3"/>
      <c r="H39" s="3"/>
    </row>
    <row r="40" spans="1:12" x14ac:dyDescent="0.35">
      <c r="A40" s="33">
        <v>2224</v>
      </c>
      <c r="B40" s="29" t="s">
        <v>85</v>
      </c>
      <c r="C40" s="93">
        <v>0.4</v>
      </c>
      <c r="D40" s="67"/>
      <c r="E40" s="67"/>
      <c r="F40" s="67"/>
      <c r="G40" s="3"/>
      <c r="H40" s="3"/>
    </row>
    <row r="41" spans="1:12" x14ac:dyDescent="0.35">
      <c r="A41" s="27">
        <v>2230</v>
      </c>
      <c r="B41" s="29" t="s">
        <v>30</v>
      </c>
      <c r="C41" s="93">
        <v>1.49</v>
      </c>
      <c r="D41" s="67"/>
      <c r="E41" s="67"/>
      <c r="F41" s="67"/>
      <c r="G41" s="3"/>
      <c r="H41" s="3"/>
    </row>
    <row r="42" spans="1:12" hidden="1" x14ac:dyDescent="0.35">
      <c r="A42" s="27">
        <v>2241</v>
      </c>
      <c r="B42" s="29" t="s">
        <v>7</v>
      </c>
      <c r="C42" s="93">
        <v>0</v>
      </c>
      <c r="D42" s="67"/>
      <c r="E42" s="67"/>
      <c r="F42" s="67"/>
      <c r="G42" s="3"/>
      <c r="H42" s="3"/>
    </row>
    <row r="43" spans="1:12" x14ac:dyDescent="0.35">
      <c r="A43" s="27">
        <v>2242</v>
      </c>
      <c r="B43" s="29" t="s">
        <v>8</v>
      </c>
      <c r="C43" s="93">
        <v>0.18</v>
      </c>
      <c r="D43" s="67"/>
      <c r="E43" s="67"/>
      <c r="F43" s="67"/>
      <c r="G43" s="3"/>
      <c r="H43" s="3"/>
    </row>
    <row r="44" spans="1:12" x14ac:dyDescent="0.35">
      <c r="A44" s="27">
        <v>2243</v>
      </c>
      <c r="B44" s="29" t="s">
        <v>9</v>
      </c>
      <c r="C44" s="93">
        <v>1.1299999999999999</v>
      </c>
      <c r="D44" s="67"/>
      <c r="E44" s="67"/>
      <c r="F44" s="67"/>
      <c r="G44" s="3"/>
      <c r="H44" s="3"/>
    </row>
    <row r="45" spans="1:12" x14ac:dyDescent="0.35">
      <c r="A45" s="27">
        <v>2244</v>
      </c>
      <c r="B45" s="29" t="s">
        <v>10</v>
      </c>
      <c r="C45" s="93">
        <v>0.44</v>
      </c>
      <c r="D45" s="67"/>
      <c r="E45" s="67"/>
      <c r="F45" s="67"/>
      <c r="G45" s="3"/>
      <c r="H45" s="3"/>
    </row>
    <row r="46" spans="1:12" x14ac:dyDescent="0.35">
      <c r="A46" s="27">
        <v>2247</v>
      </c>
      <c r="B46" s="25" t="s">
        <v>59</v>
      </c>
      <c r="C46" s="93">
        <v>0.13</v>
      </c>
      <c r="D46" s="67"/>
      <c r="E46" s="67"/>
      <c r="F46" s="67"/>
      <c r="G46" s="3"/>
      <c r="H46" s="3"/>
    </row>
    <row r="47" spans="1:12" x14ac:dyDescent="0.35">
      <c r="A47" s="27">
        <v>2251</v>
      </c>
      <c r="B47" s="29" t="s">
        <v>60</v>
      </c>
      <c r="C47" s="93">
        <v>1.25</v>
      </c>
      <c r="D47" s="67"/>
      <c r="E47" s="67"/>
      <c r="F47" s="67"/>
      <c r="G47" s="3"/>
      <c r="H47" s="3"/>
    </row>
    <row r="48" spans="1:12" x14ac:dyDescent="0.35">
      <c r="A48" s="27">
        <v>2259</v>
      </c>
      <c r="B48" s="29" t="s">
        <v>61</v>
      </c>
      <c r="C48" s="93">
        <v>0.62</v>
      </c>
      <c r="D48" s="67"/>
      <c r="E48" s="67"/>
      <c r="F48" s="67"/>
      <c r="G48" s="3"/>
      <c r="H48" s="3"/>
    </row>
    <row r="49" spans="1:9" x14ac:dyDescent="0.35">
      <c r="A49" s="27">
        <v>2261</v>
      </c>
      <c r="B49" s="29" t="s">
        <v>11</v>
      </c>
      <c r="C49" s="93">
        <v>1.1000000000000001</v>
      </c>
      <c r="D49" s="67"/>
      <c r="E49" s="67"/>
      <c r="F49" s="67"/>
      <c r="G49" s="3"/>
      <c r="H49" s="3"/>
    </row>
    <row r="50" spans="1:9" x14ac:dyDescent="0.35">
      <c r="A50" s="27">
        <v>2262</v>
      </c>
      <c r="B50" s="29" t="s">
        <v>12</v>
      </c>
      <c r="C50" s="93">
        <v>0.87</v>
      </c>
      <c r="D50" s="67"/>
      <c r="E50" s="67"/>
      <c r="F50" s="67"/>
      <c r="G50" s="3"/>
      <c r="H50" s="3"/>
    </row>
    <row r="51" spans="1:9" x14ac:dyDescent="0.35">
      <c r="A51" s="27">
        <v>2264</v>
      </c>
      <c r="B51" s="29" t="s">
        <v>13</v>
      </c>
      <c r="C51" s="93">
        <v>0.06</v>
      </c>
      <c r="D51" s="67"/>
      <c r="E51" s="67"/>
      <c r="F51" s="67"/>
      <c r="G51" s="3"/>
      <c r="H51" s="3"/>
    </row>
    <row r="52" spans="1:9" x14ac:dyDescent="0.35">
      <c r="A52" s="27">
        <v>2279</v>
      </c>
      <c r="B52" s="29" t="s">
        <v>14</v>
      </c>
      <c r="C52" s="93">
        <v>0.57999999999999996</v>
      </c>
      <c r="D52" s="67"/>
      <c r="E52" s="67"/>
      <c r="F52" s="67"/>
      <c r="G52" s="3"/>
      <c r="H52" s="3"/>
    </row>
    <row r="53" spans="1:9" x14ac:dyDescent="0.35">
      <c r="A53" s="27">
        <v>2311</v>
      </c>
      <c r="B53" s="29" t="s">
        <v>15</v>
      </c>
      <c r="C53" s="93">
        <v>0.31</v>
      </c>
      <c r="D53" s="67"/>
      <c r="E53" s="67"/>
      <c r="F53" s="67"/>
      <c r="G53" s="3"/>
      <c r="H53" s="3"/>
      <c r="I53" s="3"/>
    </row>
    <row r="54" spans="1:9" x14ac:dyDescent="0.35">
      <c r="A54" s="27">
        <v>2312</v>
      </c>
      <c r="B54" s="29" t="s">
        <v>16</v>
      </c>
      <c r="C54" s="93">
        <v>0.18</v>
      </c>
      <c r="D54" s="67"/>
      <c r="E54" s="67"/>
      <c r="F54" s="67"/>
      <c r="G54" s="3"/>
      <c r="H54" s="3"/>
      <c r="I54" s="3"/>
    </row>
    <row r="55" spans="1:9" x14ac:dyDescent="0.35">
      <c r="A55" s="27">
        <v>2322</v>
      </c>
      <c r="B55" s="29" t="s">
        <v>18</v>
      </c>
      <c r="C55" s="93">
        <v>0.92</v>
      </c>
      <c r="D55" s="67"/>
      <c r="E55" s="67"/>
      <c r="F55" s="67"/>
      <c r="G55" s="3"/>
      <c r="H55" s="3"/>
      <c r="I55" s="3"/>
    </row>
    <row r="56" spans="1:9" x14ac:dyDescent="0.35">
      <c r="A56" s="27">
        <v>2350</v>
      </c>
      <c r="B56" s="29" t="s">
        <v>19</v>
      </c>
      <c r="C56" s="93">
        <v>1.97</v>
      </c>
      <c r="D56" s="67"/>
      <c r="E56" s="67"/>
      <c r="F56" s="67"/>
      <c r="G56" s="3"/>
      <c r="H56" s="3"/>
      <c r="I56" s="3"/>
    </row>
    <row r="57" spans="1:9" hidden="1" x14ac:dyDescent="0.35">
      <c r="A57" s="27">
        <v>2361</v>
      </c>
      <c r="B57" s="29" t="s">
        <v>20</v>
      </c>
      <c r="C57" s="93">
        <v>0</v>
      </c>
      <c r="D57" s="67"/>
      <c r="E57" s="67"/>
      <c r="F57" s="67"/>
      <c r="G57" s="3"/>
      <c r="H57" s="3"/>
      <c r="I57" s="3"/>
    </row>
    <row r="58" spans="1:9" x14ac:dyDescent="0.35">
      <c r="A58" s="27">
        <v>2370</v>
      </c>
      <c r="B58" s="29" t="s">
        <v>69</v>
      </c>
      <c r="C58" s="93">
        <v>0.83</v>
      </c>
      <c r="D58" s="67"/>
      <c r="E58" s="67"/>
      <c r="F58" s="67"/>
      <c r="G58" s="3"/>
      <c r="H58" s="3"/>
      <c r="I58" s="3"/>
    </row>
    <row r="59" spans="1:9" x14ac:dyDescent="0.35">
      <c r="A59" s="27">
        <v>2400</v>
      </c>
      <c r="B59" s="29" t="s">
        <v>31</v>
      </c>
      <c r="C59" s="93">
        <v>0.06</v>
      </c>
      <c r="D59" s="67"/>
      <c r="E59" s="67"/>
      <c r="F59" s="67"/>
      <c r="G59" s="3"/>
      <c r="H59" s="3"/>
      <c r="I59" s="3"/>
    </row>
    <row r="60" spans="1:9" ht="15.75" customHeight="1" x14ac:dyDescent="0.35">
      <c r="A60" s="27">
        <v>2513</v>
      </c>
      <c r="B60" s="29" t="s">
        <v>22</v>
      </c>
      <c r="C60" s="93">
        <v>0.39</v>
      </c>
      <c r="D60" s="67"/>
      <c r="E60" s="67"/>
      <c r="F60" s="67"/>
      <c r="G60" s="3"/>
      <c r="H60" s="3"/>
      <c r="I60" s="3"/>
    </row>
    <row r="61" spans="1:9" hidden="1" x14ac:dyDescent="0.35">
      <c r="A61" s="27">
        <v>2515</v>
      </c>
      <c r="B61" s="29" t="s">
        <v>58</v>
      </c>
      <c r="C61" s="93">
        <v>0</v>
      </c>
      <c r="D61" s="67"/>
      <c r="E61" s="67"/>
      <c r="F61" s="67"/>
      <c r="G61" s="3"/>
      <c r="H61" s="3"/>
      <c r="I61" s="3"/>
    </row>
    <row r="62" spans="1:9" x14ac:dyDescent="0.35">
      <c r="A62" s="27">
        <v>2519</v>
      </c>
      <c r="B62" s="29" t="s">
        <v>24</v>
      </c>
      <c r="C62" s="93">
        <v>3.1</v>
      </c>
      <c r="D62" s="67"/>
      <c r="E62" s="67"/>
      <c r="F62" s="67"/>
      <c r="G62" s="3"/>
      <c r="H62" s="3"/>
      <c r="I62" s="3"/>
    </row>
    <row r="63" spans="1:9" x14ac:dyDescent="0.35">
      <c r="A63" s="27">
        <v>5232</v>
      </c>
      <c r="B63" s="29" t="s">
        <v>23</v>
      </c>
      <c r="C63" s="93">
        <v>2.63</v>
      </c>
      <c r="D63" s="67"/>
      <c r="E63" s="67"/>
      <c r="F63" s="67"/>
      <c r="G63" s="3"/>
      <c r="H63" s="3"/>
      <c r="I63" s="3"/>
    </row>
    <row r="64" spans="1:9" hidden="1" x14ac:dyDescent="0.35">
      <c r="A64" s="27">
        <v>5240</v>
      </c>
      <c r="B64" s="29" t="s">
        <v>25</v>
      </c>
      <c r="C64" s="63">
        <v>0</v>
      </c>
      <c r="D64" s="67"/>
      <c r="E64" s="67"/>
      <c r="F64" s="67"/>
      <c r="G64" s="3"/>
      <c r="H64" s="3"/>
      <c r="I64" s="3"/>
    </row>
    <row r="65" spans="1:9" hidden="1" x14ac:dyDescent="0.35">
      <c r="A65" s="27">
        <v>5250</v>
      </c>
      <c r="B65" s="29" t="s">
        <v>26</v>
      </c>
      <c r="C65" s="63">
        <v>0</v>
      </c>
      <c r="D65" s="67"/>
      <c r="E65" s="67"/>
      <c r="F65" s="67"/>
      <c r="G65" s="3"/>
      <c r="H65" s="3"/>
      <c r="I65" s="3"/>
    </row>
    <row r="66" spans="1:9" x14ac:dyDescent="0.25">
      <c r="A66" s="32"/>
      <c r="B66" s="34" t="s">
        <v>66</v>
      </c>
      <c r="C66" s="31">
        <f>SUM(C37:C65)</f>
        <v>131.54000000000002</v>
      </c>
      <c r="D66" s="69"/>
      <c r="E66" s="69"/>
      <c r="F66" s="69"/>
      <c r="G66" s="3"/>
      <c r="H66" s="3"/>
      <c r="I66" s="3"/>
    </row>
    <row r="67" spans="1:9" x14ac:dyDescent="0.25">
      <c r="A67" s="32"/>
      <c r="B67" s="34" t="s">
        <v>32</v>
      </c>
      <c r="C67" s="31">
        <f>C35+C66</f>
        <v>1731.9599999999996</v>
      </c>
      <c r="D67" s="69"/>
      <c r="E67" s="69"/>
      <c r="F67" s="69"/>
      <c r="G67" s="3"/>
      <c r="H67" s="3"/>
      <c r="I67" s="3"/>
    </row>
    <row r="68" spans="1:9" hidden="1" x14ac:dyDescent="0.25">
      <c r="A68" s="27">
        <v>6290</v>
      </c>
      <c r="B68" s="29" t="s">
        <v>34</v>
      </c>
      <c r="C68" s="28"/>
      <c r="D68" s="70"/>
      <c r="E68" s="67"/>
      <c r="F68" s="67"/>
      <c r="G68" s="3"/>
      <c r="H68" s="3"/>
      <c r="I68" s="3"/>
    </row>
    <row r="69" spans="1:9" hidden="1" x14ac:dyDescent="0.25">
      <c r="A69" s="27">
        <v>5250</v>
      </c>
      <c r="B69" s="29" t="s">
        <v>26</v>
      </c>
      <c r="C69" s="45"/>
      <c r="D69" s="72"/>
      <c r="E69" s="72"/>
      <c r="F69" s="71"/>
      <c r="G69" s="3"/>
      <c r="H69" s="3"/>
      <c r="I69" s="3"/>
    </row>
    <row r="70" spans="1:9" hidden="1" x14ac:dyDescent="0.25">
      <c r="A70" s="32"/>
      <c r="B70" s="34" t="s">
        <v>32</v>
      </c>
      <c r="C70" s="31">
        <f>C67+C68+C69</f>
        <v>1731.9599999999996</v>
      </c>
      <c r="D70" s="73"/>
      <c r="E70" s="69"/>
      <c r="F70" s="69"/>
      <c r="G70" s="3"/>
      <c r="H70" s="3"/>
      <c r="I70" s="3"/>
    </row>
    <row r="71" spans="1:9" x14ac:dyDescent="0.35">
      <c r="A71" s="35"/>
      <c r="B71" s="20"/>
      <c r="D71" s="75"/>
      <c r="E71" s="75"/>
      <c r="F71" s="74"/>
      <c r="G71" s="3"/>
      <c r="H71" s="3"/>
      <c r="I71" s="3"/>
    </row>
    <row r="72" spans="1:9" x14ac:dyDescent="0.25">
      <c r="A72" s="262" t="s">
        <v>45</v>
      </c>
      <c r="B72" s="262"/>
      <c r="C72" s="107">
        <v>1</v>
      </c>
      <c r="D72" s="76"/>
      <c r="E72" s="76"/>
      <c r="F72" s="76"/>
      <c r="G72" s="3"/>
      <c r="H72" s="3"/>
      <c r="I72" s="3"/>
    </row>
    <row r="73" spans="1:9" x14ac:dyDescent="0.3">
      <c r="A73" s="262" t="s">
        <v>46</v>
      </c>
      <c r="B73" s="262"/>
      <c r="C73" s="108">
        <f>C70/C72</f>
        <v>1731.9599999999996</v>
      </c>
      <c r="D73" s="77"/>
      <c r="E73" s="77"/>
      <c r="F73" s="77"/>
      <c r="G73" s="87"/>
      <c r="H73" s="3"/>
      <c r="I73" s="3"/>
    </row>
    <row r="74" spans="1:9" x14ac:dyDescent="0.3">
      <c r="A74" s="9"/>
      <c r="B74" s="9"/>
      <c r="C74" s="36"/>
      <c r="D74" s="78"/>
      <c r="E74" s="78"/>
      <c r="F74" s="78"/>
      <c r="G74" s="3"/>
      <c r="H74" s="3"/>
      <c r="I74" s="3"/>
    </row>
    <row r="75" spans="1:9" x14ac:dyDescent="0.35">
      <c r="A75" s="267" t="s">
        <v>37</v>
      </c>
      <c r="B75" s="268"/>
      <c r="C75" s="79"/>
      <c r="D75" s="79"/>
      <c r="E75" s="79"/>
      <c r="F75" s="79"/>
      <c r="G75" s="3"/>
      <c r="H75" s="3"/>
      <c r="I75" s="3"/>
    </row>
    <row r="76" spans="1:9" x14ac:dyDescent="0.35">
      <c r="A76" s="267" t="s">
        <v>54</v>
      </c>
      <c r="B76" s="268"/>
      <c r="C76" s="80"/>
      <c r="D76" s="80"/>
      <c r="E76" s="79"/>
      <c r="F76" s="79"/>
      <c r="G76" s="3"/>
      <c r="H76" s="3"/>
      <c r="I76" s="3"/>
    </row>
    <row r="77" spans="1:9" x14ac:dyDescent="0.35">
      <c r="A77" s="17" t="s">
        <v>38</v>
      </c>
      <c r="B77" s="17"/>
      <c r="C77" s="81"/>
      <c r="D77" s="81"/>
      <c r="E77" s="81"/>
      <c r="F77" s="81"/>
      <c r="G77" s="58"/>
      <c r="H77" s="58"/>
    </row>
    <row r="78" spans="1:9" x14ac:dyDescent="0.35">
      <c r="A78" s="17"/>
      <c r="B78" s="17"/>
      <c r="C78" s="81"/>
      <c r="D78" s="81"/>
      <c r="E78" s="81"/>
      <c r="F78" s="81"/>
      <c r="G78" s="58"/>
      <c r="H78" s="58"/>
    </row>
    <row r="79" spans="1:9" x14ac:dyDescent="0.35">
      <c r="A79" s="17" t="s">
        <v>47</v>
      </c>
      <c r="B79" s="18"/>
      <c r="C79" s="82"/>
      <c r="D79" s="82"/>
      <c r="E79" s="82"/>
      <c r="F79" s="82"/>
      <c r="G79" s="58"/>
      <c r="H79" s="58"/>
    </row>
    <row r="80" spans="1:9" x14ac:dyDescent="0.35">
      <c r="A80" s="17"/>
      <c r="B80" s="96"/>
      <c r="C80" s="83"/>
      <c r="D80" s="83"/>
      <c r="E80" s="81"/>
      <c r="F80" s="81"/>
      <c r="G80" s="58"/>
      <c r="H80" s="58"/>
    </row>
    <row r="81" spans="1:6" x14ac:dyDescent="0.35">
      <c r="A81" s="17"/>
      <c r="B81" s="19"/>
      <c r="C81" s="17"/>
      <c r="D81" s="2"/>
      <c r="E81" s="2"/>
      <c r="F81" s="2"/>
    </row>
    <row r="82" spans="1:6" x14ac:dyDescent="0.35">
      <c r="C82" s="100"/>
      <c r="D82" s="1"/>
      <c r="E82" s="1"/>
      <c r="F82" s="1"/>
    </row>
    <row r="83" spans="1:6" x14ac:dyDescent="0.35">
      <c r="D83" s="3"/>
      <c r="E83" s="3"/>
      <c r="F83" s="3"/>
    </row>
    <row r="84" spans="1:6" x14ac:dyDescent="0.35">
      <c r="D84" s="3"/>
      <c r="E84" s="3"/>
      <c r="F84" s="3"/>
    </row>
  </sheetData>
  <mergeCells count="12">
    <mergeCell ref="B11:F11"/>
    <mergeCell ref="A72:B72"/>
    <mergeCell ref="A73:B73"/>
    <mergeCell ref="A75:B75"/>
    <mergeCell ref="A76:B76"/>
    <mergeCell ref="B5:F5"/>
    <mergeCell ref="B1:F1"/>
    <mergeCell ref="B2:F2"/>
    <mergeCell ref="B3:F3"/>
    <mergeCell ref="A6:F6"/>
    <mergeCell ref="A7:B7"/>
    <mergeCell ref="A8:B8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view="pageLayout" zoomScale="90" zoomScaleNormal="100" zoomScalePageLayoutView="90" workbookViewId="0">
      <selection activeCell="E40" sqref="E40"/>
    </sheetView>
  </sheetViews>
  <sheetFormatPr defaultRowHeight="15.5" x14ac:dyDescent="0.35"/>
  <cols>
    <col min="1" max="1" width="12.7265625" style="6" customWidth="1"/>
    <col min="2" max="2" width="95.1796875" style="6" customWidth="1"/>
    <col min="3" max="3" width="11.1796875" style="6" hidden="1" customWidth="1"/>
    <col min="4" max="4" width="3.453125" style="6" hidden="1" customWidth="1"/>
    <col min="5" max="5" width="31.81640625" style="6" customWidth="1"/>
  </cols>
  <sheetData>
    <row r="1" spans="1:5" x14ac:dyDescent="0.35">
      <c r="A1" s="13"/>
      <c r="B1" s="258" t="s">
        <v>35</v>
      </c>
      <c r="C1" s="258"/>
      <c r="D1" s="258"/>
      <c r="E1" s="259"/>
    </row>
    <row r="2" spans="1:5" x14ac:dyDescent="0.35">
      <c r="A2" s="13"/>
      <c r="B2" s="260" t="s">
        <v>39</v>
      </c>
      <c r="C2" s="260"/>
      <c r="D2" s="260"/>
      <c r="E2" s="261"/>
    </row>
    <row r="3" spans="1:5" x14ac:dyDescent="0.35">
      <c r="A3" s="13"/>
      <c r="B3" s="257" t="s">
        <v>135</v>
      </c>
      <c r="C3" s="264"/>
      <c r="D3" s="264"/>
      <c r="E3" s="264"/>
    </row>
    <row r="4" spans="1:5" x14ac:dyDescent="0.35">
      <c r="A4" s="13"/>
      <c r="B4" s="11"/>
      <c r="C4" s="11"/>
      <c r="D4" s="13"/>
      <c r="E4" s="96"/>
    </row>
    <row r="5" spans="1:5" x14ac:dyDescent="0.35">
      <c r="A5" s="13"/>
      <c r="B5" s="15"/>
      <c r="C5" s="15"/>
      <c r="D5" s="12"/>
      <c r="E5" s="11" t="str">
        <f>'1.1.'!C5</f>
        <v xml:space="preserve">2020.gada 07.aprīlī </v>
      </c>
    </row>
    <row r="6" spans="1:5" ht="15" x14ac:dyDescent="0.3">
      <c r="A6" s="263" t="s">
        <v>5</v>
      </c>
      <c r="B6" s="263"/>
      <c r="C6" s="263"/>
      <c r="D6" s="263"/>
      <c r="E6" s="263"/>
    </row>
    <row r="7" spans="1:5" x14ac:dyDescent="0.35">
      <c r="A7" s="262" t="s">
        <v>1</v>
      </c>
      <c r="B7" s="262"/>
      <c r="C7" s="9"/>
      <c r="D7" s="9"/>
    </row>
    <row r="8" spans="1:5" x14ac:dyDescent="0.35">
      <c r="A8" s="262" t="s">
        <v>0</v>
      </c>
      <c r="B8" s="262"/>
      <c r="C8" s="9"/>
      <c r="D8" s="9"/>
    </row>
    <row r="9" spans="1:5" x14ac:dyDescent="0.35">
      <c r="A9" s="9"/>
      <c r="B9" s="9" t="s">
        <v>87</v>
      </c>
      <c r="C9" s="9"/>
      <c r="D9" s="9"/>
    </row>
    <row r="10" spans="1:5" x14ac:dyDescent="0.35">
      <c r="A10" s="9"/>
      <c r="B10" s="262" t="s">
        <v>93</v>
      </c>
      <c r="C10" s="265"/>
      <c r="D10" s="9"/>
      <c r="E10" s="14"/>
    </row>
    <row r="11" spans="1:5" x14ac:dyDescent="0.35">
      <c r="A11" s="9"/>
      <c r="B11" s="262" t="s">
        <v>94</v>
      </c>
      <c r="C11" s="262"/>
      <c r="D11" s="262"/>
      <c r="E11" s="259"/>
    </row>
    <row r="12" spans="1:5" x14ac:dyDescent="0.35">
      <c r="A12" s="9" t="s">
        <v>2</v>
      </c>
      <c r="B12" s="9" t="str">
        <f>'3.2.1.'!B12</f>
        <v>2019.gadā un turpmāk</v>
      </c>
      <c r="C12" s="9"/>
      <c r="D12" s="9"/>
    </row>
    <row r="13" spans="1:5" ht="58.5" customHeight="1" x14ac:dyDescent="0.25">
      <c r="A13" s="54" t="s">
        <v>3</v>
      </c>
      <c r="B13" s="54" t="s">
        <v>4</v>
      </c>
      <c r="C13" s="54" t="s">
        <v>43</v>
      </c>
      <c r="D13" s="54" t="s">
        <v>44</v>
      </c>
      <c r="E13" s="54" t="s">
        <v>53</v>
      </c>
    </row>
    <row r="14" spans="1:5" ht="15" x14ac:dyDescent="0.25">
      <c r="A14" s="22">
        <v>1</v>
      </c>
      <c r="B14" s="23">
        <v>2</v>
      </c>
      <c r="C14" s="23">
        <v>3</v>
      </c>
      <c r="D14" s="23">
        <v>4</v>
      </c>
      <c r="E14" s="23">
        <v>3</v>
      </c>
    </row>
    <row r="15" spans="1:5" x14ac:dyDescent="0.25">
      <c r="A15" s="24"/>
      <c r="B15" s="25" t="s">
        <v>68</v>
      </c>
      <c r="C15" s="26"/>
      <c r="D15" s="26"/>
      <c r="E15" s="26"/>
    </row>
    <row r="16" spans="1:5" x14ac:dyDescent="0.25">
      <c r="A16" s="27">
        <v>1100</v>
      </c>
      <c r="B16" s="27" t="s">
        <v>63</v>
      </c>
      <c r="C16" s="28">
        <v>0</v>
      </c>
      <c r="D16" s="28">
        <v>3074.97</v>
      </c>
      <c r="E16" s="28">
        <v>1188.53</v>
      </c>
    </row>
    <row r="17" spans="1:5" ht="15.75" customHeight="1" x14ac:dyDescent="0.25">
      <c r="A17" s="27">
        <v>1200</v>
      </c>
      <c r="B17" s="29" t="s">
        <v>62</v>
      </c>
      <c r="C17" s="28">
        <v>0</v>
      </c>
      <c r="D17" s="28">
        <v>725.39</v>
      </c>
      <c r="E17" s="28">
        <v>286.32</v>
      </c>
    </row>
    <row r="18" spans="1:5" hidden="1" x14ac:dyDescent="0.25">
      <c r="A18" s="27">
        <v>2210</v>
      </c>
      <c r="B18" s="29" t="s">
        <v>27</v>
      </c>
      <c r="C18" s="28"/>
      <c r="D18" s="28"/>
      <c r="E18" s="28"/>
    </row>
    <row r="19" spans="1:5" hidden="1" x14ac:dyDescent="0.25">
      <c r="A19" s="27">
        <v>2222</v>
      </c>
      <c r="B19" s="29" t="s">
        <v>28</v>
      </c>
      <c r="C19" s="28">
        <v>0</v>
      </c>
      <c r="D19" s="28" t="e">
        <f>ROUND(#REF!/2,2)</f>
        <v>#REF!</v>
      </c>
      <c r="E19" s="28"/>
    </row>
    <row r="20" spans="1:5" x14ac:dyDescent="0.25">
      <c r="A20" s="27">
        <v>2223</v>
      </c>
      <c r="B20" s="29" t="s">
        <v>29</v>
      </c>
      <c r="C20" s="28">
        <v>0</v>
      </c>
      <c r="D20" s="28" t="e">
        <f>ROUND(#REF!/2,2)</f>
        <v>#REF!</v>
      </c>
      <c r="E20" s="28">
        <v>4.82</v>
      </c>
    </row>
    <row r="21" spans="1:5" hidden="1" x14ac:dyDescent="0.25">
      <c r="A21" s="27">
        <v>2243</v>
      </c>
      <c r="B21" s="29" t="s">
        <v>9</v>
      </c>
      <c r="C21" s="28">
        <v>0</v>
      </c>
      <c r="D21" s="28" t="e">
        <f>ROUND(#REF!/2,2)</f>
        <v>#REF!</v>
      </c>
      <c r="E21" s="28"/>
    </row>
    <row r="22" spans="1:5" x14ac:dyDescent="0.25">
      <c r="A22" s="27">
        <v>2244</v>
      </c>
      <c r="B22" s="29" t="s">
        <v>10</v>
      </c>
      <c r="C22" s="28"/>
      <c r="D22" s="28"/>
      <c r="E22" s="28">
        <v>9.93</v>
      </c>
    </row>
    <row r="23" spans="1:5" hidden="1" x14ac:dyDescent="0.25">
      <c r="A23" s="27">
        <v>2251</v>
      </c>
      <c r="B23" s="29" t="s">
        <v>60</v>
      </c>
      <c r="C23" s="28"/>
      <c r="D23" s="28"/>
      <c r="E23" s="28"/>
    </row>
    <row r="24" spans="1:5" hidden="1" x14ac:dyDescent="0.25">
      <c r="A24" s="27">
        <v>2261</v>
      </c>
      <c r="B24" s="29" t="s">
        <v>11</v>
      </c>
      <c r="C24" s="28"/>
      <c r="D24" s="28"/>
      <c r="E24" s="28"/>
    </row>
    <row r="25" spans="1:5" hidden="1" x14ac:dyDescent="0.25">
      <c r="A25" s="27">
        <v>2264</v>
      </c>
      <c r="B25" s="29" t="s">
        <v>13</v>
      </c>
      <c r="C25" s="28"/>
      <c r="D25" s="28"/>
      <c r="E25" s="28"/>
    </row>
    <row r="26" spans="1:5" hidden="1" x14ac:dyDescent="0.25">
      <c r="A26" s="27">
        <v>2279</v>
      </c>
      <c r="B26" s="29" t="s">
        <v>14</v>
      </c>
      <c r="C26" s="28"/>
      <c r="D26" s="28"/>
      <c r="E26" s="28">
        <v>0</v>
      </c>
    </row>
    <row r="27" spans="1:5" x14ac:dyDescent="0.25">
      <c r="A27" s="27">
        <v>2311</v>
      </c>
      <c r="B27" s="29" t="s">
        <v>72</v>
      </c>
      <c r="C27" s="28"/>
      <c r="D27" s="28"/>
      <c r="E27" s="28">
        <v>3</v>
      </c>
    </row>
    <row r="28" spans="1:5" x14ac:dyDescent="0.25">
      <c r="A28" s="27">
        <v>2312</v>
      </c>
      <c r="B28" s="29" t="s">
        <v>16</v>
      </c>
      <c r="C28" s="28"/>
      <c r="D28" s="28"/>
      <c r="E28" s="28">
        <v>7.3</v>
      </c>
    </row>
    <row r="29" spans="1:5" x14ac:dyDescent="0.25">
      <c r="A29" s="27">
        <v>2321</v>
      </c>
      <c r="B29" s="29" t="s">
        <v>17</v>
      </c>
      <c r="C29" s="28">
        <v>0</v>
      </c>
      <c r="D29" s="28" t="e">
        <f>ROUND(#REF!/2,2)</f>
        <v>#REF!</v>
      </c>
      <c r="E29" s="28">
        <v>5.4</v>
      </c>
    </row>
    <row r="30" spans="1:5" hidden="1" x14ac:dyDescent="0.25">
      <c r="A30" s="27">
        <v>2350</v>
      </c>
      <c r="B30" s="29" t="s">
        <v>19</v>
      </c>
      <c r="C30" s="28">
        <v>0</v>
      </c>
      <c r="D30" s="28" t="e">
        <f>ROUND(#REF!/2,2)</f>
        <v>#REF!</v>
      </c>
      <c r="E30" s="28">
        <v>0</v>
      </c>
    </row>
    <row r="31" spans="1:5" x14ac:dyDescent="0.25">
      <c r="A31" s="27">
        <v>2361</v>
      </c>
      <c r="B31" s="29" t="s">
        <v>20</v>
      </c>
      <c r="C31" s="28"/>
      <c r="D31" s="28"/>
      <c r="E31" s="28">
        <v>4</v>
      </c>
    </row>
    <row r="32" spans="1:5" x14ac:dyDescent="0.25">
      <c r="A32" s="27">
        <v>2370</v>
      </c>
      <c r="B32" s="29" t="s">
        <v>69</v>
      </c>
      <c r="C32" s="28"/>
      <c r="D32" s="28"/>
      <c r="E32" s="28">
        <v>14.94</v>
      </c>
    </row>
    <row r="33" spans="1:5" hidden="1" x14ac:dyDescent="0.25">
      <c r="A33" s="55">
        <v>2513</v>
      </c>
      <c r="B33" s="29" t="s">
        <v>22</v>
      </c>
      <c r="C33" s="28"/>
      <c r="D33" s="28"/>
      <c r="E33" s="28"/>
    </row>
    <row r="34" spans="1:5" x14ac:dyDescent="0.25">
      <c r="A34" s="27">
        <v>5230</v>
      </c>
      <c r="B34" s="29" t="s">
        <v>57</v>
      </c>
      <c r="C34" s="28">
        <v>0</v>
      </c>
      <c r="D34" s="28" t="e">
        <f>ROUND(#REF!/2,2)</f>
        <v>#REF!</v>
      </c>
      <c r="E34" s="28">
        <v>8.26</v>
      </c>
    </row>
    <row r="35" spans="1:5" x14ac:dyDescent="0.25">
      <c r="A35" s="27"/>
      <c r="B35" s="30" t="s">
        <v>65</v>
      </c>
      <c r="C35" s="62">
        <f>SUM(C16:C34)</f>
        <v>0</v>
      </c>
      <c r="D35" s="62" t="e">
        <f>SUM(D16:D34)</f>
        <v>#REF!</v>
      </c>
      <c r="E35" s="31">
        <f>SUM(E16:E34)</f>
        <v>1532.5</v>
      </c>
    </row>
    <row r="36" spans="1:5" x14ac:dyDescent="0.25">
      <c r="A36" s="32"/>
      <c r="B36" s="27" t="s">
        <v>64</v>
      </c>
      <c r="C36" s="26"/>
      <c r="D36" s="26"/>
      <c r="E36" s="26"/>
    </row>
    <row r="37" spans="1:5" x14ac:dyDescent="0.25">
      <c r="A37" s="27">
        <v>1100</v>
      </c>
      <c r="B37" s="27" t="s">
        <v>63</v>
      </c>
      <c r="C37" s="28">
        <v>0</v>
      </c>
      <c r="D37" s="28" t="e">
        <f>ROUND(#REF!/2,2)</f>
        <v>#REF!</v>
      </c>
      <c r="E37" s="28">
        <v>81.739999999999995</v>
      </c>
    </row>
    <row r="38" spans="1:5" ht="15.75" customHeight="1" x14ac:dyDescent="0.25">
      <c r="A38" s="27">
        <v>1200</v>
      </c>
      <c r="B38" s="29" t="s">
        <v>62</v>
      </c>
      <c r="C38" s="28">
        <v>0</v>
      </c>
      <c r="D38" s="28" t="e">
        <f>ROUND(#REF!/2,2)</f>
        <v>#REF!</v>
      </c>
      <c r="E38" s="28">
        <v>19.690000000000001</v>
      </c>
    </row>
    <row r="39" spans="1:5" x14ac:dyDescent="0.25">
      <c r="A39" s="33">
        <v>2210</v>
      </c>
      <c r="B39" s="29" t="s">
        <v>27</v>
      </c>
      <c r="C39" s="28">
        <v>0</v>
      </c>
      <c r="D39" s="28" t="e">
        <f>ROUND(#REF!/2,2)</f>
        <v>#REF!</v>
      </c>
      <c r="E39" s="28">
        <v>0.54</v>
      </c>
    </row>
    <row r="40" spans="1:5" x14ac:dyDescent="0.25">
      <c r="A40" s="33">
        <v>2224</v>
      </c>
      <c r="B40" s="29" t="s">
        <v>85</v>
      </c>
      <c r="C40" s="28"/>
      <c r="D40" s="28"/>
      <c r="E40" s="28">
        <v>0.44</v>
      </c>
    </row>
    <row r="41" spans="1:5" x14ac:dyDescent="0.25">
      <c r="A41" s="27">
        <v>2230</v>
      </c>
      <c r="B41" s="29" t="s">
        <v>30</v>
      </c>
      <c r="C41" s="28">
        <v>0</v>
      </c>
      <c r="D41" s="28" t="e">
        <f>ROUND(#REF!/2,2)</f>
        <v>#REF!</v>
      </c>
      <c r="E41" s="28">
        <v>1.62</v>
      </c>
    </row>
    <row r="42" spans="1:5" hidden="1" x14ac:dyDescent="0.25">
      <c r="A42" s="27">
        <v>2241</v>
      </c>
      <c r="B42" s="29" t="s">
        <v>7</v>
      </c>
      <c r="C42" s="28">
        <v>0</v>
      </c>
      <c r="D42" s="28" t="e">
        <f>ROUND(#REF!/2,2)</f>
        <v>#REF!</v>
      </c>
      <c r="E42" s="28"/>
    </row>
    <row r="43" spans="1:5" x14ac:dyDescent="0.25">
      <c r="A43" s="27">
        <v>2242</v>
      </c>
      <c r="B43" s="29" t="s">
        <v>8</v>
      </c>
      <c r="C43" s="28">
        <v>0</v>
      </c>
      <c r="D43" s="28" t="e">
        <f>ROUND(#REF!/2,2)</f>
        <v>#REF!</v>
      </c>
      <c r="E43" s="28">
        <v>0.19</v>
      </c>
    </row>
    <row r="44" spans="1:5" x14ac:dyDescent="0.25">
      <c r="A44" s="27">
        <v>2243</v>
      </c>
      <c r="B44" s="29" t="s">
        <v>9</v>
      </c>
      <c r="C44" s="28">
        <v>0</v>
      </c>
      <c r="D44" s="28" t="e">
        <f>ROUND(#REF!/2,2)</f>
        <v>#REF!</v>
      </c>
      <c r="E44" s="28">
        <v>1.23</v>
      </c>
    </row>
    <row r="45" spans="1:5" x14ac:dyDescent="0.25">
      <c r="A45" s="27">
        <v>2244</v>
      </c>
      <c r="B45" s="29" t="s">
        <v>10</v>
      </c>
      <c r="C45" s="28"/>
      <c r="D45" s="28"/>
      <c r="E45" s="28">
        <v>0.48</v>
      </c>
    </row>
    <row r="46" spans="1:5" x14ac:dyDescent="0.25">
      <c r="A46" s="27">
        <v>2247</v>
      </c>
      <c r="B46" s="25" t="s">
        <v>59</v>
      </c>
      <c r="C46" s="28">
        <v>0</v>
      </c>
      <c r="D46" s="28" t="e">
        <f>ROUND(#REF!/2,2)</f>
        <v>#REF!</v>
      </c>
      <c r="E46" s="28">
        <v>0.14000000000000001</v>
      </c>
    </row>
    <row r="47" spans="1:5" x14ac:dyDescent="0.25">
      <c r="A47" s="27">
        <v>2251</v>
      </c>
      <c r="B47" s="29" t="s">
        <v>60</v>
      </c>
      <c r="C47" s="28">
        <v>0</v>
      </c>
      <c r="D47" s="28" t="e">
        <f>ROUND(#REF!/2,2)</f>
        <v>#REF!</v>
      </c>
      <c r="E47" s="28">
        <v>2.71</v>
      </c>
    </row>
    <row r="48" spans="1:5" x14ac:dyDescent="0.25">
      <c r="A48" s="27">
        <v>2259</v>
      </c>
      <c r="B48" s="29" t="s">
        <v>61</v>
      </c>
      <c r="C48" s="28">
        <v>0</v>
      </c>
      <c r="D48" s="28" t="e">
        <f>ROUND(#REF!/2,2)</f>
        <v>#REF!</v>
      </c>
      <c r="E48" s="28">
        <v>1.35</v>
      </c>
    </row>
    <row r="49" spans="1:5" x14ac:dyDescent="0.25">
      <c r="A49" s="27">
        <v>2261</v>
      </c>
      <c r="B49" s="29" t="s">
        <v>11</v>
      </c>
      <c r="C49" s="28"/>
      <c r="D49" s="28"/>
      <c r="E49" s="28">
        <v>1.2</v>
      </c>
    </row>
    <row r="50" spans="1:5" x14ac:dyDescent="0.25">
      <c r="A50" s="27">
        <v>2262</v>
      </c>
      <c r="B50" s="29" t="s">
        <v>12</v>
      </c>
      <c r="C50" s="28">
        <v>0</v>
      </c>
      <c r="D50" s="28" t="e">
        <f>ROUND(#REF!/2,2)</f>
        <v>#REF!</v>
      </c>
      <c r="E50" s="28">
        <v>0.94</v>
      </c>
    </row>
    <row r="51" spans="1:5" x14ac:dyDescent="0.25">
      <c r="A51" s="27">
        <v>2264</v>
      </c>
      <c r="B51" s="29" t="s">
        <v>13</v>
      </c>
      <c r="C51" s="28">
        <v>0</v>
      </c>
      <c r="D51" s="28" t="e">
        <f>ROUND(#REF!/2,2)</f>
        <v>#REF!</v>
      </c>
      <c r="E51" s="28">
        <v>0.06</v>
      </c>
    </row>
    <row r="52" spans="1:5" x14ac:dyDescent="0.25">
      <c r="A52" s="27">
        <v>2279</v>
      </c>
      <c r="B52" s="29" t="s">
        <v>14</v>
      </c>
      <c r="C52" s="28">
        <v>0</v>
      </c>
      <c r="D52" s="28" t="e">
        <f>ROUND(#REF!/2,2)</f>
        <v>#REF!</v>
      </c>
      <c r="E52" s="28">
        <v>0.63</v>
      </c>
    </row>
    <row r="53" spans="1:5" x14ac:dyDescent="0.25">
      <c r="A53" s="27">
        <v>2311</v>
      </c>
      <c r="B53" s="29" t="s">
        <v>15</v>
      </c>
      <c r="C53" s="28">
        <v>0</v>
      </c>
      <c r="D53" s="28" t="e">
        <f>ROUND(#REF!/2,2)</f>
        <v>#REF!</v>
      </c>
      <c r="E53" s="28">
        <v>0.34</v>
      </c>
    </row>
    <row r="54" spans="1:5" x14ac:dyDescent="0.25">
      <c r="A54" s="27">
        <v>2312</v>
      </c>
      <c r="B54" s="29" t="s">
        <v>16</v>
      </c>
      <c r="C54" s="28">
        <v>0</v>
      </c>
      <c r="D54" s="28" t="e">
        <f>ROUND(#REF!/2,2)</f>
        <v>#REF!</v>
      </c>
      <c r="E54" s="28">
        <v>0.19</v>
      </c>
    </row>
    <row r="55" spans="1:5" x14ac:dyDescent="0.25">
      <c r="A55" s="27">
        <v>2322</v>
      </c>
      <c r="B55" s="29" t="s">
        <v>18</v>
      </c>
      <c r="C55" s="28">
        <v>0</v>
      </c>
      <c r="D55" s="28" t="e">
        <f>ROUND(#REF!/2,2)</f>
        <v>#REF!</v>
      </c>
      <c r="E55" s="28">
        <v>1</v>
      </c>
    </row>
    <row r="56" spans="1:5" x14ac:dyDescent="0.25">
      <c r="A56" s="27">
        <v>2350</v>
      </c>
      <c r="B56" s="29" t="s">
        <v>19</v>
      </c>
      <c r="C56" s="28">
        <v>0</v>
      </c>
      <c r="D56" s="28" t="e">
        <f>ROUND(#REF!/2,2)</f>
        <v>#REF!</v>
      </c>
      <c r="E56" s="28">
        <v>2.14</v>
      </c>
    </row>
    <row r="57" spans="1:5" x14ac:dyDescent="0.25">
      <c r="A57" s="27">
        <v>2361</v>
      </c>
      <c r="B57" s="29" t="s">
        <v>20</v>
      </c>
      <c r="C57" s="28"/>
      <c r="D57" s="28"/>
      <c r="E57" s="28">
        <v>0.42</v>
      </c>
    </row>
    <row r="58" spans="1:5" x14ac:dyDescent="0.25">
      <c r="A58" s="27">
        <v>2370</v>
      </c>
      <c r="B58" s="29" t="s">
        <v>69</v>
      </c>
      <c r="C58" s="28"/>
      <c r="D58" s="28"/>
      <c r="E58" s="28">
        <v>0.91</v>
      </c>
    </row>
    <row r="59" spans="1:5" x14ac:dyDescent="0.25">
      <c r="A59" s="27">
        <v>2400</v>
      </c>
      <c r="B59" s="29" t="s">
        <v>31</v>
      </c>
      <c r="C59" s="28"/>
      <c r="D59" s="28"/>
      <c r="E59" s="28">
        <v>0.06</v>
      </c>
    </row>
    <row r="60" spans="1:5" hidden="1" x14ac:dyDescent="0.25">
      <c r="A60" s="27">
        <v>2513</v>
      </c>
      <c r="B60" s="29" t="s">
        <v>22</v>
      </c>
      <c r="C60" s="28"/>
      <c r="D60" s="28"/>
      <c r="E60" s="28"/>
    </row>
    <row r="61" spans="1:5" hidden="1" x14ac:dyDescent="0.25">
      <c r="A61" s="27">
        <v>2515</v>
      </c>
      <c r="B61" s="29" t="s">
        <v>58</v>
      </c>
      <c r="C61" s="28"/>
      <c r="D61" s="28"/>
      <c r="E61" s="28"/>
    </row>
    <row r="62" spans="1:5" x14ac:dyDescent="0.25">
      <c r="A62" s="27">
        <v>2519</v>
      </c>
      <c r="B62" s="29" t="s">
        <v>24</v>
      </c>
      <c r="C62" s="28"/>
      <c r="D62" s="28"/>
      <c r="E62" s="28">
        <v>3.37</v>
      </c>
    </row>
    <row r="63" spans="1:5" x14ac:dyDescent="0.25">
      <c r="A63" s="27">
        <v>5232</v>
      </c>
      <c r="B63" s="29" t="s">
        <v>23</v>
      </c>
      <c r="C63" s="28"/>
      <c r="D63" s="28"/>
      <c r="E63" s="28">
        <v>2.85</v>
      </c>
    </row>
    <row r="64" spans="1:5" hidden="1" x14ac:dyDescent="0.25">
      <c r="A64" s="27">
        <v>5240</v>
      </c>
      <c r="B64" s="29" t="s">
        <v>25</v>
      </c>
      <c r="C64" s="28"/>
      <c r="D64" s="28"/>
      <c r="E64" s="28"/>
    </row>
    <row r="65" spans="1:5" hidden="1" x14ac:dyDescent="0.25">
      <c r="A65" s="27">
        <v>5250</v>
      </c>
      <c r="B65" s="29" t="s">
        <v>26</v>
      </c>
      <c r="C65" s="28"/>
      <c r="D65" s="28"/>
      <c r="E65" s="28"/>
    </row>
    <row r="66" spans="1:5" x14ac:dyDescent="0.25">
      <c r="A66" s="32"/>
      <c r="B66" s="34" t="s">
        <v>66</v>
      </c>
      <c r="C66" s="31">
        <f>SUM(C37:C65)</f>
        <v>0</v>
      </c>
      <c r="D66" s="31" t="e">
        <f>SUM(D37:D65)</f>
        <v>#REF!</v>
      </c>
      <c r="E66" s="31">
        <f>SUM(E37:E65)</f>
        <v>124.24</v>
      </c>
    </row>
    <row r="67" spans="1:5" x14ac:dyDescent="0.25">
      <c r="A67" s="32"/>
      <c r="B67" s="34" t="s">
        <v>32</v>
      </c>
      <c r="C67" s="31">
        <f>C35+C66</f>
        <v>0</v>
      </c>
      <c r="D67" s="31" t="e">
        <f>D35+D66</f>
        <v>#REF!</v>
      </c>
      <c r="E67" s="31">
        <f>E35+E66</f>
        <v>1656.74</v>
      </c>
    </row>
    <row r="68" spans="1:5" hidden="1" x14ac:dyDescent="0.25">
      <c r="A68" s="27">
        <v>6290</v>
      </c>
      <c r="B68" s="29" t="s">
        <v>34</v>
      </c>
      <c r="C68" s="46">
        <v>0</v>
      </c>
      <c r="D68" s="28" t="e">
        <f>ROUND(#REF!/1007*504,2)</f>
        <v>#REF!</v>
      </c>
      <c r="E68" s="28"/>
    </row>
    <row r="69" spans="1:5" hidden="1" x14ac:dyDescent="0.25">
      <c r="A69" s="27">
        <v>5250</v>
      </c>
      <c r="B69" s="29" t="s">
        <v>26</v>
      </c>
      <c r="C69" s="29"/>
      <c r="D69" s="29"/>
      <c r="E69" s="45"/>
    </row>
    <row r="70" spans="1:5" hidden="1" x14ac:dyDescent="0.25">
      <c r="A70" s="32"/>
      <c r="B70" s="34" t="s">
        <v>32</v>
      </c>
      <c r="C70" s="47" t="e">
        <f>#REF!+C28</f>
        <v>#REF!</v>
      </c>
      <c r="D70" s="31" t="e">
        <f>#REF!+D28</f>
        <v>#REF!</v>
      </c>
      <c r="E70" s="31"/>
    </row>
    <row r="71" spans="1:5" x14ac:dyDescent="0.35">
      <c r="A71" s="35"/>
      <c r="B71" s="20"/>
      <c r="C71" s="20"/>
      <c r="D71" s="20"/>
    </row>
    <row r="72" spans="1:5" x14ac:dyDescent="0.25">
      <c r="A72" s="262" t="s">
        <v>45</v>
      </c>
      <c r="B72" s="262"/>
      <c r="C72" s="21">
        <v>0</v>
      </c>
      <c r="D72" s="21">
        <v>504</v>
      </c>
      <c r="E72" s="107">
        <v>1</v>
      </c>
    </row>
    <row r="73" spans="1:5" x14ac:dyDescent="0.3">
      <c r="A73" s="262" t="s">
        <v>46</v>
      </c>
      <c r="B73" s="262"/>
      <c r="C73" s="37" t="e">
        <f>C70/C72</f>
        <v>#REF!</v>
      </c>
      <c r="D73" s="37" t="e">
        <f>D70/D72</f>
        <v>#REF!</v>
      </c>
      <c r="E73" s="108">
        <f>E67/E72</f>
        <v>1656.74</v>
      </c>
    </row>
    <row r="74" spans="1:5" x14ac:dyDescent="0.3">
      <c r="A74" s="9"/>
      <c r="B74" s="9"/>
      <c r="C74" s="36"/>
      <c r="D74" s="36"/>
      <c r="E74" s="36"/>
    </row>
    <row r="75" spans="1:5" x14ac:dyDescent="0.35">
      <c r="A75" s="267" t="s">
        <v>37</v>
      </c>
      <c r="B75" s="268"/>
      <c r="C75" s="39"/>
      <c r="D75" s="39"/>
      <c r="E75" s="39"/>
    </row>
    <row r="76" spans="1:5" x14ac:dyDescent="0.35">
      <c r="A76" s="267" t="s">
        <v>54</v>
      </c>
      <c r="B76" s="268"/>
      <c r="C76" s="40"/>
      <c r="D76" s="39"/>
      <c r="E76" s="39"/>
    </row>
    <row r="77" spans="1:5" x14ac:dyDescent="0.35">
      <c r="A77" s="17"/>
      <c r="B77" s="17"/>
      <c r="C77" s="17"/>
      <c r="D77" s="17"/>
      <c r="E77" s="17"/>
    </row>
    <row r="78" spans="1:5" x14ac:dyDescent="0.35">
      <c r="A78" s="17" t="s">
        <v>38</v>
      </c>
      <c r="B78" s="17"/>
      <c r="C78" s="17"/>
      <c r="D78" s="17"/>
      <c r="E78" s="17"/>
    </row>
    <row r="79" spans="1:5" x14ac:dyDescent="0.35">
      <c r="A79" s="17"/>
      <c r="B79" s="17"/>
      <c r="C79" s="17"/>
      <c r="D79" s="17"/>
      <c r="E79" s="17"/>
    </row>
    <row r="80" spans="1:5" x14ac:dyDescent="0.35">
      <c r="A80" s="17" t="s">
        <v>47</v>
      </c>
      <c r="B80" s="18"/>
      <c r="C80" s="18"/>
      <c r="D80" s="18"/>
      <c r="E80" s="18"/>
    </row>
    <row r="81" spans="1:5" x14ac:dyDescent="0.35">
      <c r="A81" s="17"/>
      <c r="B81" s="96"/>
      <c r="C81" s="19"/>
      <c r="D81" s="17"/>
      <c r="E81" s="17"/>
    </row>
    <row r="82" spans="1:5" x14ac:dyDescent="0.35">
      <c r="A82" s="17"/>
      <c r="B82" s="19"/>
      <c r="C82" s="17"/>
      <c r="D82" s="17"/>
      <c r="E82" s="17"/>
    </row>
  </sheetData>
  <mergeCells count="12">
    <mergeCell ref="B10:C10"/>
    <mergeCell ref="B11:E11"/>
    <mergeCell ref="A72:B72"/>
    <mergeCell ref="A73:B73"/>
    <mergeCell ref="A75:B75"/>
    <mergeCell ref="A76:B76"/>
    <mergeCell ref="B1:E1"/>
    <mergeCell ref="B2:E2"/>
    <mergeCell ref="B3:E3"/>
    <mergeCell ref="A6:E6"/>
    <mergeCell ref="A7:B7"/>
    <mergeCell ref="A8:B8"/>
  </mergeCells>
  <pageMargins left="0.7" right="0.7" top="0.75" bottom="0.75" header="0.3" footer="0.3"/>
  <pageSetup paperSize="9" scale="63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view="pageLayout" topLeftCell="A63" zoomScale="90" zoomScaleNormal="100" zoomScalePageLayoutView="90" workbookViewId="0">
      <selection activeCell="B89" sqref="B89:B90"/>
    </sheetView>
  </sheetViews>
  <sheetFormatPr defaultRowHeight="15.5" x14ac:dyDescent="0.35"/>
  <cols>
    <col min="1" max="1" width="13.26953125" style="6" customWidth="1"/>
    <col min="2" max="2" width="94.453125" style="6" customWidth="1"/>
    <col min="3" max="3" width="32.7265625" style="6" customWidth="1"/>
    <col min="4" max="4" width="11.1796875" hidden="1" customWidth="1"/>
    <col min="5" max="5" width="0" hidden="1" customWidth="1"/>
    <col min="6" max="6" width="15.54296875" hidden="1" customWidth="1"/>
  </cols>
  <sheetData>
    <row r="1" spans="1:6" x14ac:dyDescent="0.35">
      <c r="A1" s="13"/>
      <c r="B1" s="258" t="s">
        <v>35</v>
      </c>
      <c r="C1" s="258"/>
      <c r="D1" s="258"/>
      <c r="E1" s="258"/>
      <c r="F1" s="259"/>
    </row>
    <row r="2" spans="1:6" x14ac:dyDescent="0.35">
      <c r="A2" s="13"/>
      <c r="B2" s="260" t="s">
        <v>39</v>
      </c>
      <c r="C2" s="260"/>
      <c r="D2" s="260"/>
      <c r="E2" s="260"/>
      <c r="F2" s="261"/>
    </row>
    <row r="3" spans="1:6" x14ac:dyDescent="0.35">
      <c r="A3" s="13"/>
      <c r="B3" s="257" t="s">
        <v>135</v>
      </c>
      <c r="C3" s="282"/>
      <c r="D3" s="282"/>
      <c r="E3" s="282"/>
      <c r="F3" s="282"/>
    </row>
    <row r="4" spans="1:6" x14ac:dyDescent="0.35">
      <c r="A4" s="13"/>
      <c r="B4" s="11"/>
      <c r="C4" s="96"/>
      <c r="D4" s="11"/>
      <c r="E4" s="13"/>
      <c r="F4" s="11"/>
    </row>
    <row r="5" spans="1:6" x14ac:dyDescent="0.35">
      <c r="A5" s="13"/>
      <c r="B5" s="260" t="str">
        <f>'3.2.2.'!E5</f>
        <v xml:space="preserve">2020.gada 07.aprīlī </v>
      </c>
      <c r="C5" s="260"/>
      <c r="D5" s="260"/>
      <c r="E5" s="260"/>
      <c r="F5" s="260"/>
    </row>
    <row r="6" spans="1:6" ht="17.5" x14ac:dyDescent="0.35">
      <c r="A6" s="252" t="s">
        <v>5</v>
      </c>
      <c r="B6" s="252"/>
      <c r="C6" s="252"/>
      <c r="D6" s="252"/>
      <c r="E6" s="252"/>
      <c r="F6" s="252"/>
    </row>
    <row r="7" spans="1:6" x14ac:dyDescent="0.35">
      <c r="A7" s="262" t="s">
        <v>1</v>
      </c>
      <c r="B7" s="262"/>
      <c r="C7" s="9"/>
      <c r="D7" s="9"/>
      <c r="E7" s="9"/>
      <c r="F7" s="6"/>
    </row>
    <row r="8" spans="1:6" x14ac:dyDescent="0.35">
      <c r="A8" s="262" t="s">
        <v>0</v>
      </c>
      <c r="B8" s="262"/>
      <c r="C8" s="9"/>
      <c r="D8" s="9"/>
      <c r="E8" s="9"/>
      <c r="F8" s="6"/>
    </row>
    <row r="9" spans="1:6" x14ac:dyDescent="0.35">
      <c r="A9" s="9"/>
      <c r="B9" s="9" t="s">
        <v>87</v>
      </c>
      <c r="C9" s="9"/>
      <c r="D9" s="9"/>
      <c r="E9" s="9"/>
      <c r="F9" s="6"/>
    </row>
    <row r="10" spans="1:6" x14ac:dyDescent="0.35">
      <c r="A10" s="9"/>
      <c r="B10" s="262" t="s">
        <v>93</v>
      </c>
      <c r="C10" s="265"/>
      <c r="D10" s="265"/>
      <c r="E10" s="9"/>
      <c r="F10" s="14"/>
    </row>
    <row r="11" spans="1:6" ht="15.75" customHeight="1" x14ac:dyDescent="0.35">
      <c r="A11" s="9"/>
      <c r="B11" s="262" t="s">
        <v>95</v>
      </c>
      <c r="C11" s="262"/>
      <c r="D11" s="262"/>
      <c r="E11" s="262"/>
      <c r="F11" s="259"/>
    </row>
    <row r="12" spans="1:6" x14ac:dyDescent="0.35">
      <c r="A12" s="9" t="s">
        <v>2</v>
      </c>
      <c r="B12" s="9" t="str">
        <f>'3.2.2.'!B12</f>
        <v>2019.gadā un turpmāk</v>
      </c>
      <c r="C12" s="9"/>
      <c r="D12" s="9"/>
      <c r="E12" s="9"/>
      <c r="F12" s="6"/>
    </row>
    <row r="13" spans="1:6" ht="53.25" customHeight="1" x14ac:dyDescent="0.25">
      <c r="A13" s="54" t="s">
        <v>3</v>
      </c>
      <c r="B13" s="54" t="s">
        <v>4</v>
      </c>
      <c r="C13" s="54" t="s">
        <v>53</v>
      </c>
      <c r="D13" s="54" t="s">
        <v>43</v>
      </c>
      <c r="E13" s="54" t="s">
        <v>44</v>
      </c>
      <c r="F13" s="54" t="s">
        <v>53</v>
      </c>
    </row>
    <row r="14" spans="1:6" ht="15" x14ac:dyDescent="0.25">
      <c r="A14" s="22">
        <v>1</v>
      </c>
      <c r="B14" s="23">
        <v>2</v>
      </c>
      <c r="C14" s="23">
        <v>3</v>
      </c>
      <c r="D14" s="23">
        <v>3</v>
      </c>
      <c r="E14" s="23">
        <v>4</v>
      </c>
      <c r="F14" s="23">
        <v>3</v>
      </c>
    </row>
    <row r="15" spans="1:6" x14ac:dyDescent="0.25">
      <c r="A15" s="24"/>
      <c r="B15" s="25" t="s">
        <v>68</v>
      </c>
      <c r="C15" s="32"/>
      <c r="D15" s="26"/>
      <c r="E15" s="26"/>
      <c r="F15" s="26"/>
    </row>
    <row r="16" spans="1:6" x14ac:dyDescent="0.35">
      <c r="A16" s="27">
        <v>1100</v>
      </c>
      <c r="B16" s="27" t="s">
        <v>63</v>
      </c>
      <c r="C16" s="93">
        <v>1247.3699999999999</v>
      </c>
      <c r="D16" s="28">
        <v>0</v>
      </c>
      <c r="E16" s="28">
        <v>3074.97</v>
      </c>
      <c r="F16" s="28"/>
    </row>
    <row r="17" spans="1:6" ht="15.75" customHeight="1" x14ac:dyDescent="0.35">
      <c r="A17" s="27">
        <v>1200</v>
      </c>
      <c r="B17" s="29" t="s">
        <v>62</v>
      </c>
      <c r="C17" s="93">
        <v>300.49</v>
      </c>
      <c r="D17" s="28">
        <v>0</v>
      </c>
      <c r="E17" s="28">
        <v>725.39</v>
      </c>
      <c r="F17" s="28"/>
    </row>
    <row r="18" spans="1:6" hidden="1" x14ac:dyDescent="0.35">
      <c r="A18" s="27">
        <v>2210</v>
      </c>
      <c r="B18" s="29" t="s">
        <v>27</v>
      </c>
      <c r="C18" s="93">
        <v>0</v>
      </c>
      <c r="D18" s="28"/>
      <c r="E18" s="28"/>
      <c r="F18" s="28"/>
    </row>
    <row r="19" spans="1:6" x14ac:dyDescent="0.35">
      <c r="A19" s="27">
        <v>2222</v>
      </c>
      <c r="B19" s="29" t="s">
        <v>28</v>
      </c>
      <c r="C19" s="93">
        <f>'[2]3.2.3.'!$C$19</f>
        <v>9.7639999999999993</v>
      </c>
      <c r="D19" s="28">
        <v>0</v>
      </c>
      <c r="E19" s="28" t="e">
        <f>ROUND(#REF!/2,2)</f>
        <v>#REF!</v>
      </c>
      <c r="F19" s="28"/>
    </row>
    <row r="20" spans="1:6" x14ac:dyDescent="0.35">
      <c r="A20" s="27">
        <v>2223</v>
      </c>
      <c r="B20" s="29" t="s">
        <v>29</v>
      </c>
      <c r="C20" s="93">
        <f>'[2]3.2.3.'!$C$20</f>
        <v>4.5819999999999999</v>
      </c>
      <c r="D20" s="28">
        <v>0</v>
      </c>
      <c r="E20" s="28" t="e">
        <f>ROUND(#REF!/2,2)</f>
        <v>#REF!</v>
      </c>
      <c r="F20" s="28"/>
    </row>
    <row r="21" spans="1:6" x14ac:dyDescent="0.35">
      <c r="A21" s="27">
        <v>2243</v>
      </c>
      <c r="B21" s="29" t="s">
        <v>9</v>
      </c>
      <c r="C21" s="93">
        <f>'[2]3.2.3.'!$C$21</f>
        <v>1.03</v>
      </c>
      <c r="D21" s="28">
        <v>0</v>
      </c>
      <c r="E21" s="28" t="e">
        <f>ROUND(#REF!/2,2)</f>
        <v>#REF!</v>
      </c>
      <c r="F21" s="28"/>
    </row>
    <row r="22" spans="1:6" x14ac:dyDescent="0.35">
      <c r="A22" s="27">
        <v>2244</v>
      </c>
      <c r="B22" s="29" t="s">
        <v>10</v>
      </c>
      <c r="C22" s="93">
        <v>9.15</v>
      </c>
      <c r="D22" s="28"/>
      <c r="E22" s="28"/>
      <c r="F22" s="28"/>
    </row>
    <row r="23" spans="1:6" hidden="1" x14ac:dyDescent="0.35">
      <c r="A23" s="27">
        <v>2251</v>
      </c>
      <c r="B23" s="29" t="s">
        <v>60</v>
      </c>
      <c r="C23" s="93">
        <v>0</v>
      </c>
      <c r="D23" s="28"/>
      <c r="E23" s="28"/>
      <c r="F23" s="28"/>
    </row>
    <row r="24" spans="1:6" hidden="1" x14ac:dyDescent="0.35">
      <c r="A24" s="27">
        <v>2261</v>
      </c>
      <c r="B24" s="29" t="s">
        <v>11</v>
      </c>
      <c r="C24" s="93">
        <v>0</v>
      </c>
      <c r="D24" s="28"/>
      <c r="E24" s="28"/>
      <c r="F24" s="28"/>
    </row>
    <row r="25" spans="1:6" hidden="1" x14ac:dyDescent="0.35">
      <c r="A25" s="27">
        <v>2264</v>
      </c>
      <c r="B25" s="29" t="s">
        <v>13</v>
      </c>
      <c r="C25" s="93">
        <v>0</v>
      </c>
      <c r="D25" s="28"/>
      <c r="E25" s="28"/>
      <c r="F25" s="28"/>
    </row>
    <row r="26" spans="1:6" hidden="1" x14ac:dyDescent="0.35">
      <c r="A26" s="27">
        <v>2279</v>
      </c>
      <c r="B26" s="29" t="s">
        <v>14</v>
      </c>
      <c r="C26" s="93">
        <v>0</v>
      </c>
      <c r="D26" s="28"/>
      <c r="E26" s="28"/>
      <c r="F26" s="28"/>
    </row>
    <row r="27" spans="1:6" x14ac:dyDescent="0.35">
      <c r="A27" s="27">
        <v>2311</v>
      </c>
      <c r="B27" s="29" t="s">
        <v>72</v>
      </c>
      <c r="C27" s="93">
        <f>'[2]3.2.3.'!$C$27</f>
        <v>4.3319999999999999</v>
      </c>
      <c r="D27" s="28"/>
      <c r="E27" s="28"/>
      <c r="F27" s="28"/>
    </row>
    <row r="28" spans="1:6" x14ac:dyDescent="0.35">
      <c r="A28" s="27">
        <v>2312</v>
      </c>
      <c r="B28" s="29" t="s">
        <v>16</v>
      </c>
      <c r="C28" s="93">
        <f>'[2]3.2.3.'!$C$28</f>
        <v>20.827999999999999</v>
      </c>
      <c r="D28" s="28"/>
      <c r="E28" s="28"/>
      <c r="F28" s="28"/>
    </row>
    <row r="29" spans="1:6" x14ac:dyDescent="0.35">
      <c r="A29" s="27">
        <v>2321</v>
      </c>
      <c r="B29" s="29" t="s">
        <v>17</v>
      </c>
      <c r="C29" s="93">
        <f>'[3]3.2.3.'!$C$29</f>
        <v>6.51</v>
      </c>
      <c r="D29" s="28">
        <v>0</v>
      </c>
      <c r="E29" s="28" t="e">
        <f>ROUND(#REF!/2,2)</f>
        <v>#REF!</v>
      </c>
      <c r="F29" s="28"/>
    </row>
    <row r="30" spans="1:6" hidden="1" x14ac:dyDescent="0.35">
      <c r="A30" s="27">
        <v>2350</v>
      </c>
      <c r="B30" s="29" t="s">
        <v>19</v>
      </c>
      <c r="C30" s="93">
        <v>0</v>
      </c>
      <c r="D30" s="28">
        <v>0</v>
      </c>
      <c r="E30" s="28" t="e">
        <f>ROUND(#REF!/2,2)</f>
        <v>#REF!</v>
      </c>
      <c r="F30" s="28"/>
    </row>
    <row r="31" spans="1:6" hidden="1" x14ac:dyDescent="0.35">
      <c r="A31" s="27">
        <v>2361</v>
      </c>
      <c r="B31" s="29" t="s">
        <v>20</v>
      </c>
      <c r="C31" s="93">
        <v>0</v>
      </c>
      <c r="D31" s="28"/>
      <c r="E31" s="28"/>
      <c r="F31" s="28"/>
    </row>
    <row r="32" spans="1:6" x14ac:dyDescent="0.35">
      <c r="A32" s="27">
        <v>2370</v>
      </c>
      <c r="B32" s="29" t="s">
        <v>69</v>
      </c>
      <c r="C32" s="93">
        <v>9.56</v>
      </c>
      <c r="D32" s="28"/>
      <c r="E32" s="28"/>
      <c r="F32" s="28"/>
    </row>
    <row r="33" spans="1:6" hidden="1" x14ac:dyDescent="0.35">
      <c r="A33" s="55">
        <v>2513</v>
      </c>
      <c r="B33" s="29" t="s">
        <v>22</v>
      </c>
      <c r="C33" s="93">
        <v>0</v>
      </c>
      <c r="D33" s="28"/>
      <c r="E33" s="28"/>
      <c r="F33" s="28"/>
    </row>
    <row r="34" spans="1:6" x14ac:dyDescent="0.35">
      <c r="A34" s="27">
        <v>5230</v>
      </c>
      <c r="B34" s="29" t="s">
        <v>57</v>
      </c>
      <c r="C34" s="93">
        <v>6.83</v>
      </c>
      <c r="D34" s="28">
        <v>0</v>
      </c>
      <c r="E34" s="28" t="e">
        <f>ROUND(#REF!/2,2)</f>
        <v>#REF!</v>
      </c>
      <c r="F34" s="28"/>
    </row>
    <row r="35" spans="1:6" x14ac:dyDescent="0.25">
      <c r="A35" s="27"/>
      <c r="B35" s="30" t="s">
        <v>65</v>
      </c>
      <c r="C35" s="31">
        <f>SUM(C16:C34)</f>
        <v>1620.4459999999999</v>
      </c>
      <c r="D35" s="31">
        <f>SUM(D16:D34)</f>
        <v>0</v>
      </c>
      <c r="E35" s="31" t="e">
        <f>SUM(E16:E34)</f>
        <v>#REF!</v>
      </c>
      <c r="F35" s="31"/>
    </row>
    <row r="36" spans="1:6" x14ac:dyDescent="0.25">
      <c r="A36" s="32"/>
      <c r="B36" s="27" t="s">
        <v>64</v>
      </c>
      <c r="C36" s="26"/>
      <c r="D36" s="26"/>
      <c r="E36" s="26"/>
      <c r="F36" s="26"/>
    </row>
    <row r="37" spans="1:6" x14ac:dyDescent="0.35">
      <c r="A37" s="27">
        <v>1100</v>
      </c>
      <c r="B37" s="27" t="s">
        <v>63</v>
      </c>
      <c r="C37" s="93">
        <v>85.13</v>
      </c>
      <c r="D37" s="28">
        <v>0</v>
      </c>
      <c r="E37" s="28" t="e">
        <f>ROUND(#REF!/2,2)</f>
        <v>#REF!</v>
      </c>
      <c r="F37" s="28"/>
    </row>
    <row r="38" spans="1:6" ht="16.5" customHeight="1" x14ac:dyDescent="0.35">
      <c r="A38" s="27">
        <v>1200</v>
      </c>
      <c r="B38" s="29" t="s">
        <v>62</v>
      </c>
      <c r="C38" s="93">
        <v>20.51</v>
      </c>
      <c r="D38" s="28">
        <v>0</v>
      </c>
      <c r="E38" s="28" t="e">
        <f>ROUND(#REF!/2,2)</f>
        <v>#REF!</v>
      </c>
      <c r="F38" s="28"/>
    </row>
    <row r="39" spans="1:6" x14ac:dyDescent="0.35">
      <c r="A39" s="33">
        <v>2210</v>
      </c>
      <c r="B39" s="29" t="s">
        <v>27</v>
      </c>
      <c r="C39" s="93">
        <v>0.56999999999999995</v>
      </c>
      <c r="D39" s="28">
        <v>0</v>
      </c>
      <c r="E39" s="28" t="e">
        <f>ROUND(#REF!/2,2)</f>
        <v>#REF!</v>
      </c>
      <c r="F39" s="28"/>
    </row>
    <row r="40" spans="1:6" x14ac:dyDescent="0.35">
      <c r="A40" s="33">
        <v>2224</v>
      </c>
      <c r="B40" s="29" t="s">
        <v>85</v>
      </c>
      <c r="C40" s="93">
        <v>0.45</v>
      </c>
      <c r="D40" s="28"/>
      <c r="E40" s="28"/>
      <c r="F40" s="28"/>
    </row>
    <row r="41" spans="1:6" x14ac:dyDescent="0.35">
      <c r="A41" s="27">
        <v>2230</v>
      </c>
      <c r="B41" s="29" t="s">
        <v>30</v>
      </c>
      <c r="C41" s="93">
        <v>1.69</v>
      </c>
      <c r="D41" s="28">
        <v>0</v>
      </c>
      <c r="E41" s="28">
        <f t="shared" ref="E41:E56" si="0">ROUND(C41/2,2)</f>
        <v>0.85</v>
      </c>
      <c r="F41" s="28"/>
    </row>
    <row r="42" spans="1:6" hidden="1" x14ac:dyDescent="0.35">
      <c r="A42" s="27">
        <v>2241</v>
      </c>
      <c r="B42" s="29" t="s">
        <v>7</v>
      </c>
      <c r="C42" s="93">
        <v>0</v>
      </c>
      <c r="D42" s="28">
        <v>0</v>
      </c>
      <c r="E42" s="28">
        <f t="shared" si="0"/>
        <v>0</v>
      </c>
      <c r="F42" s="28"/>
    </row>
    <row r="43" spans="1:6" x14ac:dyDescent="0.35">
      <c r="A43" s="27">
        <v>2242</v>
      </c>
      <c r="B43" s="29" t="s">
        <v>8</v>
      </c>
      <c r="C43" s="93">
        <v>0.2</v>
      </c>
      <c r="D43" s="28">
        <v>0</v>
      </c>
      <c r="E43" s="28">
        <f t="shared" si="0"/>
        <v>0.1</v>
      </c>
      <c r="F43" s="28"/>
    </row>
    <row r="44" spans="1:6" x14ac:dyDescent="0.35">
      <c r="A44" s="27">
        <v>2243</v>
      </c>
      <c r="B44" s="29" t="s">
        <v>9</v>
      </c>
      <c r="C44" s="93">
        <v>1.28</v>
      </c>
      <c r="D44" s="28">
        <v>0</v>
      </c>
      <c r="E44" s="28">
        <f t="shared" si="0"/>
        <v>0.64</v>
      </c>
      <c r="F44" s="28"/>
    </row>
    <row r="45" spans="1:6" x14ac:dyDescent="0.35">
      <c r="A45" s="27">
        <v>2244</v>
      </c>
      <c r="B45" s="29" t="s">
        <v>10</v>
      </c>
      <c r="C45" s="93">
        <v>0.75</v>
      </c>
      <c r="D45" s="28"/>
      <c r="E45" s="28"/>
      <c r="F45" s="28"/>
    </row>
    <row r="46" spans="1:6" x14ac:dyDescent="0.35">
      <c r="A46" s="27">
        <v>2247</v>
      </c>
      <c r="B46" s="25" t="s">
        <v>59</v>
      </c>
      <c r="C46" s="93">
        <v>0.14000000000000001</v>
      </c>
      <c r="D46" s="28">
        <v>0</v>
      </c>
      <c r="E46" s="28">
        <f t="shared" si="0"/>
        <v>7.0000000000000007E-2</v>
      </c>
      <c r="F46" s="28"/>
    </row>
    <row r="47" spans="1:6" x14ac:dyDescent="0.35">
      <c r="A47" s="27">
        <v>2251</v>
      </c>
      <c r="B47" s="29" t="s">
        <v>60</v>
      </c>
      <c r="C47" s="93">
        <v>2.82</v>
      </c>
      <c r="D47" s="28">
        <v>0</v>
      </c>
      <c r="E47" s="28">
        <f t="shared" si="0"/>
        <v>1.41</v>
      </c>
      <c r="F47" s="28"/>
    </row>
    <row r="48" spans="1:6" x14ac:dyDescent="0.35">
      <c r="A48" s="27">
        <v>2259</v>
      </c>
      <c r="B48" s="29" t="s">
        <v>61</v>
      </c>
      <c r="C48" s="93">
        <v>1.4</v>
      </c>
      <c r="D48" s="28">
        <v>0</v>
      </c>
      <c r="E48" s="28">
        <f t="shared" si="0"/>
        <v>0.7</v>
      </c>
      <c r="F48" s="28"/>
    </row>
    <row r="49" spans="1:6" x14ac:dyDescent="0.35">
      <c r="A49" s="27">
        <v>2261</v>
      </c>
      <c r="B49" s="29" t="s">
        <v>11</v>
      </c>
      <c r="C49" s="93">
        <v>1.25</v>
      </c>
      <c r="D49" s="28"/>
      <c r="E49" s="28"/>
      <c r="F49" s="28"/>
    </row>
    <row r="50" spans="1:6" x14ac:dyDescent="0.35">
      <c r="A50" s="27">
        <v>2262</v>
      </c>
      <c r="B50" s="29" t="s">
        <v>12</v>
      </c>
      <c r="C50" s="93">
        <v>0.98</v>
      </c>
      <c r="D50" s="28">
        <v>0</v>
      </c>
      <c r="E50" s="28">
        <f t="shared" si="0"/>
        <v>0.49</v>
      </c>
      <c r="F50" s="28"/>
    </row>
    <row r="51" spans="1:6" x14ac:dyDescent="0.35">
      <c r="A51" s="27">
        <v>2264</v>
      </c>
      <c r="B51" s="29" t="s">
        <v>13</v>
      </c>
      <c r="C51" s="93">
        <v>0.06</v>
      </c>
      <c r="D51" s="28">
        <v>0</v>
      </c>
      <c r="E51" s="28">
        <f t="shared" si="0"/>
        <v>0.03</v>
      </c>
      <c r="F51" s="28"/>
    </row>
    <row r="52" spans="1:6" x14ac:dyDescent="0.35">
      <c r="A52" s="27">
        <v>2279</v>
      </c>
      <c r="B52" s="29" t="s">
        <v>14</v>
      </c>
      <c r="C52" s="93">
        <v>0.66</v>
      </c>
      <c r="D52" s="28">
        <v>0</v>
      </c>
      <c r="E52" s="28">
        <f t="shared" si="0"/>
        <v>0.33</v>
      </c>
      <c r="F52" s="28"/>
    </row>
    <row r="53" spans="1:6" x14ac:dyDescent="0.35">
      <c r="A53" s="27">
        <v>2311</v>
      </c>
      <c r="B53" s="29" t="s">
        <v>15</v>
      </c>
      <c r="C53" s="93">
        <v>0.36</v>
      </c>
      <c r="D53" s="28">
        <v>0</v>
      </c>
      <c r="E53" s="28">
        <f t="shared" si="0"/>
        <v>0.18</v>
      </c>
      <c r="F53" s="28"/>
    </row>
    <row r="54" spans="1:6" x14ac:dyDescent="0.35">
      <c r="A54" s="27">
        <v>2312</v>
      </c>
      <c r="B54" s="29" t="s">
        <v>16</v>
      </c>
      <c r="C54" s="93">
        <v>0.2</v>
      </c>
      <c r="D54" s="28">
        <v>0</v>
      </c>
      <c r="E54" s="28">
        <f t="shared" si="0"/>
        <v>0.1</v>
      </c>
      <c r="F54" s="28"/>
    </row>
    <row r="55" spans="1:6" x14ac:dyDescent="0.35">
      <c r="A55" s="27">
        <v>2322</v>
      </c>
      <c r="B55" s="29" t="s">
        <v>18</v>
      </c>
      <c r="C55" s="93">
        <v>1.04</v>
      </c>
      <c r="D55" s="28">
        <v>0</v>
      </c>
      <c r="E55" s="28">
        <f t="shared" si="0"/>
        <v>0.52</v>
      </c>
      <c r="F55" s="28"/>
    </row>
    <row r="56" spans="1:6" x14ac:dyDescent="0.35">
      <c r="A56" s="27">
        <v>2350</v>
      </c>
      <c r="B56" s="29" t="s">
        <v>19</v>
      </c>
      <c r="C56" s="93">
        <v>2.2200000000000002</v>
      </c>
      <c r="D56" s="28">
        <v>0</v>
      </c>
      <c r="E56" s="28">
        <f t="shared" si="0"/>
        <v>1.1100000000000001</v>
      </c>
      <c r="F56" s="28"/>
    </row>
    <row r="57" spans="1:6" hidden="1" x14ac:dyDescent="0.35">
      <c r="A57" s="27">
        <v>2361</v>
      </c>
      <c r="B57" s="29" t="s">
        <v>20</v>
      </c>
      <c r="C57" s="93">
        <v>0</v>
      </c>
      <c r="D57" s="28"/>
      <c r="E57" s="28"/>
      <c r="F57" s="28"/>
    </row>
    <row r="58" spans="1:6" x14ac:dyDescent="0.35">
      <c r="A58" s="27">
        <v>2370</v>
      </c>
      <c r="B58" s="29" t="s">
        <v>69</v>
      </c>
      <c r="C58" s="93">
        <v>0.94</v>
      </c>
      <c r="D58" s="28"/>
      <c r="E58" s="28"/>
      <c r="F58" s="28"/>
    </row>
    <row r="59" spans="1:6" x14ac:dyDescent="0.35">
      <c r="A59" s="27">
        <v>2400</v>
      </c>
      <c r="B59" s="29" t="s">
        <v>31</v>
      </c>
      <c r="C59" s="93">
        <v>0.06</v>
      </c>
      <c r="D59" s="28"/>
      <c r="E59" s="28"/>
      <c r="F59" s="28"/>
    </row>
    <row r="60" spans="1:6" ht="15.75" customHeight="1" x14ac:dyDescent="0.35">
      <c r="A60" s="27">
        <v>2513</v>
      </c>
      <c r="B60" s="29" t="s">
        <v>22</v>
      </c>
      <c r="C60" s="93">
        <v>0.44</v>
      </c>
      <c r="D60" s="28"/>
      <c r="E60" s="28"/>
      <c r="F60" s="28"/>
    </row>
    <row r="61" spans="1:6" hidden="1" x14ac:dyDescent="0.35">
      <c r="A61" s="27">
        <v>2515</v>
      </c>
      <c r="B61" s="29" t="s">
        <v>58</v>
      </c>
      <c r="C61" s="93">
        <v>0</v>
      </c>
      <c r="D61" s="28"/>
      <c r="E61" s="28"/>
      <c r="F61" s="28"/>
    </row>
    <row r="62" spans="1:6" x14ac:dyDescent="0.35">
      <c r="A62" s="27">
        <v>2519</v>
      </c>
      <c r="B62" s="29" t="s">
        <v>24</v>
      </c>
      <c r="C62" s="93">
        <v>3.51</v>
      </c>
      <c r="D62" s="28"/>
      <c r="E62" s="28"/>
      <c r="F62" s="28"/>
    </row>
    <row r="63" spans="1:6" x14ac:dyDescent="0.35">
      <c r="A63" s="27">
        <v>5232</v>
      </c>
      <c r="B63" s="29" t="s">
        <v>23</v>
      </c>
      <c r="C63" s="93">
        <v>2.98</v>
      </c>
      <c r="D63" s="28"/>
      <c r="E63" s="28"/>
      <c r="F63" s="28"/>
    </row>
    <row r="64" spans="1:6" hidden="1" x14ac:dyDescent="0.35">
      <c r="A64" s="27">
        <v>5240</v>
      </c>
      <c r="B64" s="29" t="s">
        <v>25</v>
      </c>
      <c r="C64" s="88">
        <v>0</v>
      </c>
      <c r="D64" s="28"/>
      <c r="E64" s="28"/>
      <c r="F64" s="28"/>
    </row>
    <row r="65" spans="1:7" hidden="1" x14ac:dyDescent="0.35">
      <c r="A65" s="27">
        <v>5250</v>
      </c>
      <c r="B65" s="29" t="s">
        <v>26</v>
      </c>
      <c r="C65" s="88">
        <v>0</v>
      </c>
      <c r="D65" s="28"/>
      <c r="E65" s="28"/>
      <c r="F65" s="28"/>
    </row>
    <row r="66" spans="1:7" x14ac:dyDescent="0.25">
      <c r="A66" s="32"/>
      <c r="B66" s="34" t="s">
        <v>66</v>
      </c>
      <c r="C66" s="31">
        <f>SUM(C37:C65)</f>
        <v>129.64000000000001</v>
      </c>
      <c r="D66" s="31">
        <f>SUM(D37:D56)</f>
        <v>0</v>
      </c>
      <c r="E66" s="31" t="e">
        <f>SUM(E37:E56)</f>
        <v>#REF!</v>
      </c>
      <c r="F66" s="31"/>
      <c r="G66" s="60"/>
    </row>
    <row r="67" spans="1:7" x14ac:dyDescent="0.25">
      <c r="A67" s="32"/>
      <c r="B67" s="34" t="s">
        <v>32</v>
      </c>
      <c r="C67" s="31">
        <f>C35+C66</f>
        <v>1750.086</v>
      </c>
      <c r="D67" s="31" t="e">
        <f>#REF!+D28</f>
        <v>#REF!</v>
      </c>
      <c r="E67" s="31" t="e">
        <f>#REF!+E28</f>
        <v>#REF!</v>
      </c>
      <c r="F67" s="31"/>
      <c r="G67" s="60"/>
    </row>
    <row r="68" spans="1:7" hidden="1" x14ac:dyDescent="0.25">
      <c r="A68" s="27">
        <v>6290</v>
      </c>
      <c r="B68" s="29" t="s">
        <v>34</v>
      </c>
      <c r="C68" s="28"/>
      <c r="D68" s="46">
        <v>0</v>
      </c>
      <c r="E68" s="28">
        <f>ROUND(C68/1007*504,2)</f>
        <v>0</v>
      </c>
      <c r="F68" s="28"/>
    </row>
    <row r="69" spans="1:7" hidden="1" x14ac:dyDescent="0.25">
      <c r="A69" s="27">
        <v>5250</v>
      </c>
      <c r="B69" s="29" t="s">
        <v>26</v>
      </c>
      <c r="C69" s="45"/>
      <c r="D69" s="29"/>
      <c r="E69" s="29"/>
      <c r="F69" s="45"/>
    </row>
    <row r="70" spans="1:7" hidden="1" x14ac:dyDescent="0.25">
      <c r="A70" s="32"/>
      <c r="B70" s="34" t="s">
        <v>32</v>
      </c>
      <c r="C70" s="31">
        <f>C67+C68+C69</f>
        <v>1750.086</v>
      </c>
      <c r="D70" s="47" t="e">
        <f>#REF!+D28</f>
        <v>#REF!</v>
      </c>
      <c r="E70" s="31" t="e">
        <f>#REF!+E28</f>
        <v>#REF!</v>
      </c>
      <c r="F70" s="31"/>
    </row>
    <row r="71" spans="1:7" x14ac:dyDescent="0.35">
      <c r="A71" s="35"/>
      <c r="B71" s="20"/>
      <c r="D71" s="20"/>
      <c r="E71" s="20"/>
      <c r="F71" s="6"/>
      <c r="G71" s="60"/>
    </row>
    <row r="72" spans="1:7" x14ac:dyDescent="0.25">
      <c r="A72" s="262" t="s">
        <v>45</v>
      </c>
      <c r="B72" s="262"/>
      <c r="C72" s="107">
        <v>1</v>
      </c>
      <c r="D72" s="21">
        <v>0</v>
      </c>
      <c r="E72" s="21">
        <v>504</v>
      </c>
      <c r="F72" s="112"/>
      <c r="G72" s="113"/>
    </row>
    <row r="73" spans="1:7" x14ac:dyDescent="0.3">
      <c r="A73" s="262" t="s">
        <v>46</v>
      </c>
      <c r="B73" s="262"/>
      <c r="C73" s="108">
        <f>C70/C72</f>
        <v>1750.086</v>
      </c>
      <c r="D73" s="37">
        <v>0</v>
      </c>
      <c r="E73" s="37" t="e">
        <f>E70/E72</f>
        <v>#REF!</v>
      </c>
      <c r="F73" s="37"/>
    </row>
    <row r="74" spans="1:7" x14ac:dyDescent="0.3">
      <c r="A74" s="9"/>
      <c r="B74" s="9"/>
      <c r="C74" s="36"/>
      <c r="D74" s="36"/>
      <c r="E74" s="36"/>
      <c r="F74" s="36"/>
      <c r="G74" s="60"/>
    </row>
    <row r="75" spans="1:7" x14ac:dyDescent="0.35">
      <c r="A75" s="267" t="s">
        <v>37</v>
      </c>
      <c r="B75" s="268"/>
      <c r="C75" s="39"/>
      <c r="D75" s="39"/>
      <c r="E75" s="39"/>
      <c r="F75" s="39"/>
    </row>
    <row r="76" spans="1:7" x14ac:dyDescent="0.35">
      <c r="A76" s="267" t="s">
        <v>54</v>
      </c>
      <c r="B76" s="268"/>
      <c r="C76" s="40"/>
      <c r="D76" s="40"/>
      <c r="E76" s="39"/>
      <c r="F76" s="39"/>
    </row>
    <row r="77" spans="1:7" x14ac:dyDescent="0.35">
      <c r="A77" s="17"/>
      <c r="B77" s="17"/>
      <c r="C77" s="17"/>
      <c r="D77" s="17"/>
      <c r="E77" s="17"/>
      <c r="F77" s="17"/>
    </row>
    <row r="78" spans="1:7" x14ac:dyDescent="0.35">
      <c r="A78" s="17" t="s">
        <v>38</v>
      </c>
      <c r="B78" s="17"/>
      <c r="C78" s="17"/>
      <c r="D78" s="17"/>
      <c r="E78" s="17"/>
      <c r="F78" s="17"/>
    </row>
    <row r="79" spans="1:7" x14ac:dyDescent="0.35">
      <c r="A79" s="17"/>
      <c r="B79" s="17"/>
      <c r="C79" s="17"/>
      <c r="D79" s="17"/>
      <c r="E79" s="17"/>
      <c r="F79" s="17"/>
    </row>
    <row r="80" spans="1:7" x14ac:dyDescent="0.35">
      <c r="A80" s="17" t="s">
        <v>47</v>
      </c>
      <c r="B80" s="18"/>
      <c r="C80" s="18"/>
      <c r="D80" s="18"/>
      <c r="E80" s="18"/>
      <c r="F80" s="18"/>
    </row>
    <row r="81" spans="1:6" x14ac:dyDescent="0.35">
      <c r="A81" s="17"/>
      <c r="B81" s="96"/>
      <c r="C81" s="19"/>
      <c r="D81" s="19"/>
      <c r="E81" s="17"/>
      <c r="F81" s="17"/>
    </row>
    <row r="82" spans="1:6" x14ac:dyDescent="0.35">
      <c r="A82" s="17"/>
      <c r="B82" s="19"/>
      <c r="C82" s="17"/>
      <c r="D82" s="2"/>
      <c r="E82" s="2"/>
      <c r="F82" s="2"/>
    </row>
    <row r="83" spans="1:6" x14ac:dyDescent="0.35">
      <c r="C83" s="100"/>
      <c r="D83" s="1"/>
      <c r="E83" s="1"/>
      <c r="F83" s="1"/>
    </row>
    <row r="84" spans="1:6" x14ac:dyDescent="0.35">
      <c r="D84" s="3"/>
      <c r="E84" s="3"/>
      <c r="F84" s="3"/>
    </row>
    <row r="85" spans="1:6" x14ac:dyDescent="0.35">
      <c r="D85" s="3"/>
      <c r="E85" s="3"/>
      <c r="F85" s="3"/>
    </row>
  </sheetData>
  <mergeCells count="13">
    <mergeCell ref="B1:F1"/>
    <mergeCell ref="B2:F2"/>
    <mergeCell ref="B3:F3"/>
    <mergeCell ref="A6:F6"/>
    <mergeCell ref="A7:B7"/>
    <mergeCell ref="A8:B8"/>
    <mergeCell ref="B5:F5"/>
    <mergeCell ref="B10:D10"/>
    <mergeCell ref="B11:F11"/>
    <mergeCell ref="A72:B72"/>
    <mergeCell ref="A73:B73"/>
    <mergeCell ref="A75:B75"/>
    <mergeCell ref="A76:B76"/>
  </mergeCells>
  <pageMargins left="0.70866141732283472" right="0.70866141732283472" top="0.74803149606299213" bottom="0.74803149606299213" header="0.31496062992125984" footer="0.31496062992125984"/>
  <pageSetup paperSize="9" scale="63" fitToHeight="0" orientation="portrait" r:id="rId1"/>
  <headerFooter>
    <oddFooter>&amp;C&amp;"Times New Roman,Regular"LManotp1_150319_MK1002; Grozījumi Ministru kabineta 24.09.2013. noteikumos Nr.1002 "Sociālās integrāicjas valsts aģentūras sniegto maksas pakalpojumu cenrādis"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60</vt:i4>
      </vt:variant>
    </vt:vector>
  </HeadingPairs>
  <TitlesOfParts>
    <vt:vector size="60" baseType="lpstr">
      <vt:lpstr>Saturs</vt:lpstr>
      <vt:lpstr>Satura rādītājs</vt:lpstr>
      <vt:lpstr>1.1.</vt:lpstr>
      <vt:lpstr>1.2.</vt:lpstr>
      <vt:lpstr>1.3.(N)</vt:lpstr>
      <vt:lpstr>1.3.</vt:lpstr>
      <vt:lpstr>1.4.</vt:lpstr>
      <vt:lpstr>1.6.</vt:lpstr>
      <vt:lpstr>1.7.</vt:lpstr>
      <vt:lpstr>1.8.</vt:lpstr>
      <vt:lpstr>1.5.</vt:lpstr>
      <vt:lpstr>1.6.1.</vt:lpstr>
      <vt:lpstr>1.9.</vt:lpstr>
      <vt:lpstr>1.10.</vt:lpstr>
      <vt:lpstr>1.6.4.</vt:lpstr>
      <vt:lpstr>1.6.5.</vt:lpstr>
      <vt:lpstr>1.6.6.</vt:lpstr>
      <vt:lpstr>5.5.1.1.</vt:lpstr>
      <vt:lpstr>5.5.1.2.</vt:lpstr>
      <vt:lpstr>5.5.1.3.</vt:lpstr>
      <vt:lpstr>5.5.3.</vt:lpstr>
      <vt:lpstr>5.5.5.</vt:lpstr>
      <vt:lpstr>5.5.8.2.</vt:lpstr>
      <vt:lpstr>7.6.2.</vt:lpstr>
      <vt:lpstr>7.7.2.</vt:lpstr>
      <vt:lpstr>7.8.2.</vt:lpstr>
      <vt:lpstr>7.12.</vt:lpstr>
      <vt:lpstr>8.9.</vt:lpstr>
      <vt:lpstr>8.10.</vt:lpstr>
      <vt:lpstr>9.1.1.2.</vt:lpstr>
      <vt:lpstr>9.1.2.2.(1.korpuss)</vt:lpstr>
      <vt:lpstr>9.1.3.2.</vt:lpstr>
      <vt:lpstr>6.1.1.</vt:lpstr>
      <vt:lpstr>6.1.2.</vt:lpstr>
      <vt:lpstr>6.1.3.</vt:lpstr>
      <vt:lpstr>6.1.4.</vt:lpstr>
      <vt:lpstr>6.1.5.</vt:lpstr>
      <vt:lpstr>6.2.</vt:lpstr>
      <vt:lpstr>9.4.</vt:lpstr>
      <vt:lpstr>6.3.</vt:lpstr>
      <vt:lpstr>6.4.</vt:lpstr>
      <vt:lpstr>6.5.</vt:lpstr>
      <vt:lpstr>11.9.1.</vt:lpstr>
      <vt:lpstr>11.9.2.</vt:lpstr>
      <vt:lpstr>11.9.3.</vt:lpstr>
      <vt:lpstr>11.11.2.</vt:lpstr>
      <vt:lpstr>11.13.</vt:lpstr>
      <vt:lpstr>11.13._ppn</vt:lpstr>
      <vt:lpstr>1.6.2.</vt:lpstr>
      <vt:lpstr>2.1.</vt:lpstr>
      <vt:lpstr>2.2.</vt:lpstr>
      <vt:lpstr>2.3.</vt:lpstr>
      <vt:lpstr>2.4.</vt:lpstr>
      <vt:lpstr>2.5.</vt:lpstr>
      <vt:lpstr>3.1.1.</vt:lpstr>
      <vt:lpstr>3.1.2.</vt:lpstr>
      <vt:lpstr>3.1.3.</vt:lpstr>
      <vt:lpstr>3.2.1.</vt:lpstr>
      <vt:lpstr>3.2.2.</vt:lpstr>
      <vt:lpstr>3.2.3.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Installer;Līga Juste</dc:creator>
  <dc:description>Inese Ķīse, 67021651, Inese.Kise@lm.gov.lv, fakss 67021678</dc:description>
  <cp:lastModifiedBy>Inese Veinberga</cp:lastModifiedBy>
  <cp:lastPrinted>2023-03-28T19:54:29Z</cp:lastPrinted>
  <dcterms:created xsi:type="dcterms:W3CDTF">2008-09-26T08:09:16Z</dcterms:created>
  <dcterms:modified xsi:type="dcterms:W3CDTF">2023-06-19T08:41:32Z</dcterms:modified>
</cp:coreProperties>
</file>