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vnozare.pri\vm\Redirect_profiles\lzandberga\Desktop\LZ\DARBAM_MATERIALI\budzets 2019\2023\167milj_zinojums\prec_uz_fm_211123\"/>
    </mc:Choice>
  </mc:AlternateContent>
  <xr:revisionPtr revIDLastSave="0" documentId="13_ncr:1_{53E5E74E-85B9-408C-988E-E7BDDA2E612E}" xr6:coauthVersionLast="47" xr6:coauthVersionMax="47" xr10:uidLastSave="{00000000-0000-0000-0000-000000000000}"/>
  <bookViews>
    <workbookView xWindow="-120" yWindow="-120" windowWidth="29040" windowHeight="15840" tabRatio="910" xr2:uid="{2A6925A8-DFFE-464F-919D-CCAC93AACF9D}"/>
  </bookViews>
  <sheets>
    <sheet name="kopsavilkums" sheetId="21" r:id="rId1"/>
    <sheet name="Pārējās ministrijas MK361" sheetId="3" r:id="rId2"/>
    <sheet name="Pārējās ministrijas MK851" sheetId="4" r:id="rId3"/>
    <sheet name="Pārējās ministrijas MK509" sheetId="19" r:id="rId4"/>
    <sheet name="VM padotibas iest MK361" sheetId="1" r:id="rId5"/>
    <sheet name="VM NMPD MK851" sheetId="2" r:id="rId6"/>
    <sheet name="VM VADC MK851" sheetId="30" r:id="rId7"/>
    <sheet name="VM VTMEC MK851" sheetId="31" r:id="rId8"/>
    <sheet name="LM_līgumorg_851" sheetId="32" r:id="rId9"/>
    <sheet name="IEM_kapitsab_851" sheetId="7" r:id="rId10"/>
    <sheet name="IZM_pašv_1" sheetId="9" r:id="rId11"/>
    <sheet name="IZM_pašv_2" sheetId="10" r:id="rId12"/>
  </sheets>
  <externalReferences>
    <externalReference r:id="rId13"/>
    <externalReference r:id="rId14"/>
    <externalReference r:id="rId15"/>
  </externalReferences>
  <definedNames>
    <definedName name="_xlnm._FilterDatabase" localSheetId="10" hidden="1">IZM_pašv_1!$A$53:$M$106</definedName>
    <definedName name="_xlnm._FilterDatabase" localSheetId="4" hidden="1">'VM padotibas iest MK361'!$A$2:$Y$17</definedName>
    <definedName name="_xlnm.Print_Area" localSheetId="10">IZM_pašv_1!$A$1:$M$115</definedName>
    <definedName name="_xlnm.Print_Area" localSheetId="0">kopsavilkums!$A$1:$R$57</definedName>
    <definedName name="_xlnm.Print_Area" localSheetId="4">'VM padotibas iest MK361'!$A$1:$Z$251</definedName>
    <definedName name="_xlnm.Print_Titles" localSheetId="10">IZM_pašv_1!$6:$7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6" i="19" l="1"/>
  <c r="M29" i="1"/>
  <c r="M30" i="1" s="1"/>
  <c r="H253" i="4" l="1"/>
  <c r="H252" i="4" s="1"/>
  <c r="D255" i="4"/>
  <c r="H254" i="4"/>
  <c r="G252" i="4"/>
  <c r="F252" i="4"/>
  <c r="E252" i="4"/>
  <c r="D252" i="4"/>
  <c r="O8" i="21" l="1"/>
  <c r="O15" i="21"/>
  <c r="O12" i="21"/>
  <c r="I11" i="4" l="1"/>
  <c r="P217" i="1"/>
  <c r="O217" i="1" s="1"/>
  <c r="N217" i="1"/>
  <c r="Q217" i="1" s="1"/>
  <c r="R217" i="1" s="1"/>
  <c r="S217" i="1" s="1"/>
  <c r="N22" i="1"/>
  <c r="P22" i="1"/>
  <c r="O22" i="1" s="1"/>
  <c r="N23" i="1"/>
  <c r="J413" i="32"/>
  <c r="J414" i="32"/>
  <c r="J408" i="32"/>
  <c r="J409" i="32"/>
  <c r="J410" i="32"/>
  <c r="J411" i="32"/>
  <c r="P23" i="1"/>
  <c r="O23" i="1" s="1"/>
  <c r="J412" i="32"/>
  <c r="I246" i="4"/>
  <c r="I244" i="4"/>
  <c r="I245" i="4"/>
  <c r="I243" i="4"/>
  <c r="I253" i="4"/>
  <c r="I254" i="4"/>
  <c r="M104" i="9"/>
  <c r="K103" i="9"/>
  <c r="L103" i="9"/>
  <c r="K104" i="9"/>
  <c r="L104" i="9" s="1"/>
  <c r="I103" i="9"/>
  <c r="J103" i="9" s="1"/>
  <c r="I104" i="9"/>
  <c r="J104" i="9"/>
  <c r="I45" i="9"/>
  <c r="J45" i="9" s="1"/>
  <c r="K45" i="9" s="1"/>
  <c r="L45" i="9" s="1"/>
  <c r="I46" i="9"/>
  <c r="J46" i="9" s="1"/>
  <c r="K46" i="9" s="1"/>
  <c r="L46" i="9" s="1"/>
  <c r="I47" i="9"/>
  <c r="J47" i="9" s="1"/>
  <c r="K47" i="9" s="1"/>
  <c r="L47" i="9" s="1"/>
  <c r="I48" i="9"/>
  <c r="I49" i="9"/>
  <c r="J49" i="9" s="1"/>
  <c r="K49" i="9" s="1"/>
  <c r="L49" i="9" s="1"/>
  <c r="I11" i="9"/>
  <c r="J11" i="9" s="1"/>
  <c r="L181" i="1"/>
  <c r="L182" i="1"/>
  <c r="L183" i="1"/>
  <c r="Q22" i="1" l="1"/>
  <c r="R22" i="1" s="1"/>
  <c r="S22" i="1" s="1"/>
  <c r="Q23" i="1"/>
  <c r="R23" i="1" s="1"/>
  <c r="S23" i="1" s="1"/>
  <c r="T23" i="1" s="1"/>
  <c r="U23" i="1" s="1"/>
  <c r="I255" i="4"/>
  <c r="E52" i="21" s="1"/>
  <c r="M48" i="9"/>
  <c r="M103" i="9"/>
  <c r="M47" i="9"/>
  <c r="M49" i="9"/>
  <c r="M46" i="9"/>
  <c r="J48" i="9"/>
  <c r="K48" i="9" s="1"/>
  <c r="L48" i="9" s="1"/>
  <c r="M45" i="9"/>
  <c r="T22" i="1" l="1"/>
  <c r="U22" i="1" s="1"/>
  <c r="M231" i="1"/>
  <c r="D111" i="2"/>
  <c r="D144" i="4"/>
  <c r="D195" i="4"/>
  <c r="D149" i="4"/>
  <c r="E11" i="19"/>
  <c r="E28" i="19"/>
  <c r="J30" i="19"/>
  <c r="J31" i="19"/>
  <c r="J32" i="19"/>
  <c r="J33" i="19"/>
  <c r="J34" i="19"/>
  <c r="J35" i="19"/>
  <c r="J36" i="19"/>
  <c r="J37" i="19"/>
  <c r="J38" i="19"/>
  <c r="J39" i="19"/>
  <c r="J40" i="19"/>
  <c r="J41" i="19"/>
  <c r="J42" i="19"/>
  <c r="J43" i="19"/>
  <c r="J44" i="19"/>
  <c r="J45" i="19"/>
  <c r="J46" i="19"/>
  <c r="J47" i="19"/>
  <c r="J48" i="19"/>
  <c r="J49" i="19"/>
  <c r="J50" i="19"/>
  <c r="J51" i="19"/>
  <c r="J52" i="19"/>
  <c r="J53" i="19"/>
  <c r="J54" i="19"/>
  <c r="J55" i="19"/>
  <c r="J56" i="19"/>
  <c r="J57" i="19"/>
  <c r="J58" i="19"/>
  <c r="J59" i="19"/>
  <c r="J60" i="19"/>
  <c r="J61" i="19"/>
  <c r="J62" i="19"/>
  <c r="J63" i="19"/>
  <c r="J64" i="19"/>
  <c r="J65" i="19"/>
  <c r="J66" i="19"/>
  <c r="J67" i="19"/>
  <c r="J68" i="19"/>
  <c r="J69" i="19"/>
  <c r="J70" i="19"/>
  <c r="J71" i="19"/>
  <c r="J72" i="19"/>
  <c r="J73" i="19"/>
  <c r="J74" i="19"/>
  <c r="J75" i="19"/>
  <c r="J76" i="19"/>
  <c r="J77" i="19"/>
  <c r="J78" i="19"/>
  <c r="J79" i="19"/>
  <c r="J80" i="19"/>
  <c r="J81" i="19"/>
  <c r="J82" i="19"/>
  <c r="J83" i="19"/>
  <c r="J84" i="19"/>
  <c r="J85" i="19"/>
  <c r="J86" i="19"/>
  <c r="J87" i="19"/>
  <c r="J88" i="19"/>
  <c r="J89" i="19"/>
  <c r="J90" i="19"/>
  <c r="J91" i="19"/>
  <c r="J92" i="19"/>
  <c r="J93" i="19"/>
  <c r="J94" i="19"/>
  <c r="J95" i="19"/>
  <c r="J96" i="19"/>
  <c r="J97" i="19"/>
  <c r="J98" i="19"/>
  <c r="J99" i="19"/>
  <c r="J100" i="19"/>
  <c r="J101" i="19"/>
  <c r="J102" i="19"/>
  <c r="J103" i="19"/>
  <c r="J104" i="19"/>
  <c r="J105" i="19"/>
  <c r="J106" i="19"/>
  <c r="J107" i="19"/>
  <c r="J108" i="19"/>
  <c r="J109" i="19"/>
  <c r="J110" i="19"/>
  <c r="J111" i="19"/>
  <c r="J112" i="19"/>
  <c r="J113" i="19"/>
  <c r="J114" i="19"/>
  <c r="J115" i="19"/>
  <c r="J116" i="19"/>
  <c r="J117" i="19"/>
  <c r="J118" i="19"/>
  <c r="J119" i="19"/>
  <c r="J120" i="19"/>
  <c r="J121" i="19"/>
  <c r="J122" i="19"/>
  <c r="J123" i="19"/>
  <c r="J124" i="19"/>
  <c r="J125" i="19"/>
  <c r="J126" i="19"/>
  <c r="J127" i="19"/>
  <c r="J128" i="19"/>
  <c r="J129" i="19"/>
  <c r="J130" i="19"/>
  <c r="J131" i="19"/>
  <c r="J132" i="19"/>
  <c r="J133" i="19"/>
  <c r="J134" i="19"/>
  <c r="J135" i="19"/>
  <c r="I135" i="19"/>
  <c r="I134" i="19"/>
  <c r="I133" i="19"/>
  <c r="I132" i="19"/>
  <c r="I131" i="19"/>
  <c r="I130" i="19"/>
  <c r="I129" i="19"/>
  <c r="I128" i="19"/>
  <c r="I127" i="19"/>
  <c r="I126" i="19"/>
  <c r="I125" i="19"/>
  <c r="I124" i="19"/>
  <c r="I123" i="19"/>
  <c r="I122" i="19"/>
  <c r="I121" i="19"/>
  <c r="I120" i="19"/>
  <c r="I119" i="19"/>
  <c r="I118" i="19"/>
  <c r="I117" i="19"/>
  <c r="I116" i="19"/>
  <c r="I115" i="19"/>
  <c r="I114" i="19"/>
  <c r="I113" i="19"/>
  <c r="I112" i="19"/>
  <c r="I111" i="19"/>
  <c r="I110" i="19"/>
  <c r="I109" i="19"/>
  <c r="I108" i="19"/>
  <c r="I107" i="19"/>
  <c r="I106" i="19"/>
  <c r="I105" i="19"/>
  <c r="I104" i="19"/>
  <c r="I103" i="19"/>
  <c r="I102" i="19"/>
  <c r="I101" i="19"/>
  <c r="I100" i="19"/>
  <c r="I99" i="19"/>
  <c r="I98" i="19"/>
  <c r="I97" i="19"/>
  <c r="I96" i="19"/>
  <c r="I95" i="19"/>
  <c r="I94" i="19"/>
  <c r="I93" i="19"/>
  <c r="I92" i="19"/>
  <c r="I91" i="19"/>
  <c r="I90" i="19"/>
  <c r="I89" i="19"/>
  <c r="I88" i="19"/>
  <c r="I87" i="19"/>
  <c r="I86" i="19"/>
  <c r="I85" i="19"/>
  <c r="I84" i="19"/>
  <c r="I83" i="19"/>
  <c r="I82" i="19"/>
  <c r="I81" i="19"/>
  <c r="I80" i="19"/>
  <c r="I79" i="19"/>
  <c r="I78" i="19"/>
  <c r="I77" i="19"/>
  <c r="I76" i="19"/>
  <c r="I75" i="19"/>
  <c r="I74" i="19"/>
  <c r="I73" i="19"/>
  <c r="I72" i="19"/>
  <c r="I71" i="19"/>
  <c r="I70" i="19"/>
  <c r="I69" i="19"/>
  <c r="I68" i="19"/>
  <c r="I67" i="19"/>
  <c r="I66" i="19"/>
  <c r="I65" i="19"/>
  <c r="I64" i="19"/>
  <c r="I63" i="19"/>
  <c r="I62" i="19"/>
  <c r="I61" i="19"/>
  <c r="I60" i="19"/>
  <c r="I59" i="19"/>
  <c r="I58" i="19"/>
  <c r="I57" i="19"/>
  <c r="I56" i="19"/>
  <c r="I55" i="19"/>
  <c r="I54" i="19"/>
  <c r="I53" i="19"/>
  <c r="I52" i="19"/>
  <c r="I51" i="19"/>
  <c r="I50" i="19"/>
  <c r="I49" i="19"/>
  <c r="I48" i="19"/>
  <c r="I47" i="19"/>
  <c r="I46" i="19"/>
  <c r="I45" i="19"/>
  <c r="I44" i="19"/>
  <c r="I43" i="19"/>
  <c r="I42" i="19"/>
  <c r="I41" i="19"/>
  <c r="I40" i="19"/>
  <c r="I39" i="19"/>
  <c r="I38" i="19"/>
  <c r="I37" i="19"/>
  <c r="I36" i="19"/>
  <c r="I35" i="19"/>
  <c r="I34" i="19"/>
  <c r="I33" i="19"/>
  <c r="I32" i="19"/>
  <c r="I31" i="19"/>
  <c r="I30" i="19"/>
  <c r="J13" i="19"/>
  <c r="J14" i="19"/>
  <c r="J15" i="19"/>
  <c r="J16" i="19"/>
  <c r="J17" i="19"/>
  <c r="J18" i="19"/>
  <c r="J19" i="19"/>
  <c r="J20" i="19"/>
  <c r="J21" i="19"/>
  <c r="J22" i="19"/>
  <c r="J23" i="19"/>
  <c r="J24" i="19"/>
  <c r="J25" i="19"/>
  <c r="J26" i="19"/>
  <c r="J27" i="19"/>
  <c r="D247" i="4" l="1"/>
  <c r="K11" i="9" l="1"/>
  <c r="L11" i="9" l="1"/>
  <c r="M11" i="9"/>
  <c r="W35" i="10"/>
  <c r="N26" i="1" l="1"/>
  <c r="J12" i="19"/>
  <c r="H11" i="4"/>
  <c r="I19" i="4"/>
  <c r="I150" i="4"/>
  <c r="N11" i="3"/>
  <c r="L123" i="1" l="1"/>
  <c r="I29" i="19"/>
  <c r="F246" i="4" l="1"/>
  <c r="H246" i="4" s="1"/>
  <c r="F245" i="4"/>
  <c r="F244" i="4"/>
  <c r="F243" i="4"/>
  <c r="G242" i="4"/>
  <c r="E242" i="4"/>
  <c r="D242" i="4"/>
  <c r="F240" i="4"/>
  <c r="I240" i="4" s="1"/>
  <c r="F239" i="4"/>
  <c r="I239" i="4" s="1"/>
  <c r="F238" i="4"/>
  <c r="I238" i="4" s="1"/>
  <c r="F237" i="4"/>
  <c r="I237" i="4" s="1"/>
  <c r="F236" i="4"/>
  <c r="H236" i="4" s="1"/>
  <c r="F235" i="4"/>
  <c r="H235" i="4" s="1"/>
  <c r="F234" i="4"/>
  <c r="I234" i="4" s="1"/>
  <c r="F233" i="4"/>
  <c r="I233" i="4" s="1"/>
  <c r="H232" i="4"/>
  <c r="F232" i="4"/>
  <c r="I232" i="4" s="1"/>
  <c r="F231" i="4"/>
  <c r="I231" i="4" s="1"/>
  <c r="F230" i="4"/>
  <c r="I230" i="4" s="1"/>
  <c r="I229" i="4"/>
  <c r="H229" i="4"/>
  <c r="F229" i="4"/>
  <c r="F228" i="4"/>
  <c r="H228" i="4" s="1"/>
  <c r="F227" i="4"/>
  <c r="H227" i="4" s="1"/>
  <c r="F226" i="4"/>
  <c r="I226" i="4" s="1"/>
  <c r="F225" i="4"/>
  <c r="I225" i="4" s="1"/>
  <c r="H224" i="4"/>
  <c r="F224" i="4"/>
  <c r="I224" i="4" s="1"/>
  <c r="F223" i="4"/>
  <c r="I223" i="4" s="1"/>
  <c r="F222" i="4"/>
  <c r="I222" i="4" s="1"/>
  <c r="F221" i="4"/>
  <c r="I221" i="4" s="1"/>
  <c r="F220" i="4"/>
  <c r="H220" i="4" s="1"/>
  <c r="F219" i="4"/>
  <c r="H219" i="4" s="1"/>
  <c r="F218" i="4"/>
  <c r="I218" i="4" s="1"/>
  <c r="F217" i="4"/>
  <c r="I217" i="4" s="1"/>
  <c r="H216" i="4"/>
  <c r="F216" i="4"/>
  <c r="I216" i="4" s="1"/>
  <c r="F215" i="4"/>
  <c r="I215" i="4" s="1"/>
  <c r="F214" i="4"/>
  <c r="I214" i="4" s="1"/>
  <c r="H213" i="4"/>
  <c r="F213" i="4"/>
  <c r="I213" i="4" s="1"/>
  <c r="F212" i="4"/>
  <c r="H212" i="4" s="1"/>
  <c r="F211" i="4"/>
  <c r="H211" i="4" s="1"/>
  <c r="F210" i="4"/>
  <c r="I210" i="4" s="1"/>
  <c r="F209" i="4"/>
  <c r="I209" i="4" s="1"/>
  <c r="F208" i="4"/>
  <c r="I208" i="4" s="1"/>
  <c r="F207" i="4"/>
  <c r="I207" i="4" s="1"/>
  <c r="F206" i="4"/>
  <c r="I206" i="4" s="1"/>
  <c r="I205" i="4"/>
  <c r="F205" i="4"/>
  <c r="H205" i="4" s="1"/>
  <c r="F204" i="4"/>
  <c r="H204" i="4" s="1"/>
  <c r="F203" i="4"/>
  <c r="H203" i="4" s="1"/>
  <c r="F202" i="4"/>
  <c r="I202" i="4" s="1"/>
  <c r="F201" i="4"/>
  <c r="I201" i="4" s="1"/>
  <c r="F200" i="4"/>
  <c r="I200" i="4" s="1"/>
  <c r="F199" i="4"/>
  <c r="I199" i="4" s="1"/>
  <c r="F198" i="4"/>
  <c r="H198" i="4" s="1"/>
  <c r="F197" i="4"/>
  <c r="I197" i="4" s="1"/>
  <c r="F196" i="4"/>
  <c r="H196" i="4" s="1"/>
  <c r="G195" i="4"/>
  <c r="E195" i="4"/>
  <c r="F194" i="4"/>
  <c r="H194" i="4" s="1"/>
  <c r="F193" i="4"/>
  <c r="H193" i="4" s="1"/>
  <c r="F192" i="4"/>
  <c r="F191" i="4" s="1"/>
  <c r="G191" i="4"/>
  <c r="E191" i="4"/>
  <c r="D191" i="4"/>
  <c r="F190" i="4"/>
  <c r="I190" i="4" s="1"/>
  <c r="F189" i="4"/>
  <c r="I189" i="4" s="1"/>
  <c r="F188" i="4"/>
  <c r="I188" i="4" s="1"/>
  <c r="F187" i="4"/>
  <c r="I187" i="4" s="1"/>
  <c r="I186" i="4"/>
  <c r="H186" i="4"/>
  <c r="F186" i="4"/>
  <c r="I185" i="4"/>
  <c r="H185" i="4"/>
  <c r="F185" i="4"/>
  <c r="F184" i="4"/>
  <c r="H184" i="4" s="1"/>
  <c r="F183" i="4"/>
  <c r="H183" i="4" s="1"/>
  <c r="F182" i="4"/>
  <c r="I182" i="4" s="1"/>
  <c r="F181" i="4"/>
  <c r="I181" i="4" s="1"/>
  <c r="F180" i="4"/>
  <c r="I180" i="4" s="1"/>
  <c r="F179" i="4"/>
  <c r="I179" i="4" s="1"/>
  <c r="F178" i="4"/>
  <c r="I178" i="4" s="1"/>
  <c r="I177" i="4"/>
  <c r="F177" i="4"/>
  <c r="H177" i="4" s="1"/>
  <c r="F176" i="4"/>
  <c r="H176" i="4" s="1"/>
  <c r="F175" i="4"/>
  <c r="H175" i="4" s="1"/>
  <c r="F174" i="4"/>
  <c r="I174" i="4" s="1"/>
  <c r="F173" i="4"/>
  <c r="I173" i="4" s="1"/>
  <c r="F172" i="4"/>
  <c r="I172" i="4" s="1"/>
  <c r="F171" i="4"/>
  <c r="I171" i="4" s="1"/>
  <c r="F170" i="4"/>
  <c r="I170" i="4" s="1"/>
  <c r="I169" i="4"/>
  <c r="F169" i="4"/>
  <c r="H169" i="4" s="1"/>
  <c r="F168" i="4"/>
  <c r="H168" i="4" s="1"/>
  <c r="F167" i="4"/>
  <c r="H167" i="4" s="1"/>
  <c r="F166" i="4"/>
  <c r="I166" i="4" s="1"/>
  <c r="F165" i="4"/>
  <c r="I165" i="4" s="1"/>
  <c r="F164" i="4"/>
  <c r="I164" i="4" s="1"/>
  <c r="F163" i="4"/>
  <c r="I163" i="4" s="1"/>
  <c r="I162" i="4"/>
  <c r="F162" i="4"/>
  <c r="H162" i="4" s="1"/>
  <c r="F161" i="4"/>
  <c r="H161" i="4" s="1"/>
  <c r="F160" i="4"/>
  <c r="H160" i="4" s="1"/>
  <c r="F159" i="4"/>
  <c r="H159" i="4" s="1"/>
  <c r="F158" i="4"/>
  <c r="I158" i="4" s="1"/>
  <c r="F157" i="4"/>
  <c r="I157" i="4" s="1"/>
  <c r="F156" i="4"/>
  <c r="I156" i="4" s="1"/>
  <c r="F155" i="4"/>
  <c r="I155" i="4" s="1"/>
  <c r="F154" i="4"/>
  <c r="I154" i="4" s="1"/>
  <c r="F153" i="4"/>
  <c r="H153" i="4" s="1"/>
  <c r="F152" i="4"/>
  <c r="H152" i="4" s="1"/>
  <c r="F151" i="4"/>
  <c r="H151" i="4" s="1"/>
  <c r="F150" i="4"/>
  <c r="G149" i="4"/>
  <c r="E149" i="4"/>
  <c r="I153" i="4" l="1"/>
  <c r="H170" i="4"/>
  <c r="H200" i="4"/>
  <c r="H154" i="4"/>
  <c r="H237" i="4"/>
  <c r="I161" i="4"/>
  <c r="H178" i="4"/>
  <c r="H188" i="4"/>
  <c r="I193" i="4"/>
  <c r="H197" i="4"/>
  <c r="H208" i="4"/>
  <c r="H221" i="4"/>
  <c r="I194" i="4"/>
  <c r="I151" i="4"/>
  <c r="I159" i="4"/>
  <c r="I167" i="4"/>
  <c r="I183" i="4"/>
  <c r="I198" i="4"/>
  <c r="I203" i="4"/>
  <c r="I211" i="4"/>
  <c r="I219" i="4"/>
  <c r="I227" i="4"/>
  <c r="I160" i="4"/>
  <c r="I175" i="4"/>
  <c r="H214" i="4"/>
  <c r="F149" i="4"/>
  <c r="H206" i="4"/>
  <c r="H222" i="4"/>
  <c r="H155" i="4"/>
  <c r="I168" i="4"/>
  <c r="I176" i="4"/>
  <c r="H179" i="4"/>
  <c r="H187" i="4"/>
  <c r="I196" i="4"/>
  <c r="H199" i="4"/>
  <c r="I204" i="4"/>
  <c r="H207" i="4"/>
  <c r="I212" i="4"/>
  <c r="H215" i="4"/>
  <c r="I220" i="4"/>
  <c r="H223" i="4"/>
  <c r="I228" i="4"/>
  <c r="H231" i="4"/>
  <c r="I236" i="4"/>
  <c r="H239" i="4"/>
  <c r="H230" i="4"/>
  <c r="H238" i="4"/>
  <c r="I235" i="4"/>
  <c r="I152" i="4"/>
  <c r="H163" i="4"/>
  <c r="H171" i="4"/>
  <c r="I184" i="4"/>
  <c r="H156" i="4"/>
  <c r="H164" i="4"/>
  <c r="H172" i="4"/>
  <c r="H180" i="4"/>
  <c r="H150" i="4"/>
  <c r="H158" i="4"/>
  <c r="H166" i="4"/>
  <c r="H174" i="4"/>
  <c r="H182" i="4"/>
  <c r="H190" i="4"/>
  <c r="H192" i="4"/>
  <c r="H191" i="4" s="1"/>
  <c r="H202" i="4"/>
  <c r="H210" i="4"/>
  <c r="H218" i="4"/>
  <c r="H226" i="4"/>
  <c r="H234" i="4"/>
  <c r="H245" i="4"/>
  <c r="I192" i="4"/>
  <c r="H240" i="4"/>
  <c r="H243" i="4"/>
  <c r="F195" i="4"/>
  <c r="H157" i="4"/>
  <c r="H165" i="4"/>
  <c r="H173" i="4"/>
  <c r="H181" i="4"/>
  <c r="H189" i="4"/>
  <c r="H201" i="4"/>
  <c r="H209" i="4"/>
  <c r="H217" i="4"/>
  <c r="H225" i="4"/>
  <c r="H233" i="4"/>
  <c r="H244" i="4"/>
  <c r="F242" i="4"/>
  <c r="I247" i="4" l="1"/>
  <c r="H242" i="4"/>
  <c r="H195" i="4"/>
  <c r="H149" i="4"/>
  <c r="I136" i="19" l="1"/>
  <c r="F28" i="19"/>
  <c r="H28" i="19"/>
  <c r="F11" i="19"/>
  <c r="H11" i="19"/>
  <c r="I28" i="19" l="1"/>
  <c r="G28" i="19"/>
  <c r="G11" i="19"/>
  <c r="I11" i="19" l="1"/>
  <c r="G439" i="32" l="1"/>
  <c r="F439" i="32"/>
  <c r="H439" i="32"/>
  <c r="E439" i="32"/>
  <c r="F426" i="32"/>
  <c r="G426" i="32"/>
  <c r="H426" i="32"/>
  <c r="E426" i="32"/>
  <c r="J432" i="32"/>
  <c r="I432" i="32"/>
  <c r="I422" i="32"/>
  <c r="I423" i="32"/>
  <c r="I424" i="32"/>
  <c r="I425" i="32"/>
  <c r="E418" i="32"/>
  <c r="F415" i="32"/>
  <c r="G415" i="32"/>
  <c r="H415" i="32"/>
  <c r="I415" i="32"/>
  <c r="E415" i="32"/>
  <c r="F407" i="32"/>
  <c r="G407" i="32"/>
  <c r="H407" i="32"/>
  <c r="I407" i="32"/>
  <c r="E407" i="32"/>
  <c r="F370" i="32"/>
  <c r="G370" i="32"/>
  <c r="H370" i="32"/>
  <c r="I370" i="32"/>
  <c r="E370" i="32"/>
  <c r="J372" i="32"/>
  <c r="J373" i="32"/>
  <c r="J374" i="32"/>
  <c r="J375" i="32"/>
  <c r="J376" i="32"/>
  <c r="J377" i="32"/>
  <c r="J378" i="32"/>
  <c r="J379" i="32"/>
  <c r="J380" i="32"/>
  <c r="J381" i="32"/>
  <c r="J382" i="32"/>
  <c r="J383" i="32"/>
  <c r="J384" i="32"/>
  <c r="J385" i="32"/>
  <c r="J386" i="32"/>
  <c r="J387" i="32"/>
  <c r="J388" i="32"/>
  <c r="J389" i="32"/>
  <c r="J390" i="32"/>
  <c r="J391" i="32"/>
  <c r="J392" i="32"/>
  <c r="J393" i="32"/>
  <c r="J394" i="32"/>
  <c r="J395" i="32"/>
  <c r="J396" i="32"/>
  <c r="J397" i="32"/>
  <c r="J398" i="32"/>
  <c r="J399" i="32"/>
  <c r="J400" i="32"/>
  <c r="J401" i="32"/>
  <c r="J402" i="32"/>
  <c r="J403" i="32"/>
  <c r="J404" i="32"/>
  <c r="J405" i="32"/>
  <c r="J406" i="32"/>
  <c r="F359" i="32"/>
  <c r="G359" i="32"/>
  <c r="H359" i="32"/>
  <c r="I359" i="32"/>
  <c r="F287" i="32"/>
  <c r="G287" i="32"/>
  <c r="H287" i="32"/>
  <c r="I287" i="32"/>
  <c r="E287" i="32"/>
  <c r="J288" i="32"/>
  <c r="J289" i="32"/>
  <c r="J290" i="32"/>
  <c r="J291" i="32"/>
  <c r="J292" i="32"/>
  <c r="J293" i="32"/>
  <c r="J294" i="32"/>
  <c r="J295" i="32"/>
  <c r="J296" i="32"/>
  <c r="J297" i="32"/>
  <c r="J298" i="32"/>
  <c r="J299" i="32"/>
  <c r="J300" i="32"/>
  <c r="J301" i="32"/>
  <c r="J302" i="32"/>
  <c r="J303" i="32"/>
  <c r="J304" i="32"/>
  <c r="J305" i="32"/>
  <c r="J306" i="32"/>
  <c r="J307" i="32"/>
  <c r="J308" i="32"/>
  <c r="J309" i="32"/>
  <c r="J310" i="32"/>
  <c r="J311" i="32"/>
  <c r="J312" i="32"/>
  <c r="J313" i="32"/>
  <c r="J314" i="32"/>
  <c r="J315" i="32"/>
  <c r="J316" i="32"/>
  <c r="J317" i="32"/>
  <c r="J318" i="32"/>
  <c r="J319" i="32"/>
  <c r="J320" i="32"/>
  <c r="J321" i="32"/>
  <c r="J322" i="32"/>
  <c r="J323" i="32"/>
  <c r="J324" i="32"/>
  <c r="J325" i="32"/>
  <c r="J326" i="32"/>
  <c r="J327" i="32"/>
  <c r="J328" i="32"/>
  <c r="J329" i="32"/>
  <c r="J330" i="32"/>
  <c r="J331" i="32"/>
  <c r="J332" i="32"/>
  <c r="J333" i="32"/>
  <c r="J334" i="32"/>
  <c r="J335" i="32"/>
  <c r="J336" i="32"/>
  <c r="J337" i="32"/>
  <c r="J338" i="32"/>
  <c r="J339" i="32"/>
  <c r="J340" i="32"/>
  <c r="J341" i="32"/>
  <c r="J342" i="32"/>
  <c r="J343" i="32"/>
  <c r="J344" i="32"/>
  <c r="J345" i="32"/>
  <c r="J346" i="32"/>
  <c r="J347" i="32"/>
  <c r="J348" i="32"/>
  <c r="J349" i="32"/>
  <c r="J350" i="32"/>
  <c r="J351" i="32"/>
  <c r="J352" i="32"/>
  <c r="J353" i="32"/>
  <c r="J354" i="32"/>
  <c r="J355" i="32"/>
  <c r="J356" i="32"/>
  <c r="J357" i="32"/>
  <c r="J358" i="32"/>
  <c r="F260" i="32"/>
  <c r="G260" i="32"/>
  <c r="H260" i="32"/>
  <c r="I260" i="32"/>
  <c r="E260" i="32"/>
  <c r="F217" i="32"/>
  <c r="G217" i="32"/>
  <c r="H217" i="32"/>
  <c r="I217" i="32"/>
  <c r="E217" i="32"/>
  <c r="I181" i="32"/>
  <c r="J248" i="32"/>
  <c r="J249" i="32"/>
  <c r="J250" i="32"/>
  <c r="J251" i="32"/>
  <c r="I212" i="32"/>
  <c r="I200" i="32"/>
  <c r="I199" i="32"/>
  <c r="I198" i="32"/>
  <c r="J193" i="32"/>
  <c r="I195" i="32"/>
  <c r="I193" i="32"/>
  <c r="I192" i="32" s="1"/>
  <c r="E192" i="32"/>
  <c r="H192" i="32"/>
  <c r="G192" i="32"/>
  <c r="F192" i="32"/>
  <c r="I191" i="32"/>
  <c r="I186" i="32"/>
  <c r="E179" i="32"/>
  <c r="I180" i="32"/>
  <c r="F167" i="32"/>
  <c r="G167" i="32"/>
  <c r="H167" i="32"/>
  <c r="E167" i="32"/>
  <c r="I172" i="32"/>
  <c r="I171" i="32"/>
  <c r="I170" i="32"/>
  <c r="I169" i="32"/>
  <c r="I168" i="32"/>
  <c r="J168" i="32"/>
  <c r="J169" i="32"/>
  <c r="J170" i="32"/>
  <c r="J171" i="32"/>
  <c r="I166" i="32"/>
  <c r="I165" i="32" s="1"/>
  <c r="F165" i="32"/>
  <c r="G165" i="32"/>
  <c r="H165" i="32"/>
  <c r="E165" i="32"/>
  <c r="I164" i="32"/>
  <c r="I159" i="32"/>
  <c r="I158" i="32"/>
  <c r="I157" i="32"/>
  <c r="I156" i="32"/>
  <c r="I150" i="32"/>
  <c r="I149" i="32"/>
  <c r="I148" i="32"/>
  <c r="I147" i="32"/>
  <c r="I146" i="32"/>
  <c r="I145" i="32"/>
  <c r="I144" i="32"/>
  <c r="I143" i="32"/>
  <c r="I142" i="32"/>
  <c r="I141" i="32"/>
  <c r="I140" i="32"/>
  <c r="E139" i="32"/>
  <c r="J148" i="32"/>
  <c r="J149" i="32"/>
  <c r="I137" i="32"/>
  <c r="I135" i="32"/>
  <c r="I133" i="32"/>
  <c r="I132" i="32"/>
  <c r="I127" i="32"/>
  <c r="I126" i="32"/>
  <c r="I125" i="32"/>
  <c r="I124" i="32"/>
  <c r="I120" i="32"/>
  <c r="I119" i="32"/>
  <c r="I118" i="32"/>
  <c r="I116" i="32"/>
  <c r="I111" i="32"/>
  <c r="I110" i="32"/>
  <c r="I101" i="32"/>
  <c r="F95" i="32"/>
  <c r="G95" i="32"/>
  <c r="H95" i="32"/>
  <c r="E95" i="32"/>
  <c r="J96" i="32"/>
  <c r="I96" i="32"/>
  <c r="I95" i="32" s="1"/>
  <c r="J94" i="32"/>
  <c r="F93" i="32"/>
  <c r="G93" i="32"/>
  <c r="H93" i="32"/>
  <c r="E93" i="32"/>
  <c r="I94" i="32"/>
  <c r="I93" i="32" s="1"/>
  <c r="I91" i="32"/>
  <c r="I89" i="32"/>
  <c r="F77" i="32"/>
  <c r="G77" i="32"/>
  <c r="H77" i="32"/>
  <c r="E77" i="32"/>
  <c r="I82" i="32"/>
  <c r="I79" i="32"/>
  <c r="I78" i="32"/>
  <c r="J78" i="32"/>
  <c r="I59" i="32"/>
  <c r="I58" i="32"/>
  <c r="I56" i="32"/>
  <c r="E42" i="32"/>
  <c r="E41" i="32" s="1"/>
  <c r="F50" i="32"/>
  <c r="F49" i="32" s="1"/>
  <c r="G50" i="32"/>
  <c r="G49" i="32" s="1"/>
  <c r="H50" i="32"/>
  <c r="H49" i="32" s="1"/>
  <c r="I50" i="32"/>
  <c r="I49" i="32" s="1"/>
  <c r="E50" i="32"/>
  <c r="E49" i="32" s="1"/>
  <c r="J44" i="32"/>
  <c r="J45" i="32"/>
  <c r="J46" i="32"/>
  <c r="J47" i="32"/>
  <c r="F42" i="32"/>
  <c r="F41" i="32" s="1"/>
  <c r="G42" i="32"/>
  <c r="G41" i="32" s="1"/>
  <c r="H42" i="32"/>
  <c r="H41" i="32" s="1"/>
  <c r="I42" i="32"/>
  <c r="I41" i="32" s="1"/>
  <c r="J17" i="32"/>
  <c r="J18" i="32"/>
  <c r="J19" i="32"/>
  <c r="J20" i="32"/>
  <c r="J21" i="32"/>
  <c r="J22" i="32"/>
  <c r="J23" i="32"/>
  <c r="J24" i="32"/>
  <c r="J25" i="32"/>
  <c r="J26" i="32"/>
  <c r="J27" i="32"/>
  <c r="J28" i="32"/>
  <c r="J13" i="32"/>
  <c r="J12" i="32"/>
  <c r="J14" i="32"/>
  <c r="P29" i="3"/>
  <c r="O29" i="3" s="1"/>
  <c r="P30" i="3"/>
  <c r="P31" i="3"/>
  <c r="O31" i="3" s="1"/>
  <c r="N29" i="3"/>
  <c r="N30" i="3"/>
  <c r="N31" i="3"/>
  <c r="N28" i="3"/>
  <c r="Q31" i="3" l="1"/>
  <c r="R31" i="3" s="1"/>
  <c r="S31" i="3" s="1"/>
  <c r="T31" i="3" s="1"/>
  <c r="U31" i="3" s="1"/>
  <c r="Q30" i="3"/>
  <c r="R30" i="3" s="1"/>
  <c r="S30" i="3" s="1"/>
  <c r="T30" i="3" s="1"/>
  <c r="U30" i="3" s="1"/>
  <c r="E369" i="32"/>
  <c r="H92" i="32"/>
  <c r="E92" i="32"/>
  <c r="G92" i="32"/>
  <c r="I167" i="32"/>
  <c r="I92" i="32"/>
  <c r="F92" i="32"/>
  <c r="O30" i="3"/>
  <c r="Q29" i="3"/>
  <c r="R29" i="3" s="1"/>
  <c r="S29" i="3" s="1"/>
  <c r="L11" i="3"/>
  <c r="P11" i="3" s="1"/>
  <c r="Q11" i="3" s="1"/>
  <c r="R11" i="3" s="1"/>
  <c r="S11" i="3" s="1"/>
  <c r="L12" i="3"/>
  <c r="P12" i="3" s="1"/>
  <c r="N12" i="3"/>
  <c r="L209" i="1"/>
  <c r="I209" i="1"/>
  <c r="H209" i="1"/>
  <c r="G209" i="1"/>
  <c r="L208" i="1"/>
  <c r="I208" i="1"/>
  <c r="H208" i="1"/>
  <c r="G208" i="1"/>
  <c r="L207" i="1"/>
  <c r="I207" i="1"/>
  <c r="H207" i="1"/>
  <c r="G207" i="1"/>
  <c r="L206" i="1"/>
  <c r="I206" i="1"/>
  <c r="H206" i="1"/>
  <c r="G206" i="1"/>
  <c r="L205" i="1"/>
  <c r="I205" i="1"/>
  <c r="H205" i="1"/>
  <c r="G205" i="1"/>
  <c r="L204" i="1"/>
  <c r="I204" i="1"/>
  <c r="H204" i="1"/>
  <c r="G204" i="1"/>
  <c r="L203" i="1"/>
  <c r="I203" i="1"/>
  <c r="H203" i="1"/>
  <c r="G203" i="1"/>
  <c r="L202" i="1"/>
  <c r="I202" i="1"/>
  <c r="H202" i="1"/>
  <c r="G202" i="1"/>
  <c r="I201" i="1"/>
  <c r="H201" i="1"/>
  <c r="G201" i="1"/>
  <c r="L200" i="1"/>
  <c r="I200" i="1"/>
  <c r="H200" i="1"/>
  <c r="G200" i="1"/>
  <c r="L199" i="1"/>
  <c r="I199" i="1"/>
  <c r="H199" i="1"/>
  <c r="G199" i="1"/>
  <c r="L198" i="1"/>
  <c r="I198" i="1"/>
  <c r="H198" i="1"/>
  <c r="G198" i="1"/>
  <c r="L197" i="1"/>
  <c r="I197" i="1"/>
  <c r="H197" i="1"/>
  <c r="G197" i="1"/>
  <c r="L196" i="1"/>
  <c r="I196" i="1"/>
  <c r="H196" i="1"/>
  <c r="G196" i="1"/>
  <c r="L195" i="1"/>
  <c r="I195" i="1"/>
  <c r="H195" i="1"/>
  <c r="G195" i="1"/>
  <c r="I194" i="1"/>
  <c r="H194" i="1"/>
  <c r="G194" i="1"/>
  <c r="L193" i="1"/>
  <c r="I193" i="1"/>
  <c r="H193" i="1"/>
  <c r="G193" i="1"/>
  <c r="L192" i="1"/>
  <c r="I192" i="1"/>
  <c r="H192" i="1"/>
  <c r="G192" i="1"/>
  <c r="L191" i="1"/>
  <c r="I191" i="1"/>
  <c r="H191" i="1"/>
  <c r="G191" i="1"/>
  <c r="L190" i="1"/>
  <c r="I190" i="1"/>
  <c r="H190" i="1"/>
  <c r="G190" i="1"/>
  <c r="L189" i="1"/>
  <c r="I189" i="1"/>
  <c r="H189" i="1"/>
  <c r="G189" i="1"/>
  <c r="L188" i="1"/>
  <c r="I188" i="1"/>
  <c r="H188" i="1"/>
  <c r="G188" i="1"/>
  <c r="L187" i="1"/>
  <c r="I187" i="1"/>
  <c r="H187" i="1"/>
  <c r="G187" i="1"/>
  <c r="L186" i="1"/>
  <c r="I186" i="1"/>
  <c r="H186" i="1"/>
  <c r="G186" i="1"/>
  <c r="L185" i="1"/>
  <c r="I185" i="1"/>
  <c r="H185" i="1"/>
  <c r="G185" i="1"/>
  <c r="L184" i="1"/>
  <c r="I184" i="1"/>
  <c r="H184" i="1"/>
  <c r="G184" i="1"/>
  <c r="I183" i="1"/>
  <c r="H183" i="1"/>
  <c r="G183" i="1"/>
  <c r="I182" i="1"/>
  <c r="H182" i="1"/>
  <c r="G182" i="1"/>
  <c r="I181" i="1"/>
  <c r="H181" i="1"/>
  <c r="G181" i="1"/>
  <c r="L180" i="1"/>
  <c r="I180" i="1"/>
  <c r="H180" i="1"/>
  <c r="G180" i="1"/>
  <c r="L179" i="1"/>
  <c r="I179" i="1"/>
  <c r="H179" i="1"/>
  <c r="G179" i="1"/>
  <c r="L178" i="1"/>
  <c r="I178" i="1"/>
  <c r="H178" i="1"/>
  <c r="G178" i="1"/>
  <c r="L177" i="1"/>
  <c r="I177" i="1"/>
  <c r="H177" i="1"/>
  <c r="G177" i="1"/>
  <c r="L176" i="1"/>
  <c r="I176" i="1"/>
  <c r="H176" i="1"/>
  <c r="G176" i="1"/>
  <c r="L175" i="1"/>
  <c r="I175" i="1"/>
  <c r="H175" i="1"/>
  <c r="G175" i="1"/>
  <c r="L174" i="1"/>
  <c r="I174" i="1"/>
  <c r="H174" i="1"/>
  <c r="G174" i="1"/>
  <c r="I173" i="1"/>
  <c r="H173" i="1"/>
  <c r="G173" i="1"/>
  <c r="I172" i="1"/>
  <c r="H172" i="1"/>
  <c r="G172" i="1"/>
  <c r="I171" i="1"/>
  <c r="H171" i="1"/>
  <c r="G171" i="1"/>
  <c r="I170" i="1"/>
  <c r="H170" i="1"/>
  <c r="G170" i="1"/>
  <c r="I169" i="1"/>
  <c r="H169" i="1"/>
  <c r="G169" i="1"/>
  <c r="I168" i="1"/>
  <c r="H168" i="1"/>
  <c r="G168" i="1"/>
  <c r="L167" i="1"/>
  <c r="I167" i="1"/>
  <c r="H167" i="1"/>
  <c r="G167" i="1"/>
  <c r="L166" i="1"/>
  <c r="I166" i="1"/>
  <c r="H166" i="1"/>
  <c r="G166" i="1"/>
  <c r="L165" i="1"/>
  <c r="I165" i="1"/>
  <c r="H165" i="1"/>
  <c r="G165" i="1"/>
  <c r="L164" i="1"/>
  <c r="I164" i="1"/>
  <c r="H164" i="1"/>
  <c r="G164" i="1"/>
  <c r="L163" i="1"/>
  <c r="I163" i="1"/>
  <c r="H163" i="1"/>
  <c r="G163" i="1"/>
  <c r="L162" i="1"/>
  <c r="I162" i="1"/>
  <c r="H162" i="1"/>
  <c r="G162" i="1"/>
  <c r="L161" i="1"/>
  <c r="I161" i="1"/>
  <c r="H161" i="1"/>
  <c r="G161" i="1"/>
  <c r="L160" i="1"/>
  <c r="I160" i="1"/>
  <c r="H160" i="1"/>
  <c r="G160" i="1"/>
  <c r="L159" i="1"/>
  <c r="I159" i="1"/>
  <c r="H159" i="1"/>
  <c r="G159" i="1"/>
  <c r="L158" i="1"/>
  <c r="I158" i="1"/>
  <c r="H158" i="1"/>
  <c r="G158" i="1"/>
  <c r="L157" i="1"/>
  <c r="I157" i="1"/>
  <c r="H157" i="1"/>
  <c r="G157" i="1"/>
  <c r="L156" i="1"/>
  <c r="I156" i="1"/>
  <c r="H156" i="1"/>
  <c r="G156" i="1"/>
  <c r="L155" i="1"/>
  <c r="I155" i="1"/>
  <c r="H155" i="1"/>
  <c r="G155" i="1"/>
  <c r="I154" i="1"/>
  <c r="H154" i="1"/>
  <c r="G154" i="1"/>
  <c r="L153" i="1"/>
  <c r="I153" i="1"/>
  <c r="H153" i="1"/>
  <c r="G153" i="1"/>
  <c r="L152" i="1"/>
  <c r="I152" i="1"/>
  <c r="H152" i="1"/>
  <c r="G152" i="1"/>
  <c r="L151" i="1"/>
  <c r="I151" i="1"/>
  <c r="H151" i="1"/>
  <c r="G151" i="1"/>
  <c r="L150" i="1"/>
  <c r="I150" i="1"/>
  <c r="H150" i="1"/>
  <c r="G150" i="1"/>
  <c r="L149" i="1"/>
  <c r="I149" i="1"/>
  <c r="H149" i="1"/>
  <c r="G149" i="1"/>
  <c r="L148" i="1"/>
  <c r="I148" i="1"/>
  <c r="H148" i="1"/>
  <c r="G148" i="1"/>
  <c r="I147" i="1"/>
  <c r="H147" i="1"/>
  <c r="G147" i="1"/>
  <c r="L146" i="1"/>
  <c r="I146" i="1"/>
  <c r="H146" i="1"/>
  <c r="G146" i="1"/>
  <c r="L145" i="1"/>
  <c r="I145" i="1"/>
  <c r="H145" i="1"/>
  <c r="G145" i="1"/>
  <c r="L144" i="1"/>
  <c r="I144" i="1"/>
  <c r="H144" i="1"/>
  <c r="G144" i="1"/>
  <c r="L143" i="1"/>
  <c r="I143" i="1"/>
  <c r="H143" i="1"/>
  <c r="G143" i="1"/>
  <c r="L142" i="1"/>
  <c r="I142" i="1"/>
  <c r="H142" i="1"/>
  <c r="G142" i="1"/>
  <c r="L141" i="1"/>
  <c r="I141" i="1"/>
  <c r="H141" i="1"/>
  <c r="G141" i="1"/>
  <c r="L140" i="1"/>
  <c r="I140" i="1"/>
  <c r="H140" i="1"/>
  <c r="G140" i="1"/>
  <c r="L139" i="1"/>
  <c r="I139" i="1"/>
  <c r="H139" i="1"/>
  <c r="G139" i="1"/>
  <c r="P25" i="1"/>
  <c r="P26" i="1"/>
  <c r="P27" i="1"/>
  <c r="P28" i="1"/>
  <c r="P24" i="1"/>
  <c r="M107" i="9"/>
  <c r="J53" i="9"/>
  <c r="J106" i="9"/>
  <c r="J107" i="9"/>
  <c r="J108" i="9"/>
  <c r="I110" i="2"/>
  <c r="I104" i="2"/>
  <c r="I105" i="2"/>
  <c r="I106" i="2"/>
  <c r="I107" i="2"/>
  <c r="I103" i="2"/>
  <c r="I61" i="30"/>
  <c r="I96" i="2"/>
  <c r="I97" i="2"/>
  <c r="I98" i="2"/>
  <c r="I99" i="2"/>
  <c r="I100" i="2"/>
  <c r="I95" i="2"/>
  <c r="I93" i="2"/>
  <c r="I92" i="2" s="1"/>
  <c r="I89" i="2"/>
  <c r="I90" i="2"/>
  <c r="I91" i="2"/>
  <c r="I88"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50"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12" i="2"/>
  <c r="I87" i="2" l="1"/>
  <c r="I49" i="2"/>
  <c r="I94" i="2"/>
  <c r="I11" i="2"/>
  <c r="T29" i="3"/>
  <c r="U29" i="3" s="1"/>
  <c r="N90" i="3"/>
  <c r="P90" i="3"/>
  <c r="O90" i="3" s="1"/>
  <c r="N91" i="3"/>
  <c r="P91" i="3"/>
  <c r="O91" i="3" s="1"/>
  <c r="I86" i="2" l="1"/>
  <c r="I10" i="2"/>
  <c r="Q90" i="3"/>
  <c r="R90" i="3" s="1"/>
  <c r="S90" i="3" s="1"/>
  <c r="T90" i="3" s="1"/>
  <c r="U90" i="3" s="1"/>
  <c r="Q91" i="3"/>
  <c r="R91" i="3" s="1"/>
  <c r="S91" i="3" s="1"/>
  <c r="T91" i="3" s="1"/>
  <c r="U91" i="3" s="1"/>
  <c r="H110" i="2" l="1"/>
  <c r="H104" i="2"/>
  <c r="H105" i="2"/>
  <c r="H106" i="2"/>
  <c r="H107" i="2"/>
  <c r="H103" i="2"/>
  <c r="H96" i="2"/>
  <c r="H97" i="2"/>
  <c r="H98" i="2"/>
  <c r="H99" i="2"/>
  <c r="H100" i="2"/>
  <c r="H95" i="2"/>
  <c r="H93" i="2"/>
  <c r="H89" i="2"/>
  <c r="H90" i="2"/>
  <c r="H91" i="2"/>
  <c r="H88"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50"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12" i="2"/>
  <c r="N244" i="1"/>
  <c r="P244" i="1"/>
  <c r="O244" i="1" s="1"/>
  <c r="N245" i="1"/>
  <c r="P245" i="1"/>
  <c r="O245" i="1" s="1"/>
  <c r="H13" i="31"/>
  <c r="H14" i="31"/>
  <c r="H15" i="3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12" i="31"/>
  <c r="H140" i="4"/>
  <c r="H141" i="4"/>
  <c r="H142" i="4"/>
  <c r="H139" i="4"/>
  <c r="I62" i="4"/>
  <c r="I63" i="4"/>
  <c r="I64" i="4"/>
  <c r="I65" i="4"/>
  <c r="I66" i="4"/>
  <c r="I67" i="4"/>
  <c r="I68" i="4"/>
  <c r="I69" i="4"/>
  <c r="I70" i="4"/>
  <c r="I71" i="4"/>
  <c r="I72" i="4"/>
  <c r="I73" i="4"/>
  <c r="I74" i="4"/>
  <c r="I75" i="4"/>
  <c r="I76" i="4"/>
  <c r="I77" i="4"/>
  <c r="I78" i="4"/>
  <c r="I79" i="4"/>
  <c r="I80" i="4"/>
  <c r="I81" i="4"/>
  <c r="I82" i="4"/>
  <c r="I83"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40" i="4"/>
  <c r="I141" i="4"/>
  <c r="I142" i="4"/>
  <c r="D143" i="4"/>
  <c r="D84" i="4"/>
  <c r="D13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87" i="4"/>
  <c r="H61" i="4"/>
  <c r="H62" i="4"/>
  <c r="H63" i="4"/>
  <c r="H64" i="4"/>
  <c r="H65" i="4"/>
  <c r="H66" i="4"/>
  <c r="H67" i="4"/>
  <c r="H68" i="4"/>
  <c r="H69" i="4"/>
  <c r="H70" i="4"/>
  <c r="H71" i="4"/>
  <c r="H72" i="4"/>
  <c r="H73" i="4"/>
  <c r="H74" i="4"/>
  <c r="H75" i="4"/>
  <c r="H76" i="4"/>
  <c r="H77" i="4"/>
  <c r="H78" i="4"/>
  <c r="H79" i="4"/>
  <c r="H80" i="4"/>
  <c r="H81" i="4"/>
  <c r="H82" i="4"/>
  <c r="H83" i="4"/>
  <c r="H60" i="4"/>
  <c r="I13" i="4"/>
  <c r="I14" i="4"/>
  <c r="I15" i="4"/>
  <c r="I16" i="4"/>
  <c r="I17" i="4"/>
  <c r="I18"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Q245" i="1" l="1"/>
  <c r="R245" i="1" s="1"/>
  <c r="S245" i="1" s="1"/>
  <c r="T245" i="1" s="1"/>
  <c r="U245" i="1" s="1"/>
  <c r="Q244" i="1"/>
  <c r="R244" i="1" s="1"/>
  <c r="S244" i="1" s="1"/>
  <c r="T244" i="1" s="1"/>
  <c r="U244" i="1" s="1"/>
  <c r="H74" i="30"/>
  <c r="H73" i="30"/>
  <c r="H70" i="30"/>
  <c r="H68" i="30"/>
  <c r="H61" i="30"/>
  <c r="I57" i="30"/>
  <c r="H53" i="30"/>
  <c r="H54" i="30"/>
  <c r="H55" i="30"/>
  <c r="H56" i="30"/>
  <c r="H57" i="30"/>
  <c r="H58" i="30"/>
  <c r="H52" i="30"/>
  <c r="H42" i="30"/>
  <c r="H43" i="30"/>
  <c r="H44" i="30"/>
  <c r="H45" i="30"/>
  <c r="H46" i="30"/>
  <c r="H47" i="30"/>
  <c r="H48" i="30"/>
  <c r="H49" i="30"/>
  <c r="H50" i="30"/>
  <c r="H41" i="30"/>
  <c r="I37" i="30"/>
  <c r="H29" i="30"/>
  <c r="H30" i="30"/>
  <c r="H31" i="30"/>
  <c r="H32" i="30"/>
  <c r="H33" i="30"/>
  <c r="H34" i="30"/>
  <c r="H35" i="30"/>
  <c r="H36" i="30"/>
  <c r="H37" i="30"/>
  <c r="H38" i="30"/>
  <c r="H28" i="30"/>
  <c r="H13" i="30"/>
  <c r="H14" i="30"/>
  <c r="H15" i="30"/>
  <c r="H16" i="30"/>
  <c r="H17" i="30"/>
  <c r="H18" i="30"/>
  <c r="H19" i="30"/>
  <c r="H20" i="30"/>
  <c r="H21" i="30"/>
  <c r="H22" i="30"/>
  <c r="H23" i="30"/>
  <c r="H24" i="30"/>
  <c r="H25" i="30"/>
  <c r="H26" i="30"/>
  <c r="H12" i="30"/>
  <c r="O26" i="1"/>
  <c r="N52" i="3"/>
  <c r="M71" i="3"/>
  <c r="Q26" i="1" l="1"/>
  <c r="R26" i="1" s="1"/>
  <c r="S26" i="1" s="1"/>
  <c r="T26" i="1" s="1"/>
  <c r="U26" i="1" s="1"/>
  <c r="E51" i="21"/>
  <c r="N66" i="3"/>
  <c r="P66" i="3"/>
  <c r="O66" i="3" s="1"/>
  <c r="N67" i="3"/>
  <c r="P67" i="3"/>
  <c r="O67" i="3" s="1"/>
  <c r="N68" i="3"/>
  <c r="P68" i="3"/>
  <c r="O68" i="3" s="1"/>
  <c r="N48" i="3"/>
  <c r="P48" i="3"/>
  <c r="O48" i="3" s="1"/>
  <c r="N49" i="3"/>
  <c r="P49" i="3"/>
  <c r="O49" i="3" s="1"/>
  <c r="N50" i="3"/>
  <c r="P50" i="3"/>
  <c r="O50" i="3" s="1"/>
  <c r="Q68" i="3" l="1"/>
  <c r="R68" i="3" s="1"/>
  <c r="S68" i="3" s="1"/>
  <c r="T68" i="3" s="1"/>
  <c r="U68" i="3" s="1"/>
  <c r="Q67" i="3"/>
  <c r="R67" i="3" s="1"/>
  <c r="S67" i="3" s="1"/>
  <c r="T67" i="3" s="1"/>
  <c r="U67" i="3" s="1"/>
  <c r="Q66" i="3"/>
  <c r="R66" i="3" s="1"/>
  <c r="S66" i="3" s="1"/>
  <c r="T66" i="3" s="1"/>
  <c r="U66" i="3" s="1"/>
  <c r="Q48" i="3"/>
  <c r="R48" i="3" s="1"/>
  <c r="S48" i="3" s="1"/>
  <c r="T48" i="3" s="1"/>
  <c r="U48" i="3" s="1"/>
  <c r="Q50" i="3"/>
  <c r="R50" i="3" s="1"/>
  <c r="S50" i="3" s="1"/>
  <c r="T50" i="3" s="1"/>
  <c r="U50" i="3" s="1"/>
  <c r="Q49" i="3"/>
  <c r="R49" i="3" s="1"/>
  <c r="S49" i="3" s="1"/>
  <c r="T49" i="3" s="1"/>
  <c r="U49" i="3" s="1"/>
  <c r="I45" i="7" l="1"/>
  <c r="I46" i="7"/>
  <c r="I47" i="7"/>
  <c r="I48" i="7"/>
  <c r="I49" i="7"/>
  <c r="I50" i="7"/>
  <c r="I51" i="7"/>
  <c r="I44" i="7"/>
  <c r="I37" i="7"/>
  <c r="I38" i="7"/>
  <c r="I39" i="7"/>
  <c r="I40" i="7"/>
  <c r="I41" i="7"/>
  <c r="I36" i="7"/>
  <c r="I34" i="7"/>
  <c r="I13" i="7"/>
  <c r="I14" i="7"/>
  <c r="I15" i="7"/>
  <c r="I16" i="7"/>
  <c r="I17" i="7"/>
  <c r="I18" i="7"/>
  <c r="I19" i="7"/>
  <c r="I20" i="7"/>
  <c r="I21" i="7"/>
  <c r="I22" i="7"/>
  <c r="I23" i="7"/>
  <c r="I24" i="7"/>
  <c r="I25" i="7"/>
  <c r="I26" i="7"/>
  <c r="I27" i="7"/>
  <c r="I28" i="7"/>
  <c r="I29" i="7"/>
  <c r="I30" i="7"/>
  <c r="I31" i="7"/>
  <c r="I32" i="7"/>
  <c r="I12" i="7"/>
  <c r="M114" i="9" l="1"/>
  <c r="N243" i="1"/>
  <c r="P243" i="1"/>
  <c r="O243" i="1" s="1"/>
  <c r="Q243" i="1" l="1"/>
  <c r="R243" i="1" s="1"/>
  <c r="S243" i="1" s="1"/>
  <c r="T243" i="1" s="1"/>
  <c r="U243" i="1" s="1"/>
  <c r="I109" i="2"/>
  <c r="I108" i="2" s="1"/>
  <c r="N23" i="3"/>
  <c r="P23" i="3"/>
  <c r="O23" i="3" s="1"/>
  <c r="N24" i="3"/>
  <c r="P24" i="3"/>
  <c r="O24" i="3" s="1"/>
  <c r="N25" i="3"/>
  <c r="P25" i="3"/>
  <c r="O25" i="3" s="1"/>
  <c r="N26" i="3"/>
  <c r="P26" i="3"/>
  <c r="O26" i="3" s="1"/>
  <c r="N27" i="3"/>
  <c r="P27" i="3"/>
  <c r="O27" i="3" s="1"/>
  <c r="P28" i="3"/>
  <c r="O28" i="3" s="1"/>
  <c r="I17" i="30"/>
  <c r="I18" i="30"/>
  <c r="I19" i="30"/>
  <c r="I20" i="30"/>
  <c r="I21" i="30"/>
  <c r="I22" i="30"/>
  <c r="I100" i="9"/>
  <c r="J100" i="9" s="1"/>
  <c r="I99" i="9"/>
  <c r="J99" i="9" s="1"/>
  <c r="I98" i="9"/>
  <c r="J98" i="9" s="1"/>
  <c r="I97" i="9"/>
  <c r="J97" i="9" s="1"/>
  <c r="I96" i="9"/>
  <c r="J96" i="9" s="1"/>
  <c r="I95" i="9"/>
  <c r="J95" i="9" s="1"/>
  <c r="I94" i="9"/>
  <c r="J94" i="9" s="1"/>
  <c r="I93" i="9"/>
  <c r="J93" i="9" s="1"/>
  <c r="I92" i="9"/>
  <c r="J92" i="9" s="1"/>
  <c r="I91" i="9"/>
  <c r="J91" i="9" s="1"/>
  <c r="I90" i="9"/>
  <c r="J90" i="9" s="1"/>
  <c r="I89" i="9"/>
  <c r="J89" i="9" s="1"/>
  <c r="I88" i="9"/>
  <c r="J88" i="9" s="1"/>
  <c r="I87" i="9"/>
  <c r="J87" i="9" s="1"/>
  <c r="I86" i="9"/>
  <c r="J86" i="9" s="1"/>
  <c r="I85" i="9"/>
  <c r="J85" i="9" s="1"/>
  <c r="I84" i="9"/>
  <c r="J84" i="9" s="1"/>
  <c r="I83" i="9"/>
  <c r="J83" i="9" s="1"/>
  <c r="I82" i="9"/>
  <c r="J82" i="9" s="1"/>
  <c r="I81" i="9"/>
  <c r="J81" i="9" s="1"/>
  <c r="I80" i="9"/>
  <c r="J80" i="9" s="1"/>
  <c r="I79" i="9"/>
  <c r="J79" i="9" s="1"/>
  <c r="I78" i="9"/>
  <c r="J78" i="9" s="1"/>
  <c r="I77" i="9"/>
  <c r="J77" i="9" s="1"/>
  <c r="I76" i="9"/>
  <c r="J76" i="9" s="1"/>
  <c r="I75" i="9"/>
  <c r="J75" i="9" s="1"/>
  <c r="I74" i="9"/>
  <c r="J74" i="9" s="1"/>
  <c r="I73" i="9"/>
  <c r="J73" i="9" s="1"/>
  <c r="I72" i="9"/>
  <c r="J72" i="9" s="1"/>
  <c r="I71" i="9"/>
  <c r="J71" i="9" s="1"/>
  <c r="I70" i="9"/>
  <c r="J70" i="9" s="1"/>
  <c r="I69" i="9"/>
  <c r="J69" i="9" s="1"/>
  <c r="I68" i="9"/>
  <c r="J68" i="9" s="1"/>
  <c r="I67" i="9"/>
  <c r="J67" i="9" s="1"/>
  <c r="I66" i="9"/>
  <c r="J66" i="9" s="1"/>
  <c r="I65" i="9"/>
  <c r="J65" i="9" s="1"/>
  <c r="I64" i="9"/>
  <c r="J64" i="9" s="1"/>
  <c r="I63" i="9"/>
  <c r="J63" i="9" s="1"/>
  <c r="I62" i="9"/>
  <c r="J62" i="9" s="1"/>
  <c r="I61" i="9"/>
  <c r="J61" i="9" s="1"/>
  <c r="I60" i="9"/>
  <c r="J60" i="9" s="1"/>
  <c r="I59" i="9"/>
  <c r="J59" i="9" s="1"/>
  <c r="I58" i="9"/>
  <c r="J58" i="9" s="1"/>
  <c r="I57" i="9"/>
  <c r="J57" i="9" s="1"/>
  <c r="I56" i="9"/>
  <c r="J56" i="9" s="1"/>
  <c r="I55" i="9"/>
  <c r="J55" i="9" s="1"/>
  <c r="I54" i="9"/>
  <c r="J54" i="9" s="1"/>
  <c r="I52" i="9"/>
  <c r="J52" i="9" s="1"/>
  <c r="I51" i="9"/>
  <c r="J51" i="9" s="1"/>
  <c r="I50" i="9"/>
  <c r="J50" i="9" s="1"/>
  <c r="I44" i="9"/>
  <c r="J44" i="9" s="1"/>
  <c r="I43" i="9"/>
  <c r="J43" i="9" s="1"/>
  <c r="I42" i="9"/>
  <c r="J42" i="9" s="1"/>
  <c r="I41" i="9"/>
  <c r="J41" i="9" s="1"/>
  <c r="I40" i="9"/>
  <c r="J40" i="9" s="1"/>
  <c r="I39" i="9"/>
  <c r="J39" i="9" s="1"/>
  <c r="I38" i="9"/>
  <c r="J38" i="9" s="1"/>
  <c r="I37" i="9"/>
  <c r="J37" i="9" s="1"/>
  <c r="I36" i="9"/>
  <c r="J36" i="9" s="1"/>
  <c r="I35" i="9"/>
  <c r="J35" i="9" s="1"/>
  <c r="I34" i="9"/>
  <c r="J34" i="9" s="1"/>
  <c r="I33" i="9"/>
  <c r="J33" i="9" s="1"/>
  <c r="I32" i="9"/>
  <c r="J32" i="9" s="1"/>
  <c r="I31" i="9"/>
  <c r="J31" i="9" s="1"/>
  <c r="I30" i="9"/>
  <c r="J30" i="9" s="1"/>
  <c r="I29" i="9"/>
  <c r="J29" i="9" s="1"/>
  <c r="I28" i="9"/>
  <c r="J28" i="9" s="1"/>
  <c r="I27" i="9"/>
  <c r="J27" i="9" s="1"/>
  <c r="I26" i="9"/>
  <c r="J26" i="9" s="1"/>
  <c r="I25" i="9"/>
  <c r="J25" i="9" s="1"/>
  <c r="I24" i="9"/>
  <c r="J24" i="9" s="1"/>
  <c r="I23" i="9"/>
  <c r="J23" i="9" s="1"/>
  <c r="I22" i="9"/>
  <c r="J22" i="9" s="1"/>
  <c r="I21" i="9"/>
  <c r="J21" i="9" s="1"/>
  <c r="I20" i="9"/>
  <c r="J20" i="9" s="1"/>
  <c r="I19" i="9"/>
  <c r="J19" i="9" s="1"/>
  <c r="I18" i="9"/>
  <c r="J18" i="9" s="1"/>
  <c r="I17" i="9"/>
  <c r="J17" i="9" s="1"/>
  <c r="I16" i="9"/>
  <c r="J16" i="9" s="1"/>
  <c r="I15" i="9"/>
  <c r="J15" i="9" s="1"/>
  <c r="I14" i="9"/>
  <c r="J14" i="9" s="1"/>
  <c r="I13" i="9"/>
  <c r="J13" i="9" s="1"/>
  <c r="I12" i="9"/>
  <c r="J12" i="9" s="1"/>
  <c r="I102" i="2" l="1"/>
  <c r="Q28" i="3"/>
  <c r="R28" i="3" s="1"/>
  <c r="S28" i="3" s="1"/>
  <c r="T28" i="3" s="1"/>
  <c r="U28" i="3" s="1"/>
  <c r="Q24" i="3"/>
  <c r="R24" i="3" s="1"/>
  <c r="S24" i="3" s="1"/>
  <c r="T24" i="3" s="1"/>
  <c r="U24" i="3" s="1"/>
  <c r="Q26" i="3"/>
  <c r="R26" i="3" s="1"/>
  <c r="S26" i="3" s="1"/>
  <c r="T26" i="3" s="1"/>
  <c r="U26" i="3" s="1"/>
  <c r="Q25" i="3"/>
  <c r="R25" i="3" s="1"/>
  <c r="S25" i="3" s="1"/>
  <c r="T25" i="3" s="1"/>
  <c r="U25" i="3" s="1"/>
  <c r="Q27" i="3"/>
  <c r="R27" i="3" s="1"/>
  <c r="S27" i="3" s="1"/>
  <c r="T27" i="3" s="1"/>
  <c r="U27" i="3" s="1"/>
  <c r="Q23" i="3"/>
  <c r="R23" i="3" s="1"/>
  <c r="S23" i="3" s="1"/>
  <c r="N224" i="1"/>
  <c r="P224" i="1"/>
  <c r="O224" i="1" s="1"/>
  <c r="N225" i="1"/>
  <c r="P225" i="1"/>
  <c r="O225" i="1" s="1"/>
  <c r="I13" i="31"/>
  <c r="I14" i="31"/>
  <c r="I15" i="31"/>
  <c r="I16" i="31"/>
  <c r="I17" i="31"/>
  <c r="I18" i="31"/>
  <c r="I19" i="31"/>
  <c r="I20" i="31"/>
  <c r="I21" i="31"/>
  <c r="I22" i="31"/>
  <c r="I23" i="31"/>
  <c r="I24" i="31"/>
  <c r="I25" i="31"/>
  <c r="I26" i="31"/>
  <c r="I27" i="31"/>
  <c r="I28" i="31"/>
  <c r="I29" i="31"/>
  <c r="I30" i="31"/>
  <c r="I31" i="31"/>
  <c r="I32" i="31"/>
  <c r="I33" i="31"/>
  <c r="I34" i="31"/>
  <c r="I35" i="31"/>
  <c r="I36" i="31"/>
  <c r="I37" i="31"/>
  <c r="I38" i="31"/>
  <c r="I39" i="31"/>
  <c r="I40" i="31"/>
  <c r="I41" i="31"/>
  <c r="K94" i="9"/>
  <c r="L94" i="9" s="1"/>
  <c r="M94" i="9"/>
  <c r="K95" i="9"/>
  <c r="L95" i="9" s="1"/>
  <c r="M95" i="9"/>
  <c r="K96" i="9"/>
  <c r="L96" i="9" s="1"/>
  <c r="M96" i="9"/>
  <c r="K97" i="9"/>
  <c r="L97" i="9" s="1"/>
  <c r="M97" i="9"/>
  <c r="K98" i="9"/>
  <c r="L98" i="9" s="1"/>
  <c r="M98" i="9"/>
  <c r="K99" i="9"/>
  <c r="L99" i="9" s="1"/>
  <c r="M99" i="9"/>
  <c r="K100" i="9"/>
  <c r="L100" i="9" s="1"/>
  <c r="M100" i="9"/>
  <c r="D53" i="9"/>
  <c r="I105" i="9"/>
  <c r="I102" i="9"/>
  <c r="I101" i="9"/>
  <c r="D10" i="9"/>
  <c r="D109" i="9" l="1"/>
  <c r="J101" i="9"/>
  <c r="K101" i="9" s="1"/>
  <c r="L101" i="9" s="1"/>
  <c r="J102" i="9"/>
  <c r="K102" i="9" s="1"/>
  <c r="L102" i="9" s="1"/>
  <c r="J105" i="9"/>
  <c r="K105" i="9" s="1"/>
  <c r="L105" i="9" s="1"/>
  <c r="M102" i="9"/>
  <c r="M105" i="9"/>
  <c r="M101" i="9"/>
  <c r="Q224" i="1"/>
  <c r="R224" i="1" s="1"/>
  <c r="S224" i="1" s="1"/>
  <c r="T224" i="1" s="1"/>
  <c r="U224" i="1" s="1"/>
  <c r="I101" i="2"/>
  <c r="I111" i="2" s="1"/>
  <c r="T23" i="3"/>
  <c r="U23" i="3" s="1"/>
  <c r="Q225" i="1"/>
  <c r="R225" i="1" s="1"/>
  <c r="S225" i="1" s="1"/>
  <c r="T225" i="1" s="1"/>
  <c r="U225" i="1" s="1"/>
  <c r="T217" i="1"/>
  <c r="U217" i="1" s="1"/>
  <c r="J10" i="9" l="1"/>
  <c r="D75" i="30" l="1"/>
  <c r="I74" i="30"/>
  <c r="D62" i="30"/>
  <c r="I60" i="30"/>
  <c r="I59" i="30" s="1"/>
  <c r="P230" i="1" l="1"/>
  <c r="O230" i="1" s="1"/>
  <c r="N230" i="1"/>
  <c r="P229" i="1"/>
  <c r="O229" i="1" s="1"/>
  <c r="N229" i="1"/>
  <c r="P228" i="1"/>
  <c r="O228" i="1" s="1"/>
  <c r="N228" i="1"/>
  <c r="P227" i="1"/>
  <c r="O227" i="1" s="1"/>
  <c r="N227" i="1"/>
  <c r="P226" i="1"/>
  <c r="O226" i="1" s="1"/>
  <c r="N226" i="1"/>
  <c r="O28" i="1"/>
  <c r="N28" i="1"/>
  <c r="O27" i="1"/>
  <c r="N27" i="1"/>
  <c r="O25" i="1"/>
  <c r="N25" i="1"/>
  <c r="O24" i="1"/>
  <c r="N24" i="1"/>
  <c r="P70" i="3"/>
  <c r="O70" i="3" s="1"/>
  <c r="N70" i="3"/>
  <c r="P69" i="3"/>
  <c r="O69" i="3" s="1"/>
  <c r="N69" i="3"/>
  <c r="P65" i="3"/>
  <c r="O65" i="3" s="1"/>
  <c r="N65" i="3"/>
  <c r="P64" i="3"/>
  <c r="O64" i="3" s="1"/>
  <c r="N64" i="3"/>
  <c r="P63" i="3"/>
  <c r="O63" i="3" s="1"/>
  <c r="N63" i="3"/>
  <c r="P62" i="3"/>
  <c r="O62" i="3" s="1"/>
  <c r="N62" i="3"/>
  <c r="P61" i="3"/>
  <c r="O61" i="3" s="1"/>
  <c r="N61" i="3"/>
  <c r="P60" i="3"/>
  <c r="O60" i="3" s="1"/>
  <c r="N60" i="3"/>
  <c r="P59" i="3"/>
  <c r="O59" i="3" s="1"/>
  <c r="N59" i="3"/>
  <c r="P58" i="3"/>
  <c r="O58" i="3" s="1"/>
  <c r="N58" i="3"/>
  <c r="P57" i="3"/>
  <c r="O57" i="3" s="1"/>
  <c r="N57" i="3"/>
  <c r="P56" i="3"/>
  <c r="O56" i="3" s="1"/>
  <c r="N56" i="3"/>
  <c r="P55" i="3"/>
  <c r="O55" i="3" s="1"/>
  <c r="N55" i="3"/>
  <c r="P54" i="3"/>
  <c r="O54" i="3" s="1"/>
  <c r="N54" i="3"/>
  <c r="P53" i="3"/>
  <c r="O53" i="3" s="1"/>
  <c r="N53" i="3"/>
  <c r="P52" i="3"/>
  <c r="O52" i="3" s="1"/>
  <c r="Q227" i="1" l="1"/>
  <c r="R227" i="1" s="1"/>
  <c r="S227" i="1" s="1"/>
  <c r="T227" i="1" s="1"/>
  <c r="U227" i="1" s="1"/>
  <c r="Q228" i="1"/>
  <c r="R228" i="1" s="1"/>
  <c r="S228" i="1" s="1"/>
  <c r="T228" i="1" s="1"/>
  <c r="U228" i="1" s="1"/>
  <c r="Q226" i="1"/>
  <c r="R226" i="1" s="1"/>
  <c r="S226" i="1" s="1"/>
  <c r="T226" i="1" s="1"/>
  <c r="U226" i="1" s="1"/>
  <c r="Q230" i="1"/>
  <c r="R230" i="1" s="1"/>
  <c r="S230" i="1" s="1"/>
  <c r="T230" i="1" s="1"/>
  <c r="U230" i="1" s="1"/>
  <c r="Q55" i="3"/>
  <c r="R55" i="3" s="1"/>
  <c r="S55" i="3" s="1"/>
  <c r="T55" i="3" s="1"/>
  <c r="U55" i="3" s="1"/>
  <c r="Q59" i="3"/>
  <c r="R59" i="3" s="1"/>
  <c r="S59" i="3" s="1"/>
  <c r="T59" i="3" s="1"/>
  <c r="U59" i="3" s="1"/>
  <c r="Q54" i="3"/>
  <c r="R54" i="3" s="1"/>
  <c r="S54" i="3" s="1"/>
  <c r="T54" i="3" s="1"/>
  <c r="U54" i="3" s="1"/>
  <c r="Q58" i="3"/>
  <c r="R58" i="3" s="1"/>
  <c r="S58" i="3" s="1"/>
  <c r="T58" i="3" s="1"/>
  <c r="U58" i="3" s="1"/>
  <c r="Q62" i="3"/>
  <c r="R62" i="3" s="1"/>
  <c r="S62" i="3" s="1"/>
  <c r="T62" i="3" s="1"/>
  <c r="U62" i="3" s="1"/>
  <c r="Q69" i="3"/>
  <c r="R69" i="3" s="1"/>
  <c r="S69" i="3" s="1"/>
  <c r="T69" i="3" s="1"/>
  <c r="U69" i="3" s="1"/>
  <c r="Q229" i="1"/>
  <c r="R229" i="1" s="1"/>
  <c r="S229" i="1" s="1"/>
  <c r="T229" i="1" s="1"/>
  <c r="U229" i="1" s="1"/>
  <c r="Q63" i="3"/>
  <c r="R63" i="3" s="1"/>
  <c r="S63" i="3" s="1"/>
  <c r="T63" i="3" s="1"/>
  <c r="U63" i="3" s="1"/>
  <c r="Q70" i="3"/>
  <c r="R70" i="3" s="1"/>
  <c r="S70" i="3" s="1"/>
  <c r="T70" i="3" s="1"/>
  <c r="U70" i="3" s="1"/>
  <c r="Q53" i="3"/>
  <c r="R53" i="3" s="1"/>
  <c r="S53" i="3" s="1"/>
  <c r="T53" i="3" s="1"/>
  <c r="U53" i="3" s="1"/>
  <c r="Q57" i="3"/>
  <c r="R57" i="3" s="1"/>
  <c r="S57" i="3" s="1"/>
  <c r="T57" i="3" s="1"/>
  <c r="U57" i="3" s="1"/>
  <c r="Q61" i="3"/>
  <c r="R61" i="3" s="1"/>
  <c r="S61" i="3" s="1"/>
  <c r="T61" i="3" s="1"/>
  <c r="U61" i="3" s="1"/>
  <c r="Q65" i="3"/>
  <c r="R65" i="3" s="1"/>
  <c r="S65" i="3" s="1"/>
  <c r="T65" i="3" s="1"/>
  <c r="U65" i="3" s="1"/>
  <c r="Q25" i="1"/>
  <c r="R25" i="1" s="1"/>
  <c r="S25" i="1" s="1"/>
  <c r="T25" i="1" s="1"/>
  <c r="U25" i="1" s="1"/>
  <c r="Q24" i="1"/>
  <c r="R24" i="1" s="1"/>
  <c r="S24" i="1" s="1"/>
  <c r="T24" i="1" s="1"/>
  <c r="U24" i="1" s="1"/>
  <c r="Q28" i="1"/>
  <c r="R28" i="1" s="1"/>
  <c r="S28" i="1" s="1"/>
  <c r="Q27" i="1"/>
  <c r="R27" i="1" s="1"/>
  <c r="S27" i="1" s="1"/>
  <c r="Q52" i="3"/>
  <c r="R52" i="3" s="1"/>
  <c r="S52" i="3" s="1"/>
  <c r="T52" i="3" s="1"/>
  <c r="U52" i="3" s="1"/>
  <c r="Q56" i="3"/>
  <c r="R56" i="3" s="1"/>
  <c r="S56" i="3" s="1"/>
  <c r="T56" i="3" s="1"/>
  <c r="U56" i="3" s="1"/>
  <c r="Q60" i="3"/>
  <c r="R60" i="3" s="1"/>
  <c r="S60" i="3" s="1"/>
  <c r="T60" i="3" s="1"/>
  <c r="Q64" i="3"/>
  <c r="R64" i="3" s="1"/>
  <c r="S64" i="3" s="1"/>
  <c r="T64" i="3" s="1"/>
  <c r="J89" i="32"/>
  <c r="J51" i="32"/>
  <c r="U60" i="3" l="1"/>
  <c r="U64" i="3"/>
  <c r="T27" i="1"/>
  <c r="U27" i="1" s="1"/>
  <c r="T28" i="1"/>
  <c r="U28" i="1" s="1"/>
  <c r="E52" i="7"/>
  <c r="E421" i="32"/>
  <c r="E197" i="32"/>
  <c r="E196" i="32" s="1"/>
  <c r="E155" i="32"/>
  <c r="E123" i="32"/>
  <c r="E109" i="32"/>
  <c r="E39" i="32"/>
  <c r="E15" i="32"/>
  <c r="E11" i="32"/>
  <c r="I52" i="30"/>
  <c r="I70" i="30"/>
  <c r="I68" i="30"/>
  <c r="F81" i="32"/>
  <c r="G81" i="32"/>
  <c r="H81" i="32"/>
  <c r="E81" i="32"/>
  <c r="F109" i="32"/>
  <c r="G109" i="32"/>
  <c r="H109" i="32"/>
  <c r="F123" i="32"/>
  <c r="G123" i="32"/>
  <c r="H123" i="32"/>
  <c r="F134" i="32"/>
  <c r="G134" i="32"/>
  <c r="H134" i="32"/>
  <c r="E134" i="32"/>
  <c r="F194" i="32"/>
  <c r="G194" i="32"/>
  <c r="H194" i="32"/>
  <c r="E194" i="32"/>
  <c r="E359" i="32"/>
  <c r="U30" i="1" l="1"/>
  <c r="N237" i="1"/>
  <c r="M112" i="3"/>
  <c r="N116" i="3" l="1"/>
  <c r="J447" i="32"/>
  <c r="J441" i="32"/>
  <c r="J442" i="32"/>
  <c r="J440" i="32"/>
  <c r="J438" i="32"/>
  <c r="J444" i="32"/>
  <c r="J445" i="32"/>
  <c r="J435" i="32"/>
  <c r="J443" i="32"/>
  <c r="J428" i="32"/>
  <c r="J429" i="32"/>
  <c r="J430" i="32"/>
  <c r="J431" i="32"/>
  <c r="J433" i="32"/>
  <c r="J427" i="32"/>
  <c r="J423" i="32"/>
  <c r="J424" i="32"/>
  <c r="J425" i="32"/>
  <c r="J422" i="32"/>
  <c r="J417" i="32"/>
  <c r="J416" i="32"/>
  <c r="J448" i="32" l="1"/>
  <c r="E40" i="21" s="1"/>
  <c r="J371" i="32"/>
  <c r="J361" i="32"/>
  <c r="J362" i="32"/>
  <c r="J363" i="32"/>
  <c r="J364" i="32"/>
  <c r="J365" i="32"/>
  <c r="J366" i="32"/>
  <c r="J367" i="32"/>
  <c r="J368" i="32"/>
  <c r="J360" i="32"/>
  <c r="J262" i="32"/>
  <c r="J263" i="32"/>
  <c r="J264" i="32"/>
  <c r="J265" i="32"/>
  <c r="J266" i="32"/>
  <c r="J267" i="32"/>
  <c r="J268" i="32"/>
  <c r="J269" i="32"/>
  <c r="J270" i="32"/>
  <c r="J271" i="32"/>
  <c r="J272" i="32"/>
  <c r="J273" i="32"/>
  <c r="J274" i="32"/>
  <c r="J275" i="32"/>
  <c r="J276" i="32"/>
  <c r="J277" i="32"/>
  <c r="J278" i="32"/>
  <c r="J279" i="32"/>
  <c r="J280" i="32"/>
  <c r="J281" i="32"/>
  <c r="J282" i="32"/>
  <c r="J283" i="32"/>
  <c r="J284" i="32"/>
  <c r="J285" i="32"/>
  <c r="J286" i="32"/>
  <c r="J261" i="32"/>
  <c r="J219" i="32"/>
  <c r="J220" i="32"/>
  <c r="J221" i="32"/>
  <c r="J222" i="32"/>
  <c r="J223" i="32"/>
  <c r="J224" i="32"/>
  <c r="J225" i="32"/>
  <c r="J226" i="32"/>
  <c r="J227" i="32"/>
  <c r="J228" i="32"/>
  <c r="J229" i="32"/>
  <c r="J230" i="32"/>
  <c r="J231" i="32"/>
  <c r="J232" i="32"/>
  <c r="J233" i="32"/>
  <c r="J234" i="32"/>
  <c r="J235" i="32"/>
  <c r="J236" i="32"/>
  <c r="J237" i="32"/>
  <c r="J238" i="32"/>
  <c r="J239" i="32"/>
  <c r="J240" i="32"/>
  <c r="J241" i="32"/>
  <c r="J242" i="32"/>
  <c r="J243" i="32"/>
  <c r="J244" i="32"/>
  <c r="J245" i="32"/>
  <c r="J246" i="32"/>
  <c r="J247" i="32"/>
  <c r="J252" i="32"/>
  <c r="J253" i="32"/>
  <c r="J254" i="32"/>
  <c r="J255" i="32"/>
  <c r="J256" i="32"/>
  <c r="J257" i="32"/>
  <c r="J258" i="32"/>
  <c r="J259" i="32"/>
  <c r="J218" i="32"/>
  <c r="J212" i="32"/>
  <c r="J209" i="32"/>
  <c r="J199" i="32"/>
  <c r="J200" i="32"/>
  <c r="J195" i="32"/>
  <c r="J198" i="32"/>
  <c r="J191" i="32"/>
  <c r="J186" i="32"/>
  <c r="J180" i="32"/>
  <c r="J172" i="32"/>
  <c r="J166" i="32"/>
  <c r="J164" i="32"/>
  <c r="J157" i="32"/>
  <c r="J158" i="32"/>
  <c r="J159" i="32"/>
  <c r="J156" i="32"/>
  <c r="J141" i="32"/>
  <c r="J142" i="32"/>
  <c r="J140" i="32"/>
  <c r="F40" i="21" l="1"/>
  <c r="E39" i="21"/>
  <c r="J418" i="32"/>
  <c r="E38" i="21" s="1"/>
  <c r="J137" i="32"/>
  <c r="J143" i="32"/>
  <c r="J144" i="32"/>
  <c r="J145" i="32"/>
  <c r="J146" i="32"/>
  <c r="J147" i="32"/>
  <c r="J150" i="32"/>
  <c r="J135" i="32"/>
  <c r="J133" i="32"/>
  <c r="J132" i="32"/>
  <c r="J124" i="32"/>
  <c r="J126" i="32"/>
  <c r="J127" i="32"/>
  <c r="J125" i="32"/>
  <c r="J119" i="32"/>
  <c r="J120" i="32"/>
  <c r="J118" i="32"/>
  <c r="J116" i="32"/>
  <c r="J111" i="32"/>
  <c r="J110" i="32"/>
  <c r="J101" i="32"/>
  <c r="J91" i="32"/>
  <c r="J82" i="32"/>
  <c r="J79" i="32"/>
  <c r="J59" i="32"/>
  <c r="J58" i="32"/>
  <c r="J56" i="32"/>
  <c r="J48" i="32"/>
  <c r="J43" i="32"/>
  <c r="J16" i="32"/>
  <c r="J29" i="32"/>
  <c r="J30" i="32"/>
  <c r="J31" i="32"/>
  <c r="J32" i="32"/>
  <c r="J33" i="32"/>
  <c r="I447" i="32"/>
  <c r="I446" i="32" s="1"/>
  <c r="H446" i="32"/>
  <c r="G446" i="32"/>
  <c r="F446" i="32"/>
  <c r="E446" i="32"/>
  <c r="I442" i="32"/>
  <c r="I441" i="32"/>
  <c r="I440" i="32"/>
  <c r="I438" i="32"/>
  <c r="I437" i="32" s="1"/>
  <c r="H437" i="32"/>
  <c r="G437" i="32"/>
  <c r="G436" i="32" s="1"/>
  <c r="F437" i="32"/>
  <c r="F436" i="32" s="1"/>
  <c r="E437" i="32"/>
  <c r="E436" i="32" s="1"/>
  <c r="I435" i="32"/>
  <c r="E434" i="32"/>
  <c r="I445" i="32"/>
  <c r="I444" i="32"/>
  <c r="I443" i="32"/>
  <c r="I433" i="32"/>
  <c r="I431" i="32"/>
  <c r="I430" i="32"/>
  <c r="I429" i="32"/>
  <c r="I428" i="32"/>
  <c r="I427" i="32"/>
  <c r="H421" i="32"/>
  <c r="G421" i="32"/>
  <c r="F421" i="32"/>
  <c r="I211" i="32"/>
  <c r="H211" i="32"/>
  <c r="G211" i="32"/>
  <c r="F211" i="32"/>
  <c r="E211" i="32"/>
  <c r="I210" i="32"/>
  <c r="H208" i="32"/>
  <c r="G208" i="32"/>
  <c r="F208" i="32"/>
  <c r="E208" i="32"/>
  <c r="I194" i="32"/>
  <c r="H197" i="32"/>
  <c r="H196" i="32" s="1"/>
  <c r="G197" i="32"/>
  <c r="G196" i="32" s="1"/>
  <c r="F197" i="32"/>
  <c r="F196" i="32" s="1"/>
  <c r="I190" i="32"/>
  <c r="H190" i="32"/>
  <c r="H189" i="32" s="1"/>
  <c r="G190" i="32"/>
  <c r="G189" i="32" s="1"/>
  <c r="F190" i="32"/>
  <c r="F189" i="32" s="1"/>
  <c r="E190" i="32"/>
  <c r="E189" i="32" s="1"/>
  <c r="I185" i="32"/>
  <c r="H185" i="32"/>
  <c r="G185" i="32"/>
  <c r="F185" i="32"/>
  <c r="E185" i="32"/>
  <c r="I184" i="32"/>
  <c r="I183" i="32"/>
  <c r="H182" i="32"/>
  <c r="G182" i="32"/>
  <c r="F182" i="32"/>
  <c r="E182" i="32"/>
  <c r="H179" i="32"/>
  <c r="G179" i="32"/>
  <c r="F179" i="32"/>
  <c r="I178" i="32"/>
  <c r="I177" i="32"/>
  <c r="H176" i="32"/>
  <c r="G176" i="32"/>
  <c r="F176" i="32"/>
  <c r="E176" i="32"/>
  <c r="I173" i="32"/>
  <c r="H173" i="32"/>
  <c r="G173" i="32"/>
  <c r="F173" i="32"/>
  <c r="E173" i="32"/>
  <c r="I163" i="32"/>
  <c r="H163" i="32"/>
  <c r="G163" i="32"/>
  <c r="F163" i="32"/>
  <c r="E163" i="32"/>
  <c r="H155" i="32"/>
  <c r="G155" i="32"/>
  <c r="F155" i="32"/>
  <c r="I154" i="32"/>
  <c r="I153" i="32"/>
  <c r="I152" i="32"/>
  <c r="H151" i="32"/>
  <c r="G151" i="32"/>
  <c r="F151" i="32"/>
  <c r="E151" i="32"/>
  <c r="E138" i="32" s="1"/>
  <c r="H139" i="32"/>
  <c r="G139" i="32"/>
  <c r="F139" i="32"/>
  <c r="I136" i="32"/>
  <c r="H136" i="32"/>
  <c r="G136" i="32"/>
  <c r="F136" i="32"/>
  <c r="E136" i="32"/>
  <c r="I134" i="32"/>
  <c r="H131" i="32"/>
  <c r="G131" i="32"/>
  <c r="F131" i="32"/>
  <c r="E131" i="32"/>
  <c r="H122" i="32"/>
  <c r="G122" i="32"/>
  <c r="F122" i="32"/>
  <c r="E122" i="32"/>
  <c r="H117" i="32"/>
  <c r="G117" i="32"/>
  <c r="F117" i="32"/>
  <c r="E117" i="32"/>
  <c r="I115" i="32"/>
  <c r="H115" i="32"/>
  <c r="G115" i="32"/>
  <c r="F115" i="32"/>
  <c r="E115" i="32"/>
  <c r="H108" i="32"/>
  <c r="G108" i="32"/>
  <c r="F108" i="32"/>
  <c r="E108" i="32"/>
  <c r="I107" i="32"/>
  <c r="H106" i="32"/>
  <c r="G106" i="32"/>
  <c r="F106" i="32"/>
  <c r="E106" i="32"/>
  <c r="I105" i="32"/>
  <c r="I104" i="32"/>
  <c r="I103" i="32"/>
  <c r="H102" i="32"/>
  <c r="G102" i="32"/>
  <c r="F102" i="32"/>
  <c r="E102" i="32"/>
  <c r="I100" i="32"/>
  <c r="H100" i="32"/>
  <c r="G100" i="32"/>
  <c r="F100" i="32"/>
  <c r="E100" i="32"/>
  <c r="H90" i="32"/>
  <c r="G90" i="32"/>
  <c r="F90" i="32"/>
  <c r="E90" i="32"/>
  <c r="H88" i="32"/>
  <c r="G88" i="32"/>
  <c r="F88" i="32"/>
  <c r="E88" i="32"/>
  <c r="I86" i="32"/>
  <c r="H86" i="32"/>
  <c r="G86" i="32"/>
  <c r="F86" i="32"/>
  <c r="E86" i="32"/>
  <c r="H80" i="32"/>
  <c r="G80" i="32"/>
  <c r="F80" i="32"/>
  <c r="E80" i="32"/>
  <c r="I77" i="32"/>
  <c r="I81" i="32"/>
  <c r="I76" i="32"/>
  <c r="I75" i="32"/>
  <c r="I74" i="32"/>
  <c r="H73" i="32"/>
  <c r="G73" i="32"/>
  <c r="F73" i="32"/>
  <c r="E73" i="32"/>
  <c r="I71" i="32"/>
  <c r="H71" i="32"/>
  <c r="G71" i="32"/>
  <c r="F71" i="32"/>
  <c r="E71" i="32"/>
  <c r="I67" i="32"/>
  <c r="I66" i="32" s="1"/>
  <c r="I65" i="32" s="1"/>
  <c r="H66" i="32"/>
  <c r="H65" i="32" s="1"/>
  <c r="G66" i="32"/>
  <c r="G65" i="32" s="1"/>
  <c r="F66" i="32"/>
  <c r="F65" i="32" s="1"/>
  <c r="E66" i="32"/>
  <c r="I64" i="32"/>
  <c r="I63" i="32"/>
  <c r="I62" i="32"/>
  <c r="H61" i="32"/>
  <c r="G61" i="32"/>
  <c r="F61" i="32"/>
  <c r="E61" i="32"/>
  <c r="I60" i="32"/>
  <c r="H57" i="32"/>
  <c r="G57" i="32"/>
  <c r="F57" i="32"/>
  <c r="E57" i="32"/>
  <c r="I55" i="32"/>
  <c r="H55" i="32"/>
  <c r="G55" i="32"/>
  <c r="F55" i="32"/>
  <c r="E55" i="32"/>
  <c r="I40" i="32"/>
  <c r="H39" i="32"/>
  <c r="G39" i="32"/>
  <c r="F39" i="32"/>
  <c r="I38" i="32"/>
  <c r="I37" i="32"/>
  <c r="I36" i="32"/>
  <c r="H35" i="32"/>
  <c r="G35" i="32"/>
  <c r="F35" i="32"/>
  <c r="E35" i="32"/>
  <c r="E10" i="32" s="1"/>
  <c r="E52" i="32" s="1"/>
  <c r="I34" i="32"/>
  <c r="H15" i="32"/>
  <c r="G15" i="32"/>
  <c r="F15" i="32"/>
  <c r="H11" i="32"/>
  <c r="G11" i="32"/>
  <c r="F11" i="32"/>
  <c r="N22" i="3"/>
  <c r="P22" i="3"/>
  <c r="O22" i="3" s="1"/>
  <c r="N32" i="3"/>
  <c r="P32" i="3"/>
  <c r="O32" i="3" s="1"/>
  <c r="F38" i="21" l="1"/>
  <c r="E37" i="21"/>
  <c r="F39" i="21"/>
  <c r="G40" i="21"/>
  <c r="J214" i="32"/>
  <c r="E43" i="21" s="1"/>
  <c r="H436" i="32"/>
  <c r="H434" i="32" s="1"/>
  <c r="H420" i="32" s="1"/>
  <c r="I439" i="32"/>
  <c r="F434" i="32"/>
  <c r="F420" i="32" s="1"/>
  <c r="I426" i="32"/>
  <c r="G434" i="32"/>
  <c r="G420" i="32" s="1"/>
  <c r="E420" i="32"/>
  <c r="I189" i="32"/>
  <c r="E70" i="32"/>
  <c r="E83" i="32" s="1"/>
  <c r="E65" i="32"/>
  <c r="E205" i="32"/>
  <c r="I80" i="32"/>
  <c r="I109" i="32"/>
  <c r="I108" i="32" s="1"/>
  <c r="I123" i="32"/>
  <c r="I122" i="32" s="1"/>
  <c r="E175" i="32"/>
  <c r="F138" i="32"/>
  <c r="I61" i="32"/>
  <c r="I179" i="32"/>
  <c r="I106" i="32"/>
  <c r="I182" i="32"/>
  <c r="I176" i="32"/>
  <c r="E162" i="32"/>
  <c r="F175" i="32"/>
  <c r="I197" i="32"/>
  <c r="I196" i="32" s="1"/>
  <c r="G207" i="32"/>
  <c r="F70" i="32"/>
  <c r="E99" i="32"/>
  <c r="E112" i="32" s="1"/>
  <c r="F207" i="32"/>
  <c r="G70" i="32"/>
  <c r="I39" i="32"/>
  <c r="H54" i="32"/>
  <c r="I35" i="32"/>
  <c r="G175" i="32"/>
  <c r="H85" i="32"/>
  <c r="F114" i="32"/>
  <c r="G162" i="32"/>
  <c r="F54" i="32"/>
  <c r="H99" i="32"/>
  <c r="F130" i="32"/>
  <c r="F85" i="32"/>
  <c r="I139" i="32"/>
  <c r="F99" i="32"/>
  <c r="G130" i="32"/>
  <c r="I155" i="32"/>
  <c r="H175" i="32"/>
  <c r="H207" i="32"/>
  <c r="E54" i="32"/>
  <c r="G54" i="32"/>
  <c r="E114" i="32"/>
  <c r="E128" i="32" s="1"/>
  <c r="I117" i="32"/>
  <c r="I114" i="32" s="1"/>
  <c r="F162" i="32"/>
  <c r="H70" i="32"/>
  <c r="G85" i="32"/>
  <c r="H130" i="32"/>
  <c r="I421" i="32"/>
  <c r="I15" i="32"/>
  <c r="I73" i="32"/>
  <c r="H10" i="32"/>
  <c r="I11" i="32"/>
  <c r="I90" i="32"/>
  <c r="G114" i="32"/>
  <c r="H138" i="32"/>
  <c r="G138" i="32"/>
  <c r="I88" i="32"/>
  <c r="H114" i="32"/>
  <c r="I131" i="32"/>
  <c r="I208" i="32"/>
  <c r="I207" i="32" s="1"/>
  <c r="G10" i="32"/>
  <c r="G99" i="32"/>
  <c r="I151" i="32"/>
  <c r="H162" i="32"/>
  <c r="F10" i="32"/>
  <c r="I57" i="32"/>
  <c r="E85" i="32"/>
  <c r="E97" i="32" s="1"/>
  <c r="I102" i="32"/>
  <c r="E130" i="32"/>
  <c r="E207" i="32"/>
  <c r="E213" i="32" s="1"/>
  <c r="E216" i="32"/>
  <c r="Q32" i="3"/>
  <c r="R32" i="3" s="1"/>
  <c r="S32" i="3" s="1"/>
  <c r="T32" i="3" s="1"/>
  <c r="U32" i="3" s="1"/>
  <c r="Q22" i="3"/>
  <c r="R22" i="3" s="1"/>
  <c r="S22" i="3" s="1"/>
  <c r="T22" i="3" s="1"/>
  <c r="U22" i="3" s="1"/>
  <c r="H40" i="21" l="1"/>
  <c r="H39" i="21" s="1"/>
  <c r="G39" i="21"/>
  <c r="G38" i="21"/>
  <c r="F37" i="21"/>
  <c r="J449" i="32"/>
  <c r="I436" i="32"/>
  <c r="I434" i="32" s="1"/>
  <c r="I420" i="32" s="1"/>
  <c r="E68" i="32"/>
  <c r="I54" i="32"/>
  <c r="E448" i="32"/>
  <c r="E187" i="32"/>
  <c r="I162" i="32"/>
  <c r="I175" i="32"/>
  <c r="I99" i="32"/>
  <c r="E160" i="32"/>
  <c r="I138" i="32"/>
  <c r="I130" i="32" s="1"/>
  <c r="I85" i="32"/>
  <c r="I10" i="32"/>
  <c r="I70" i="32"/>
  <c r="M13" i="3"/>
  <c r="O12" i="3"/>
  <c r="M117" i="3"/>
  <c r="P116" i="3"/>
  <c r="O116" i="3" s="1"/>
  <c r="M88" i="9"/>
  <c r="M89" i="9"/>
  <c r="M90" i="9"/>
  <c r="K88" i="9"/>
  <c r="L88" i="9" s="1"/>
  <c r="K89" i="9"/>
  <c r="L89" i="9" s="1"/>
  <c r="K90" i="9"/>
  <c r="L90" i="9" s="1"/>
  <c r="H38" i="21" l="1"/>
  <c r="H37" i="21" s="1"/>
  <c r="G37" i="21"/>
  <c r="E214" i="32"/>
  <c r="E449" i="32" s="1"/>
  <c r="Q116" i="3"/>
  <c r="R116" i="3" s="1"/>
  <c r="S116" i="3" s="1"/>
  <c r="T116" i="3" s="1"/>
  <c r="U116" i="3" s="1"/>
  <c r="Q12" i="3"/>
  <c r="R12" i="3" s="1"/>
  <c r="S12" i="3" s="1"/>
  <c r="T12" i="3" s="1"/>
  <c r="U12" i="3" s="1"/>
  <c r="I88" i="4"/>
  <c r="I55" i="4"/>
  <c r="U114" i="3" l="1"/>
  <c r="E57" i="21" s="1"/>
  <c r="U117" i="3"/>
  <c r="E56" i="21" l="1"/>
  <c r="G57" i="21"/>
  <c r="H57" i="21"/>
  <c r="F57" i="21"/>
  <c r="G56" i="21" l="1"/>
  <c r="H56" i="21"/>
  <c r="F56" i="21"/>
  <c r="E55" i="21"/>
  <c r="M14" i="3"/>
  <c r="O11" i="3" l="1"/>
  <c r="F55" i="21"/>
  <c r="G55" i="21"/>
  <c r="H55" i="21"/>
  <c r="T11" i="3" l="1"/>
  <c r="U11" i="3" l="1"/>
  <c r="I48" i="30"/>
  <c r="U9" i="3" l="1"/>
  <c r="E36" i="21" s="1"/>
  <c r="E35" i="21" s="1"/>
  <c r="I15" i="30"/>
  <c r="I12" i="30"/>
  <c r="H35" i="21" l="1"/>
  <c r="H36" i="21" s="1"/>
  <c r="G35" i="21"/>
  <c r="G36" i="21" s="1"/>
  <c r="F35" i="21"/>
  <c r="F36" i="21" s="1"/>
  <c r="H33" i="21"/>
  <c r="G33" i="21"/>
  <c r="F33" i="21"/>
  <c r="M108" i="9" l="1"/>
  <c r="J34" i="7"/>
  <c r="I12" i="4"/>
  <c r="I54" i="4"/>
  <c r="I56" i="4"/>
  <c r="I57" i="4"/>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50" i="9"/>
  <c r="M51" i="9"/>
  <c r="M52" i="9"/>
  <c r="M54" i="9"/>
  <c r="M55" i="9"/>
  <c r="M56" i="9"/>
  <c r="M57" i="9"/>
  <c r="M58" i="9"/>
  <c r="M59" i="9"/>
  <c r="M60" i="9"/>
  <c r="M61" i="9"/>
  <c r="M62" i="9"/>
  <c r="M63" i="9"/>
  <c r="M64" i="9"/>
  <c r="M65" i="9"/>
  <c r="M66" i="9"/>
  <c r="M67" i="9"/>
  <c r="M68" i="9"/>
  <c r="M69" i="9"/>
  <c r="M70" i="9"/>
  <c r="M71" i="9"/>
  <c r="M72" i="9"/>
  <c r="M73" i="9"/>
  <c r="M74" i="9"/>
  <c r="M75" i="9"/>
  <c r="M76" i="9"/>
  <c r="M77" i="9"/>
  <c r="M78" i="9"/>
  <c r="M79" i="9"/>
  <c r="M80" i="9"/>
  <c r="M81" i="9"/>
  <c r="M82" i="9"/>
  <c r="M83" i="9"/>
  <c r="M84" i="9"/>
  <c r="M85" i="9"/>
  <c r="M86" i="9"/>
  <c r="M87" i="9"/>
  <c r="M91" i="9"/>
  <c r="M92" i="9"/>
  <c r="M93" i="9"/>
  <c r="J45" i="7"/>
  <c r="J46" i="7"/>
  <c r="J47" i="7"/>
  <c r="J48" i="7"/>
  <c r="J49" i="7"/>
  <c r="J50" i="7"/>
  <c r="J51" i="7"/>
  <c r="J36" i="7"/>
  <c r="J37" i="7"/>
  <c r="J38" i="7"/>
  <c r="J39" i="7"/>
  <c r="J40" i="7"/>
  <c r="J41" i="7"/>
  <c r="J44" i="7"/>
  <c r="J13" i="7"/>
  <c r="J14" i="7"/>
  <c r="J15" i="7"/>
  <c r="J16" i="7"/>
  <c r="J17" i="7"/>
  <c r="J18" i="7"/>
  <c r="J19" i="7"/>
  <c r="J20" i="7"/>
  <c r="J21" i="7"/>
  <c r="J22" i="7"/>
  <c r="J23" i="7"/>
  <c r="J24" i="7"/>
  <c r="J25" i="7"/>
  <c r="J26" i="7"/>
  <c r="J27" i="7"/>
  <c r="J28" i="7"/>
  <c r="J29" i="7"/>
  <c r="J30" i="7"/>
  <c r="J31" i="7"/>
  <c r="J32" i="7"/>
  <c r="J12" i="7"/>
  <c r="I12" i="31"/>
  <c r="I11" i="31" s="1"/>
  <c r="I73" i="30"/>
  <c r="I72" i="30" s="1"/>
  <c r="I53" i="30"/>
  <c r="I54" i="30"/>
  <c r="I55" i="30"/>
  <c r="I56" i="30"/>
  <c r="I58" i="30"/>
  <c r="I29" i="30"/>
  <c r="I43" i="30"/>
  <c r="I44" i="30"/>
  <c r="I30" i="30"/>
  <c r="I41" i="30"/>
  <c r="I42" i="30"/>
  <c r="I31" i="30"/>
  <c r="I32" i="30"/>
  <c r="I33" i="30"/>
  <c r="I34" i="30"/>
  <c r="I45" i="30"/>
  <c r="I35" i="30"/>
  <c r="I36" i="30"/>
  <c r="I38" i="30"/>
  <c r="I46" i="30"/>
  <c r="I47" i="30"/>
  <c r="I49" i="30"/>
  <c r="I50" i="30"/>
  <c r="I28" i="30"/>
  <c r="I13" i="30"/>
  <c r="I14" i="30"/>
  <c r="I16" i="30"/>
  <c r="I23" i="30"/>
  <c r="I24" i="30"/>
  <c r="I25" i="30"/>
  <c r="I26" i="30"/>
  <c r="N238" i="1"/>
  <c r="P238" i="1"/>
  <c r="O238" i="1" s="1"/>
  <c r="N239" i="1"/>
  <c r="P239" i="1"/>
  <c r="O239" i="1" s="1"/>
  <c r="N240" i="1"/>
  <c r="P240" i="1"/>
  <c r="O240" i="1" s="1"/>
  <c r="N241" i="1"/>
  <c r="P241" i="1"/>
  <c r="O241" i="1" s="1"/>
  <c r="N242" i="1"/>
  <c r="P242" i="1"/>
  <c r="O242" i="1" s="1"/>
  <c r="N246" i="1"/>
  <c r="P246" i="1"/>
  <c r="O246" i="1" s="1"/>
  <c r="P237" i="1"/>
  <c r="N223" i="1"/>
  <c r="P223" i="1"/>
  <c r="O223" i="1" s="1"/>
  <c r="N220" i="1"/>
  <c r="P220" i="1"/>
  <c r="O220" i="1" s="1"/>
  <c r="N221" i="1"/>
  <c r="P221" i="1"/>
  <c r="O221" i="1" s="1"/>
  <c r="N219" i="1"/>
  <c r="N216" i="1"/>
  <c r="P216" i="1"/>
  <c r="O216" i="1" s="1"/>
  <c r="P215" i="1"/>
  <c r="N215" i="1"/>
  <c r="N140" i="1"/>
  <c r="P140" i="1"/>
  <c r="O140" i="1" s="1"/>
  <c r="N141" i="1"/>
  <c r="P141" i="1"/>
  <c r="O141" i="1" s="1"/>
  <c r="N142" i="1"/>
  <c r="P142" i="1"/>
  <c r="O142" i="1" s="1"/>
  <c r="N143" i="1"/>
  <c r="P143" i="1"/>
  <c r="O143" i="1" s="1"/>
  <c r="N144" i="1"/>
  <c r="P144" i="1"/>
  <c r="O144" i="1" s="1"/>
  <c r="N145" i="1"/>
  <c r="P145" i="1"/>
  <c r="O145" i="1" s="1"/>
  <c r="N146" i="1"/>
  <c r="P146" i="1"/>
  <c r="O146" i="1" s="1"/>
  <c r="N147" i="1"/>
  <c r="P147" i="1"/>
  <c r="O147" i="1" s="1"/>
  <c r="N148" i="1"/>
  <c r="P148" i="1"/>
  <c r="O148" i="1" s="1"/>
  <c r="N149" i="1"/>
  <c r="P149" i="1"/>
  <c r="O149" i="1" s="1"/>
  <c r="N150" i="1"/>
  <c r="P150" i="1"/>
  <c r="O150" i="1" s="1"/>
  <c r="N151" i="1"/>
  <c r="P151" i="1"/>
  <c r="O151" i="1" s="1"/>
  <c r="N152" i="1"/>
  <c r="P152" i="1"/>
  <c r="O152" i="1" s="1"/>
  <c r="N153" i="1"/>
  <c r="P153" i="1"/>
  <c r="O153" i="1" s="1"/>
  <c r="N154" i="1"/>
  <c r="P154" i="1"/>
  <c r="O154" i="1" s="1"/>
  <c r="N155" i="1"/>
  <c r="P155" i="1"/>
  <c r="O155" i="1" s="1"/>
  <c r="N156" i="1"/>
  <c r="P156" i="1"/>
  <c r="O156" i="1" s="1"/>
  <c r="N157" i="1"/>
  <c r="P157" i="1"/>
  <c r="O157" i="1" s="1"/>
  <c r="N158" i="1"/>
  <c r="P158" i="1"/>
  <c r="O158" i="1" s="1"/>
  <c r="N159" i="1"/>
  <c r="P159" i="1"/>
  <c r="O159" i="1" s="1"/>
  <c r="N160" i="1"/>
  <c r="P160" i="1"/>
  <c r="O160" i="1" s="1"/>
  <c r="N161" i="1"/>
  <c r="P161" i="1"/>
  <c r="O161" i="1" s="1"/>
  <c r="N162" i="1"/>
  <c r="P162" i="1"/>
  <c r="O162" i="1" s="1"/>
  <c r="N163" i="1"/>
  <c r="P163" i="1"/>
  <c r="O163" i="1" s="1"/>
  <c r="N164" i="1"/>
  <c r="P164" i="1"/>
  <c r="O164" i="1" s="1"/>
  <c r="N165" i="1"/>
  <c r="P165" i="1"/>
  <c r="O165" i="1" s="1"/>
  <c r="N166" i="1"/>
  <c r="P166" i="1"/>
  <c r="O166" i="1" s="1"/>
  <c r="N167" i="1"/>
  <c r="P167" i="1"/>
  <c r="O167" i="1" s="1"/>
  <c r="N168" i="1"/>
  <c r="P168" i="1"/>
  <c r="O168" i="1" s="1"/>
  <c r="N169" i="1"/>
  <c r="P169" i="1"/>
  <c r="O169" i="1" s="1"/>
  <c r="N170" i="1"/>
  <c r="P170" i="1"/>
  <c r="O170" i="1" s="1"/>
  <c r="N171" i="1"/>
  <c r="P171" i="1"/>
  <c r="O171" i="1" s="1"/>
  <c r="N172" i="1"/>
  <c r="P172" i="1"/>
  <c r="O172" i="1" s="1"/>
  <c r="N173" i="1"/>
  <c r="P173" i="1"/>
  <c r="O173" i="1" s="1"/>
  <c r="N174" i="1"/>
  <c r="P174" i="1"/>
  <c r="O174" i="1" s="1"/>
  <c r="N175" i="1"/>
  <c r="P175" i="1"/>
  <c r="O175" i="1" s="1"/>
  <c r="N176" i="1"/>
  <c r="P176" i="1"/>
  <c r="O176" i="1" s="1"/>
  <c r="N177" i="1"/>
  <c r="P177" i="1"/>
  <c r="O177" i="1" s="1"/>
  <c r="N178" i="1"/>
  <c r="P178" i="1"/>
  <c r="O178" i="1" s="1"/>
  <c r="N179" i="1"/>
  <c r="P179" i="1"/>
  <c r="O179" i="1" s="1"/>
  <c r="N180" i="1"/>
  <c r="P180" i="1"/>
  <c r="O180" i="1" s="1"/>
  <c r="N181" i="1"/>
  <c r="P181" i="1"/>
  <c r="O181" i="1" s="1"/>
  <c r="N182" i="1"/>
  <c r="P182" i="1"/>
  <c r="O182" i="1" s="1"/>
  <c r="N183" i="1"/>
  <c r="P183" i="1"/>
  <c r="O183" i="1" s="1"/>
  <c r="N184" i="1"/>
  <c r="P184" i="1"/>
  <c r="O184" i="1" s="1"/>
  <c r="N185" i="1"/>
  <c r="P185" i="1"/>
  <c r="O185" i="1" s="1"/>
  <c r="N186" i="1"/>
  <c r="P186" i="1"/>
  <c r="O186" i="1" s="1"/>
  <c r="N187" i="1"/>
  <c r="P187" i="1"/>
  <c r="O187" i="1" s="1"/>
  <c r="N188" i="1"/>
  <c r="P188" i="1"/>
  <c r="O188" i="1" s="1"/>
  <c r="N189" i="1"/>
  <c r="P189" i="1"/>
  <c r="O189" i="1" s="1"/>
  <c r="N190" i="1"/>
  <c r="P190" i="1"/>
  <c r="O190" i="1" s="1"/>
  <c r="N191" i="1"/>
  <c r="P191" i="1"/>
  <c r="O191" i="1" s="1"/>
  <c r="N192" i="1"/>
  <c r="P192" i="1"/>
  <c r="O192" i="1" s="1"/>
  <c r="N193" i="1"/>
  <c r="P193" i="1"/>
  <c r="O193" i="1" s="1"/>
  <c r="N194" i="1"/>
  <c r="P194" i="1"/>
  <c r="O194" i="1" s="1"/>
  <c r="N195" i="1"/>
  <c r="P195" i="1"/>
  <c r="O195" i="1" s="1"/>
  <c r="N196" i="1"/>
  <c r="P196" i="1"/>
  <c r="O196" i="1" s="1"/>
  <c r="N197" i="1"/>
  <c r="P197" i="1"/>
  <c r="O197" i="1" s="1"/>
  <c r="N198" i="1"/>
  <c r="P198" i="1"/>
  <c r="O198" i="1" s="1"/>
  <c r="N199" i="1"/>
  <c r="P199" i="1"/>
  <c r="O199" i="1" s="1"/>
  <c r="N200" i="1"/>
  <c r="P200" i="1"/>
  <c r="O200" i="1" s="1"/>
  <c r="N201" i="1"/>
  <c r="P201" i="1"/>
  <c r="O201" i="1" s="1"/>
  <c r="N202" i="1"/>
  <c r="P202" i="1"/>
  <c r="O202" i="1" s="1"/>
  <c r="N203" i="1"/>
  <c r="P203" i="1"/>
  <c r="O203" i="1" s="1"/>
  <c r="N204" i="1"/>
  <c r="P204" i="1"/>
  <c r="O204" i="1" s="1"/>
  <c r="N205" i="1"/>
  <c r="P205" i="1"/>
  <c r="O205" i="1" s="1"/>
  <c r="N206" i="1"/>
  <c r="P206" i="1"/>
  <c r="O206" i="1" s="1"/>
  <c r="N207" i="1"/>
  <c r="P207" i="1"/>
  <c r="O207" i="1" s="1"/>
  <c r="N208" i="1"/>
  <c r="P208" i="1"/>
  <c r="O208" i="1" s="1"/>
  <c r="N209" i="1"/>
  <c r="P209" i="1"/>
  <c r="O209" i="1" s="1"/>
  <c r="P139" i="1"/>
  <c r="N139" i="1"/>
  <c r="N124" i="1"/>
  <c r="P124" i="1"/>
  <c r="O124" i="1" s="1"/>
  <c r="N125" i="1"/>
  <c r="P125" i="1"/>
  <c r="O125" i="1" s="1"/>
  <c r="N126" i="1"/>
  <c r="P126" i="1"/>
  <c r="O126" i="1" s="1"/>
  <c r="N127" i="1"/>
  <c r="P127" i="1"/>
  <c r="O127" i="1" s="1"/>
  <c r="N128" i="1"/>
  <c r="P128" i="1"/>
  <c r="O128" i="1" s="1"/>
  <c r="N129" i="1"/>
  <c r="P129" i="1"/>
  <c r="O129" i="1" s="1"/>
  <c r="N130" i="1"/>
  <c r="P130" i="1"/>
  <c r="O130" i="1" s="1"/>
  <c r="N131" i="1"/>
  <c r="P131" i="1"/>
  <c r="O131" i="1" s="1"/>
  <c r="N132" i="1"/>
  <c r="P132" i="1"/>
  <c r="O132" i="1" s="1"/>
  <c r="P123" i="1"/>
  <c r="N123" i="1"/>
  <c r="N36" i="1"/>
  <c r="P36" i="1"/>
  <c r="O36" i="1" s="1"/>
  <c r="N37" i="1"/>
  <c r="P37" i="1"/>
  <c r="O37" i="1" s="1"/>
  <c r="N38" i="1"/>
  <c r="P38" i="1"/>
  <c r="O38" i="1" s="1"/>
  <c r="N39" i="1"/>
  <c r="P39" i="1"/>
  <c r="O39" i="1" s="1"/>
  <c r="N40" i="1"/>
  <c r="P40" i="1"/>
  <c r="O40" i="1" s="1"/>
  <c r="N41" i="1"/>
  <c r="P41" i="1"/>
  <c r="O41" i="1" s="1"/>
  <c r="N42" i="1"/>
  <c r="P42" i="1"/>
  <c r="O42" i="1" s="1"/>
  <c r="N43" i="1"/>
  <c r="P43" i="1"/>
  <c r="O43" i="1" s="1"/>
  <c r="N44" i="1"/>
  <c r="P44" i="1"/>
  <c r="O44" i="1" s="1"/>
  <c r="N45" i="1"/>
  <c r="P45" i="1"/>
  <c r="O45" i="1" s="1"/>
  <c r="N46" i="1"/>
  <c r="P46" i="1"/>
  <c r="O46" i="1" s="1"/>
  <c r="N47" i="1"/>
  <c r="P47" i="1"/>
  <c r="O47" i="1" s="1"/>
  <c r="N48" i="1"/>
  <c r="P48" i="1"/>
  <c r="O48" i="1" s="1"/>
  <c r="N49" i="1"/>
  <c r="P49" i="1"/>
  <c r="O49" i="1" s="1"/>
  <c r="N50" i="1"/>
  <c r="P50" i="1"/>
  <c r="O50" i="1" s="1"/>
  <c r="N51" i="1"/>
  <c r="P51" i="1"/>
  <c r="O51" i="1" s="1"/>
  <c r="N52" i="1"/>
  <c r="P52" i="1"/>
  <c r="O52" i="1" s="1"/>
  <c r="N53" i="1"/>
  <c r="P53" i="1"/>
  <c r="O53" i="1" s="1"/>
  <c r="N54" i="1"/>
  <c r="P54" i="1"/>
  <c r="O54" i="1" s="1"/>
  <c r="N55" i="1"/>
  <c r="P55" i="1"/>
  <c r="O55" i="1" s="1"/>
  <c r="N56" i="1"/>
  <c r="P56" i="1"/>
  <c r="O56" i="1" s="1"/>
  <c r="N57" i="1"/>
  <c r="P57" i="1"/>
  <c r="O57" i="1" s="1"/>
  <c r="N58" i="1"/>
  <c r="P58" i="1"/>
  <c r="O58" i="1" s="1"/>
  <c r="N59" i="1"/>
  <c r="P59" i="1"/>
  <c r="O59" i="1" s="1"/>
  <c r="N60" i="1"/>
  <c r="P60" i="1"/>
  <c r="O60" i="1" s="1"/>
  <c r="N61" i="1"/>
  <c r="P61" i="1"/>
  <c r="O61" i="1" s="1"/>
  <c r="N62" i="1"/>
  <c r="P62" i="1"/>
  <c r="O62" i="1" s="1"/>
  <c r="N63" i="1"/>
  <c r="P63" i="1"/>
  <c r="O63" i="1" s="1"/>
  <c r="N64" i="1"/>
  <c r="P64" i="1"/>
  <c r="O64" i="1" s="1"/>
  <c r="N65" i="1"/>
  <c r="P65" i="1"/>
  <c r="O65" i="1" s="1"/>
  <c r="N66" i="1"/>
  <c r="P66" i="1"/>
  <c r="O66" i="1" s="1"/>
  <c r="N67" i="1"/>
  <c r="P67" i="1"/>
  <c r="O67" i="1" s="1"/>
  <c r="N68" i="1"/>
  <c r="P68" i="1"/>
  <c r="O68" i="1" s="1"/>
  <c r="N69" i="1"/>
  <c r="P69" i="1"/>
  <c r="O69" i="1" s="1"/>
  <c r="N70" i="1"/>
  <c r="P70" i="1"/>
  <c r="O70" i="1" s="1"/>
  <c r="N71" i="1"/>
  <c r="P71" i="1"/>
  <c r="O71" i="1" s="1"/>
  <c r="N72" i="1"/>
  <c r="P72" i="1"/>
  <c r="O72" i="1" s="1"/>
  <c r="N73" i="1"/>
  <c r="P73" i="1"/>
  <c r="O73" i="1" s="1"/>
  <c r="N74" i="1"/>
  <c r="P74" i="1"/>
  <c r="O74" i="1" s="1"/>
  <c r="N75" i="1"/>
  <c r="P75" i="1"/>
  <c r="O75" i="1" s="1"/>
  <c r="N76" i="1"/>
  <c r="P76" i="1"/>
  <c r="O76" i="1" s="1"/>
  <c r="N77" i="1"/>
  <c r="P77" i="1"/>
  <c r="O77" i="1" s="1"/>
  <c r="N78" i="1"/>
  <c r="P78" i="1"/>
  <c r="O78" i="1" s="1"/>
  <c r="N79" i="1"/>
  <c r="P79" i="1"/>
  <c r="O79" i="1" s="1"/>
  <c r="N80" i="1"/>
  <c r="P80" i="1"/>
  <c r="O80" i="1" s="1"/>
  <c r="N81" i="1"/>
  <c r="P81" i="1"/>
  <c r="O81" i="1" s="1"/>
  <c r="N82" i="1"/>
  <c r="P82" i="1"/>
  <c r="O82" i="1" s="1"/>
  <c r="N83" i="1"/>
  <c r="P83" i="1"/>
  <c r="O83" i="1" s="1"/>
  <c r="N84" i="1"/>
  <c r="P84" i="1"/>
  <c r="O84" i="1" s="1"/>
  <c r="N85" i="1"/>
  <c r="P85" i="1"/>
  <c r="O85" i="1" s="1"/>
  <c r="N86" i="1"/>
  <c r="P86" i="1"/>
  <c r="O86" i="1" s="1"/>
  <c r="N87" i="1"/>
  <c r="P87" i="1"/>
  <c r="O87" i="1" s="1"/>
  <c r="N88" i="1"/>
  <c r="P88" i="1"/>
  <c r="O88" i="1" s="1"/>
  <c r="N89" i="1"/>
  <c r="P89" i="1"/>
  <c r="O89" i="1" s="1"/>
  <c r="N90" i="1"/>
  <c r="P90" i="1"/>
  <c r="O90" i="1" s="1"/>
  <c r="N91" i="1"/>
  <c r="P91" i="1"/>
  <c r="O91" i="1" s="1"/>
  <c r="N92" i="1"/>
  <c r="P92" i="1"/>
  <c r="O92" i="1" s="1"/>
  <c r="N93" i="1"/>
  <c r="P93" i="1"/>
  <c r="O93" i="1" s="1"/>
  <c r="N94" i="1"/>
  <c r="P94" i="1"/>
  <c r="O94" i="1" s="1"/>
  <c r="N95" i="1"/>
  <c r="P95" i="1"/>
  <c r="O95" i="1" s="1"/>
  <c r="N96" i="1"/>
  <c r="P96" i="1"/>
  <c r="O96" i="1" s="1"/>
  <c r="N97" i="1"/>
  <c r="P97" i="1"/>
  <c r="O97" i="1" s="1"/>
  <c r="N98" i="1"/>
  <c r="P98" i="1"/>
  <c r="O98" i="1" s="1"/>
  <c r="N99" i="1"/>
  <c r="P99" i="1"/>
  <c r="O99" i="1" s="1"/>
  <c r="N100" i="1"/>
  <c r="P100" i="1"/>
  <c r="O100" i="1" s="1"/>
  <c r="N101" i="1"/>
  <c r="P101" i="1"/>
  <c r="O101" i="1" s="1"/>
  <c r="N102" i="1"/>
  <c r="P102" i="1"/>
  <c r="O102" i="1" s="1"/>
  <c r="N103" i="1"/>
  <c r="P103" i="1"/>
  <c r="O103" i="1" s="1"/>
  <c r="N104" i="1"/>
  <c r="P104" i="1"/>
  <c r="O104" i="1" s="1"/>
  <c r="N105" i="1"/>
  <c r="P105" i="1"/>
  <c r="O105" i="1" s="1"/>
  <c r="N106" i="1"/>
  <c r="P106" i="1"/>
  <c r="O106" i="1" s="1"/>
  <c r="N107" i="1"/>
  <c r="P107" i="1"/>
  <c r="O107" i="1" s="1"/>
  <c r="N108" i="1"/>
  <c r="P108" i="1"/>
  <c r="O108" i="1" s="1"/>
  <c r="N109" i="1"/>
  <c r="P109" i="1"/>
  <c r="O109" i="1" s="1"/>
  <c r="N110" i="1"/>
  <c r="P110" i="1"/>
  <c r="O110" i="1" s="1"/>
  <c r="N111" i="1"/>
  <c r="P111" i="1"/>
  <c r="O111" i="1" s="1"/>
  <c r="N112" i="1"/>
  <c r="P112" i="1"/>
  <c r="O112" i="1" s="1"/>
  <c r="N113" i="1"/>
  <c r="P113" i="1"/>
  <c r="O113" i="1" s="1"/>
  <c r="N114" i="1"/>
  <c r="P114" i="1"/>
  <c r="O114" i="1" s="1"/>
  <c r="N115" i="1"/>
  <c r="P115" i="1"/>
  <c r="O115" i="1" s="1"/>
  <c r="N116" i="1"/>
  <c r="P116" i="1"/>
  <c r="O116" i="1" s="1"/>
  <c r="N117" i="1"/>
  <c r="P117" i="1"/>
  <c r="O117" i="1" s="1"/>
  <c r="N118" i="1"/>
  <c r="P118" i="1"/>
  <c r="O118" i="1" s="1"/>
  <c r="N119" i="1"/>
  <c r="P119" i="1"/>
  <c r="O119" i="1" s="1"/>
  <c r="N120" i="1"/>
  <c r="P120" i="1"/>
  <c r="O120" i="1" s="1"/>
  <c r="P35" i="1"/>
  <c r="N35" i="1"/>
  <c r="N9" i="1"/>
  <c r="P9" i="1"/>
  <c r="O9" i="1" s="1"/>
  <c r="N10" i="1"/>
  <c r="P10" i="1"/>
  <c r="O10" i="1" s="1"/>
  <c r="N11" i="1"/>
  <c r="P11" i="1"/>
  <c r="O11" i="1" s="1"/>
  <c r="N12" i="1"/>
  <c r="P12" i="1"/>
  <c r="O12" i="1" s="1"/>
  <c r="N13" i="1"/>
  <c r="P13" i="1"/>
  <c r="O13" i="1" s="1"/>
  <c r="N14" i="1"/>
  <c r="P14" i="1"/>
  <c r="O14" i="1" s="1"/>
  <c r="N15" i="1"/>
  <c r="P15" i="1"/>
  <c r="O15" i="1" s="1"/>
  <c r="P8" i="1"/>
  <c r="O8" i="1" s="1"/>
  <c r="N8" i="1"/>
  <c r="J29" i="19"/>
  <c r="I139" i="4"/>
  <c r="I61" i="4"/>
  <c r="I87" i="4"/>
  <c r="I60" i="4"/>
  <c r="N111" i="3"/>
  <c r="P111" i="3"/>
  <c r="O111" i="3" s="1"/>
  <c r="P110" i="3"/>
  <c r="N110" i="3"/>
  <c r="N105" i="3"/>
  <c r="P105" i="3"/>
  <c r="O105" i="3" s="1"/>
  <c r="N106" i="3"/>
  <c r="P106" i="3"/>
  <c r="O106" i="3" s="1"/>
  <c r="N107" i="3"/>
  <c r="P107" i="3"/>
  <c r="O107" i="3" s="1"/>
  <c r="N108" i="3"/>
  <c r="P108" i="3"/>
  <c r="O108" i="3" s="1"/>
  <c r="P104" i="3"/>
  <c r="N104" i="3"/>
  <c r="N80" i="3"/>
  <c r="P80" i="3"/>
  <c r="O80" i="3" s="1"/>
  <c r="N81" i="3"/>
  <c r="P81" i="3"/>
  <c r="O81" i="3" s="1"/>
  <c r="N82" i="3"/>
  <c r="P82" i="3"/>
  <c r="O82" i="3" s="1"/>
  <c r="N83" i="3"/>
  <c r="P83" i="3"/>
  <c r="O83" i="3" s="1"/>
  <c r="N84" i="3"/>
  <c r="P84" i="3"/>
  <c r="O84" i="3" s="1"/>
  <c r="N85" i="3"/>
  <c r="P85" i="3"/>
  <c r="O85" i="3" s="1"/>
  <c r="N86" i="3"/>
  <c r="P86" i="3"/>
  <c r="O86" i="3" s="1"/>
  <c r="N87" i="3"/>
  <c r="P87" i="3"/>
  <c r="O87" i="3" s="1"/>
  <c r="N88" i="3"/>
  <c r="P88" i="3"/>
  <c r="O88" i="3" s="1"/>
  <c r="N89" i="3"/>
  <c r="P89" i="3"/>
  <c r="O89" i="3" s="1"/>
  <c r="N92" i="3"/>
  <c r="P92" i="3"/>
  <c r="O92" i="3" s="1"/>
  <c r="N93" i="3"/>
  <c r="P93" i="3"/>
  <c r="O93" i="3" s="1"/>
  <c r="N94" i="3"/>
  <c r="P94" i="3"/>
  <c r="O94" i="3" s="1"/>
  <c r="N95" i="3"/>
  <c r="P95" i="3"/>
  <c r="O95" i="3" s="1"/>
  <c r="N96" i="3"/>
  <c r="P96" i="3"/>
  <c r="O96" i="3" s="1"/>
  <c r="N97" i="3"/>
  <c r="P97" i="3"/>
  <c r="O97" i="3" s="1"/>
  <c r="N98" i="3"/>
  <c r="P98" i="3"/>
  <c r="O98" i="3" s="1"/>
  <c r="N99" i="3"/>
  <c r="P99" i="3"/>
  <c r="O99" i="3" s="1"/>
  <c r="N100" i="3"/>
  <c r="P100" i="3"/>
  <c r="O100" i="3" s="1"/>
  <c r="N101" i="3"/>
  <c r="P101" i="3"/>
  <c r="O101" i="3" s="1"/>
  <c r="P79" i="3"/>
  <c r="N79" i="3"/>
  <c r="N77" i="3"/>
  <c r="P77" i="3"/>
  <c r="O77" i="3" s="1"/>
  <c r="P76" i="3"/>
  <c r="N76" i="3"/>
  <c r="P47" i="3"/>
  <c r="N47" i="3"/>
  <c r="N44" i="3"/>
  <c r="P44" i="3"/>
  <c r="O44" i="3" s="1"/>
  <c r="P43" i="3"/>
  <c r="N43" i="3"/>
  <c r="P41" i="3"/>
  <c r="N41" i="3"/>
  <c r="N18" i="3"/>
  <c r="P18" i="3"/>
  <c r="O18" i="3" s="1"/>
  <c r="N19" i="3"/>
  <c r="P19" i="3"/>
  <c r="O19" i="3" s="1"/>
  <c r="N20" i="3"/>
  <c r="P20" i="3"/>
  <c r="O20" i="3" s="1"/>
  <c r="N21" i="3"/>
  <c r="P21" i="3"/>
  <c r="O21" i="3" s="1"/>
  <c r="N33" i="3"/>
  <c r="P33" i="3"/>
  <c r="O33" i="3" s="1"/>
  <c r="N34" i="3"/>
  <c r="P34" i="3"/>
  <c r="O34" i="3" s="1"/>
  <c r="P17" i="3"/>
  <c r="N17" i="3"/>
  <c r="M109" i="9" l="1"/>
  <c r="E32" i="21" s="1"/>
  <c r="I144" i="4"/>
  <c r="J136" i="19"/>
  <c r="E26" i="21" s="1"/>
  <c r="M53" i="9"/>
  <c r="M10" i="9"/>
  <c r="I11" i="30"/>
  <c r="I51" i="30"/>
  <c r="I27" i="30"/>
  <c r="I40" i="30"/>
  <c r="J52" i="7"/>
  <c r="Q8" i="1"/>
  <c r="R8" i="1" s="1"/>
  <c r="M106" i="9"/>
  <c r="E47" i="21" l="1"/>
  <c r="E46" i="21" s="1"/>
  <c r="E45" i="21" s="1"/>
  <c r="E25" i="21"/>
  <c r="I39" i="30"/>
  <c r="I10" i="30"/>
  <c r="D58" i="4"/>
  <c r="D42" i="31"/>
  <c r="M210" i="1"/>
  <c r="I62" i="30" l="1"/>
  <c r="I69" i="30"/>
  <c r="E12" i="21" l="1"/>
  <c r="V35" i="10"/>
  <c r="U35" i="10"/>
  <c r="T35" i="10"/>
  <c r="S35" i="10"/>
  <c r="R35" i="10"/>
  <c r="Q35" i="10"/>
  <c r="P35" i="10"/>
  <c r="O35" i="10"/>
  <c r="N35" i="10"/>
  <c r="M35" i="10"/>
  <c r="L35" i="10"/>
  <c r="K35" i="10"/>
  <c r="J35" i="10"/>
  <c r="I35" i="10"/>
  <c r="H35" i="10"/>
  <c r="G35" i="10"/>
  <c r="F35" i="10"/>
  <c r="E35" i="10"/>
  <c r="D35" i="10"/>
  <c r="C35" i="10"/>
  <c r="B35" i="10"/>
  <c r="O79" i="3"/>
  <c r="Q100" i="3" l="1"/>
  <c r="R100" i="3" s="1"/>
  <c r="S100" i="3" s="1"/>
  <c r="T100" i="3" s="1"/>
  <c r="U100" i="3" s="1"/>
  <c r="Q101" i="3"/>
  <c r="R101" i="3" s="1"/>
  <c r="S101" i="3" s="1"/>
  <c r="T101" i="3" s="1"/>
  <c r="U101" i="3" s="1"/>
  <c r="Q99" i="3"/>
  <c r="R99" i="3" s="1"/>
  <c r="S99" i="3" s="1"/>
  <c r="T99" i="3" s="1"/>
  <c r="U99" i="3" s="1"/>
  <c r="O43" i="3" l="1"/>
  <c r="O237" i="1" l="1"/>
  <c r="Q170" i="1"/>
  <c r="R170" i="1" s="1"/>
  <c r="S170" i="1" s="1"/>
  <c r="Q194" i="1"/>
  <c r="R194" i="1" s="1"/>
  <c r="S194" i="1" s="1"/>
  <c r="T194" i="1" s="1"/>
  <c r="U194" i="1" s="1"/>
  <c r="O215" i="1"/>
  <c r="Q155" i="1"/>
  <c r="R155" i="1" s="1"/>
  <c r="S155" i="1" s="1"/>
  <c r="O123" i="1"/>
  <c r="Q196" i="1"/>
  <c r="R196" i="1" s="1"/>
  <c r="S196" i="1" s="1"/>
  <c r="T196" i="1" s="1"/>
  <c r="U196" i="1" s="1"/>
  <c r="Q157" i="1"/>
  <c r="R157" i="1" s="1"/>
  <c r="S157" i="1" s="1"/>
  <c r="T157" i="1" s="1"/>
  <c r="U157" i="1" s="1"/>
  <c r="O139" i="1"/>
  <c r="Q198" i="1"/>
  <c r="R198" i="1" s="1"/>
  <c r="S198" i="1" s="1"/>
  <c r="T198" i="1" s="1"/>
  <c r="U198" i="1" s="1"/>
  <c r="O35" i="1"/>
  <c r="P219" i="1"/>
  <c r="O219" i="1" s="1"/>
  <c r="Q92" i="1"/>
  <c r="R92" i="1" s="1"/>
  <c r="S92" i="1" s="1"/>
  <c r="Q93" i="1"/>
  <c r="R93" i="1" s="1"/>
  <c r="S93" i="1" s="1"/>
  <c r="T93" i="1" s="1"/>
  <c r="U93" i="1" s="1"/>
  <c r="Q117" i="1"/>
  <c r="R117" i="1" s="1"/>
  <c r="S117" i="1" s="1"/>
  <c r="T117" i="1" s="1"/>
  <c r="U117" i="1" s="1"/>
  <c r="I67" i="30"/>
  <c r="I66" i="30" s="1"/>
  <c r="O17" i="3"/>
  <c r="O104" i="3"/>
  <c r="O110" i="3"/>
  <c r="O76" i="3"/>
  <c r="O41" i="3"/>
  <c r="O47" i="3"/>
  <c r="Q195" i="1" l="1"/>
  <c r="R195" i="1" s="1"/>
  <c r="S195" i="1" s="1"/>
  <c r="T195" i="1" s="1"/>
  <c r="U195" i="1" s="1"/>
  <c r="I71" i="30"/>
  <c r="Q101" i="1"/>
  <c r="R101" i="1" s="1"/>
  <c r="S101" i="1" s="1"/>
  <c r="T101" i="1" s="1"/>
  <c r="U101" i="1" s="1"/>
  <c r="Q201" i="1"/>
  <c r="R201" i="1" s="1"/>
  <c r="S201" i="1" s="1"/>
  <c r="T201" i="1" s="1"/>
  <c r="U201" i="1" s="1"/>
  <c r="Q184" i="1"/>
  <c r="R184" i="1" s="1"/>
  <c r="S184" i="1" s="1"/>
  <c r="T184" i="1" s="1"/>
  <c r="U184" i="1" s="1"/>
  <c r="Q182" i="1"/>
  <c r="R182" i="1" s="1"/>
  <c r="S182" i="1" s="1"/>
  <c r="T182" i="1" s="1"/>
  <c r="U182" i="1" s="1"/>
  <c r="Q205" i="1"/>
  <c r="R205" i="1" s="1"/>
  <c r="S205" i="1" s="1"/>
  <c r="T205" i="1" s="1"/>
  <c r="U205" i="1" s="1"/>
  <c r="Q141" i="1"/>
  <c r="R141" i="1" s="1"/>
  <c r="S141" i="1" s="1"/>
  <c r="T141" i="1" s="1"/>
  <c r="U141" i="1" s="1"/>
  <c r="Q180" i="1"/>
  <c r="R180" i="1" s="1"/>
  <c r="S180" i="1" s="1"/>
  <c r="T180" i="1" s="1"/>
  <c r="U180" i="1" s="1"/>
  <c r="Q203" i="1"/>
  <c r="R203" i="1" s="1"/>
  <c r="S203" i="1" s="1"/>
  <c r="T203" i="1" s="1"/>
  <c r="U203" i="1" s="1"/>
  <c r="Q178" i="1"/>
  <c r="R178" i="1" s="1"/>
  <c r="S178" i="1" s="1"/>
  <c r="T178" i="1" s="1"/>
  <c r="U178" i="1" s="1"/>
  <c r="Q199" i="1"/>
  <c r="R199" i="1" s="1"/>
  <c r="S199" i="1" s="1"/>
  <c r="T199" i="1" s="1"/>
  <c r="U199" i="1" s="1"/>
  <c r="Q153" i="1"/>
  <c r="R153" i="1" s="1"/>
  <c r="S153" i="1" s="1"/>
  <c r="T153" i="1" s="1"/>
  <c r="U153" i="1" s="1"/>
  <c r="Q200" i="1"/>
  <c r="R200" i="1" s="1"/>
  <c r="S200" i="1" s="1"/>
  <c r="T200" i="1" s="1"/>
  <c r="U200" i="1" s="1"/>
  <c r="Q107" i="1"/>
  <c r="R107" i="1" s="1"/>
  <c r="S107" i="1" s="1"/>
  <c r="T107" i="1" s="1"/>
  <c r="U107" i="1" s="1"/>
  <c r="Q111" i="1"/>
  <c r="R111" i="1" s="1"/>
  <c r="S111" i="1" s="1"/>
  <c r="T111" i="1" s="1"/>
  <c r="U111" i="1" s="1"/>
  <c r="Q159" i="1"/>
  <c r="R159" i="1" s="1"/>
  <c r="S159" i="1" s="1"/>
  <c r="T159" i="1" s="1"/>
  <c r="U159" i="1" s="1"/>
  <c r="Q172" i="1"/>
  <c r="R172" i="1" s="1"/>
  <c r="S172" i="1" s="1"/>
  <c r="T172" i="1" s="1"/>
  <c r="U172" i="1" s="1"/>
  <c r="Q168" i="1"/>
  <c r="R168" i="1" s="1"/>
  <c r="S168" i="1" s="1"/>
  <c r="T168" i="1" s="1"/>
  <c r="U168" i="1" s="1"/>
  <c r="Q191" i="1"/>
  <c r="R191" i="1" s="1"/>
  <c r="S191" i="1" s="1"/>
  <c r="T191" i="1" s="1"/>
  <c r="U191" i="1" s="1"/>
  <c r="Q166" i="1"/>
  <c r="R166" i="1" s="1"/>
  <c r="S166" i="1" s="1"/>
  <c r="T166" i="1" s="1"/>
  <c r="U166" i="1" s="1"/>
  <c r="Q189" i="1"/>
  <c r="R189" i="1" s="1"/>
  <c r="S189" i="1" s="1"/>
  <c r="T189" i="1" s="1"/>
  <c r="U189" i="1" s="1"/>
  <c r="Q164" i="1"/>
  <c r="R164" i="1" s="1"/>
  <c r="S164" i="1" s="1"/>
  <c r="T164" i="1" s="1"/>
  <c r="U164" i="1" s="1"/>
  <c r="Q187" i="1"/>
  <c r="R187" i="1" s="1"/>
  <c r="S187" i="1" s="1"/>
  <c r="T187" i="1" s="1"/>
  <c r="U187" i="1" s="1"/>
  <c r="Q162" i="1"/>
  <c r="R162" i="1" s="1"/>
  <c r="S162" i="1" s="1"/>
  <c r="T162" i="1" s="1"/>
  <c r="U162" i="1" s="1"/>
  <c r="Q100" i="1"/>
  <c r="R100" i="1" s="1"/>
  <c r="S100" i="1" s="1"/>
  <c r="T100" i="1" s="1"/>
  <c r="U100" i="1" s="1"/>
  <c r="Q167" i="1"/>
  <c r="R167" i="1" s="1"/>
  <c r="S167" i="1" s="1"/>
  <c r="T167" i="1" s="1"/>
  <c r="U167" i="1" s="1"/>
  <c r="Q163" i="1"/>
  <c r="R163" i="1" s="1"/>
  <c r="S163" i="1" s="1"/>
  <c r="T163" i="1" s="1"/>
  <c r="U163" i="1" s="1"/>
  <c r="Q202" i="1"/>
  <c r="R202" i="1" s="1"/>
  <c r="S202" i="1" s="1"/>
  <c r="T202" i="1" s="1"/>
  <c r="U202" i="1" s="1"/>
  <c r="Q185" i="1"/>
  <c r="R185" i="1" s="1"/>
  <c r="S185" i="1" s="1"/>
  <c r="T185" i="1" s="1"/>
  <c r="Q116" i="1"/>
  <c r="R116" i="1" s="1"/>
  <c r="S116" i="1" s="1"/>
  <c r="T116" i="1" s="1"/>
  <c r="U116" i="1" s="1"/>
  <c r="Q120" i="1"/>
  <c r="R120" i="1" s="1"/>
  <c r="S120" i="1" s="1"/>
  <c r="T120" i="1" s="1"/>
  <c r="U120" i="1" s="1"/>
  <c r="Q108" i="1"/>
  <c r="R108" i="1" s="1"/>
  <c r="S108" i="1" s="1"/>
  <c r="T108" i="1" s="1"/>
  <c r="U108" i="1" s="1"/>
  <c r="Q169" i="1"/>
  <c r="R169" i="1" s="1"/>
  <c r="S169" i="1" s="1"/>
  <c r="T169" i="1" s="1"/>
  <c r="U169" i="1" s="1"/>
  <c r="Q152" i="1"/>
  <c r="R152" i="1" s="1"/>
  <c r="S152" i="1" s="1"/>
  <c r="T152" i="1" s="1"/>
  <c r="U152" i="1" s="1"/>
  <c r="Q150" i="1"/>
  <c r="R150" i="1" s="1"/>
  <c r="S150" i="1" s="1"/>
  <c r="T150" i="1" s="1"/>
  <c r="U150" i="1" s="1"/>
  <c r="Q173" i="1"/>
  <c r="R173" i="1" s="1"/>
  <c r="S173" i="1" s="1"/>
  <c r="T173" i="1" s="1"/>
  <c r="U173" i="1" s="1"/>
  <c r="Q148" i="1"/>
  <c r="R148" i="1" s="1"/>
  <c r="S148" i="1" s="1"/>
  <c r="T148" i="1" s="1"/>
  <c r="U148" i="1" s="1"/>
  <c r="Q171" i="1"/>
  <c r="R171" i="1" s="1"/>
  <c r="S171" i="1" s="1"/>
  <c r="T171" i="1" s="1"/>
  <c r="U171" i="1" s="1"/>
  <c r="Q146" i="1"/>
  <c r="R146" i="1" s="1"/>
  <c r="S146" i="1" s="1"/>
  <c r="T146" i="1" s="1"/>
  <c r="U146" i="1" s="1"/>
  <c r="Q109" i="1"/>
  <c r="R109" i="1" s="1"/>
  <c r="S109" i="1" s="1"/>
  <c r="Q161" i="1"/>
  <c r="R161" i="1" s="1"/>
  <c r="S161" i="1" s="1"/>
  <c r="T161" i="1" s="1"/>
  <c r="U161" i="1" s="1"/>
  <c r="T92" i="1"/>
  <c r="U92" i="1" s="1"/>
  <c r="Q208" i="1"/>
  <c r="R208" i="1" s="1"/>
  <c r="S208" i="1" s="1"/>
  <c r="T208" i="1" s="1"/>
  <c r="U208" i="1" s="1"/>
  <c r="Q144" i="1"/>
  <c r="R144" i="1" s="1"/>
  <c r="S144" i="1" s="1"/>
  <c r="T144" i="1" s="1"/>
  <c r="U144" i="1" s="1"/>
  <c r="Q115" i="1"/>
  <c r="R115" i="1" s="1"/>
  <c r="S115" i="1" s="1"/>
  <c r="T115" i="1" s="1"/>
  <c r="U115" i="1" s="1"/>
  <c r="Q206" i="1"/>
  <c r="R206" i="1" s="1"/>
  <c r="S206" i="1" s="1"/>
  <c r="Q142" i="1"/>
  <c r="R142" i="1" s="1"/>
  <c r="S142" i="1" s="1"/>
  <c r="T142" i="1" s="1"/>
  <c r="U142" i="1" s="1"/>
  <c r="Q113" i="1"/>
  <c r="R113" i="1" s="1"/>
  <c r="S113" i="1" s="1"/>
  <c r="T113" i="1" s="1"/>
  <c r="U113" i="1" s="1"/>
  <c r="Q165" i="1"/>
  <c r="R165" i="1" s="1"/>
  <c r="S165" i="1" s="1"/>
  <c r="T165" i="1" s="1"/>
  <c r="U165" i="1" s="1"/>
  <c r="Q96" i="1"/>
  <c r="R96" i="1" s="1"/>
  <c r="S96" i="1" s="1"/>
  <c r="T96" i="1" s="1"/>
  <c r="U96" i="1" s="1"/>
  <c r="Q204" i="1"/>
  <c r="R204" i="1" s="1"/>
  <c r="S204" i="1" s="1"/>
  <c r="T204" i="1" s="1"/>
  <c r="U204" i="1" s="1"/>
  <c r="Q140" i="1"/>
  <c r="R140" i="1" s="1"/>
  <c r="S140" i="1" s="1"/>
  <c r="T140" i="1" s="1"/>
  <c r="U140" i="1" s="1"/>
  <c r="Q119" i="1"/>
  <c r="R119" i="1" s="1"/>
  <c r="S119" i="1" s="1"/>
  <c r="T119" i="1" s="1"/>
  <c r="U119" i="1" s="1"/>
  <c r="Q94" i="1"/>
  <c r="R94" i="1" s="1"/>
  <c r="S94" i="1" s="1"/>
  <c r="T94" i="1" s="1"/>
  <c r="U94" i="1" s="1"/>
  <c r="Q240" i="1"/>
  <c r="R240" i="1" s="1"/>
  <c r="S240" i="1" s="1"/>
  <c r="T240" i="1" s="1"/>
  <c r="U240" i="1" s="1"/>
  <c r="Q105" i="1"/>
  <c r="R105" i="1" s="1"/>
  <c r="S105" i="1" s="1"/>
  <c r="T105" i="1" s="1"/>
  <c r="U105" i="1" s="1"/>
  <c r="T155" i="1"/>
  <c r="U155" i="1" s="1"/>
  <c r="Q209" i="1"/>
  <c r="R209" i="1" s="1"/>
  <c r="S209" i="1" s="1"/>
  <c r="T209" i="1" s="1"/>
  <c r="U209" i="1" s="1"/>
  <c r="Q145" i="1"/>
  <c r="R145" i="1" s="1"/>
  <c r="S145" i="1" s="1"/>
  <c r="T145" i="1" s="1"/>
  <c r="U145" i="1" s="1"/>
  <c r="Q192" i="1"/>
  <c r="R192" i="1" s="1"/>
  <c r="S192" i="1" s="1"/>
  <c r="T192" i="1" s="1"/>
  <c r="U192" i="1" s="1"/>
  <c r="Q99" i="1"/>
  <c r="R99" i="1" s="1"/>
  <c r="S99" i="1" s="1"/>
  <c r="T99" i="1" s="1"/>
  <c r="U99" i="1" s="1"/>
  <c r="Q151" i="1"/>
  <c r="R151" i="1" s="1"/>
  <c r="S151" i="1" s="1"/>
  <c r="T151" i="1" s="1"/>
  <c r="U151" i="1" s="1"/>
  <c r="Q190" i="1"/>
  <c r="R190" i="1" s="1"/>
  <c r="S190" i="1" s="1"/>
  <c r="Q97" i="1"/>
  <c r="R97" i="1" s="1"/>
  <c r="S97" i="1" s="1"/>
  <c r="T97" i="1" s="1"/>
  <c r="U97" i="1" s="1"/>
  <c r="Q149" i="1"/>
  <c r="R149" i="1" s="1"/>
  <c r="S149" i="1" s="1"/>
  <c r="Q238" i="1"/>
  <c r="R238" i="1" s="1"/>
  <c r="S238" i="1" s="1"/>
  <c r="T238" i="1" s="1"/>
  <c r="U238" i="1" s="1"/>
  <c r="Q188" i="1"/>
  <c r="R188" i="1" s="1"/>
  <c r="S188" i="1" s="1"/>
  <c r="T188" i="1" s="1"/>
  <c r="U188" i="1" s="1"/>
  <c r="Q103" i="1"/>
  <c r="R103" i="1" s="1"/>
  <c r="S103" i="1" s="1"/>
  <c r="Q147" i="1"/>
  <c r="R147" i="1" s="1"/>
  <c r="S147" i="1" s="1"/>
  <c r="Q186" i="1"/>
  <c r="R186" i="1" s="1"/>
  <c r="S186" i="1" s="1"/>
  <c r="T186" i="1" s="1"/>
  <c r="U186" i="1" s="1"/>
  <c r="Q207" i="1"/>
  <c r="R207" i="1" s="1"/>
  <c r="S207" i="1" s="1"/>
  <c r="T207" i="1" s="1"/>
  <c r="U207" i="1" s="1"/>
  <c r="Q143" i="1"/>
  <c r="R143" i="1" s="1"/>
  <c r="S143" i="1" s="1"/>
  <c r="T143" i="1" s="1"/>
  <c r="U143" i="1" s="1"/>
  <c r="Q95" i="1"/>
  <c r="R95" i="1" s="1"/>
  <c r="S95" i="1" s="1"/>
  <c r="T95" i="1" s="1"/>
  <c r="U95" i="1" s="1"/>
  <c r="Q193" i="1"/>
  <c r="R193" i="1" s="1"/>
  <c r="S193" i="1" s="1"/>
  <c r="Q128" i="1"/>
  <c r="R128" i="1" s="1"/>
  <c r="S128" i="1" s="1"/>
  <c r="T128" i="1" s="1"/>
  <c r="U128" i="1" s="1"/>
  <c r="Q176" i="1"/>
  <c r="R176" i="1" s="1"/>
  <c r="S176" i="1" s="1"/>
  <c r="T176" i="1" s="1"/>
  <c r="U176" i="1" s="1"/>
  <c r="Q126" i="1"/>
  <c r="R126" i="1" s="1"/>
  <c r="S126" i="1" s="1"/>
  <c r="T126" i="1" s="1"/>
  <c r="U126" i="1" s="1"/>
  <c r="Q174" i="1"/>
  <c r="R174" i="1" s="1"/>
  <c r="S174" i="1" s="1"/>
  <c r="T174" i="1" s="1"/>
  <c r="U174" i="1" s="1"/>
  <c r="Q197" i="1"/>
  <c r="R197" i="1" s="1"/>
  <c r="S197" i="1" s="1"/>
  <c r="T197" i="1" s="1"/>
  <c r="U197" i="1" s="1"/>
  <c r="Q132" i="1"/>
  <c r="R132" i="1" s="1"/>
  <c r="S132" i="1" s="1"/>
  <c r="T132" i="1" s="1"/>
  <c r="U132" i="1" s="1"/>
  <c r="Q221" i="1"/>
  <c r="R221" i="1" s="1"/>
  <c r="S221" i="1" s="1"/>
  <c r="T221" i="1" s="1"/>
  <c r="U221" i="1" s="1"/>
  <c r="Q130" i="1"/>
  <c r="R130" i="1" s="1"/>
  <c r="S130" i="1" s="1"/>
  <c r="T130" i="1" s="1"/>
  <c r="U130" i="1" s="1"/>
  <c r="T170" i="1"/>
  <c r="U170" i="1" s="1"/>
  <c r="Q246" i="1"/>
  <c r="R246" i="1" s="1"/>
  <c r="S246" i="1" s="1"/>
  <c r="T246" i="1" s="1"/>
  <c r="U246" i="1" s="1"/>
  <c r="Q241" i="1"/>
  <c r="R241" i="1" s="1"/>
  <c r="S241" i="1" s="1"/>
  <c r="T241" i="1" s="1"/>
  <c r="U241" i="1" s="1"/>
  <c r="Q114" i="1"/>
  <c r="R114" i="1" s="1"/>
  <c r="S114" i="1" s="1"/>
  <c r="T114" i="1" s="1"/>
  <c r="U114" i="1" s="1"/>
  <c r="Q239" i="1"/>
  <c r="R239" i="1" s="1"/>
  <c r="S239" i="1" s="1"/>
  <c r="T239" i="1" s="1"/>
  <c r="U239" i="1" s="1"/>
  <c r="Q124" i="1"/>
  <c r="R124" i="1" s="1"/>
  <c r="S124" i="1" s="1"/>
  <c r="T124" i="1" s="1"/>
  <c r="U124" i="1" s="1"/>
  <c r="Q118" i="1"/>
  <c r="R118" i="1" s="1"/>
  <c r="S118" i="1" s="1"/>
  <c r="T118" i="1" s="1"/>
  <c r="U118" i="1" s="1"/>
  <c r="I10" i="31"/>
  <c r="I42" i="31" s="1"/>
  <c r="Q129" i="1"/>
  <c r="R129" i="1" s="1"/>
  <c r="S129" i="1" s="1"/>
  <c r="T129" i="1" s="1"/>
  <c r="U129" i="1" s="1"/>
  <c r="Q177" i="1"/>
  <c r="R177" i="1" s="1"/>
  <c r="S177" i="1" s="1"/>
  <c r="T177" i="1" s="1"/>
  <c r="U177" i="1" s="1"/>
  <c r="Q160" i="1"/>
  <c r="R160" i="1" s="1"/>
  <c r="S160" i="1" s="1"/>
  <c r="T160" i="1" s="1"/>
  <c r="U160" i="1" s="1"/>
  <c r="Q183" i="1"/>
  <c r="R183" i="1" s="1"/>
  <c r="S183" i="1" s="1"/>
  <c r="T183" i="1" s="1"/>
  <c r="U183" i="1" s="1"/>
  <c r="Q106" i="1"/>
  <c r="R106" i="1" s="1"/>
  <c r="S106" i="1" s="1"/>
  <c r="Q158" i="1"/>
  <c r="R158" i="1" s="1"/>
  <c r="S158" i="1" s="1"/>
  <c r="T158" i="1" s="1"/>
  <c r="U158" i="1" s="1"/>
  <c r="Q181" i="1"/>
  <c r="R181" i="1" s="1"/>
  <c r="S181" i="1" s="1"/>
  <c r="Q112" i="1"/>
  <c r="R112" i="1" s="1"/>
  <c r="S112" i="1" s="1"/>
  <c r="T112" i="1" s="1"/>
  <c r="U112" i="1" s="1"/>
  <c r="Q156" i="1"/>
  <c r="R156" i="1" s="1"/>
  <c r="S156" i="1" s="1"/>
  <c r="T156" i="1" s="1"/>
  <c r="U156" i="1" s="1"/>
  <c r="Q179" i="1"/>
  <c r="R179" i="1" s="1"/>
  <c r="S179" i="1" s="1"/>
  <c r="Q110" i="1"/>
  <c r="R110" i="1" s="1"/>
  <c r="S110" i="1" s="1"/>
  <c r="T110" i="1" s="1"/>
  <c r="U110" i="1" s="1"/>
  <c r="Q154" i="1"/>
  <c r="R154" i="1" s="1"/>
  <c r="S154" i="1" s="1"/>
  <c r="T154" i="1" s="1"/>
  <c r="U154" i="1" s="1"/>
  <c r="Q127" i="1"/>
  <c r="R127" i="1" s="1"/>
  <c r="S127" i="1" s="1"/>
  <c r="Q175" i="1"/>
  <c r="R175" i="1" s="1"/>
  <c r="S175" i="1" s="1"/>
  <c r="T175" i="1" s="1"/>
  <c r="U175" i="1" s="1"/>
  <c r="Q98" i="1"/>
  <c r="R98" i="1" s="1"/>
  <c r="S98" i="1" s="1"/>
  <c r="T98" i="1" s="1"/>
  <c r="U98" i="1" s="1"/>
  <c r="Q125" i="1"/>
  <c r="R125" i="1" s="1"/>
  <c r="S125" i="1" s="1"/>
  <c r="T125" i="1" s="1"/>
  <c r="U125" i="1" s="1"/>
  <c r="Q104" i="1"/>
  <c r="R104" i="1" s="1"/>
  <c r="S104" i="1" s="1"/>
  <c r="T104" i="1" s="1"/>
  <c r="U104" i="1" s="1"/>
  <c r="Q242" i="1"/>
  <c r="R242" i="1" s="1"/>
  <c r="S242" i="1" s="1"/>
  <c r="T242" i="1" s="1"/>
  <c r="U242" i="1" s="1"/>
  <c r="Q131" i="1"/>
  <c r="R131" i="1" s="1"/>
  <c r="S131" i="1" s="1"/>
  <c r="T131" i="1" s="1"/>
  <c r="U131" i="1" s="1"/>
  <c r="Q102" i="1"/>
  <c r="R102" i="1" s="1"/>
  <c r="S102" i="1" s="1"/>
  <c r="T102" i="1" s="1"/>
  <c r="U102" i="1" s="1"/>
  <c r="I75" i="30" l="1"/>
  <c r="F46" i="21"/>
  <c r="G46" i="21"/>
  <c r="H46" i="21"/>
  <c r="U185" i="1"/>
  <c r="T106" i="1"/>
  <c r="U106" i="1" s="1"/>
  <c r="T147" i="1"/>
  <c r="U147" i="1" s="1"/>
  <c r="T149" i="1"/>
  <c r="U149" i="1" s="1"/>
  <c r="T181" i="1"/>
  <c r="U181" i="1" s="1"/>
  <c r="T206" i="1"/>
  <c r="U206" i="1" s="1"/>
  <c r="T103" i="1"/>
  <c r="U103" i="1" s="1"/>
  <c r="T193" i="1"/>
  <c r="U193" i="1" s="1"/>
  <c r="T127" i="1"/>
  <c r="U127" i="1" s="1"/>
  <c r="T179" i="1"/>
  <c r="U179" i="1" s="1"/>
  <c r="T190" i="1"/>
  <c r="U190" i="1" s="1"/>
  <c r="T109" i="1"/>
  <c r="U109" i="1" s="1"/>
  <c r="I77" i="30" l="1"/>
  <c r="E11" i="21"/>
  <c r="H47" i="21"/>
  <c r="G47" i="21"/>
  <c r="F47" i="21"/>
  <c r="H45" i="21"/>
  <c r="G45" i="21"/>
  <c r="F45" i="21"/>
  <c r="I78" i="30"/>
  <c r="Q47" i="3" l="1"/>
  <c r="R47" i="3" l="1"/>
  <c r="S47" i="3" s="1"/>
  <c r="T47" i="3" s="1"/>
  <c r="Q237" i="1" l="1"/>
  <c r="Q223" i="1"/>
  <c r="Q220" i="1"/>
  <c r="Q219" i="1"/>
  <c r="Q216" i="1"/>
  <c r="Q215" i="1"/>
  <c r="Q139" i="1"/>
  <c r="Q123"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6" i="1"/>
  <c r="Q67" i="1"/>
  <c r="Q68" i="1"/>
  <c r="Q69" i="1"/>
  <c r="Q70" i="1"/>
  <c r="Q71" i="1"/>
  <c r="Q72" i="1"/>
  <c r="Q73" i="1"/>
  <c r="Q74" i="1"/>
  <c r="Q75" i="1"/>
  <c r="Q76" i="1"/>
  <c r="Q77" i="1"/>
  <c r="Q78" i="1"/>
  <c r="Q79" i="1"/>
  <c r="Q80" i="1"/>
  <c r="Q81" i="1"/>
  <c r="Q82" i="1"/>
  <c r="Q83" i="1"/>
  <c r="Q84" i="1"/>
  <c r="Q85" i="1"/>
  <c r="Q86" i="1"/>
  <c r="Q88" i="1"/>
  <c r="Q89" i="1"/>
  <c r="Q90" i="1"/>
  <c r="Q91" i="1"/>
  <c r="Q35" i="1"/>
  <c r="Q9" i="1"/>
  <c r="Q10" i="1"/>
  <c r="Q11" i="1"/>
  <c r="Q12" i="1"/>
  <c r="Q13" i="1"/>
  <c r="Q14" i="1"/>
  <c r="Q15" i="1"/>
  <c r="Q111" i="3" l="1"/>
  <c r="Q110" i="3"/>
  <c r="Q105" i="3"/>
  <c r="Q106" i="3"/>
  <c r="Q107" i="3"/>
  <c r="Q108" i="3"/>
  <c r="Q104" i="3"/>
  <c r="Q80" i="3"/>
  <c r="Q81" i="3"/>
  <c r="Q82" i="3"/>
  <c r="Q83" i="3"/>
  <c r="Q84" i="3"/>
  <c r="Q85" i="3"/>
  <c r="Q86" i="3"/>
  <c r="Q87" i="3"/>
  <c r="Q88" i="3"/>
  <c r="Q89" i="3"/>
  <c r="Q92" i="3"/>
  <c r="Q93" i="3"/>
  <c r="Q94" i="3"/>
  <c r="Q95" i="3"/>
  <c r="Q96" i="3"/>
  <c r="Q97" i="3"/>
  <c r="Q98" i="3"/>
  <c r="Q79" i="3"/>
  <c r="Q77" i="3"/>
  <c r="Q76" i="3"/>
  <c r="Q44" i="3"/>
  <c r="Q43" i="3"/>
  <c r="Q41" i="3"/>
  <c r="Q18" i="3"/>
  <c r="Q19" i="3"/>
  <c r="Q20" i="3"/>
  <c r="Q21" i="3"/>
  <c r="Q33" i="3"/>
  <c r="Q34" i="3"/>
  <c r="Q17" i="3"/>
  <c r="M232" i="1" l="1"/>
  <c r="R48" i="1" l="1"/>
  <c r="R55" i="1"/>
  <c r="Q87" i="1"/>
  <c r="R64" i="1"/>
  <c r="S64" i="1" s="1"/>
  <c r="R60" i="1"/>
  <c r="S60" i="1" s="1"/>
  <c r="T60" i="1" s="1"/>
  <c r="R63" i="1"/>
  <c r="S63" i="1" s="1"/>
  <c r="R59" i="1"/>
  <c r="R45" i="1"/>
  <c r="R39" i="1"/>
  <c r="R56" i="1"/>
  <c r="R49" i="1"/>
  <c r="R44" i="1"/>
  <c r="R40" i="1"/>
  <c r="R47" i="1"/>
  <c r="R53" i="1"/>
  <c r="R52" i="1"/>
  <c r="R50" i="1"/>
  <c r="R38" i="1"/>
  <c r="R36" i="1"/>
  <c r="R73" i="1"/>
  <c r="S73" i="1" s="1"/>
  <c r="T73" i="1" s="1"/>
  <c r="R71" i="1"/>
  <c r="S71" i="1" s="1"/>
  <c r="T71" i="1" s="1"/>
  <c r="R41" i="1"/>
  <c r="R62" i="1"/>
  <c r="S62" i="1" s="1"/>
  <c r="T62" i="1" s="1"/>
  <c r="R58" i="1"/>
  <c r="R54" i="1"/>
  <c r="R51" i="1"/>
  <c r="R46" i="1"/>
  <c r="R43" i="1"/>
  <c r="R61" i="1"/>
  <c r="S61" i="1" s="1"/>
  <c r="T61" i="1" s="1"/>
  <c r="R57" i="1"/>
  <c r="R67" i="1"/>
  <c r="S67" i="1" s="1"/>
  <c r="T67" i="1" s="1"/>
  <c r="R69" i="1"/>
  <c r="S69" i="1" s="1"/>
  <c r="T69" i="1" s="1"/>
  <c r="R37" i="1"/>
  <c r="R42" i="1"/>
  <c r="R66" i="1"/>
  <c r="S66" i="1" s="1"/>
  <c r="R74" i="1"/>
  <c r="S74" i="1" s="1"/>
  <c r="R70" i="1"/>
  <c r="S70" i="1" s="1"/>
  <c r="R72" i="1"/>
  <c r="S72" i="1" s="1"/>
  <c r="R68" i="1"/>
  <c r="S68" i="1" s="1"/>
  <c r="K107" i="9"/>
  <c r="L107" i="9" s="1"/>
  <c r="S59" i="1" l="1"/>
  <c r="T59" i="1" s="1"/>
  <c r="S41" i="1"/>
  <c r="T41" i="1" s="1"/>
  <c r="U41" i="1" s="1"/>
  <c r="S47" i="1"/>
  <c r="T47" i="1" s="1"/>
  <c r="U47" i="1" s="1"/>
  <c r="S43" i="1"/>
  <c r="T43" i="1" s="1"/>
  <c r="S46" i="1"/>
  <c r="T46" i="1" s="1"/>
  <c r="S57" i="1"/>
  <c r="T57" i="1" s="1"/>
  <c r="S36" i="1"/>
  <c r="T36" i="1" s="1"/>
  <c r="S49" i="1"/>
  <c r="T49" i="1" s="1"/>
  <c r="S42" i="1"/>
  <c r="T42" i="1" s="1"/>
  <c r="S51" i="1"/>
  <c r="T51" i="1" s="1"/>
  <c r="U51" i="1" s="1"/>
  <c r="S38" i="1"/>
  <c r="T38" i="1" s="1"/>
  <c r="S56" i="1"/>
  <c r="T56" i="1" s="1"/>
  <c r="U56" i="1" s="1"/>
  <c r="S40" i="1"/>
  <c r="T40" i="1" s="1"/>
  <c r="S44" i="1"/>
  <c r="T44" i="1" s="1"/>
  <c r="S37" i="1"/>
  <c r="T37" i="1" s="1"/>
  <c r="U37" i="1" s="1"/>
  <c r="S54" i="1"/>
  <c r="T54" i="1" s="1"/>
  <c r="S50" i="1"/>
  <c r="T50" i="1" s="1"/>
  <c r="S58" i="1"/>
  <c r="T58" i="1" s="1"/>
  <c r="S52" i="1"/>
  <c r="T52" i="1" s="1"/>
  <c r="U52" i="1" s="1"/>
  <c r="S39" i="1"/>
  <c r="T39" i="1" s="1"/>
  <c r="S55" i="1"/>
  <c r="T55" i="1" s="1"/>
  <c r="U55" i="1" s="1"/>
  <c r="S53" i="1"/>
  <c r="T53" i="1" s="1"/>
  <c r="U53" i="1" s="1"/>
  <c r="S45" i="1"/>
  <c r="T45" i="1" s="1"/>
  <c r="S48" i="1"/>
  <c r="T48" i="1" s="1"/>
  <c r="U48" i="1" s="1"/>
  <c r="Q65" i="1"/>
  <c r="R65" i="1" s="1"/>
  <c r="S65" i="1" s="1"/>
  <c r="T65" i="1" s="1"/>
  <c r="U65" i="1" s="1"/>
  <c r="T72" i="1"/>
  <c r="U72" i="1" s="1"/>
  <c r="T68" i="1"/>
  <c r="U68" i="1" s="1"/>
  <c r="T63" i="1"/>
  <c r="U63" i="1" s="1"/>
  <c r="T70" i="1"/>
  <c r="U70" i="1" s="1"/>
  <c r="T66" i="1"/>
  <c r="U66" i="1" s="1"/>
  <c r="T74" i="1"/>
  <c r="U74" i="1" s="1"/>
  <c r="T64" i="1"/>
  <c r="U64" i="1" s="1"/>
  <c r="U60" i="1"/>
  <c r="U61" i="1"/>
  <c r="U71" i="1"/>
  <c r="U67" i="1"/>
  <c r="U69" i="1"/>
  <c r="U62" i="1"/>
  <c r="U73" i="1"/>
  <c r="U58" i="1" l="1"/>
  <c r="U59" i="1"/>
  <c r="U50" i="1"/>
  <c r="U42" i="1"/>
  <c r="U36" i="1"/>
  <c r="U43" i="1"/>
  <c r="U44" i="1"/>
  <c r="U46" i="1"/>
  <c r="U40" i="1"/>
  <c r="U57" i="1"/>
  <c r="U49" i="1"/>
  <c r="U38" i="1"/>
  <c r="U39" i="1"/>
  <c r="U45" i="1"/>
  <c r="U54" i="1"/>
  <c r="R76" i="3" l="1"/>
  <c r="S76" i="3" s="1"/>
  <c r="R77" i="3"/>
  <c r="S77" i="3" s="1"/>
  <c r="H43" i="21" l="1"/>
  <c r="G43" i="21"/>
  <c r="F43" i="21"/>
  <c r="T76" i="3"/>
  <c r="U76" i="3" s="1"/>
  <c r="T77" i="3"/>
  <c r="U77" i="3" s="1"/>
  <c r="M35" i="3"/>
  <c r="R34" i="3" l="1"/>
  <c r="S34" i="3" s="1"/>
  <c r="T34" i="3" l="1"/>
  <c r="U34" i="3" s="1"/>
  <c r="F32" i="21" l="1"/>
  <c r="G32" i="21"/>
  <c r="H32" i="21"/>
  <c r="R237" i="1"/>
  <c r="R223" i="1"/>
  <c r="S223" i="1" s="1"/>
  <c r="T223" i="1" s="1"/>
  <c r="R220" i="1"/>
  <c r="S220" i="1" s="1"/>
  <c r="T220" i="1" s="1"/>
  <c r="R219" i="1"/>
  <c r="S219" i="1" s="1"/>
  <c r="T219" i="1" s="1"/>
  <c r="R216" i="1"/>
  <c r="S216" i="1" s="1"/>
  <c r="T216" i="1" s="1"/>
  <c r="R215" i="1"/>
  <c r="S215" i="1" s="1"/>
  <c r="T215" i="1" s="1"/>
  <c r="U215" i="1" s="1"/>
  <c r="R139" i="1"/>
  <c r="S139" i="1" s="1"/>
  <c r="T139" i="1" s="1"/>
  <c r="R123" i="1"/>
  <c r="S123" i="1" s="1"/>
  <c r="T123" i="1" s="1"/>
  <c r="R77" i="1"/>
  <c r="S77" i="1" s="1"/>
  <c r="T77" i="1" s="1"/>
  <c r="R80" i="1"/>
  <c r="S80" i="1" s="1"/>
  <c r="T80" i="1" s="1"/>
  <c r="R84" i="1"/>
  <c r="S84" i="1" s="1"/>
  <c r="T84" i="1" s="1"/>
  <c r="R86" i="1"/>
  <c r="S86" i="1" s="1"/>
  <c r="T86" i="1" s="1"/>
  <c r="R87" i="1"/>
  <c r="S87" i="1" s="1"/>
  <c r="T87" i="1" s="1"/>
  <c r="R88" i="1"/>
  <c r="S88" i="1" s="1"/>
  <c r="T88" i="1" s="1"/>
  <c r="R90" i="1"/>
  <c r="S90" i="1" s="1"/>
  <c r="T90" i="1" s="1"/>
  <c r="R35" i="1"/>
  <c r="R13" i="1"/>
  <c r="S13" i="1" s="1"/>
  <c r="T13" i="1" s="1"/>
  <c r="R14" i="1"/>
  <c r="S14" i="1" s="1"/>
  <c r="T14" i="1" s="1"/>
  <c r="R15" i="1"/>
  <c r="S15" i="1" s="1"/>
  <c r="T15" i="1" s="1"/>
  <c r="S8" i="1"/>
  <c r="T8" i="1" s="1"/>
  <c r="R9" i="1"/>
  <c r="S9" i="1" s="1"/>
  <c r="T9" i="1" s="1"/>
  <c r="R10" i="1"/>
  <c r="S10" i="1" s="1"/>
  <c r="T10" i="1" s="1"/>
  <c r="R111" i="3"/>
  <c r="S111" i="3" s="1"/>
  <c r="T111" i="3" s="1"/>
  <c r="R105" i="3"/>
  <c r="S105" i="3" s="1"/>
  <c r="T105" i="3" s="1"/>
  <c r="R106" i="3"/>
  <c r="S106" i="3" s="1"/>
  <c r="T106" i="3" s="1"/>
  <c r="R107" i="3"/>
  <c r="S107" i="3" s="1"/>
  <c r="T107" i="3" s="1"/>
  <c r="R104" i="3"/>
  <c r="S104" i="3" s="1"/>
  <c r="T104" i="3" s="1"/>
  <c r="R80" i="3"/>
  <c r="S80" i="3" s="1"/>
  <c r="T80" i="3" s="1"/>
  <c r="R81" i="3"/>
  <c r="S81" i="3" s="1"/>
  <c r="T81" i="3" s="1"/>
  <c r="R82" i="3"/>
  <c r="S82" i="3" s="1"/>
  <c r="T82" i="3" s="1"/>
  <c r="R83" i="3"/>
  <c r="S83" i="3" s="1"/>
  <c r="T83" i="3" s="1"/>
  <c r="R84" i="3"/>
  <c r="S84" i="3" s="1"/>
  <c r="T84" i="3" s="1"/>
  <c r="R85" i="3"/>
  <c r="S85" i="3" s="1"/>
  <c r="T85" i="3" s="1"/>
  <c r="R86" i="3"/>
  <c r="S86" i="3" s="1"/>
  <c r="T86" i="3" s="1"/>
  <c r="R88" i="3"/>
  <c r="S88" i="3" s="1"/>
  <c r="T88" i="3" s="1"/>
  <c r="R89" i="3"/>
  <c r="S89" i="3" s="1"/>
  <c r="T89" i="3" s="1"/>
  <c r="R92" i="3"/>
  <c r="S92" i="3" s="1"/>
  <c r="T92" i="3" s="1"/>
  <c r="R93" i="3"/>
  <c r="S93" i="3" s="1"/>
  <c r="T93" i="3" s="1"/>
  <c r="R94" i="3"/>
  <c r="S94" i="3" s="1"/>
  <c r="T94" i="3" s="1"/>
  <c r="R95" i="3"/>
  <c r="S95" i="3" s="1"/>
  <c r="T95" i="3" s="1"/>
  <c r="R97" i="3"/>
  <c r="S97" i="3" s="1"/>
  <c r="T97" i="3" s="1"/>
  <c r="R98" i="3"/>
  <c r="S98" i="3" s="1"/>
  <c r="T98" i="3" s="1"/>
  <c r="R44" i="3"/>
  <c r="S44" i="3" s="1"/>
  <c r="T44" i="3" s="1"/>
  <c r="R41" i="3"/>
  <c r="S41" i="3" s="1"/>
  <c r="T41" i="3" s="1"/>
  <c r="R18" i="3"/>
  <c r="S18" i="3" s="1"/>
  <c r="T18" i="3" s="1"/>
  <c r="R19" i="3"/>
  <c r="S19" i="3" s="1"/>
  <c r="T19" i="3" s="1"/>
  <c r="R21" i="3"/>
  <c r="S21" i="3" s="1"/>
  <c r="T21" i="3" s="1"/>
  <c r="R33" i="3"/>
  <c r="S33" i="3" s="1"/>
  <c r="T33" i="3" s="1"/>
  <c r="S35" i="1" l="1"/>
  <c r="T35" i="1" s="1"/>
  <c r="S237" i="1"/>
  <c r="T237" i="1" s="1"/>
  <c r="R91" i="1"/>
  <c r="S91" i="1" s="1"/>
  <c r="R11" i="1"/>
  <c r="S11" i="1" s="1"/>
  <c r="R78" i="1"/>
  <c r="S78" i="1" s="1"/>
  <c r="R12" i="1"/>
  <c r="S12" i="1" s="1"/>
  <c r="R82" i="1"/>
  <c r="S82" i="1" s="1"/>
  <c r="T82" i="1" s="1"/>
  <c r="R81" i="1"/>
  <c r="S81" i="1" s="1"/>
  <c r="T81" i="1" s="1"/>
  <c r="R85" i="1"/>
  <c r="S85" i="1" s="1"/>
  <c r="T85" i="1" s="1"/>
  <c r="R79" i="1"/>
  <c r="S79" i="1" s="1"/>
  <c r="R89" i="1"/>
  <c r="S89" i="1" s="1"/>
  <c r="T89" i="1" s="1"/>
  <c r="R83" i="1"/>
  <c r="S83" i="1" s="1"/>
  <c r="U223" i="1"/>
  <c r="U220" i="1"/>
  <c r="U219" i="1"/>
  <c r="U216" i="1"/>
  <c r="U139" i="1"/>
  <c r="U123" i="1"/>
  <c r="U84" i="1"/>
  <c r="U90" i="1"/>
  <c r="U86" i="1"/>
  <c r="U88" i="1"/>
  <c r="U80" i="1"/>
  <c r="U87" i="1"/>
  <c r="U77" i="1"/>
  <c r="R76" i="1"/>
  <c r="S76" i="1" s="1"/>
  <c r="T76" i="1" s="1"/>
  <c r="U13" i="1"/>
  <c r="U15" i="1"/>
  <c r="U14" i="1"/>
  <c r="U8" i="1"/>
  <c r="U10" i="1"/>
  <c r="U9" i="1"/>
  <c r="R20" i="3"/>
  <c r="S20" i="3" s="1"/>
  <c r="R96" i="3"/>
  <c r="S96" i="3" s="1"/>
  <c r="R87" i="3"/>
  <c r="S87" i="3" s="1"/>
  <c r="T87" i="3" s="1"/>
  <c r="R108" i="3"/>
  <c r="S108" i="3" s="1"/>
  <c r="R17" i="3"/>
  <c r="S17" i="3" s="1"/>
  <c r="R43" i="3"/>
  <c r="S43" i="3" s="1"/>
  <c r="R79" i="3"/>
  <c r="S79" i="3" s="1"/>
  <c r="R110" i="3"/>
  <c r="S110" i="3" s="1"/>
  <c r="U111" i="3"/>
  <c r="U105" i="3"/>
  <c r="U106" i="3"/>
  <c r="U107" i="3"/>
  <c r="U104" i="3"/>
  <c r="U93" i="3"/>
  <c r="U97" i="3"/>
  <c r="U94" i="3"/>
  <c r="U88" i="3"/>
  <c r="U84" i="3"/>
  <c r="U80" i="3"/>
  <c r="U98" i="3"/>
  <c r="U89" i="3"/>
  <c r="U85" i="3"/>
  <c r="U81" i="3"/>
  <c r="U83" i="3"/>
  <c r="U95" i="3"/>
  <c r="U92" i="3"/>
  <c r="U86" i="3"/>
  <c r="U82" i="3"/>
  <c r="U47" i="3"/>
  <c r="E54" i="21" s="1"/>
  <c r="E53" i="21" s="1"/>
  <c r="U44" i="3"/>
  <c r="U41" i="3"/>
  <c r="U21" i="3"/>
  <c r="U33" i="3"/>
  <c r="U18" i="3"/>
  <c r="U19" i="3"/>
  <c r="U232" i="1" l="1"/>
  <c r="U45" i="3"/>
  <c r="U210" i="1"/>
  <c r="U35" i="1"/>
  <c r="T43" i="3"/>
  <c r="U43" i="3" s="1"/>
  <c r="U39" i="3" s="1"/>
  <c r="E50" i="21" s="1"/>
  <c r="T20" i="3"/>
  <c r="U20" i="3" s="1"/>
  <c r="T11" i="1"/>
  <c r="U11" i="1" s="1"/>
  <c r="T110" i="3"/>
  <c r="U110" i="3" s="1"/>
  <c r="T17" i="3"/>
  <c r="U17" i="3" s="1"/>
  <c r="T108" i="3"/>
  <c r="U108" i="3" s="1"/>
  <c r="T83" i="1"/>
  <c r="U83" i="1" s="1"/>
  <c r="T79" i="1"/>
  <c r="U79" i="1" s="1"/>
  <c r="T12" i="1"/>
  <c r="U12" i="1" s="1"/>
  <c r="T79" i="3"/>
  <c r="U79" i="3" s="1"/>
  <c r="T96" i="3"/>
  <c r="U96" i="3" s="1"/>
  <c r="T78" i="1"/>
  <c r="U78" i="1" s="1"/>
  <c r="T91" i="1"/>
  <c r="U91" i="1" s="1"/>
  <c r="U89" i="1"/>
  <c r="U82" i="1"/>
  <c r="U85" i="1"/>
  <c r="U237" i="1"/>
  <c r="U247" i="1" s="1"/>
  <c r="E18" i="21" s="1"/>
  <c r="U81" i="1"/>
  <c r="U76" i="1"/>
  <c r="U87" i="3"/>
  <c r="E22" i="21" l="1"/>
  <c r="E21" i="21" s="1"/>
  <c r="E16" i="21"/>
  <c r="I44" i="31"/>
  <c r="U71" i="3"/>
  <c r="E15" i="21"/>
  <c r="U112" i="3"/>
  <c r="U17" i="1"/>
  <c r="U74" i="3"/>
  <c r="U102" i="3"/>
  <c r="E49" i="21"/>
  <c r="E48" i="21" s="1"/>
  <c r="U15" i="3"/>
  <c r="G22" i="21"/>
  <c r="H12" i="21"/>
  <c r="G12" i="21"/>
  <c r="F12" i="21"/>
  <c r="H54" i="21"/>
  <c r="G54" i="21"/>
  <c r="F54" i="21"/>
  <c r="F21" i="21" l="1"/>
  <c r="H21" i="21"/>
  <c r="G21" i="21"/>
  <c r="E42" i="21"/>
  <c r="E41" i="21" s="1"/>
  <c r="E34" i="21" s="1"/>
  <c r="I112" i="2"/>
  <c r="E14" i="21"/>
  <c r="E31" i="21"/>
  <c r="E30" i="21" s="1"/>
  <c r="H30" i="21" s="1"/>
  <c r="E29" i="21"/>
  <c r="E28" i="21" s="1"/>
  <c r="H22" i="21"/>
  <c r="F22" i="21"/>
  <c r="H50" i="21"/>
  <c r="F49" i="21"/>
  <c r="H49" i="21"/>
  <c r="G49" i="21"/>
  <c r="H53" i="21"/>
  <c r="G53" i="21"/>
  <c r="F53" i="21"/>
  <c r="G15" i="21"/>
  <c r="F15" i="21"/>
  <c r="H15" i="21"/>
  <c r="G11" i="21"/>
  <c r="H11" i="21"/>
  <c r="F11" i="21"/>
  <c r="H25" i="21"/>
  <c r="G25" i="21"/>
  <c r="F25" i="21"/>
  <c r="F18" i="21"/>
  <c r="G18" i="21"/>
  <c r="H18" i="21"/>
  <c r="E24" i="21"/>
  <c r="E17" i="21"/>
  <c r="H28" i="21" l="1"/>
  <c r="G28" i="21"/>
  <c r="F28" i="21"/>
  <c r="E27" i="21"/>
  <c r="G27" i="21" s="1"/>
  <c r="F30" i="21"/>
  <c r="E13" i="21"/>
  <c r="G30" i="21"/>
  <c r="F50" i="21"/>
  <c r="G50" i="21"/>
  <c r="F51" i="21"/>
  <c r="G51" i="21"/>
  <c r="H51" i="21"/>
  <c r="G29" i="21"/>
  <c r="H29" i="21"/>
  <c r="F29" i="21"/>
  <c r="F42" i="21"/>
  <c r="H42" i="21"/>
  <c r="G42" i="21"/>
  <c r="H31" i="21"/>
  <c r="G31" i="21"/>
  <c r="F31" i="21"/>
  <c r="F16" i="21"/>
  <c r="H16" i="21"/>
  <c r="G16" i="21"/>
  <c r="G48" i="21"/>
  <c r="H48" i="21"/>
  <c r="F48" i="21"/>
  <c r="H17" i="21"/>
  <c r="G17" i="21"/>
  <c r="F17" i="21"/>
  <c r="F24" i="21"/>
  <c r="H24" i="21"/>
  <c r="G24" i="21"/>
  <c r="F26" i="21"/>
  <c r="H26" i="21"/>
  <c r="G26" i="21"/>
  <c r="H41" i="21"/>
  <c r="G41" i="21"/>
  <c r="F41" i="21"/>
  <c r="M247" i="1"/>
  <c r="F27" i="21" l="1"/>
  <c r="H27" i="21"/>
  <c r="G52" i="21"/>
  <c r="H52" i="21"/>
  <c r="F52" i="21"/>
  <c r="K93" i="9"/>
  <c r="L93" i="9" s="1"/>
  <c r="K92" i="9"/>
  <c r="L92" i="9" s="1"/>
  <c r="K91" i="9"/>
  <c r="L91" i="9" s="1"/>
  <c r="K87" i="9"/>
  <c r="L87" i="9" s="1"/>
  <c r="K86" i="9"/>
  <c r="L86" i="9" s="1"/>
  <c r="K85" i="9"/>
  <c r="L85" i="9" s="1"/>
  <c r="K84" i="9"/>
  <c r="L84" i="9" s="1"/>
  <c r="K83" i="9"/>
  <c r="L83" i="9" s="1"/>
  <c r="K82" i="9"/>
  <c r="L82" i="9" s="1"/>
  <c r="K81" i="9"/>
  <c r="L81" i="9" s="1"/>
  <c r="K80" i="9"/>
  <c r="L80" i="9" s="1"/>
  <c r="K79" i="9"/>
  <c r="L79" i="9" s="1"/>
  <c r="K78" i="9"/>
  <c r="L78" i="9" s="1"/>
  <c r="K77" i="9"/>
  <c r="L77" i="9" s="1"/>
  <c r="K76" i="9"/>
  <c r="L76" i="9" s="1"/>
  <c r="K75" i="9"/>
  <c r="L75" i="9" s="1"/>
  <c r="K74" i="9"/>
  <c r="L74" i="9" s="1"/>
  <c r="K73" i="9"/>
  <c r="L73" i="9" s="1"/>
  <c r="K72" i="9"/>
  <c r="L72" i="9" s="1"/>
  <c r="K71" i="9"/>
  <c r="L71" i="9" s="1"/>
  <c r="K70" i="9"/>
  <c r="L70" i="9" s="1"/>
  <c r="K69" i="9"/>
  <c r="L69" i="9" s="1"/>
  <c r="K68" i="9"/>
  <c r="L68" i="9" s="1"/>
  <c r="K67" i="9"/>
  <c r="L67" i="9" s="1"/>
  <c r="K66" i="9"/>
  <c r="L66" i="9" s="1"/>
  <c r="K65" i="9"/>
  <c r="L65" i="9" s="1"/>
  <c r="K64" i="9"/>
  <c r="L64" i="9" s="1"/>
  <c r="K63" i="9"/>
  <c r="L63" i="9" s="1"/>
  <c r="K62" i="9"/>
  <c r="L62" i="9" s="1"/>
  <c r="K61" i="9"/>
  <c r="L61" i="9" s="1"/>
  <c r="K60" i="9"/>
  <c r="L60" i="9" s="1"/>
  <c r="K59" i="9"/>
  <c r="L59" i="9" s="1"/>
  <c r="K58" i="9"/>
  <c r="L58" i="9" s="1"/>
  <c r="K57" i="9"/>
  <c r="L57" i="9" s="1"/>
  <c r="K56" i="9"/>
  <c r="L56" i="9" s="1"/>
  <c r="K55" i="9"/>
  <c r="L55" i="9" s="1"/>
  <c r="K52" i="9"/>
  <c r="L52" i="9" s="1"/>
  <c r="K51" i="9"/>
  <c r="L51" i="9" s="1"/>
  <c r="K50" i="9"/>
  <c r="L50" i="9" s="1"/>
  <c r="K44" i="9"/>
  <c r="L44" i="9" s="1"/>
  <c r="K43" i="9"/>
  <c r="L43" i="9" s="1"/>
  <c r="K42" i="9"/>
  <c r="L42" i="9" s="1"/>
  <c r="K41" i="9"/>
  <c r="L41" i="9" s="1"/>
  <c r="K40" i="9"/>
  <c r="L40" i="9" s="1"/>
  <c r="K39" i="9"/>
  <c r="L39" i="9" s="1"/>
  <c r="K38" i="9"/>
  <c r="L38" i="9" s="1"/>
  <c r="K37" i="9"/>
  <c r="L37" i="9" s="1"/>
  <c r="K36" i="9"/>
  <c r="L36" i="9" s="1"/>
  <c r="K35" i="9"/>
  <c r="L35" i="9" s="1"/>
  <c r="K34" i="9"/>
  <c r="L34" i="9" s="1"/>
  <c r="K33" i="9"/>
  <c r="L33" i="9" s="1"/>
  <c r="K32" i="9"/>
  <c r="L32" i="9" s="1"/>
  <c r="K31" i="9"/>
  <c r="L31" i="9" s="1"/>
  <c r="K30" i="9"/>
  <c r="L30" i="9" s="1"/>
  <c r="K29" i="9"/>
  <c r="L29" i="9" s="1"/>
  <c r="K28" i="9"/>
  <c r="L28" i="9" s="1"/>
  <c r="K27" i="9"/>
  <c r="L27" i="9" s="1"/>
  <c r="K26" i="9"/>
  <c r="L26" i="9" s="1"/>
  <c r="K25" i="9"/>
  <c r="L25" i="9" s="1"/>
  <c r="K24" i="9"/>
  <c r="L24" i="9" s="1"/>
  <c r="K23" i="9"/>
  <c r="L23" i="9" s="1"/>
  <c r="K22" i="9"/>
  <c r="L22" i="9" s="1"/>
  <c r="K21" i="9"/>
  <c r="L21" i="9" s="1"/>
  <c r="K20" i="9"/>
  <c r="L20" i="9" s="1"/>
  <c r="K19" i="9"/>
  <c r="L19" i="9" s="1"/>
  <c r="K18" i="9"/>
  <c r="L18" i="9" s="1"/>
  <c r="K17" i="9"/>
  <c r="L17" i="9" s="1"/>
  <c r="K16" i="9"/>
  <c r="L16" i="9" s="1"/>
  <c r="K15" i="9"/>
  <c r="L15" i="9" s="1"/>
  <c r="K14" i="9"/>
  <c r="L14" i="9" s="1"/>
  <c r="K13" i="9"/>
  <c r="L13" i="9" s="1"/>
  <c r="K12" i="9"/>
  <c r="K10" i="9" l="1"/>
  <c r="L12" i="9"/>
  <c r="L10" i="9" s="1"/>
  <c r="K54" i="9"/>
  <c r="K53" i="9" s="1"/>
  <c r="L54" i="9" l="1"/>
  <c r="L53" i="9" s="1"/>
  <c r="K106" i="9"/>
  <c r="L106" i="9"/>
  <c r="L108" i="9" l="1"/>
  <c r="K108" i="9"/>
  <c r="L109" i="9"/>
  <c r="K109" i="9"/>
  <c r="M36" i="3" l="1"/>
  <c r="M16" i="1" l="1"/>
  <c r="M17" i="1" l="1"/>
  <c r="E23" i="21"/>
  <c r="M133" i="1"/>
  <c r="M121" i="1"/>
  <c r="M134" i="1" s="1"/>
  <c r="R75" i="1" l="1"/>
  <c r="S75" i="1" s="1"/>
  <c r="T75" i="1" l="1"/>
  <c r="U75" i="1" s="1"/>
  <c r="U134" i="1" s="1"/>
  <c r="E20" i="21" s="1"/>
  <c r="E10" i="21" s="1"/>
  <c r="E19" i="21" l="1"/>
  <c r="E9" i="21" s="1"/>
  <c r="E8" i="21" s="1"/>
  <c r="G34" i="21"/>
  <c r="G23" i="21"/>
  <c r="H34" i="21"/>
  <c r="F34" i="21"/>
  <c r="H19" i="21" l="1"/>
  <c r="F19" i="21"/>
  <c r="H20" i="21"/>
  <c r="G19" i="21"/>
  <c r="H23" i="21"/>
  <c r="F23" i="21"/>
  <c r="F20" i="21" l="1"/>
  <c r="G20" i="21"/>
  <c r="G13" i="21" l="1"/>
  <c r="F13" i="21"/>
  <c r="H13" i="21"/>
  <c r="G14" i="21"/>
  <c r="H14" i="21"/>
  <c r="F14" i="21"/>
  <c r="G9" i="21" l="1"/>
  <c r="F9" i="21"/>
  <c r="H9" i="21"/>
  <c r="H8" i="21" s="1"/>
  <c r="H10" i="21"/>
  <c r="F10" i="21"/>
  <c r="G10" i="21"/>
  <c r="F8" i="21" l="1"/>
  <c r="G8" i="21"/>
  <c r="J109" i="9"/>
</calcChain>
</file>

<file path=xl/sharedStrings.xml><?xml version="1.0" encoding="utf-8"?>
<sst xmlns="http://schemas.openxmlformats.org/spreadsheetml/2006/main" count="6189" uniqueCount="993">
  <si>
    <t>Informācija par ārstniecības personām</t>
  </si>
  <si>
    <t>Amata nosaukums</t>
  </si>
  <si>
    <t xml:space="preserve">Valsts kancelejā saskaņotā amata saime </t>
  </si>
  <si>
    <t>Līmenis</t>
  </si>
  <si>
    <t>Amatam atbilstošā mēneš-algu grupa</t>
  </si>
  <si>
    <t>Faktiskā mēneš-algas likme par  1 slodzi</t>
  </si>
  <si>
    <t>Slodzes (normālā darba laika ietvaros)</t>
  </si>
  <si>
    <t>39.03.00 Specializētās veselības aprūpes nodrošināšana, Asins un asins komponentu nodrošināšana</t>
  </si>
  <si>
    <t>Ārsti un funkcionālie speciālisti</t>
  </si>
  <si>
    <t>V</t>
  </si>
  <si>
    <t>IVB</t>
  </si>
  <si>
    <t>IV</t>
  </si>
  <si>
    <t>Ārsts</t>
  </si>
  <si>
    <t>III</t>
  </si>
  <si>
    <t>Ārstniecības un pacientu aprūpes personas</t>
  </si>
  <si>
    <t>Vecākais biomedicīnas laborants</t>
  </si>
  <si>
    <t>Biomedicīnas laborants</t>
  </si>
  <si>
    <t>Medicīnas laborants</t>
  </si>
  <si>
    <t>Virsmāsa</t>
  </si>
  <si>
    <t>Izbraukumu projektu vadītājs (izbraukumu organizators)</t>
  </si>
  <si>
    <t>I</t>
  </si>
  <si>
    <t>IA</t>
  </si>
  <si>
    <t>II</t>
  </si>
  <si>
    <t>Klientu apkalpošanas speciālists</t>
  </si>
  <si>
    <t>IIA</t>
  </si>
  <si>
    <t>Ārstniecības un pacientu aprūpes atbalsta personas</t>
  </si>
  <si>
    <t>Māsas palīgs</t>
  </si>
  <si>
    <t>Klientu un pacientu reģistrators</t>
  </si>
  <si>
    <t>Sanitārs</t>
  </si>
  <si>
    <t>x</t>
  </si>
  <si>
    <t>Valsts Asinsdonoru centrs - slimnīcu Asins sagatavošanas nodaļās strādājošie</t>
  </si>
  <si>
    <t>39.03.00 Specializētās veselības aprūpes nodrošināšana, Asins un asins komponentu nodrošināšana, EKK 2800</t>
  </si>
  <si>
    <t>Kopā</t>
  </si>
  <si>
    <t>Valsts asinsdonoru centrs</t>
  </si>
  <si>
    <t>Kopā iestādei</t>
  </si>
  <si>
    <t>Veselības inspekcija</t>
  </si>
  <si>
    <t>Ārsts eksperts</t>
  </si>
  <si>
    <t>Ārsts stažieris</t>
  </si>
  <si>
    <t>Nodaļas vadītājs</t>
  </si>
  <si>
    <t>10</t>
  </si>
  <si>
    <t>Sabiedrības veselības analītiķis</t>
  </si>
  <si>
    <t>9</t>
  </si>
  <si>
    <t>Sabiedrības veselības organizators</t>
  </si>
  <si>
    <t>Slimību kontroles un profilakses centrs</t>
  </si>
  <si>
    <t>46.03.00 Slimību profilakses nodrošināšana</t>
  </si>
  <si>
    <t>46.01.00 Uzraudzība un kontrole</t>
  </si>
  <si>
    <t>Neatliekamās medicīniskās palīdzības dienests</t>
  </si>
  <si>
    <t>13</t>
  </si>
  <si>
    <t>SMC vadītājs</t>
  </si>
  <si>
    <t>SMC vadītāja vietnieks</t>
  </si>
  <si>
    <t>OVC vadītājs</t>
  </si>
  <si>
    <t>OVC vadītāja vietnieks</t>
  </si>
  <si>
    <t>Pacientu drošības sistēmas vadītājs</t>
  </si>
  <si>
    <t>Medicīnas asistents</t>
  </si>
  <si>
    <t>39.04.00 Neatliekamā medicīniskā palīdzība</t>
  </si>
  <si>
    <t>Ārstniecības personas amata kvalifikācijas kategorija</t>
  </si>
  <si>
    <t>Slodzes (strādājošo skaits normālā darba laika ietvaros)</t>
  </si>
  <si>
    <r>
      <t xml:space="preserve">Faktiskā mēnešalgas likme par           </t>
    </r>
    <r>
      <rPr>
        <u/>
        <sz val="9"/>
        <color indexed="8"/>
        <rFont val="Times New Roman"/>
        <family val="1"/>
      </rPr>
      <t>1 (vienu)</t>
    </r>
    <r>
      <rPr>
        <sz val="9"/>
        <color indexed="8"/>
        <rFont val="Times New Roman"/>
        <family val="1"/>
      </rPr>
      <t xml:space="preserve"> 
slodzi </t>
    </r>
  </si>
  <si>
    <t>Palielinājums par darba stāžu</t>
  </si>
  <si>
    <r>
      <t>Faktiskā darba samaksa</t>
    </r>
    <r>
      <rPr>
        <sz val="9"/>
        <color indexed="8"/>
        <rFont val="Times New Roman"/>
        <family val="1"/>
      </rPr>
      <t xml:space="preserve"> (atalgojums par slodzi) mēnesī</t>
    </r>
  </si>
  <si>
    <t>I. Sertificētu ārstniecības personu amati</t>
  </si>
  <si>
    <t>1.kategorija - Ārsts, zobārsts</t>
  </si>
  <si>
    <t>Vadības ārsts (operatīvais dežurants)</t>
  </si>
  <si>
    <t>Ārsta speciālista brigādes vadītājs  - NM ārsts, anesteziologs-reanimatologs</t>
  </si>
  <si>
    <t>Intensīvās terapijas brigādes vadītājs - NM ārsts</t>
  </si>
  <si>
    <t>Anesteziologs - reanimatologs</t>
  </si>
  <si>
    <t>Neonatologs</t>
  </si>
  <si>
    <t>Apdegumu traumatologs</t>
  </si>
  <si>
    <t>Asinsvadu ķirurgs</t>
  </si>
  <si>
    <t>Bērnu ķirurgs</t>
  </si>
  <si>
    <t>Bērnu neiroķirurgs</t>
  </si>
  <si>
    <t>Bronhologs</t>
  </si>
  <si>
    <t>Gastroenterologs - endoskopists</t>
  </si>
  <si>
    <t>Ginekologs un dzemdību speciālists</t>
  </si>
  <si>
    <t>Infektologs</t>
  </si>
  <si>
    <t>Kardiologs</t>
  </si>
  <si>
    <t>Kardiologs - koordinators</t>
  </si>
  <si>
    <t>Ķirurgs</t>
  </si>
  <si>
    <t>Neiroķirurgs</t>
  </si>
  <si>
    <t>Neirologs</t>
  </si>
  <si>
    <t>Otolaringologs</t>
  </si>
  <si>
    <t>Sejas, mutes, žokļu ķirurgs</t>
  </si>
  <si>
    <t>Torakālais ķirurgs</t>
  </si>
  <si>
    <t>Traumatologs - ortopēds</t>
  </si>
  <si>
    <t>Galvenais dežūrārsts</t>
  </si>
  <si>
    <t>Ārsts konsultants</t>
  </si>
  <si>
    <t>Ģimenes ārstu konsultatīvā tāruņa konsultants (ārsts)</t>
  </si>
  <si>
    <t>2.kategorija - Fizioterapeits, audiologopēds, uztura speciālists, ergoterapeits, tehniskais ortopēds, mākslas terapeits</t>
  </si>
  <si>
    <t>3.kategorija  - Māsa, ārsta palīgs (feldšeris), vecmāte, biomedicīnas laborants, radiologa asistents, radiogrāfers</t>
  </si>
  <si>
    <t>BAC galvenais ārsta palīgs</t>
  </si>
  <si>
    <t>BAC vecākais ārsta palīgs</t>
  </si>
  <si>
    <t>RC galvenais ārsta palīgs</t>
  </si>
  <si>
    <t>Brigādes vadītājs - NM ārsta palīgs</t>
  </si>
  <si>
    <t>Intensīvās terapijas brigādes otrā ārstniecības  persona - NM ārsta palīgs</t>
  </si>
  <si>
    <t xml:space="preserve">Ārsta speciālista brigādes otrā ārstniecības persona (NM ārsta palīgs - OMT vadītājs) </t>
  </si>
  <si>
    <t>4.kategorija  - Masieris, ergoterapeita asistents, fizioterapeita asistents, zobu higiēnists, zobārstniecības māsa, kosmētiķis, podologs, zobu tehniķis</t>
  </si>
  <si>
    <t>II. Reģistrētu ārstniecības personu amati</t>
  </si>
  <si>
    <t>Jaunākais dežūrārsts</t>
  </si>
  <si>
    <t>Brigādes vadītājs -ārsts, sagatavots NMP sniegšanai</t>
  </si>
  <si>
    <t>Brigādes otrā ārstniecības  persona - ārsta palīgs</t>
  </si>
  <si>
    <t>III. Transportlīdzekļa vadītājs</t>
  </si>
  <si>
    <t>SMC OMT vadītājs</t>
  </si>
  <si>
    <t>X</t>
  </si>
  <si>
    <r>
      <rPr>
        <b/>
        <sz val="10"/>
        <color theme="1"/>
        <rFont val="Times New Roman"/>
        <family val="1"/>
        <charset val="186"/>
      </rPr>
      <t>1.kategorija</t>
    </r>
    <r>
      <rPr>
        <sz val="10"/>
        <color theme="1"/>
        <rFont val="Times New Roman"/>
        <family val="1"/>
      </rPr>
      <t xml:space="preserve"> - Ārsts, zobārsts</t>
    </r>
  </si>
  <si>
    <r>
      <rPr>
        <b/>
        <sz val="10"/>
        <rFont val="Times New Roman"/>
        <family val="1"/>
        <charset val="186"/>
      </rPr>
      <t>2.kategorija</t>
    </r>
    <r>
      <rPr>
        <sz val="10"/>
        <rFont val="Times New Roman"/>
        <family val="1"/>
      </rPr>
      <t xml:space="preserve"> - Ārsts, zobārsts, rezidents</t>
    </r>
  </si>
  <si>
    <r>
      <rPr>
        <b/>
        <sz val="10"/>
        <rFont val="Times New Roman"/>
        <family val="1"/>
        <charset val="186"/>
      </rPr>
      <t>6.kategorija</t>
    </r>
    <r>
      <rPr>
        <sz val="10"/>
        <rFont val="Times New Roman"/>
        <family val="1"/>
      </rPr>
      <t xml:space="preserve">  - Transportlīdzekļa vadītājs</t>
    </r>
  </si>
  <si>
    <t>Vecākais ārsts</t>
  </si>
  <si>
    <t>Ārsta palīgs</t>
  </si>
  <si>
    <t>Vecākā māsa</t>
  </si>
  <si>
    <t>Radiologa asistents</t>
  </si>
  <si>
    <t>22.10.00 Starptautisko operāciju un Nacionālo bruņoto spēku centralizētais atalgojums</t>
  </si>
  <si>
    <t>I.Sertificētu ārstniecības personu amati</t>
  </si>
  <si>
    <t>Māsa</t>
  </si>
  <si>
    <t>II.Reģistrētu ārstniecības personu amati</t>
  </si>
  <si>
    <r>
      <t xml:space="preserve">Faktiskā mēnešalgas likme par           </t>
    </r>
    <r>
      <rPr>
        <u/>
        <sz val="10"/>
        <color indexed="8"/>
        <rFont val="Times New Roman"/>
        <family val="1"/>
      </rPr>
      <t>1 (vienu)</t>
    </r>
    <r>
      <rPr>
        <sz val="10"/>
        <color indexed="8"/>
        <rFont val="Times New Roman"/>
        <family val="1"/>
      </rPr>
      <t xml:space="preserve"> 
slodzi </t>
    </r>
  </si>
  <si>
    <r>
      <t>Faktiskā darba samaksa</t>
    </r>
    <r>
      <rPr>
        <sz val="10"/>
        <color indexed="8"/>
        <rFont val="Times New Roman"/>
        <family val="1"/>
      </rPr>
      <t xml:space="preserve"> (atalgojums par slodzi) mēnesī</t>
    </r>
  </si>
  <si>
    <t>18. Labklājības ministrija</t>
  </si>
  <si>
    <t xml:space="preserve">05.03.00 "Aprūpe valsts sociālās aprūpes institūcijās" </t>
  </si>
  <si>
    <t>Psihiatrs</t>
  </si>
  <si>
    <t>Zobārsts</t>
  </si>
  <si>
    <t>Ginekologs</t>
  </si>
  <si>
    <t>Fizioterapeits</t>
  </si>
  <si>
    <t>IIB</t>
  </si>
  <si>
    <t>8</t>
  </si>
  <si>
    <t>Fizioterapeits (nesertificēts)</t>
  </si>
  <si>
    <t>Pediatrs</t>
  </si>
  <si>
    <t>Mākslas terapeits</t>
  </si>
  <si>
    <t>Masieris</t>
  </si>
  <si>
    <t>Ergoterapeits</t>
  </si>
  <si>
    <t>05.37.00 "Sociālās integrācijas valsts aģentūras administrēšana un profesionālās un sociālās rehabilitācijas pakalpojumu nodrošināšana"</t>
  </si>
  <si>
    <t>Ārsts -psihiatrs</t>
  </si>
  <si>
    <t xml:space="preserve">Dežūrārsts </t>
  </si>
  <si>
    <t>Vecākais fizioterapeits</t>
  </si>
  <si>
    <t>Vecākais ergoterapeits</t>
  </si>
  <si>
    <t>Ergoterapeits (nesertificēts)</t>
  </si>
  <si>
    <t>Psihologs</t>
  </si>
  <si>
    <t>Uztura speciālists</t>
  </si>
  <si>
    <t>05.62.00 "Invaliditātes ekspertīžu nodrošināšana"( Veselības un darbspēju ekspertīzes ārstu valsts komisija)</t>
  </si>
  <si>
    <t>05.62.00 Kopā</t>
  </si>
  <si>
    <t>14. Iekšlietu ministrija</t>
  </si>
  <si>
    <t>06.01.00 "Valsts policija"</t>
  </si>
  <si>
    <t>10.00.00 "Valsts robežsardzes darbība"</t>
  </si>
  <si>
    <t>38.05.00 "Veselības aprūpe un fiziskā sagatavotība" (Iekšlietu ministrijas veselības un sporta centrs)</t>
  </si>
  <si>
    <t>Ārsts-eksperts</t>
  </si>
  <si>
    <t>Sterilizācijas tehniskais darbinieks</t>
  </si>
  <si>
    <t>Piemaksas</t>
  </si>
  <si>
    <t>Kopā iestāde</t>
  </si>
  <si>
    <t>Podologs</t>
  </si>
  <si>
    <t>Ārsts otolaringologs</t>
  </si>
  <si>
    <t>Protēžu meistars</t>
  </si>
  <si>
    <t>Vecākais ergoterapeits (nesertificēts)</t>
  </si>
  <si>
    <t>Vecākais fizioterapeits (sertificēts)</t>
  </si>
  <si>
    <t>Fizioterapeits (sertificēts)</t>
  </si>
  <si>
    <t>Vecākais tehniskais ortopēds (sertificēts)</t>
  </si>
  <si>
    <t>Audiologopēds</t>
  </si>
  <si>
    <t>15. Izglītības un zinātnes ministrija</t>
  </si>
  <si>
    <t>02.01.00. "Profesionālās izglītības programmu īstenošana"</t>
  </si>
  <si>
    <t>Fizioterapeita asistents</t>
  </si>
  <si>
    <t>09.10.00. "Murjāņu sporta ģimnāzija"</t>
  </si>
  <si>
    <t>Kopā atalgojums visām slodzēm mēnesī</t>
  </si>
  <si>
    <t>62. “Mērķdotācijas pašvaldībām”</t>
  </si>
  <si>
    <t>01.00.00. "Mērķdotācijas izglītības pasākumiem"</t>
  </si>
  <si>
    <t>Alergologs</t>
  </si>
  <si>
    <t>Optometrists</t>
  </si>
  <si>
    <t>Dietologs</t>
  </si>
  <si>
    <t>62.resors “Mērķdotācijas pašvaldībām”</t>
  </si>
  <si>
    <t>Slodzes
(strādājošo skaits normālā darba laika ietvaros)</t>
  </si>
  <si>
    <t>Pašvaldības nosaukums</t>
  </si>
  <si>
    <t>Bauskas novads</t>
  </si>
  <si>
    <t>Cēsu novads</t>
  </si>
  <si>
    <t>Dobeles novads</t>
  </si>
  <si>
    <t>Gulbenes novads</t>
  </si>
  <si>
    <t>Jelgavas novads</t>
  </si>
  <si>
    <t>Kuldīgas novads</t>
  </si>
  <si>
    <t>Limbažu novads</t>
  </si>
  <si>
    <t>Līvānu novads</t>
  </si>
  <si>
    <t>Madonas novads</t>
  </si>
  <si>
    <t>Rēzeknes novads</t>
  </si>
  <si>
    <t>Saldus novads</t>
  </si>
  <si>
    <t>Smiltenes novads</t>
  </si>
  <si>
    <t>Talsu novads</t>
  </si>
  <si>
    <t>Tukuma novads</t>
  </si>
  <si>
    <t>Ventspils novads</t>
  </si>
  <si>
    <t>Valsts tiesu medicīnas ekspertīzes centrs</t>
  </si>
  <si>
    <t>Direktors</t>
  </si>
  <si>
    <t>Laboratorijas vadītājs, vecākais tiesu medicīnas eksperts</t>
  </si>
  <si>
    <t xml:space="preserve">Vecākais tiesu medicīnas eksperts </t>
  </si>
  <si>
    <t>Ārsts patologs</t>
  </si>
  <si>
    <t>Tiesu medicīnas eksperts</t>
  </si>
  <si>
    <t>Galvenā  māsa</t>
  </si>
  <si>
    <t>Eksperta palīgs</t>
  </si>
  <si>
    <t>39.06.00 Tiesu medicīniskā ekspertīze</t>
  </si>
  <si>
    <t>Turpmāk katru gadu (ja pasākums nav terminēts)</t>
  </si>
  <si>
    <t xml:space="preserve">Izdevumi kopā, euro </t>
  </si>
  <si>
    <t>tai skaitā atlīdzība</t>
  </si>
  <si>
    <t>t.sk. 39.04.00 Neatliekamā medicīniskā palīdzība</t>
  </si>
  <si>
    <t>t.sk. 39.03.00 Asins un asins komponentu nodrošināšana</t>
  </si>
  <si>
    <t>t.sk. 39.06.00 Tiesu medicīniskā ekspertīze</t>
  </si>
  <si>
    <t>t.sk. 46.01.00 Uzraudzība un kontrole</t>
  </si>
  <si>
    <t>t.sk. 46.03.00 Slimību profilakses nodrošināšana</t>
  </si>
  <si>
    <t>02.01.00 "Profesionālās izglītības programmu īstenošana"</t>
  </si>
  <si>
    <t>Labklājības ministrijai:</t>
  </si>
  <si>
    <t>05.62.00 "Invaliditātes ekspertīžu nodrošināšana" (Veselības un darbspēju ekspertīzes ārstu valsts komisija)</t>
  </si>
  <si>
    <t>Labklājības ministrijas līgumorganizācijas 05.01.00 "Sociālās rehabilitācijas valsts programmas"</t>
  </si>
  <si>
    <t>Tieslietu ministrijai:</t>
  </si>
  <si>
    <t xml:space="preserve"> 04.01.00 "Ieslodzījuma vietas"</t>
  </si>
  <si>
    <t>Iekšlietu ministrijai:</t>
  </si>
  <si>
    <t>06.01.00"Valsts policija"</t>
  </si>
  <si>
    <t>62.resors "Mērķotācijas pašvaldībām"</t>
  </si>
  <si>
    <t>Darba samaksa pieaugums (%)</t>
  </si>
  <si>
    <t>Aizsardzības ministrijai:</t>
  </si>
  <si>
    <t>Nacionālais veselības dienests</t>
  </si>
  <si>
    <t>45.01.00 Veselības aprūpes finansējuma administrēšana un ekonomiskā novērtēšana</t>
  </si>
  <si>
    <t>Kontroles un uzraudzības departamenta direktors</t>
  </si>
  <si>
    <t xml:space="preserve">Līgumu uzraudzības nodaļas vadītājs </t>
  </si>
  <si>
    <t>Līgumu uzraudzības nodaļas vecākais eksperts</t>
  </si>
  <si>
    <t>Kontroles un uzraudzības departamenta direktora vietnieks/Uzraudzības plānošanas un analīzes nodaļas vadītājs</t>
  </si>
  <si>
    <t>Uzraudzības plānošanas un analīzes nodaļas vecākais eksperts</t>
  </si>
  <si>
    <t>t.sk. 45.01.00 Veselības aprūpes finansējuma administrēšana un ekonomiskā novērtēšana</t>
  </si>
  <si>
    <t>pieaugums regulārai piemaksai</t>
  </si>
  <si>
    <t>regulārā piemaksa 
ar pieau-gumu</t>
  </si>
  <si>
    <t>kopā pieaugums uz vienu slodzi (ievērojot MK not.)</t>
  </si>
  <si>
    <t>kopā pieaugums uz visām slodzēm mēnesī</t>
  </si>
  <si>
    <t>papildus līdzekļi atalgojumam  
(1100 kods) gadā</t>
  </si>
  <si>
    <t>papildus līdzekļi atlīdzībai (1000 kods) 
gadā</t>
  </si>
  <si>
    <t>EUR</t>
  </si>
  <si>
    <t xml:space="preserve">Ārstniecības personu darba samaksas pieaugums 14.Iekšlietu ministrijas kapitālsabiedrībai VSIA "Iekšlietu ministrijas poliklīnika" </t>
  </si>
  <si>
    <t>19.Tieslietu ministrija</t>
  </si>
  <si>
    <t>Neatliekamās medicīniskās palīdzības dienesta ārstniecības personu faktiskā darba samaksas pieaugums (MK noteikumi Nr.851)</t>
  </si>
  <si>
    <t xml:space="preserve">Veselības ministrijas padotības iestāžu ārstniecības personu darba samaksas palielināšanai </t>
  </si>
  <si>
    <t>Pieaugums (%)</t>
  </si>
  <si>
    <t>Nacionālo bruņoto spēku militārā ārstniecības personāla faktiskā darba samaksa atbilstoši MK 26.08.2014. noteikumiem  Nr. 509</t>
  </si>
  <si>
    <t>Budžeta programma 22.00.00 "Nacionālie bruņotie spēki", apakšprogramma 22.10.00 "Starptautisko operāciju un Nacionālo bruņoto spēku centralizētais atalgojums"</t>
  </si>
  <si>
    <t>2.kategorija - Ārsts, zobārsts, rezidents</t>
  </si>
  <si>
    <t>3.kategorija - Fizioterapeits, audiologopēds, uztura speciālists, ergoterapeits, tehniskais ortopēds, mākslas terapeits</t>
  </si>
  <si>
    <t>4.kategorija  - Māsa, ārsta palīgs (feldšeris), vecmāte, biomedicīnas laborants, radiologa asistents, radiogrāfers</t>
  </si>
  <si>
    <t>5.kategorija  - Masieris, ergoterapeita asistents, fizioterapeita asistents, zobu higiēnists, zobārstniecības māsa, kosmētiķis, podologs, zobu tehniķis</t>
  </si>
  <si>
    <t>Aizsardzības ministrija</t>
  </si>
  <si>
    <t>Oftalmologs</t>
  </si>
  <si>
    <t>Ārsts (nesertificēts)</t>
  </si>
  <si>
    <t>VSIA Iekšlietu ministrijas poliklīnika</t>
  </si>
  <si>
    <t>38.05.00. Veselības aprūpe un fiziskā sagatavotība</t>
  </si>
  <si>
    <t xml:space="preserve">Mākslas terapeits </t>
  </si>
  <si>
    <t xml:space="preserve">Ārsta palīgs </t>
  </si>
  <si>
    <t xml:space="preserve">Masieris </t>
  </si>
  <si>
    <t xml:space="preserve">Audiologopēds  </t>
  </si>
  <si>
    <t>Galvenais ergoterapeits (sertificēts)</t>
  </si>
  <si>
    <t>Ergoterapeits (sertificēts)</t>
  </si>
  <si>
    <t>Brigādes (2SP) vadītājs - NM ārsta palīgs</t>
  </si>
  <si>
    <t>Brigādes vadītājs - vecākais NM ārsta palīgs</t>
  </si>
  <si>
    <t>Izsaukumu pieņemšanas dispečers  (NM ārsta palīgs)</t>
  </si>
  <si>
    <t xml:space="preserve">Brigādes vadītājs - ārsts, sagatavots NMP sniegšanai (anestezioloģijas, reanimatoloģijas vai neatliekamās medicīnas ārsta specialitātes 4./5.gada rezidents, ārsts kardiologs, ārsts internists vai ģimenes ārsts) </t>
  </si>
  <si>
    <t>Vecākais OMT vadītājs</t>
  </si>
  <si>
    <t>Galvenais speciālists antimikrobās rezistences jautājumos</t>
  </si>
  <si>
    <t>Pirmskolas iestāžu un skolu māsa</t>
  </si>
  <si>
    <t>VI</t>
  </si>
  <si>
    <t>Operatīvā darba organizēšanas nodaļas vadītājs</t>
  </si>
  <si>
    <t xml:space="preserve">citu ministriju t.sk. 62.resora  ārstniecības personu darba samaksas palielināšanai </t>
  </si>
  <si>
    <t>darba devēja VSAOI 
23,59%
(1200 kods)
gadā</t>
  </si>
  <si>
    <t>darba devēja VSAOI 
23.59%
(1200 kods)
gadā</t>
  </si>
  <si>
    <t>Ārsti</t>
  </si>
  <si>
    <t>Piemaksas*</t>
  </si>
  <si>
    <t>Piemaksas**</t>
  </si>
  <si>
    <r>
      <t xml:space="preserve">Piemaksas </t>
    </r>
    <r>
      <rPr>
        <u/>
        <sz val="10"/>
        <rFont val="Times New Roman"/>
        <family val="1"/>
      </rPr>
      <t>kopā</t>
    </r>
  </si>
  <si>
    <t>* Atbilstoši normatīvajam regulējumam noteiktās obligātās piemaksas.</t>
  </si>
  <si>
    <t>** Norādīt piemaksu daļu, ja tāda ir, kura ir noteikta saistībā ar darba samaksas pieaugumu.</t>
  </si>
  <si>
    <t>** Norādīta piemaksu daļu, ja tāda ir, kura ir noteikta saistībā ar darba samaksas pieaugumu.</t>
  </si>
  <si>
    <t>Psihologa asistents</t>
  </si>
  <si>
    <t>Biomedicinas laborants</t>
  </si>
  <si>
    <r>
      <t xml:space="preserve">Piemaksas </t>
    </r>
    <r>
      <rPr>
        <u/>
        <sz val="9"/>
        <color theme="1"/>
        <rFont val="Times New Roman"/>
        <family val="1"/>
      </rPr>
      <t>kopā</t>
    </r>
  </si>
  <si>
    <t>Kopā ar 
sociālo nodokli 23.59%, 
EUR</t>
  </si>
  <si>
    <t>EUR *</t>
  </si>
  <si>
    <t>Oftalmo-
logs</t>
  </si>
  <si>
    <t>Otolaringo-
logs</t>
  </si>
  <si>
    <t>Audio-
logopēds</t>
  </si>
  <si>
    <t>Rehabilito-
logs</t>
  </si>
  <si>
    <t>Fizio-
terapeits</t>
  </si>
  <si>
    <t>Ergo-
terapeits</t>
  </si>
  <si>
    <t>Opto-
metrists</t>
  </si>
  <si>
    <t>* Atalgojums par slodzi mēnesī kopā ar piemaksām, bez valsts sociālās apdrošināšanas obligātajām iemaksām</t>
  </si>
  <si>
    <t>Internists</t>
  </si>
  <si>
    <t>Ergoterapeita asistents</t>
  </si>
  <si>
    <t>Vecākais ārsts eksperts - nodaļas vadītāja vietnieks</t>
  </si>
  <si>
    <t>Bērnu IT brigādes anesteziologs-reanimatologs</t>
  </si>
  <si>
    <t>Vecākais dežūrārsts (OVC)</t>
  </si>
  <si>
    <t>Ģimenes ārstu konsultatīvā tāruņa konsultants (ārsts rezidents)</t>
  </si>
  <si>
    <t>SMC Ārsts -Galvenais speciālists medicīniskās evakuācijas jautājumos</t>
  </si>
  <si>
    <t>Piemaksas *</t>
  </si>
  <si>
    <t>Brigādes otrā ārstniecības persona - NM ārsta palīgs</t>
  </si>
  <si>
    <t>Brigādes vadītājs vecākais - NM ārsta palīgs (atbildībā 2 brigādes)</t>
  </si>
  <si>
    <t>Brigādes vadītājs vecākais - NM ārsta palīgs (atbildībā 3 brigādes)</t>
  </si>
  <si>
    <t>Brigādes vadītājs vecākais NM ārsta palīgs    (atbildībā 4 brigādes)</t>
  </si>
  <si>
    <t>Dispečers - NM ārsta palīgs OVC</t>
  </si>
  <si>
    <t>Speciālists NMP brigāžu atbalsta jautājumos (NM ārsta palīgs)</t>
  </si>
  <si>
    <t>Izsaukumu pieņemšanas dispečers  (ārsta palīgs)</t>
  </si>
  <si>
    <t>SMC galvenais ārsta palīgs</t>
  </si>
  <si>
    <t>SMC ārsta palīgs</t>
  </si>
  <si>
    <t>Ģimenes ārstu konsultatīvā tāruņa konsultants (ārsta palīgs)</t>
  </si>
  <si>
    <t xml:space="preserve">SMC vecākais  ārsta palīgs medicīniskā nodrošinājuma jautājumos </t>
  </si>
  <si>
    <t xml:space="preserve">SMC  ārsta palīgs medicīniskā nodrošinājuma jautājumos </t>
  </si>
  <si>
    <t xml:space="preserve">OMT vadītājs </t>
  </si>
  <si>
    <t>Medicīnas atbalsta dienesta noliktavas darbinieks</t>
  </si>
  <si>
    <t>Transfuzioloģiskā departamenta direktors (ārsts)</t>
  </si>
  <si>
    <t>ASD Nodaļas vadītājs (virsārsts)</t>
  </si>
  <si>
    <t>ID nodaļas vadītājs (virsārsts)</t>
  </si>
  <si>
    <t>Ārsts E nodaļa</t>
  </si>
  <si>
    <t>Virsmāsa (ASD, E, LF)</t>
  </si>
  <si>
    <t xml:space="preserve">Ārsts </t>
  </si>
  <si>
    <t>vecākais ārsts eksperts</t>
  </si>
  <si>
    <t>vecākais inspektors veselības aprūpes jomā</t>
  </si>
  <si>
    <t>Departamenta direktors (ierēdņa amats)</t>
  </si>
  <si>
    <t>Vecākais epidemiologs</t>
  </si>
  <si>
    <t xml:space="preserve">Epidemiologs </t>
  </si>
  <si>
    <t>Vecākais sabiedrības veselības organizators</t>
  </si>
  <si>
    <t xml:space="preserve">Vecākais epidemiologs </t>
  </si>
  <si>
    <t>Sanitārs - eksperta palīgs</t>
  </si>
  <si>
    <t>Fotogrāfs (t.sk.autopsiju zālē)</t>
  </si>
  <si>
    <t>Reģistrators (morgā)</t>
  </si>
  <si>
    <t xml:space="preserve"> Valsts tiesu medicīnas ekspertīzes centra ārstniecības personu faktiskā darba samaksas pieaugums (MK noteikumi Nr.851)</t>
  </si>
  <si>
    <t>Valsts asinsdonoru centra ārstniecības personu faktiskā darba samaksas pieaugums (MK noteikumi Nr.851)</t>
  </si>
  <si>
    <t>Direktora vietnieks - vecākais tiesu medicīnas eksperts</t>
  </si>
  <si>
    <t>Tiesu medicīnas ekspertīžu departamenta direktors - vecākais tiesu medicīnas eksperts</t>
  </si>
  <si>
    <t>Tiesu medicīnas laboratoriju departamenta direktors - vecākais tiesu medicīnas eksperts</t>
  </si>
  <si>
    <t>Nodaļas vadītājs - vecākais tiesu medicīnas eksperts</t>
  </si>
  <si>
    <t xml:space="preserve"> VSIA "Nacionālais rehabilitācijas centrs "Vaivari" (28.01.2020. līgums Nr.LM2020/24-1-04/1e  par personu nodrošināšanu ar tehniskajiem palīglīdzekļiem)</t>
  </si>
  <si>
    <t>Darba samaksas pieaugums
Ārsti un funkcionālie speciālisti</t>
  </si>
  <si>
    <t>Darba samaksas pieaugums
Ārstniecības un pacientu aprūpes personas</t>
  </si>
  <si>
    <t>Darba samaksas pieaugums
Ārstniecības  un pacientu aprūpes atbalsta pesonas</t>
  </si>
  <si>
    <t>Māsas</t>
  </si>
  <si>
    <t>Pārējās māsas</t>
  </si>
  <si>
    <t>Veselības ministrijas padotības iestādēs strādājošo, uz kuriem ir attiecināms Valsts un pašvaldību institūciju amatpersonu un darbinieku atlīdzības likumā noteiktās mēnešalgu grupu maksimālās mēnešalgas,  darba samaksas palielinājums</t>
  </si>
  <si>
    <t>Vecākais ārsts-eksperts</t>
  </si>
  <si>
    <t xml:space="preserve">NMP punkta vecākais ārsta palīgs </t>
  </si>
  <si>
    <t>Ārsta - eksperta palīgs</t>
  </si>
  <si>
    <t>Līgumu uzraudzības nodaļas eksperts</t>
  </si>
  <si>
    <t>Biomedicīnas laborants LF</t>
  </si>
  <si>
    <t>Vecākais ārsta palīgs (feldšeris) DAD*</t>
  </si>
  <si>
    <t>Nodaļas vadītāja vietnieks - vecākais tiesu medicīnas eksperts</t>
  </si>
  <si>
    <t xml:space="preserve">04.05.00 "Valsts sociālās apdrošināšanas aģentūras speciālais budžets"	</t>
  </si>
  <si>
    <t>6</t>
  </si>
  <si>
    <t>5</t>
  </si>
  <si>
    <t>04.05.00 Kopā</t>
  </si>
  <si>
    <t>Vecākais ārsts eksperts - nodaļas vadītājs</t>
  </si>
  <si>
    <t>Rehabilitācijas asistente</t>
  </si>
  <si>
    <t>SIA "Atsaucība" (03.02.2022. līgums Nr.LM2022/24-1-06/19e   par ilgstošas sociālās aprūpes un sociālās rehabilitācijas pakalpojumu sniegšanu pilngadīgām personām ar smagiem garīga rakstura traucējumiem (personām ar I un II grupas invaliditāti))</t>
  </si>
  <si>
    <t>Latvijas Nedzirdīgo savienība (12.02.2020. līgums Nr.LM2020/24-1-04/2e  par personu ar dzirdes invaliditāti nodrošināšanu ar tehniskajiem palīglīdzekļiem - surdotehniku)</t>
  </si>
  <si>
    <t>VSIA "Daugavpils psihoneiroloģiskā slimnīcas" (28.01.2022. līgums Nr.LM2022/24-1-04/3e  par ilgstošas sociālās aprūpes un sociālās rehabilitācijas pakalpojumu sniegšanu pilngadīgām personām ar smagiem garīga rakstura traucējumiem (personām ar I un II grupas invaliditāti))</t>
  </si>
  <si>
    <t>SIA "Veselības centrs "Ilūkste"" (03.02.2022. līgums Nr.LM2022/24-1-06/16e   par ilgstošas sociālās aprūpes un sociālās rehabilitācijas pakalpojumu sniegšanu pilngadīgām personām ar smagiem garīga rakstura traucējumiem (personām ar I un II grupas invaliditāti))</t>
  </si>
  <si>
    <t>VSIA "Rīgas psihiatrijas un narkoloģijas centrs" (28.01.2022. līgums Nr.LM2022/24-1-04/2e  par ilgstošas sociālās aprūpes un sociālās rehabilitācijas pakalpojumu sniegšanu pilngadīgām personām ar smagiem garīga rakstura traucējumiem (personām ar I un II grupas invaliditāti))</t>
  </si>
  <si>
    <t>Galvenais ārsts</t>
  </si>
  <si>
    <t>Rīgas valstspilsēta</t>
  </si>
  <si>
    <t>Daugavpils valstspilsēta</t>
  </si>
  <si>
    <t>Jelgavas valstspilsēta</t>
  </si>
  <si>
    <t>Jūrmalas valstspilsēta</t>
  </si>
  <si>
    <t>Liepājas valstspilsēta</t>
  </si>
  <si>
    <t>Rēzeknes valstspilsēta</t>
  </si>
  <si>
    <t>Aizkraukles novads</t>
  </si>
  <si>
    <t>Augšdaugavas novads</t>
  </si>
  <si>
    <t>Dienvidkurzemes novads</t>
  </si>
  <si>
    <t>Jēkabpils novads</t>
  </si>
  <si>
    <t>Krāslavas novads</t>
  </si>
  <si>
    <t>Ogres novads</t>
  </si>
  <si>
    <t>Ropažu novads</t>
  </si>
  <si>
    <t>Valmieras novads</t>
  </si>
  <si>
    <t>16. Zemkopības ministrija</t>
  </si>
  <si>
    <t>22.01.00. "Profesionālā izglītība"</t>
  </si>
  <si>
    <t>Zemkopības ministrijai:</t>
  </si>
  <si>
    <t>Mēnešalgas apmērs ņemot vērā minimālo koeficientu pret bāzes mēnešalgu  pēc MK not. Nr.361 (Atlīdzības likuma 3.piel), EUR</t>
  </si>
  <si>
    <t>Mēnešalgas apmērs ņemot vērā viduspunkta koeficientu pret bāzes mēnešalgu  pēc MK not. Nr.361 (Atlīdzības likuma 3.piel), EUR</t>
  </si>
  <si>
    <t>Mēnešalgas apmērs ņemot vērā maksimālo koeficientu pret bāzes mēnešalgu  pēc MK not. Nr.361 (Atlīdzības likuma 3.piel), EUR</t>
  </si>
  <si>
    <t>ārsts - eksperts</t>
  </si>
  <si>
    <t>Nodaļas vadītājs (vecākais ārsts eksperts)</t>
  </si>
  <si>
    <t>Vecākais ārsts eksperts</t>
  </si>
  <si>
    <t xml:space="preserve"> 05.01.00 "Sociālās rehabilitācijas valsts programmas"</t>
  </si>
  <si>
    <t>Sociālo pakalpojumu centrs "Pīlādzis" (03.02.2022. līgums Nr.LM2022/24-1-06/18e par ilgstošas sociālās aprūpes un sociālās rehabilitācijas pakalpojumu sniegšanu pilngadīgām personām ar smagiem garīga rakstura traucējumiem (personām ar I un II grupas invaliditāti))</t>
  </si>
  <si>
    <t xml:space="preserve"> Biedrības "Latvijas Sarkanais Krusts" sociālās aprūpes centrs "Stūrīši" (03.02.2022. līgums Nr.LM2022/24-1-06/17e   par ilgstošas sociālās aprūpes un sociālās rehabilitācijas pakalpojumu sniegšanu pilngadīgām personām ar smagiem garīga rakstura traucējumiem (personām ar I un II grupas invaliditāti))</t>
  </si>
  <si>
    <t xml:space="preserve"> VSIA "Slimnīca "Ģintermuiža"" (12.01.2022. līgums Nr.LM2022/24-1-04/1e  par ilgstošas sociālās aprūpes un sociālās rehabilitācijas pakalpojumu sniegšanu pilngadīgām personām ar smagiem garīga rakstura traucējumiem (personām ar I un II grupas invaliditāti))</t>
  </si>
  <si>
    <r>
      <t xml:space="preserve">VSIA "Slimnīca "Ģintermuiža"" (06.12.2021. līgums Nr.2021/24-1-06/7e  par sociālās rehabilitācijas pakalpojumu sniegšanu no psihoaktīvām vielām atkarīgām </t>
    </r>
    <r>
      <rPr>
        <b/>
        <i/>
        <u/>
        <sz val="9"/>
        <color theme="1"/>
        <rFont val="Times New Roman"/>
        <family val="1"/>
        <charset val="186"/>
      </rPr>
      <t>pilngadīgām personām</t>
    </r>
    <r>
      <rPr>
        <b/>
        <i/>
        <sz val="9"/>
        <color theme="1"/>
        <rFont val="Times New Roman"/>
        <family val="1"/>
        <charset val="186"/>
      </rPr>
      <t>)</t>
    </r>
  </si>
  <si>
    <t>05.01.00. KOPĀ</t>
  </si>
  <si>
    <t>05.03.00 "Aprūpe valsts sociālās aprūpes institūcijās"</t>
  </si>
  <si>
    <t>Ārsts dermotologs</t>
  </si>
  <si>
    <t>Deju un kustības terapeits</t>
  </si>
  <si>
    <t>Mūzikas terapeits</t>
  </si>
  <si>
    <t>Vispārējā aprūpes māsa</t>
  </si>
  <si>
    <t>Māsa (vecākā)</t>
  </si>
  <si>
    <t>Vispārējās aprūpes māsa</t>
  </si>
  <si>
    <t>Veselības aprūpes sektora vadītājs - Ārsta palīgs</t>
  </si>
  <si>
    <t>Kopā VSAC</t>
  </si>
  <si>
    <t>4.kategorija  -  ārsta palīgs (feldšeris), vecmāte, biomedicīnas laborants, radiologa asistents, radiogrāfers</t>
  </si>
  <si>
    <t>Biomedicīnas laborants (nesertificēts)</t>
  </si>
  <si>
    <t>05.37.00. KOPĀ</t>
  </si>
  <si>
    <t>IV B</t>
  </si>
  <si>
    <t>43.2.</t>
  </si>
  <si>
    <t>25.</t>
  </si>
  <si>
    <t>6.2.</t>
  </si>
  <si>
    <t>16.</t>
  </si>
  <si>
    <t>6.1</t>
  </si>
  <si>
    <t>6.1.</t>
  </si>
  <si>
    <t>10.Aizsardzības ministrija</t>
  </si>
  <si>
    <t>Brigāžu atbalsta vadības centra vadītājs</t>
  </si>
  <si>
    <t>Brigāžu atbalsta vadības centra vadītāja vietnieks</t>
  </si>
  <si>
    <t xml:space="preserve">Eksperts asins dienestā </t>
  </si>
  <si>
    <t>Veselības inspekcijas vadītājs</t>
  </si>
  <si>
    <t>1.1</t>
  </si>
  <si>
    <t>Veselības aprūpes analītiķis</t>
  </si>
  <si>
    <t>Vides veselības analītiķis</t>
  </si>
  <si>
    <t>Departamenta vadītājs</t>
  </si>
  <si>
    <t>28.3</t>
  </si>
  <si>
    <t>VII</t>
  </si>
  <si>
    <t>Vecākais referents</t>
  </si>
  <si>
    <t>Vecākais inspektors</t>
  </si>
  <si>
    <t>Inspektors</t>
  </si>
  <si>
    <t>Vecākais tehniskās uzraudzības inspektors</t>
  </si>
  <si>
    <t>Tehniskās uzraudzības inspektors</t>
  </si>
  <si>
    <t>Referents</t>
  </si>
  <si>
    <t>Higiēnas ārsts</t>
  </si>
  <si>
    <t>Vecākais higiēnas ārsts</t>
  </si>
  <si>
    <t>Vecākais inspektors sabiedrības veselības jomā</t>
  </si>
  <si>
    <t>Inspektors sabiedrības veselības jomā</t>
  </si>
  <si>
    <t>Inspektors veselības aprūpes jomā</t>
  </si>
  <si>
    <t>Vecākais inspektors veselības aprūpes jomā</t>
  </si>
  <si>
    <t>Higiēnas ārsta palīgs</t>
  </si>
  <si>
    <t>36.</t>
  </si>
  <si>
    <t>20.6.</t>
  </si>
  <si>
    <t>Sanitārs -.autopsiju zāle</t>
  </si>
  <si>
    <t>Sanitārs - apkopējs</t>
  </si>
  <si>
    <t>40</t>
  </si>
  <si>
    <t>4</t>
  </si>
  <si>
    <t>25</t>
  </si>
  <si>
    <t>28.3.</t>
  </si>
  <si>
    <t>3.kategorija  - Fizioterapeits, audiologopēds, uztura speciālists, ergoterapeits, tehniskais ortopēds, mākslas terapeits, optometrists, māsa (vispārējās aprūpes māsa)</t>
  </si>
  <si>
    <t>4.kategorija  - Ārsta palīgs (feldšeris), vecmāte, biomedicīnas laborants, radiologa asistents, radiogrāfers</t>
  </si>
  <si>
    <t>6.kategorija  - Māsas palīgs</t>
  </si>
  <si>
    <t>3.kategorija - Fizioterapeits, audiologopēds, uztura speciālists, ergoterapeits, tehniskais ortopēds, mākslas terapeits, optometrists, māsa (vispārējās aprūpes māsa)</t>
  </si>
  <si>
    <t>3.kategorija  - Māsa (vispārējās aprūpes māsa), ārsta palīgs (feldšeris), vecmāte, biomedicīnas laborants, radiologa asistents, radiogrāfers</t>
  </si>
  <si>
    <t>Funkcionālie speciālisti</t>
  </si>
  <si>
    <t>Atbalsta personas</t>
  </si>
  <si>
    <r>
      <rPr>
        <b/>
        <sz val="10"/>
        <rFont val="Times New Roman"/>
        <family val="1"/>
        <charset val="186"/>
      </rPr>
      <t>3.kategorija</t>
    </r>
    <r>
      <rPr>
        <sz val="10"/>
        <rFont val="Times New Roman"/>
        <family val="1"/>
      </rPr>
      <t xml:space="preserve"> - Fizioterapeits, audiologopēds, uztura speciālists, ergoterapeits, tehniskais ortopēds, mākslas terapeits, optometrists, māsa (vispārējās aprūpes māsa)</t>
    </r>
  </si>
  <si>
    <r>
      <rPr>
        <b/>
        <sz val="10"/>
        <rFont val="Times New Roman"/>
        <family val="1"/>
        <charset val="186"/>
      </rPr>
      <t>4.kategorija</t>
    </r>
    <r>
      <rPr>
        <sz val="10"/>
        <rFont val="Times New Roman"/>
        <family val="1"/>
      </rPr>
      <t xml:space="preserve">  - Ārsta palīgs (feldšeris), vecmāte, biomedicīnas laborants, radiologa asistents, radiogrāfers</t>
    </r>
  </si>
  <si>
    <t>Māsa ASD</t>
  </si>
  <si>
    <t>Māsa E</t>
  </si>
  <si>
    <t>Māsa E**</t>
  </si>
  <si>
    <t>Māsa LF</t>
  </si>
  <si>
    <t>Māsa KF</t>
  </si>
  <si>
    <r>
      <rPr>
        <b/>
        <sz val="10"/>
        <rFont val="Times New Roman"/>
        <family val="1"/>
        <charset val="186"/>
      </rPr>
      <t>6.kategorija</t>
    </r>
    <r>
      <rPr>
        <sz val="10"/>
        <rFont val="Times New Roman"/>
        <family val="1"/>
      </rPr>
      <t xml:space="preserve">  - Māsas palīgs</t>
    </r>
  </si>
  <si>
    <t xml:space="preserve">Māsa </t>
  </si>
  <si>
    <t>Māsa (dežūrmāsa)</t>
  </si>
  <si>
    <t>Māsa (nesertificēta)</t>
  </si>
  <si>
    <t>3.kategorija  - Ārsta palīgs (feldšeris), vecmāte, biomedicīnas laborants, radiologa asistents, radiogrāfers</t>
  </si>
  <si>
    <t>3.kategorija - Māsa (vispārējās aprūpes māsa), ārsta palīgs (feldšeris), vecmāte, biomedicīnas laborants, radiologa asistents, radiogrāfers</t>
  </si>
  <si>
    <t>Galvenā māsa</t>
  </si>
  <si>
    <t>Ārstniecības personu darba samaksas pieaugums 14.Iekšlietu ministrijai, 15.Izglītības un zinātnes ministrijai, 16.Zemkopības ministrija un 18.Labklājības ministrijai</t>
  </si>
  <si>
    <t xml:space="preserve">Ārstniecības personu darba samaksas pieaugums 10.Aisardzības ministrijai un 19.Tieslietu ministrijai </t>
  </si>
  <si>
    <t>Daļas vadītājs (ārsts)</t>
  </si>
  <si>
    <t>Nodaļas vadītājs (ārsts)</t>
  </si>
  <si>
    <r>
      <rPr>
        <b/>
        <sz val="10"/>
        <color theme="1"/>
        <rFont val="Times New Roman"/>
        <family val="1"/>
      </rPr>
      <t>3.kategorija</t>
    </r>
    <r>
      <rPr>
        <sz val="10"/>
        <color theme="1"/>
        <rFont val="Times New Roman"/>
        <family val="1"/>
      </rPr>
      <t xml:space="preserve">  - Ārsta palīgs (feldšeris), vecmāte, biomedicīnas laborants, radiologa asistents, radiogrāfers</t>
    </r>
  </si>
  <si>
    <t>Galvenais dispečers NM ārsta palīgs</t>
  </si>
  <si>
    <t>Vadības dispečers NM ārsta palīgs</t>
  </si>
  <si>
    <t>Vecākais dispečers NM ārsta palīgs</t>
  </si>
  <si>
    <t>SMC vadības dispečers NM ārsta palīgs</t>
  </si>
  <si>
    <t>Galvenais speciālists ārstniecības kvalitātes jautājumos (ārsta palīgs)</t>
  </si>
  <si>
    <t>Profesiju klasifikātora kods (atbilstoši MK noteikumiem Nr.264)</t>
  </si>
  <si>
    <t>Ārstniecības personas profesijas vai specialitātes kodu (atbilstoši MK noteikumiem Nr.317)</t>
  </si>
  <si>
    <t>2212 11</t>
  </si>
  <si>
    <t>1213 05</t>
  </si>
  <si>
    <t>2211 01</t>
  </si>
  <si>
    <t>P03</t>
  </si>
  <si>
    <t>P54</t>
  </si>
  <si>
    <t>2264 04</t>
  </si>
  <si>
    <t>T02</t>
  </si>
  <si>
    <t>2264 02</t>
  </si>
  <si>
    <t>T01</t>
  </si>
  <si>
    <t>3226 17</t>
  </si>
  <si>
    <t>T06</t>
  </si>
  <si>
    <t>Tehniskais ortopēds (nesertificēts)</t>
  </si>
  <si>
    <t>6.kategorija  - Medicīnas asistents</t>
  </si>
  <si>
    <t>5321 05</t>
  </si>
  <si>
    <t>2212  82</t>
  </si>
  <si>
    <t>P23</t>
  </si>
  <si>
    <t>2266  01</t>
  </si>
  <si>
    <t>T05</t>
  </si>
  <si>
    <t>2212 86</t>
  </si>
  <si>
    <t>P28</t>
  </si>
  <si>
    <t>2269 08</t>
  </si>
  <si>
    <t>n91</t>
  </si>
  <si>
    <t>n93</t>
  </si>
  <si>
    <t>2240 01</t>
  </si>
  <si>
    <t>n27</t>
  </si>
  <si>
    <t>n120</t>
  </si>
  <si>
    <t>P19</t>
  </si>
  <si>
    <t xml:space="preserve">n120 </t>
  </si>
  <si>
    <t>Ārsta palīgs (feldšeris)</t>
  </si>
  <si>
    <t>2221 01</t>
  </si>
  <si>
    <t>n 124</t>
  </si>
  <si>
    <t>3255  01</t>
  </si>
  <si>
    <t>n29</t>
  </si>
  <si>
    <t>n124</t>
  </si>
  <si>
    <t>5321 03</t>
  </si>
  <si>
    <t>n70</t>
  </si>
  <si>
    <t>2212 47</t>
  </si>
  <si>
    <t>P14</t>
  </si>
  <si>
    <t>2212 37</t>
  </si>
  <si>
    <t>P27</t>
  </si>
  <si>
    <t>2212 83</t>
  </si>
  <si>
    <t>P15</t>
  </si>
  <si>
    <t>2261 02</t>
  </si>
  <si>
    <t>P25</t>
  </si>
  <si>
    <t>2212  86</t>
  </si>
  <si>
    <t>P 19</t>
  </si>
  <si>
    <t>2212  83</t>
  </si>
  <si>
    <t>P 15</t>
  </si>
  <si>
    <t>2212  104</t>
  </si>
  <si>
    <t>P 01</t>
  </si>
  <si>
    <t>2212  77</t>
  </si>
  <si>
    <t>P 22</t>
  </si>
  <si>
    <t>P 20</t>
  </si>
  <si>
    <t>T 02</t>
  </si>
  <si>
    <t>2264  02</t>
  </si>
  <si>
    <t>T 01</t>
  </si>
  <si>
    <t>2265  01</t>
  </si>
  <si>
    <t>2264  04</t>
  </si>
  <si>
    <t>2269  08</t>
  </si>
  <si>
    <t>2269  09</t>
  </si>
  <si>
    <t>1342 04</t>
  </si>
  <si>
    <t>3255 01</t>
  </si>
  <si>
    <t>3255 08</t>
  </si>
  <si>
    <t>2269  06</t>
  </si>
  <si>
    <t>n92</t>
  </si>
  <si>
    <t>3221 01</t>
  </si>
  <si>
    <t>2221 46</t>
  </si>
  <si>
    <t>n121</t>
  </si>
  <si>
    <t>2221  46</t>
  </si>
  <si>
    <t>T07</t>
  </si>
  <si>
    <t>P00</t>
  </si>
  <si>
    <t>2265 01</t>
  </si>
  <si>
    <t>2211 02</t>
  </si>
  <si>
    <t>2266 01</t>
  </si>
  <si>
    <t>3212 03</t>
  </si>
  <si>
    <t>n76</t>
  </si>
  <si>
    <t>2211 03</t>
  </si>
  <si>
    <t>3211 01</t>
  </si>
  <si>
    <t>Nacionālo bruņoto spēku profesiju klasifikātora kods (atbilstoši MK noteikumiem Nr.264)</t>
  </si>
  <si>
    <t>0110 05</t>
  </si>
  <si>
    <t>0110 04</t>
  </si>
  <si>
    <t>0110 06</t>
  </si>
  <si>
    <t>0210 05</t>
  </si>
  <si>
    <t>P53</t>
  </si>
  <si>
    <t>n108</t>
  </si>
  <si>
    <t>2212 08</t>
  </si>
  <si>
    <t>2212 74</t>
  </si>
  <si>
    <t>P20</t>
  </si>
  <si>
    <t>2212 82</t>
  </si>
  <si>
    <t>2212 61</t>
  </si>
  <si>
    <t>2212 77</t>
  </si>
  <si>
    <t>P22</t>
  </si>
  <si>
    <t>P01</t>
  </si>
  <si>
    <t>2212 90</t>
  </si>
  <si>
    <t>P32</t>
  </si>
  <si>
    <t>2212 15</t>
  </si>
  <si>
    <t>P51</t>
  </si>
  <si>
    <t>3212 04</t>
  </si>
  <si>
    <t>2267 01</t>
  </si>
  <si>
    <t>n114</t>
  </si>
  <si>
    <t>n85</t>
  </si>
  <si>
    <t>2221 02</t>
  </si>
  <si>
    <t>2634 01</t>
  </si>
  <si>
    <t>2634 10</t>
  </si>
  <si>
    <t>3344 02</t>
  </si>
  <si>
    <t>n115</t>
  </si>
  <si>
    <t>5321 01</t>
  </si>
  <si>
    <t>5329 02</t>
  </si>
  <si>
    <t>1112 29</t>
  </si>
  <si>
    <t>2212 31</t>
  </si>
  <si>
    <t>1342 05</t>
  </si>
  <si>
    <t>3343 40</t>
  </si>
  <si>
    <t>2422 09</t>
  </si>
  <si>
    <t>1213 06</t>
  </si>
  <si>
    <t>2120 18</t>
  </si>
  <si>
    <t>2263 02</t>
  </si>
  <si>
    <t>2422 03</t>
  </si>
  <si>
    <t>2422 10</t>
  </si>
  <si>
    <t>2422 06</t>
  </si>
  <si>
    <t>2422 07</t>
  </si>
  <si>
    <t>3115 52</t>
  </si>
  <si>
    <t>2422 04</t>
  </si>
  <si>
    <t>2263 04</t>
  </si>
  <si>
    <t>2269 03</t>
  </si>
  <si>
    <t>3344 40</t>
  </si>
  <si>
    <t>3257 06</t>
  </si>
  <si>
    <t>1342 01</t>
  </si>
  <si>
    <t>2263 06</t>
  </si>
  <si>
    <t>2269 01</t>
  </si>
  <si>
    <t>3.kategorija  - Māsa (vispārējās aprūpes māsa), ārsta palīgs (feldšeris), vecmāte, biomedicīnas laborants, radiologa asistents, radiogrāfers*</t>
  </si>
  <si>
    <r>
      <rPr>
        <b/>
        <sz val="10"/>
        <color theme="1"/>
        <rFont val="Times New Roman"/>
        <family val="1"/>
      </rPr>
      <t>3.kategorija</t>
    </r>
    <r>
      <rPr>
        <sz val="10"/>
        <color theme="1"/>
        <rFont val="Times New Roman"/>
        <family val="1"/>
      </rPr>
      <t xml:space="preserve">  - Māsa (vispārējās aprūpes māsa), ārsta palīgs (feldšeris), vecmāte, biomedicīnas laborants, radiologa asistents, radiogrāfers</t>
    </r>
  </si>
  <si>
    <t>IV. Medicīnas asistenta amats</t>
  </si>
  <si>
    <r>
      <rPr>
        <b/>
        <sz val="10"/>
        <rFont val="Times New Roman"/>
        <family val="1"/>
        <charset val="186"/>
      </rPr>
      <t>6.kategorija</t>
    </r>
    <r>
      <rPr>
        <sz val="10"/>
        <rFont val="Times New Roman"/>
        <family val="1"/>
      </rPr>
      <t xml:space="preserve">  - Medicīnas asistents</t>
    </r>
  </si>
  <si>
    <t>2.kategorija - Fizioterapeits, audiologopēds, uztura speciālists, ergoterapeits, tehniskais ortopēds, mākslas terapeits, optometrists</t>
  </si>
  <si>
    <t>2422 02</t>
  </si>
  <si>
    <t>4222 07</t>
  </si>
  <si>
    <t>4226 01</t>
  </si>
  <si>
    <t>4321 08</t>
  </si>
  <si>
    <t>III. Transportlīdzekļa vadītāja amats</t>
  </si>
  <si>
    <r>
      <rPr>
        <b/>
        <sz val="10"/>
        <rFont val="Times New Roman"/>
        <family val="1"/>
        <charset val="186"/>
      </rPr>
      <t>6.kategorija</t>
    </r>
    <r>
      <rPr>
        <sz val="10"/>
        <rFont val="Times New Roman"/>
        <family val="1"/>
      </rPr>
      <t xml:space="preserve"> - Transportlīdzekļa vadītājs</t>
    </r>
  </si>
  <si>
    <t>Klientu pacientu reģistrators</t>
  </si>
  <si>
    <t>n85, n94</t>
  </si>
  <si>
    <t>n123</t>
  </si>
  <si>
    <t>P 00</t>
  </si>
  <si>
    <t>2421 01</t>
  </si>
  <si>
    <t>n74</t>
  </si>
  <si>
    <t>n75</t>
  </si>
  <si>
    <t>2421 04</t>
  </si>
  <si>
    <t>2212 28</t>
  </si>
  <si>
    <t>P 39 / P 18</t>
  </si>
  <si>
    <t>P 39</t>
  </si>
  <si>
    <t>P 18</t>
  </si>
  <si>
    <t>2212 05</t>
  </si>
  <si>
    <t>2212 76</t>
  </si>
  <si>
    <t>A 151</t>
  </si>
  <si>
    <t>2212 58</t>
  </si>
  <si>
    <t>PP 30</t>
  </si>
  <si>
    <t>2212 63</t>
  </si>
  <si>
    <t>P 07</t>
  </si>
  <si>
    <t>2212 64</t>
  </si>
  <si>
    <t>P 12</t>
  </si>
  <si>
    <t>2212 73</t>
  </si>
  <si>
    <t>P 04</t>
  </si>
  <si>
    <t>2212 44</t>
  </si>
  <si>
    <t>P 60</t>
  </si>
  <si>
    <t>P 14</t>
  </si>
  <si>
    <t>2212 54</t>
  </si>
  <si>
    <t>P 24</t>
  </si>
  <si>
    <t>2212 56</t>
  </si>
  <si>
    <t>P 52</t>
  </si>
  <si>
    <t>P 03</t>
  </si>
  <si>
    <t>P 23</t>
  </si>
  <si>
    <t>2261 07</t>
  </si>
  <si>
    <t>P 26</t>
  </si>
  <si>
    <t>2212 69</t>
  </si>
  <si>
    <t>P 05</t>
  </si>
  <si>
    <t>2212 101</t>
  </si>
  <si>
    <t>P 13</t>
  </si>
  <si>
    <t>2212 109</t>
  </si>
  <si>
    <t>A 131</t>
  </si>
  <si>
    <t>P 01 / P 02 / P 18 / P 39 / P 52</t>
  </si>
  <si>
    <t>P 02</t>
  </si>
  <si>
    <t>P 01 - P 64</t>
  </si>
  <si>
    <t>3258 01</t>
  </si>
  <si>
    <t>2221 48</t>
  </si>
  <si>
    <t>n121 / n122</t>
  </si>
  <si>
    <t>2221 47</t>
  </si>
  <si>
    <t>2221 49</t>
  </si>
  <si>
    <t>2211 04</t>
  </si>
  <si>
    <t>8322 03</t>
  </si>
  <si>
    <t>3255 03</t>
  </si>
  <si>
    <t>2212 87</t>
  </si>
  <si>
    <t>2212 17</t>
  </si>
  <si>
    <t>P34</t>
  </si>
  <si>
    <t>P33</t>
  </si>
  <si>
    <t>T04</t>
  </si>
  <si>
    <t>P 36</t>
  </si>
  <si>
    <t>P00 P01</t>
  </si>
  <si>
    <t>n27 n86</t>
  </si>
  <si>
    <t>PP13</t>
  </si>
  <si>
    <t>P63</t>
  </si>
  <si>
    <t>3./99</t>
  </si>
  <si>
    <t>PP24</t>
  </si>
  <si>
    <t>PP24/P01</t>
  </si>
  <si>
    <t>P29</t>
  </si>
  <si>
    <t>Nesertificēts ārsts</t>
  </si>
  <si>
    <t>Brigādes otrā ārstniecības  persona - medicīnas māsa</t>
  </si>
  <si>
    <t>Speciālists NMP brigāžu atbalsta jautājumos (ārsta palīgs, medicīnas māsa)</t>
  </si>
  <si>
    <t>Medicīnas māsa bērnu IT brigādē</t>
  </si>
  <si>
    <t>Medicīnas māsa neonatologu brigādē</t>
  </si>
  <si>
    <t>SMC operāciju māsa</t>
  </si>
  <si>
    <t>Infekciju uzraudzības speciālists (māsa)</t>
  </si>
  <si>
    <t>Ārsts Donoru nodaļa</t>
  </si>
  <si>
    <t>1342 03</t>
  </si>
  <si>
    <t>1342 02</t>
  </si>
  <si>
    <t>Pārbaude, atbilstība prof. klasifikatoram</t>
  </si>
  <si>
    <t>Reģistrācija Ārstniecības ietāžu reģistrā</t>
  </si>
  <si>
    <t>Piezīmes, pamatojums</t>
  </si>
  <si>
    <t>Nav</t>
  </si>
  <si>
    <t>MĀSA/vispārējās aprūpes MĀSA</t>
  </si>
  <si>
    <t>VADĪTĀJS/ DIREKTORS/ PĀRVALDNIEKS (veselības aprūpes jomā)(CMEK vadītāja)</t>
  </si>
  <si>
    <t>VADĪTĀJA VIETNIEKS/ IZPILDDIREKTORS (veselības aprūpes jomā)(CMEK vadītāja vietniece)</t>
  </si>
  <si>
    <t>Arodveselības un arodslimību ĀRSTS</t>
  </si>
  <si>
    <t xml:space="preserve">	
PSIHIATRS</t>
  </si>
  <si>
    <t>NEIROLOGS</t>
  </si>
  <si>
    <t xml:space="preserve">	
OTOLARINGOLOG</t>
  </si>
  <si>
    <t>ĶIRURGS</t>
  </si>
  <si>
    <t>OFTALMOLOGS</t>
  </si>
  <si>
    <t>INTERNISTS</t>
  </si>
  <si>
    <t>GINEKOLOGS, dzemdību speciālists</t>
  </si>
  <si>
    <t>ZOBĀRSTS</t>
  </si>
  <si>
    <t>RADIOLOGS</t>
  </si>
  <si>
    <t>KARDIOLOGS</t>
  </si>
  <si>
    <t xml:space="preserve">	
ĀRSTS klīniskais FIZIOLOGS</t>
  </si>
  <si>
    <t>P52</t>
  </si>
  <si>
    <t>Reģistrēta</t>
  </si>
  <si>
    <t>VADĪTĀJS/ DIREKTORS/ PĀRVALDNIEKS (veselības aprūpes jomā)(laboratorijas vadītāja)</t>
  </si>
  <si>
    <t>Laboratorijas speciālists</t>
  </si>
  <si>
    <t>Ārstniecības iestādes klientu un pacientu REĢISTRATORS</t>
  </si>
  <si>
    <t>IB</t>
  </si>
  <si>
    <t>221211</t>
  </si>
  <si>
    <t>Psiholoģiskā atbalsta nodaļas vadītājs - psihologs</t>
  </si>
  <si>
    <t>Nav reģistrēts</t>
  </si>
  <si>
    <t>Iestāde - Iekšlietu ministrijas veselības un sporta centrs</t>
  </si>
  <si>
    <t xml:space="preserve">VI reģitrēta kā Iekšlietu ministrijas poliklīnika </t>
  </si>
  <si>
    <t>38.1</t>
  </si>
  <si>
    <t>LF vadītājs (virsārsts)</t>
  </si>
  <si>
    <t>KF vadītājs (virsārsts)</t>
  </si>
  <si>
    <t>Ārsts LF nodaļa</t>
  </si>
  <si>
    <t>Ārsts ID nodaļa</t>
  </si>
  <si>
    <t>Laboratoriju departamenta direktors (biomedicīnas laborants)</t>
  </si>
  <si>
    <t>Donoru nodaļas vadītājs (ārsta palīgs)</t>
  </si>
  <si>
    <t>KL Laboratorijas vadītājs (medicīnas laborants)</t>
  </si>
  <si>
    <t>Ārsta palīgs *</t>
  </si>
  <si>
    <t>Ārsta palīgs KF (nesertificēts)</t>
  </si>
  <si>
    <t>Eksperts Asins dienestā (māsa)</t>
  </si>
  <si>
    <t>Noliktavas pārzinis (medicīniskā noliktava) (māsa)</t>
  </si>
  <si>
    <t>BVD Laboratorijas vadītājs (medicīnas laborants)</t>
  </si>
  <si>
    <t>E nodaļas vadītājs (māsas palīgs)</t>
  </si>
  <si>
    <t>Māsas palīgs ASD</t>
  </si>
  <si>
    <t>Māsas palīgs LF</t>
  </si>
  <si>
    <t>Māsas palīgs KF</t>
  </si>
  <si>
    <t>Māsas palīgs ID</t>
  </si>
  <si>
    <t>Māsas palīgs BVD</t>
  </si>
  <si>
    <t>Māsas palīgs KL</t>
  </si>
  <si>
    <t>Specializētā autobusa vadītājs - izbraukumos</t>
  </si>
  <si>
    <t xml:space="preserve">Māsas palīgs </t>
  </si>
  <si>
    <t>2212 70</t>
  </si>
  <si>
    <t>P63, P27</t>
  </si>
  <si>
    <t>P53, P54</t>
  </si>
  <si>
    <t>P39</t>
  </si>
  <si>
    <t>P02</t>
  </si>
  <si>
    <t>P57</t>
  </si>
  <si>
    <t>P19, P64</t>
  </si>
  <si>
    <t>P02,P19</t>
  </si>
  <si>
    <t>Reģistrēts</t>
  </si>
  <si>
    <t>n86</t>
  </si>
  <si>
    <t>n86,n53</t>
  </si>
  <si>
    <t>n86,n29</t>
  </si>
  <si>
    <t>2221 50</t>
  </si>
  <si>
    <t>n122</t>
  </si>
  <si>
    <t>n86, n120</t>
  </si>
  <si>
    <t>n120, n121</t>
  </si>
  <si>
    <t>n121,n120</t>
  </si>
  <si>
    <t>n124, n120</t>
  </si>
  <si>
    <t>Laboratorijas vadītājs, vecākais speciālists- vecākais tiesu medicīnas eksperts</t>
  </si>
  <si>
    <t xml:space="preserve">Vecākais speciālists- tiesu medicīnas eksperts </t>
  </si>
  <si>
    <t xml:space="preserve">Speciālists- tiesu medicīnas eksperts </t>
  </si>
  <si>
    <t>Pārvaldes DIREKTORA VIETNIEKS (valsts pārvaldes jomā)</t>
  </si>
  <si>
    <t>Pamatdarbības struktūrvienības VADĪTĀJS/ DIREKTORS (valsts pārvaldes jomā)</t>
  </si>
  <si>
    <t>Tiesu medicīnas EKSPERTS</t>
  </si>
  <si>
    <t xml:space="preserve">Saistītais amats ietver sevī gan amatpersonas, t.sk. administratīvā darba pienākumus, gan  tiesu medicīnas eksperta, t.sk. medicīnisko ekspertīžu un izpēšu veikšanas pienākumus, līdz ar to atbilst ārstniecības personas statusam. </t>
  </si>
  <si>
    <t>Amats ietver sevī gan amatpersonas, t.sk. administratīvā darba pienākumus, gan  tiesu medicīnas eksperta, t.sk. medicīnisko ekspertīžu un izpēšu veikšanas pienākumus, līdz ar to atbilst ārstniecības personas statusam.</t>
  </si>
  <si>
    <t xml:space="preserve"> -</t>
  </si>
  <si>
    <t>Risinājums - veikt grozījumus Ministru kabineta 2018. gada 18. decembra noteikumos Nr. 851 “Noteikumi par zemāko mēnešalgu un speciālo piemaksu veselības aprūpes jomā nodarbinātajiem” (Latvijas Vēstnesis, 2018, 253. nr.; 2019, 251. nr.), t.sk. izsakot 1.pielikumu jaunā redakcijā (VTMEC vēstule VM Nr.859-2022/6-5 un 806-2022/6-5)</t>
  </si>
  <si>
    <t>Iestādes VADĪTĀJS/ ĢENERĀLDIREKTORS/ DIREKTORS/ PRIEKŠNIEKS/ PRIEKŠSĒDĒTĀJS</t>
  </si>
  <si>
    <t>ĀRSTS PATOLOGS</t>
  </si>
  <si>
    <t>ĀRSTS STAŽIERIS</t>
  </si>
  <si>
    <t>Galvenā medicīnas MĀSA</t>
  </si>
  <si>
    <t>Biomedicīnas LABORANTS</t>
  </si>
  <si>
    <t>EKSPERTA PALĪGS (iekšlietu jomā)</t>
  </si>
  <si>
    <t>Amata mērķis - sniegt atbalstu tiesu medicīnas ekspertiem tiesu medicīnas ekspertīzes un izpētes veikšanā. Situācija uz 19.06.2023. -profesiju kods - 3343 40. Risinājums - veikt grozījumus Ministru kabineta 2018. gada 18. decembra noteikumos Nr. 851 “Noteikumi par zemāko mēnešalgu un speciālo piemaksu veselības aprūpes jomā nodarbinātajiem” (Latvijas Vēstnesis, 2018, 253. nr.; 2019, 251. nr.), t.sk. izsakot 1.pielikumu jaunā redakcijā (VTMEC vēstule VM Nr.859-2022/6-5 un 806-2022/6-5)</t>
  </si>
  <si>
    <t>8132 01</t>
  </si>
  <si>
    <t>SANITĀRS</t>
  </si>
  <si>
    <t>Amata mērķis - sniegt atbalstu tiesu medicīnas ekspertiem tiesu medicīnas ekspertīzes un izpētes nodrošināšanā. Risinājums - veikt grozījumus Ministru kabineta 2018. gada 18. decembra noteikumos Nr. 851 “Noteikumi par zemāko mēnešalgu un speciālo piemaksu veselības aprūpes jomā nodarbinātajiem” (Latvijas Vēstnesis, 2018, 253. nr.; 2019, 251. nr.), t.sk. izsakot 1.pielikumu jaunā redakcijā (VTMEC vēstule VM Nr.859-2022/6-5 un 806-2022/6-5)</t>
  </si>
  <si>
    <t xml:space="preserve">	
FOTOGRĀFS</t>
  </si>
  <si>
    <t>MĀSAS PALĪGS</t>
  </si>
  <si>
    <t xml:space="preserve">	
REĢISTRATORS</t>
  </si>
  <si>
    <t>Atbilstoši MK 371, "6. Ārstniecības atbalsta personu specialitāšu klasifikators (atbilstoši specialitātei darbavietā)"13.punkts n115-Ārstniecības iestādes klientu un pacientu reģistrators. Risinājums - veikt grozījumus Ministru kabineta 2018. gada 18. decembra noteikumos Nr. 851 “Noteikumi par zemāko mēnešalgu un speciālo piemaksu veselības aprūpes jomā nodarbinātajiem” (Latvijas Vēstnesis, 2018, 253. nr.; 2019, 251. nr.), t.sk. izsakot 1.pielikumu jaunā redakcijā (VTMEC vēstule VM Nr.859-2022/6-5 un 806-2022/6-5)</t>
  </si>
  <si>
    <t>2423 09</t>
  </si>
  <si>
    <t>Vecākais EKSPERTS</t>
  </si>
  <si>
    <t xml:space="preserve">
Pamatdarbības struktūrvienības VADĪTĀJA VIETNIEKS/ DIREKTORA VIETNIEKS (valsts pārvaldes jomā)</t>
  </si>
  <si>
    <t>BAC vadītājs (NM ārsts)</t>
  </si>
  <si>
    <t>Intensīvās terapijas brigādes vadītājs - ārsts (anesteziologs-reanimatologs)</t>
  </si>
  <si>
    <t>Mugurkaulāja ĶIRURGS</t>
  </si>
  <si>
    <t>Ģimenes ārstu konsultatīvā tāruņa konsultants (ārsts) / Ģimenes ārstu konsultatīvā tāruņa konsultants (ārsts, sertificēts)</t>
  </si>
  <si>
    <t>2211 11</t>
  </si>
  <si>
    <t>Neatliekamās medicīnas praktisko treniņu vadītājs (NM ārsts)</t>
  </si>
  <si>
    <t>M52</t>
  </si>
  <si>
    <t>Neatliekamās medicīnas ĀRSTS</t>
  </si>
  <si>
    <t xml:space="preserve">ĀRSTS </t>
  </si>
  <si>
    <t>Neatliekamās medicīnas ĀRSTS/anesteziologs-reanimatologs</t>
  </si>
  <si>
    <t>Amata pienākumus var veikt tikai  anastezioloģijā-reanimatoloģijā vai neatliekamajā medicīnā sertificēti ārsti, tāpēc norādīti abi kodi</t>
  </si>
  <si>
    <t>Amata pienākumus var veikt tikai  anastezioloģijā-reanimatoloģijā un/vai neatliekamajā medicīnā sertificēti ārsti</t>
  </si>
  <si>
    <t>ANESTEZIOLOGS, REANIMATOLOGS</t>
  </si>
  <si>
    <t>NEONATOLOGS</t>
  </si>
  <si>
    <t>KOMBUSTIOLOGS</t>
  </si>
  <si>
    <t>Asinsvadu ĶIRURGS</t>
  </si>
  <si>
    <t>Bērnu ĶIRURGS</t>
  </si>
  <si>
    <t>NEIROĶIRURGS</t>
  </si>
  <si>
    <t>Specialitātes nosaukumu nevar izmainīt</t>
  </si>
  <si>
    <t>ĀRSTS</t>
  </si>
  <si>
    <t>Amata pienākumu veikšanai nepieciešams sertifikāts-bronkoshopijā (M52).</t>
  </si>
  <si>
    <t>GASTROENTEROLOGS</t>
  </si>
  <si>
    <t>INFEKTOLOGS</t>
  </si>
  <si>
    <t>OTOLARINGOLOGS</t>
  </si>
  <si>
    <t>Mutes, sejas un žokļu ĶIRURGS</t>
  </si>
  <si>
    <t>Torakālais ĶIRURGS</t>
  </si>
  <si>
    <t>TRAUMATOLOGS, ORTOPĒDS</t>
  </si>
  <si>
    <t>Ģimenes/ vispārējās prakses ĀRSTS</t>
  </si>
  <si>
    <t>Specialitātes nosaukumu nevar izmainīt, amata pienākumus var veikt anesteziologs-reanimatologs</t>
  </si>
  <si>
    <t>ĀRSTS EKSPERTS</t>
  </si>
  <si>
    <t>Amata prasība ir ārsta eksperta sertifikāts - P 13</t>
  </si>
  <si>
    <t>Amata prasībaun pienākumu veikšanai nepieciešams  ārsta grāds un uzturēts reģistrs - P 00</t>
  </si>
  <si>
    <t>BAC vadītājs (NM ārsta palīgs)</t>
  </si>
  <si>
    <t>Brigādes (2ĀPB) vadītājs - NM ārsta palīgs</t>
  </si>
  <si>
    <t>Brigādes (2ĀPB) otrā ārstniecības persona - NM ārsta palīgs</t>
  </si>
  <si>
    <t>2263 07</t>
  </si>
  <si>
    <t>Neatliekamās medicīnas praktisko treniņu vadītājs (NM ārsta palīgs)</t>
  </si>
  <si>
    <t>Amata pienākumu veikšanai nepieciešams NM ārsta palīga sertifikāts</t>
  </si>
  <si>
    <t>Neatliekamās medicīnas ĀRSTA PALĪGS/ FELDŠERIS</t>
  </si>
  <si>
    <t>MĀSA/vispārējās aprūpes MĀSA anestēzijā un intensīvajā aprūpē</t>
  </si>
  <si>
    <t>MĀSA/vispārējās aprūpes MĀSA bērnu aprūpē</t>
  </si>
  <si>
    <t>MĀSA/vispārējās aprūpes MĀSA perioperatīvajā aprūpē</t>
  </si>
  <si>
    <t>Sabiedrības veselības SPECIĀLISTS</t>
  </si>
  <si>
    <t>Medicīnas KONSULTANTS</t>
  </si>
  <si>
    <t>Amata prasība - neatliekamās medicīnas ārsta palīga amats un reģistra uzturēšana, medicīniskās kvalitātes konsultants</t>
  </si>
  <si>
    <t>Neatliekamās medicīnas ĀRSTA PALĪGS/ FELDŠERIS"</t>
  </si>
  <si>
    <t>Neatliekamās medicīnas ĀRSTA PALĪGS/ FELDŠERI</t>
  </si>
  <si>
    <t xml:space="preserve">	
REZIDENTS (ģimenes/ vispārējās prakses ārsta specialitātē)</t>
  </si>
  <si>
    <t>Neaktuāls kods</t>
  </si>
  <si>
    <t>Brigādes (2ĀPB) otrā ārstniecības persona - ārsta palīgs</t>
  </si>
  <si>
    <t>Visi NM sertificētie un nesertificētie ārsta palīgi nodarbināti neatliekamās medicīniskās palīdzības sniegšanā, tāpēc saskaņā ar profesiju klasifikatoru tiem ir vienādi profesiju kodi no 325 grupas, kur ar kodu 3258 ir atsevišķa grupa neatliekamās mesdicīniskās palīdzības darbinieki.</t>
  </si>
  <si>
    <t xml:space="preserve">Visi NMPD neatliekamajā medicīnā sertificētie un nesertificētie ārsta palīgi nodarbināti neatliekamās medicīniskās palīdzības sniegšanā, tāpēc saskaņā ar profesiju klasifikatoru tiem ir vienādi profesiju kodi no 325 grupas, kur ar kodu 3258 ir noteikta atsevišķa grupa -neatliekamās mesdicīniskās palīdzības darbinieki. Konkrēti šajā amatā nodarbināti kā sertificēti ,tā nesertidficēti ārsta palīgi </t>
  </si>
  <si>
    <t>Sanitārautomobiļa VADĪTĀJS</t>
  </si>
  <si>
    <t>P 00/n74</t>
  </si>
  <si>
    <t>Amata pienākumus var veikt tikai reģistrēta ārstniecības persona.</t>
  </si>
  <si>
    <t xml:space="preserve">	
Pamatdarbības struktūrvienības VADĪTĀJA VIETNIEKS/ DIREKTORA VIETNIEKS (valsts pārvaldes jomā)</t>
  </si>
  <si>
    <t xml:space="preserve">	
Vecākais KONSULTANTS</t>
  </si>
  <si>
    <t>atbilst</t>
  </si>
  <si>
    <t>nav</t>
  </si>
  <si>
    <t>P23; PP13</t>
  </si>
  <si>
    <t>P15;  PP13</t>
  </si>
  <si>
    <t>P54;  PP13</t>
  </si>
  <si>
    <t>P53;  PP13</t>
  </si>
  <si>
    <t>Atbilst</t>
  </si>
  <si>
    <t>Iekšlietu ministrijas veselības un sporta centrā ir nodarbināti un psiholoģisko palīdzību Iekšlietu ministrijas sistēmas iestāžu un Ieslodzījuma vietu pārvaldes amatpersonām ar speciālajām dienesta pakāpēm, kā arī Neatliekamās medicīniskās palīdzības dienesta darbiniekiem  sniedz psihologi, kuri atbilstoši Psihologu likumā noteiktajam ir sertificēti Kliniskajā un veselības psiholoģijas jomā - 10  psihologi  un Konsultatīvās psiholoģijas jomā - 3 psihologi.  Diemžēl saskaņā ar spēkā esošo normatīvo regulējumu psihologa profesija un specialitāte neatkarīgi no psihologa sertifikācijas jomas šobrīd  nav minētas MK noteikumos Nr.317</t>
  </si>
  <si>
    <t xml:space="preserve"> IVB</t>
  </si>
  <si>
    <t xml:space="preserve">6.2. </t>
  </si>
  <si>
    <t>I A</t>
  </si>
  <si>
    <t>I C</t>
  </si>
  <si>
    <t>2212 36</t>
  </si>
  <si>
    <t>Nav reģistrēta</t>
  </si>
  <si>
    <t>Darba samaksas pieaugums 2024.gadam, t.sk. 23.59%</t>
  </si>
  <si>
    <t>Sākotnējs darba samaksas pieaugums 2024.gadam, t.sk. 23.59%</t>
  </si>
  <si>
    <t>2024.gada jaunā amatalga ar  pieaugumu</t>
  </si>
  <si>
    <t>2024.gada jaunā amatalga ar pieaugumu</t>
  </si>
  <si>
    <t xml:space="preserve"> </t>
  </si>
  <si>
    <t>Fizikālās un rehabilitācijas medicīnas ārsts</t>
  </si>
  <si>
    <t>3214 02</t>
  </si>
  <si>
    <t>Tehniskais ortopēds (sertificēts)</t>
  </si>
  <si>
    <t>Audiologopēds (sertificēts)</t>
  </si>
  <si>
    <t>2239 01</t>
  </si>
  <si>
    <t>n26</t>
  </si>
  <si>
    <t xml:space="preserve">Māsa/vispārējās aprūpes māsa </t>
  </si>
  <si>
    <t>Māsa/vispārējās aprūpes māsa psihiatrijā un narkoloģijā (procedūru kabinetā)</t>
  </si>
  <si>
    <t>Māsa/vispārējās aprūpes māsa psihiatrijā un narkoloģijā</t>
  </si>
  <si>
    <t>Vecākā medicīnas māsa (vispārējās aprūpes māsa) psihiatrijā un narkoloģijā</t>
  </si>
  <si>
    <t xml:space="preserve"> Māsa (vispārējās aprūpes māsa) psihiatrijā un narkoloģijā</t>
  </si>
  <si>
    <t>Vecākā medicīnas māsa</t>
  </si>
  <si>
    <t xml:space="preserve">2221 46 </t>
  </si>
  <si>
    <t>Ģimenes ārsts</t>
  </si>
  <si>
    <t>2269 06</t>
  </si>
  <si>
    <t>2270 06</t>
  </si>
  <si>
    <t>2269 08</t>
  </si>
  <si>
    <t>2265 02</t>
  </si>
  <si>
    <t>Vispārējās aprūpes māsa psihiatrijā</t>
  </si>
  <si>
    <t>Vispārējās aprūpes māsa bērnu aprūpē</t>
  </si>
  <si>
    <t>Veselības aprūpes sektora vadītājs</t>
  </si>
  <si>
    <t>Veselības aprūpes sektora vadītājs - vecākā medicīnas māsa</t>
  </si>
  <si>
    <t>3258 08</t>
  </si>
  <si>
    <t>3255  04</t>
  </si>
  <si>
    <t>3257 08</t>
  </si>
  <si>
    <t>n30</t>
  </si>
  <si>
    <t>Sertificēts ārsts</t>
  </si>
  <si>
    <t>Sertificēts ārsts (nodaļas vadītājs)</t>
  </si>
  <si>
    <t>Sertificēts ārsts (zobārsts)</t>
  </si>
  <si>
    <t>Sertificēta  māsa</t>
  </si>
  <si>
    <t>Māsas palīgs-sanitārs</t>
  </si>
  <si>
    <t>Reģistrēti ārstniecības personu amati</t>
  </si>
  <si>
    <t>Galvenais vadības ārsts</t>
  </si>
  <si>
    <t>2266 02</t>
  </si>
  <si>
    <t>2267 02</t>
  </si>
  <si>
    <t>Medicīnas māsa</t>
  </si>
  <si>
    <t>Medicīnas māsas palīgs</t>
  </si>
  <si>
    <t>P 53 "Arodveselības un arodslimību ārsts"
P 01 "Internists"</t>
  </si>
  <si>
    <t>P 02 "Ģimenes (vispārējās prakses) ārsts"</t>
  </si>
  <si>
    <t>P 01 "Internists"</t>
  </si>
  <si>
    <t>P 25 "Zobārsts"</t>
  </si>
  <si>
    <t>P 63 "Veselības aprūpes vadības ārsts"
P 15 "Pediatrs"</t>
  </si>
  <si>
    <t>P 01 "Internists"
P 28 "Narkologs"</t>
  </si>
  <si>
    <t>P 54 "Fizikālās un rehabilitācijas medicīnas ārsts"
P 61 "Akupunktūras ārsts"
PP 15 "Hipnoterapeits"</t>
  </si>
  <si>
    <t>P 36 "Sporta ārsts"</t>
  </si>
  <si>
    <t>P 23 "Otolaringologs"</t>
  </si>
  <si>
    <t>P 19 "Psihiatrs"
P 28 "Narkologs"</t>
  </si>
  <si>
    <t>P 34 "Tiesu medicīnas eksperts"</t>
  </si>
  <si>
    <t>P 52 "Kardiologs"
P 01 "Internists"</t>
  </si>
  <si>
    <t>P 20 "Neirologs"</t>
  </si>
  <si>
    <t>P 22 "Oftalmologs"</t>
  </si>
  <si>
    <t>P 02 "Ģimenes (vispārējās prakses) ārsts"
PP 06 "Dietologs"</t>
  </si>
  <si>
    <t>P 14 "Ginekologs, dzemdību speciālists"</t>
  </si>
  <si>
    <t>P 52 "Kardiologs"</t>
  </si>
  <si>
    <t>P 32 "Radiologs"</t>
  </si>
  <si>
    <t>P 12 "Bērnu ķirurgs"</t>
  </si>
  <si>
    <t>P 13 "Traumatologs, ortopēds"</t>
  </si>
  <si>
    <t>P 39 "Neatliekamās medicīnas ārsts"</t>
  </si>
  <si>
    <t>Kods: 010058901</t>
  </si>
  <si>
    <t>Kods: 360200046</t>
  </si>
  <si>
    <t>Kods: 170055301</t>
  </si>
  <si>
    <t>Kods: 741000012</t>
  </si>
  <si>
    <t>Kods: 804455301</t>
  </si>
  <si>
    <t>Kods: 010054116</t>
  </si>
  <si>
    <t>Kods: 010001838</t>
  </si>
  <si>
    <t>T 01 "Fizioterapeits"</t>
  </si>
  <si>
    <t>n120 "Māsa (vispārējās aprūpes māsa)"</t>
  </si>
  <si>
    <t>n74 "Neatliekamās medicīnas ārsta palīgs (feldšeris)"</t>
  </si>
  <si>
    <t>n86 "Ambulatorā dienesta ārsta palīgs"</t>
  </si>
  <si>
    <t>n27 "Ārsta palīgs (feldšeris)"</t>
  </si>
  <si>
    <t>n76 "Biomedicīnas laborants"</t>
  </si>
  <si>
    <t>n85 "Radiologa asistents"</t>
  </si>
  <si>
    <t>n122 "Māsa (vispārējās aprūpes māsa) anestēzijā un intensīvajā aprūpē"</t>
  </si>
  <si>
    <t>n121 "Māsa (vispārējās aprūpes māsa) bērnu aprūpē"</t>
  </si>
  <si>
    <t>n70 "Māsas palīgs"</t>
  </si>
  <si>
    <t>Virsārsts</t>
  </si>
  <si>
    <t>0110 07</t>
  </si>
  <si>
    <t>P 63 "Veselības aprūpes vadības ārsts"
P 61 "Akupunktūras ārsts"</t>
  </si>
  <si>
    <t>PP 13 "Eksperts"</t>
  </si>
  <si>
    <t>P 63 "Veselības aprūpes vadības ārsts"
P 42 "Psihoterapeits"
P 01 "Internists"</t>
  </si>
  <si>
    <t>P 53 "Arodveselības un arodslimību ārsts"
P 63 "Veselības aprūpes vadības ārsts"
PP 13 "Eksperts"
P 01 "Internists"</t>
  </si>
  <si>
    <t>P 03 "Ķirurgs"</t>
  </si>
  <si>
    <t>P 53 "Arodveselības un arodslimību ārsts"
P 02 "Ģimenes (vispārējās prakses) ārsts"</t>
  </si>
  <si>
    <t>P 08 "Urologs"</t>
  </si>
  <si>
    <t>Galvenā vadības māsa</t>
  </si>
  <si>
    <t>0210 03</t>
  </si>
  <si>
    <t>Vecākais ārsta palīgs</t>
  </si>
  <si>
    <t>Galvenā medicīnas māsa</t>
  </si>
  <si>
    <t xml:space="preserve">Galvenā medicīnas māsa </t>
  </si>
  <si>
    <t xml:space="preserve">Vecākais ārsta palīgs </t>
  </si>
  <si>
    <t>Vecākais pasniedzējs instruktors</t>
  </si>
  <si>
    <t>0210 04</t>
  </si>
  <si>
    <t>Pasniedzējs instruktors</t>
  </si>
  <si>
    <t>Jaunākais pasniedzējs instruktors</t>
  </si>
  <si>
    <t xml:space="preserve">Medicīnas māsa </t>
  </si>
  <si>
    <t>Jaunākais instruktors</t>
  </si>
  <si>
    <t>0210 06</t>
  </si>
  <si>
    <r>
      <rPr>
        <b/>
        <sz val="9"/>
        <color theme="1"/>
        <rFont val="Times New Roman"/>
        <family val="1"/>
        <charset val="186"/>
      </rPr>
      <t>0110 04 "PULKVEDIS/ Jūras KAPTEINIS"</t>
    </r>
    <r>
      <rPr>
        <sz val="9"/>
        <color theme="1"/>
        <rFont val="Times New Roman"/>
        <family val="1"/>
      </rPr>
      <t xml:space="preserve">
1342 03 "Veselības aprūpes vadības ĀRSTS"</t>
    </r>
  </si>
  <si>
    <r>
      <rPr>
        <b/>
        <sz val="9"/>
        <color theme="1"/>
        <rFont val="Times New Roman"/>
        <family val="1"/>
        <charset val="186"/>
      </rPr>
      <t>0110 05 "PULKVEŽLEITNANTS/ KOMANDKAPTEINIS"</t>
    </r>
    <r>
      <rPr>
        <sz val="9"/>
        <color theme="1"/>
        <rFont val="Times New Roman"/>
        <family val="1"/>
      </rPr>
      <t xml:space="preserve">
2212 11 "ĀRSTS EKSPERTS"</t>
    </r>
  </si>
  <si>
    <r>
      <rPr>
        <b/>
        <sz val="9"/>
        <color theme="1"/>
        <rFont val="Times New Roman"/>
        <family val="1"/>
        <charset val="186"/>
      </rPr>
      <t>0110 05 "PULKVEŽLEITNANTS/ KOMANDKAPTEINIS"</t>
    </r>
    <r>
      <rPr>
        <sz val="9"/>
        <color theme="1"/>
        <rFont val="Times New Roman"/>
        <family val="1"/>
      </rPr>
      <t xml:space="preserve">
1342 03 "Veselības aprūpes vadības ĀRSTS"</t>
    </r>
  </si>
  <si>
    <r>
      <rPr>
        <b/>
        <sz val="9"/>
        <color theme="1"/>
        <rFont val="Times New Roman"/>
        <family val="1"/>
        <charset val="186"/>
      </rPr>
      <t>0110 05 "PULKVEŽLEITNANTS/ KOMANDKAPTEINIS"</t>
    </r>
    <r>
      <rPr>
        <sz val="9"/>
        <color theme="1"/>
        <rFont val="Times New Roman"/>
        <family val="1"/>
      </rPr>
      <t xml:space="preserve">
2212 104 "INTERNISTS"</t>
    </r>
  </si>
  <si>
    <r>
      <rPr>
        <b/>
        <sz val="9"/>
        <color theme="1"/>
        <rFont val="Times New Roman"/>
        <family val="1"/>
        <charset val="186"/>
      </rPr>
      <t>0110 06 "MAJORS/ KOMANDLEITNANTS"</t>
    </r>
    <r>
      <rPr>
        <sz val="9"/>
        <color theme="1"/>
        <rFont val="Times New Roman"/>
        <family val="1"/>
      </rPr>
      <t xml:space="preserve">
2212 61 "ĶIRURGS"</t>
    </r>
  </si>
  <si>
    <r>
      <rPr>
        <b/>
        <sz val="9"/>
        <color theme="1"/>
        <rFont val="Times New Roman"/>
        <family val="1"/>
        <charset val="186"/>
      </rPr>
      <t>0110 06 "MAJORS/ KOMANDLEITNANTS"</t>
    </r>
    <r>
      <rPr>
        <sz val="9"/>
        <color theme="1"/>
        <rFont val="Times New Roman"/>
        <family val="1"/>
      </rPr>
      <t xml:space="preserve">
2212 08 "Arodveselības un arodslimību ĀRSTS"</t>
    </r>
  </si>
  <si>
    <r>
      <rPr>
        <b/>
        <sz val="9"/>
        <color theme="1"/>
        <rFont val="Times New Roman"/>
        <family val="1"/>
        <charset val="186"/>
      </rPr>
      <t>0110 06 "MAJORS/ KOMANDLEITNANTS"</t>
    </r>
    <r>
      <rPr>
        <sz val="9"/>
        <color theme="1"/>
        <rFont val="Times New Roman"/>
        <family val="1"/>
      </rPr>
      <t xml:space="preserve">
2212 104 "INTERNISTS"</t>
    </r>
  </si>
  <si>
    <r>
      <rPr>
        <b/>
        <sz val="9"/>
        <color theme="1"/>
        <rFont val="Times New Roman"/>
        <family val="1"/>
        <charset val="186"/>
      </rPr>
      <t>0110 06 "MAJORS/ KOMANDLEITNANTS"</t>
    </r>
    <r>
      <rPr>
        <sz val="9"/>
        <color theme="1"/>
        <rFont val="Times New Roman"/>
        <family val="1"/>
      </rPr>
      <t xml:space="preserve">
2212 36 "Sporta ĀRSTS"</t>
    </r>
  </si>
  <si>
    <r>
      <rPr>
        <b/>
        <sz val="9"/>
        <color theme="1"/>
        <rFont val="Times New Roman"/>
        <family val="1"/>
        <charset val="186"/>
      </rPr>
      <t>0110 06 "MAJORS/ KOMANDLEITNANTS"</t>
    </r>
    <r>
      <rPr>
        <sz val="9"/>
        <color theme="1"/>
        <rFont val="Times New Roman"/>
        <family val="1"/>
      </rPr>
      <t xml:space="preserve">
2211 03 "Ģimenes/ vispārējās prakses ĀRSTS"</t>
    </r>
  </si>
  <si>
    <r>
      <rPr>
        <b/>
        <sz val="9"/>
        <color theme="1"/>
        <rFont val="Times New Roman"/>
        <family val="1"/>
        <charset val="186"/>
      </rPr>
      <t>0110 07 "KAPTEINIS/ KAPTEIŅLEITNANTS"</t>
    </r>
    <r>
      <rPr>
        <sz val="9"/>
        <color theme="1"/>
        <rFont val="Times New Roman"/>
        <family val="1"/>
      </rPr>
      <t xml:space="preserve">
2211 03 "Ģimenes/ vispārējās prakses ĀRSTS"</t>
    </r>
  </si>
  <si>
    <r>
      <rPr>
        <b/>
        <sz val="9"/>
        <color theme="1"/>
        <rFont val="Times New Roman"/>
        <family val="1"/>
        <charset val="186"/>
      </rPr>
      <t>0110 07 "KAPTEINIS/ KAPTEIŅLEITNANTS"</t>
    </r>
    <r>
      <rPr>
        <sz val="9"/>
        <color theme="1"/>
        <rFont val="Times New Roman"/>
        <family val="1"/>
      </rPr>
      <t xml:space="preserve">
2212 103 "UROLOGS"</t>
    </r>
  </si>
  <si>
    <t>Kods: 420200055</t>
  </si>
  <si>
    <t>n86 "Ambulatorā dienesta ārsta palīgs"
n74 "Neatliekamās medicīnas ārsta palīgs (feldšeris)"</t>
  </si>
  <si>
    <t>n74 "Neatliekamās medicīnas ārsta palīgs (feldšeris)"
n86 "Ambulatorā dienesta ārsta palīgs"</t>
  </si>
  <si>
    <r>
      <rPr>
        <b/>
        <sz val="9"/>
        <color theme="1"/>
        <rFont val="Times New Roman"/>
        <family val="1"/>
        <charset val="186"/>
      </rPr>
      <t>0210 03 "Štāba VIRSSERŽANTS/ Štāba BOCMANIS"</t>
    </r>
    <r>
      <rPr>
        <sz val="9"/>
        <color theme="1"/>
        <rFont val="Times New Roman"/>
        <family val="1"/>
      </rPr>
      <t xml:space="preserve">
1342 05 "Galvenā medicīnas MĀSA"</t>
    </r>
  </si>
  <si>
    <r>
      <rPr>
        <b/>
        <sz val="9"/>
        <color theme="1"/>
        <rFont val="Times New Roman"/>
        <family val="1"/>
        <charset val="186"/>
      </rPr>
      <t>0210 03 "Štāba VIRSSERŽANTS/ Štāba BOCMANIS"</t>
    </r>
    <r>
      <rPr>
        <sz val="9"/>
        <color theme="1"/>
        <rFont val="Times New Roman"/>
        <family val="1"/>
      </rPr>
      <t xml:space="preserve">
2240 01 "ĀRSTA PALĪGS/ FELDŠERIS"</t>
    </r>
  </si>
  <si>
    <r>
      <rPr>
        <b/>
        <sz val="9"/>
        <color theme="1"/>
        <rFont val="Times New Roman"/>
        <family val="1"/>
        <charset val="186"/>
      </rPr>
      <t>0210 03 "Štāba VIRSSERŽANTS/ Štāba BOCMANIS"</t>
    </r>
    <r>
      <rPr>
        <sz val="9"/>
        <color theme="1"/>
        <rFont val="Times New Roman"/>
        <family val="1"/>
      </rPr>
      <t xml:space="preserve">
2240 02 "Ambulatorā dienesta ĀRSTA PALĪGS"</t>
    </r>
  </si>
  <si>
    <r>
      <rPr>
        <b/>
        <sz val="9"/>
        <color theme="1"/>
        <rFont val="Times New Roman"/>
        <family val="1"/>
        <charset val="186"/>
      </rPr>
      <t>0210 04 "VIRSSERŽANTS/ BOCMANIS"</t>
    </r>
    <r>
      <rPr>
        <sz val="9"/>
        <color theme="1"/>
        <rFont val="Times New Roman"/>
        <family val="1"/>
      </rPr>
      <t xml:space="preserve">
2221 01 "Vecākā medicīnas MĀSA"</t>
    </r>
  </si>
  <si>
    <r>
      <rPr>
        <b/>
        <sz val="9"/>
        <color theme="1"/>
        <rFont val="Times New Roman"/>
        <family val="1"/>
        <charset val="186"/>
      </rPr>
      <t>0210 04 "VIRSSERŽANTS/ BOCMANIS"</t>
    </r>
    <r>
      <rPr>
        <sz val="9"/>
        <color theme="1"/>
        <rFont val="Times New Roman"/>
        <family val="1"/>
      </rPr>
      <t xml:space="preserve">
2240 01 "ĀRSTA PALĪGS/ FELDŠERIS"</t>
    </r>
  </si>
  <si>
    <r>
      <rPr>
        <b/>
        <sz val="9"/>
        <color theme="1"/>
        <rFont val="Times New Roman"/>
        <family val="1"/>
        <charset val="186"/>
      </rPr>
      <t>0210 04 "VIRSSERŽANTS/ BOCMANIS"</t>
    </r>
    <r>
      <rPr>
        <sz val="9"/>
        <color theme="1"/>
        <rFont val="Times New Roman"/>
        <family val="1"/>
      </rPr>
      <t xml:space="preserve">
2221 02 "VirsMĀSA"</t>
    </r>
  </si>
  <si>
    <r>
      <rPr>
        <b/>
        <sz val="9"/>
        <color theme="1"/>
        <rFont val="Times New Roman"/>
        <family val="1"/>
        <charset val="186"/>
      </rPr>
      <t>0210 05 "SERŽANTS"</t>
    </r>
    <r>
      <rPr>
        <sz val="9"/>
        <color theme="1"/>
        <rFont val="Times New Roman"/>
        <family val="1"/>
      </rPr>
      <t xml:space="preserve">
2221 46 "MĀSA/vispārējās aprūpes MĀSA"</t>
    </r>
  </si>
  <si>
    <r>
      <rPr>
        <b/>
        <sz val="9"/>
        <color theme="1"/>
        <rFont val="Times New Roman"/>
        <family val="1"/>
        <charset val="186"/>
      </rPr>
      <t>0210 06 "KAPRĀLIS"</t>
    </r>
    <r>
      <rPr>
        <sz val="9"/>
        <color theme="1"/>
        <rFont val="Times New Roman"/>
        <family val="1"/>
      </rPr>
      <t xml:space="preserve">
2240 01 "ĀRSTA PALĪGS/ FELDŠERIS"</t>
    </r>
  </si>
  <si>
    <t>14.Iekšlietu ministrija</t>
  </si>
  <si>
    <t>Budžeta programma 10.00.00 "Valsts robežsardzes darbība"</t>
  </si>
  <si>
    <t>ĀRSTA PALĪGS/ FELDŠERIS</t>
  </si>
  <si>
    <t>EKK 2000</t>
  </si>
  <si>
    <t>Izglītības un zinātnes ministrija t.sk. (62.resors "Mērķotācijas pašvaldībām"):</t>
  </si>
  <si>
    <t>Apakšprogramma 04.01.00 "Ieslodzījuma vietas"</t>
  </si>
  <si>
    <t>3.pielikums</t>
  </si>
  <si>
    <t>3.1. pielikums</t>
  </si>
  <si>
    <t>3.2. pielikums</t>
  </si>
  <si>
    <t>3.3. pielikums</t>
  </si>
  <si>
    <t>3.4. pielikums</t>
  </si>
  <si>
    <t>3.5. pielikums</t>
  </si>
  <si>
    <t>3.6. pielikums</t>
  </si>
  <si>
    <t>3.7. pielikums</t>
  </si>
  <si>
    <t>3.8. pielikums</t>
  </si>
  <si>
    <t>3.9. pielikums</t>
  </si>
  <si>
    <t>3.10. pielikums</t>
  </si>
  <si>
    <t>3.11. pielikums</t>
  </si>
  <si>
    <t xml:space="preserve">Pašvaldību speciālajās izglītības iestādēs, kas nodrošina internāta pakalpojumus
nodarbināto ārstniecības personu faktiskā darba samaksa par slodzi 2024.gadā </t>
  </si>
  <si>
    <t>Ārstniecības personu darba samaksas 2024.gadam 
pašvaldībām - pašvaldību speciālajām internātskolām un Izglītības iestāžu reģistrā reģistrētajiem attīstības un rehabilitācijas centriem</t>
  </si>
  <si>
    <t>Labklājības ministrijas ārstniecības personu faktiskā darba samaksa par slodzi atbilstoši MK noteikumiem Nr. 851</t>
  </si>
  <si>
    <t>Ārstniecības personu darba samaksas pieauguma nodrošināšana no 2024. gada un turpmāk ik gadu</t>
  </si>
  <si>
    <t>38.05.00 "Veselības aprūpe un fiziskā sagatavotība"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</si>
</sst>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
    <numFmt numFmtId="166" formatCode="0.000"/>
    <numFmt numFmtId="167" formatCode="#,##0.000"/>
    <numFmt numFmtId="168" formatCode="0.0%"/>
    <numFmt numFmtId="169" formatCode="0.000%"/>
  </numFmts>
  <fonts count="123" x14ac:knownFonts="1">
    <font>
      <sz val="11"/>
      <color theme="1"/>
      <name val="Calibri"/>
      <family val="2"/>
      <charset val="186"/>
      <scheme val="minor"/>
    </font>
    <font>
      <b/>
      <sz val="11"/>
      <color theme="1"/>
      <name val="Calibri"/>
      <family val="2"/>
      <charset val="186"/>
      <scheme val="minor"/>
    </font>
    <font>
      <b/>
      <sz val="11"/>
      <color theme="1"/>
      <name val="Times New Roman"/>
      <family val="1"/>
    </font>
    <font>
      <sz val="10"/>
      <color indexed="8"/>
      <name val="Times New Roman"/>
      <family val="1"/>
    </font>
    <font>
      <sz val="10"/>
      <color theme="1"/>
      <name val="Times New Roman"/>
      <family val="1"/>
    </font>
    <font>
      <sz val="10"/>
      <color rgb="FF0000CC"/>
      <name val="Times New Roman"/>
      <family val="1"/>
    </font>
    <font>
      <b/>
      <sz val="10"/>
      <color theme="1"/>
      <name val="Times New Roman"/>
      <family val="1"/>
    </font>
    <font>
      <b/>
      <i/>
      <sz val="10"/>
      <color theme="1"/>
      <name val="Times New Roman"/>
      <family val="1"/>
    </font>
    <font>
      <b/>
      <sz val="10"/>
      <color rgb="FF0000CC"/>
      <name val="Times New Roman"/>
      <family val="1"/>
    </font>
    <font>
      <b/>
      <sz val="10"/>
      <color theme="1"/>
      <name val="Times New Roman"/>
      <family val="1"/>
      <charset val="186"/>
    </font>
    <font>
      <sz val="11"/>
      <color indexed="8"/>
      <name val="Calibri"/>
      <family val="2"/>
      <charset val="186"/>
    </font>
    <font>
      <sz val="10"/>
      <name val="Times New Roman"/>
      <family val="1"/>
      <charset val="186"/>
    </font>
    <font>
      <sz val="10"/>
      <name val="Times New Roman"/>
      <family val="1"/>
    </font>
    <font>
      <sz val="10"/>
      <color rgb="FFFF0000"/>
      <name val="Times New Roman"/>
      <family val="1"/>
    </font>
    <font>
      <sz val="10"/>
      <color rgb="FFFF0000"/>
      <name val="Times New Roman"/>
      <family val="1"/>
      <charset val="186"/>
    </font>
    <font>
      <b/>
      <sz val="12"/>
      <name val="Times New Roman"/>
      <family val="1"/>
    </font>
    <font>
      <sz val="9"/>
      <color theme="1"/>
      <name val="Times New Roman"/>
      <family val="1"/>
    </font>
    <font>
      <u/>
      <sz val="9"/>
      <color indexed="8"/>
      <name val="Times New Roman"/>
      <family val="1"/>
    </font>
    <font>
      <sz val="9"/>
      <color indexed="8"/>
      <name val="Times New Roman"/>
      <family val="1"/>
    </font>
    <font>
      <b/>
      <sz val="10"/>
      <name val="Times New Roman"/>
      <family val="1"/>
      <charset val="186"/>
    </font>
    <font>
      <b/>
      <sz val="10"/>
      <name val="Times New Roman"/>
      <family val="1"/>
    </font>
    <font>
      <sz val="11"/>
      <color theme="1"/>
      <name val="Times New Roman"/>
      <family val="1"/>
    </font>
    <font>
      <sz val="10"/>
      <color theme="1"/>
      <name val="Times New Roman"/>
      <family val="1"/>
      <charset val="186"/>
    </font>
    <font>
      <b/>
      <sz val="12"/>
      <color theme="1"/>
      <name val="Calibri"/>
      <family val="2"/>
      <charset val="186"/>
      <scheme val="minor"/>
    </font>
    <font>
      <sz val="12"/>
      <color theme="1"/>
      <name val="Times New Roman"/>
      <family val="1"/>
    </font>
    <font>
      <sz val="10"/>
      <color theme="1"/>
      <name val="Calibri"/>
      <family val="2"/>
      <charset val="186"/>
      <scheme val="minor"/>
    </font>
    <font>
      <u/>
      <sz val="10"/>
      <color indexed="8"/>
      <name val="Times New Roman"/>
      <family val="1"/>
    </font>
    <font>
      <sz val="11"/>
      <color theme="1"/>
      <name val="Calibri"/>
      <family val="2"/>
      <charset val="186"/>
      <scheme val="minor"/>
    </font>
    <font>
      <b/>
      <i/>
      <sz val="10"/>
      <name val="Times New Roman"/>
      <family val="1"/>
    </font>
    <font>
      <b/>
      <i/>
      <sz val="10"/>
      <name val="Times New Roman"/>
      <family val="1"/>
      <charset val="186"/>
    </font>
    <font>
      <sz val="10"/>
      <name val="Arial"/>
      <family val="2"/>
    </font>
    <font>
      <sz val="9"/>
      <color theme="1"/>
      <name val="Times New Roman"/>
      <family val="1"/>
      <charset val="186"/>
    </font>
    <font>
      <sz val="11"/>
      <name val="Times New Roman"/>
      <family val="1"/>
    </font>
    <font>
      <sz val="12"/>
      <name val="Times New Roman"/>
      <family val="1"/>
    </font>
    <font>
      <b/>
      <sz val="14"/>
      <color theme="1"/>
      <name val="Times New Roman"/>
      <family val="1"/>
    </font>
    <font>
      <b/>
      <sz val="12"/>
      <color theme="1"/>
      <name val="Times New Roman"/>
      <family val="1"/>
      <charset val="186"/>
    </font>
    <font>
      <sz val="10"/>
      <name val="Arial"/>
      <family val="2"/>
      <charset val="186"/>
    </font>
    <font>
      <sz val="11"/>
      <name val="Times New Roman"/>
      <family val="1"/>
      <charset val="186"/>
    </font>
    <font>
      <b/>
      <sz val="11"/>
      <name val="Times New Roman"/>
      <family val="1"/>
      <charset val="186"/>
    </font>
    <font>
      <sz val="11"/>
      <color theme="1"/>
      <name val="Times New Roman"/>
      <family val="1"/>
      <charset val="186"/>
    </font>
    <font>
      <b/>
      <sz val="11"/>
      <color theme="1"/>
      <name val="Times New Roman"/>
      <family val="1"/>
      <charset val="186"/>
    </font>
    <font>
      <b/>
      <sz val="12"/>
      <name val="Times New Roman"/>
      <family val="1"/>
      <charset val="186"/>
    </font>
    <font>
      <b/>
      <sz val="9"/>
      <name val="Times New Roman"/>
      <family val="1"/>
      <charset val="186"/>
    </font>
    <font>
      <sz val="9"/>
      <name val="Times New Roman"/>
      <family val="1"/>
      <charset val="186"/>
    </font>
    <font>
      <b/>
      <sz val="8"/>
      <name val="Times New Roman"/>
      <family val="1"/>
      <charset val="186"/>
    </font>
    <font>
      <b/>
      <i/>
      <sz val="10"/>
      <name val="Arial"/>
      <family val="2"/>
      <charset val="186"/>
    </font>
    <font>
      <b/>
      <i/>
      <sz val="10"/>
      <color rgb="FF7030A0"/>
      <name val="Arial"/>
      <family val="2"/>
      <charset val="186"/>
    </font>
    <font>
      <b/>
      <i/>
      <sz val="10"/>
      <color rgb="FFFF0000"/>
      <name val="Times New Roman"/>
      <family val="1"/>
      <charset val="186"/>
    </font>
    <font>
      <i/>
      <sz val="9"/>
      <name val="Times New Roman"/>
      <family val="1"/>
      <charset val="186"/>
    </font>
    <font>
      <i/>
      <sz val="10"/>
      <name val="Times New Roman"/>
      <family val="1"/>
      <charset val="186"/>
    </font>
    <font>
      <i/>
      <sz val="10"/>
      <name val="Arial"/>
      <family val="2"/>
      <charset val="186"/>
    </font>
    <font>
      <i/>
      <sz val="9"/>
      <color rgb="FF7030A0"/>
      <name val="Times New Roman"/>
      <family val="1"/>
      <charset val="186"/>
    </font>
    <font>
      <i/>
      <sz val="9"/>
      <name val="Arial"/>
      <family val="2"/>
      <charset val="186"/>
    </font>
    <font>
      <i/>
      <sz val="9"/>
      <color rgb="FF7030A0"/>
      <name val="Arial"/>
      <family val="2"/>
      <charset val="186"/>
    </font>
    <font>
      <i/>
      <sz val="10"/>
      <color rgb="FFFF0000"/>
      <name val="Times New Roman"/>
      <family val="1"/>
      <charset val="186"/>
    </font>
    <font>
      <b/>
      <u/>
      <sz val="10"/>
      <name val="Times New Roman"/>
      <family val="1"/>
      <charset val="186"/>
    </font>
    <font>
      <b/>
      <sz val="10"/>
      <color rgb="FFFF0000"/>
      <name val="Times New Roman"/>
      <family val="1"/>
      <charset val="186"/>
    </font>
    <font>
      <b/>
      <sz val="10"/>
      <name val="Arial"/>
      <family val="2"/>
      <charset val="186"/>
    </font>
    <font>
      <sz val="10"/>
      <color rgb="FF7030A0"/>
      <name val="Times New Roman"/>
      <family val="1"/>
      <charset val="186"/>
    </font>
    <font>
      <b/>
      <sz val="8"/>
      <color rgb="FFFF0000"/>
      <name val="Times New Roman"/>
      <family val="1"/>
      <charset val="186"/>
    </font>
    <font>
      <b/>
      <sz val="11"/>
      <color rgb="FFFF0000"/>
      <name val="Calibri"/>
      <family val="2"/>
      <charset val="186"/>
      <scheme val="minor"/>
    </font>
    <font>
      <b/>
      <sz val="11"/>
      <color rgb="FFFF0000"/>
      <name val="Times New Roman"/>
      <family val="1"/>
      <charset val="186"/>
    </font>
    <font>
      <sz val="10"/>
      <color theme="0"/>
      <name val="Arial"/>
      <family val="2"/>
      <charset val="186"/>
    </font>
    <font>
      <b/>
      <sz val="10"/>
      <color rgb="FFFF0000"/>
      <name val="Calibri"/>
      <family val="2"/>
      <charset val="186"/>
      <scheme val="minor"/>
    </font>
    <font>
      <sz val="12"/>
      <name val="Arial"/>
      <family val="2"/>
      <charset val="186"/>
    </font>
    <font>
      <sz val="9"/>
      <color theme="1"/>
      <name val="Calibri"/>
      <family val="2"/>
      <charset val="186"/>
      <scheme val="minor"/>
    </font>
    <font>
      <sz val="10"/>
      <name val="Arial Baltic"/>
      <charset val="186"/>
    </font>
    <font>
      <b/>
      <sz val="9"/>
      <color theme="1"/>
      <name val="Times New Roman"/>
      <family val="1"/>
    </font>
    <font>
      <b/>
      <sz val="11"/>
      <color theme="1"/>
      <name val="Calibri"/>
      <family val="2"/>
      <scheme val="minor"/>
    </font>
    <font>
      <b/>
      <sz val="10"/>
      <name val="Arial"/>
      <family val="2"/>
    </font>
    <font>
      <b/>
      <sz val="10"/>
      <color rgb="FFFF0000"/>
      <name val="Arial"/>
      <family val="2"/>
    </font>
    <font>
      <b/>
      <sz val="12"/>
      <color rgb="FFFF0000"/>
      <name val="Arial"/>
      <family val="2"/>
    </font>
    <font>
      <b/>
      <i/>
      <sz val="11"/>
      <name val="Times New Roman"/>
      <family val="1"/>
      <charset val="186"/>
    </font>
    <font>
      <i/>
      <sz val="10"/>
      <name val="Times New Roman"/>
      <family val="1"/>
    </font>
    <font>
      <b/>
      <i/>
      <sz val="10"/>
      <name val="Arial"/>
      <family val="2"/>
    </font>
    <font>
      <i/>
      <sz val="10"/>
      <color rgb="FF7030A0"/>
      <name val="Arial"/>
      <family val="2"/>
      <charset val="186"/>
    </font>
    <font>
      <i/>
      <sz val="8"/>
      <name val="Times New Roman"/>
      <family val="1"/>
    </font>
    <font>
      <b/>
      <i/>
      <sz val="9"/>
      <color rgb="FF7030A0"/>
      <name val="Times New Roman"/>
      <family val="1"/>
    </font>
    <font>
      <i/>
      <sz val="9"/>
      <color rgb="FF7030A0"/>
      <name val="Times New Roman"/>
      <family val="1"/>
    </font>
    <font>
      <i/>
      <sz val="10"/>
      <color rgb="FF7030A0"/>
      <name val="Times New Roman"/>
      <family val="1"/>
    </font>
    <font>
      <sz val="8"/>
      <name val="Calibri"/>
      <family val="2"/>
      <charset val="186"/>
      <scheme val="minor"/>
    </font>
    <font>
      <b/>
      <i/>
      <sz val="12"/>
      <name val="Times New Roman"/>
      <family val="1"/>
      <charset val="186"/>
    </font>
    <font>
      <b/>
      <i/>
      <sz val="12"/>
      <name val="Arial"/>
      <family val="2"/>
      <charset val="186"/>
    </font>
    <font>
      <sz val="11"/>
      <color theme="1"/>
      <name val="Calibri"/>
      <family val="2"/>
      <charset val="186"/>
    </font>
    <font>
      <sz val="10"/>
      <color rgb="FF7030A0"/>
      <name val="Arial"/>
      <family val="2"/>
      <charset val="186"/>
    </font>
    <font>
      <sz val="11"/>
      <color rgb="FF7030A0"/>
      <name val="Calibri"/>
      <family val="2"/>
      <charset val="186"/>
      <scheme val="minor"/>
    </font>
    <font>
      <u/>
      <sz val="10"/>
      <name val="Times New Roman"/>
      <family val="1"/>
    </font>
    <font>
      <u/>
      <sz val="9"/>
      <color theme="1"/>
      <name val="Times New Roman"/>
      <family val="1"/>
    </font>
    <font>
      <b/>
      <i/>
      <sz val="11"/>
      <color theme="1"/>
      <name val="Times New Roman"/>
      <family val="1"/>
    </font>
    <font>
      <b/>
      <i/>
      <sz val="9"/>
      <color theme="1"/>
      <name val="Times New Roman"/>
      <family val="1"/>
      <charset val="186"/>
    </font>
    <font>
      <b/>
      <i/>
      <sz val="10"/>
      <color theme="1"/>
      <name val="Times New Roman"/>
      <family val="1"/>
      <charset val="186"/>
    </font>
    <font>
      <b/>
      <i/>
      <sz val="9"/>
      <name val="Times New Roman"/>
      <family val="1"/>
      <charset val="186"/>
    </font>
    <font>
      <b/>
      <i/>
      <u/>
      <sz val="9"/>
      <color theme="1"/>
      <name val="Times New Roman"/>
      <family val="1"/>
      <charset val="186"/>
    </font>
    <font>
      <sz val="10"/>
      <color rgb="FF0000CC"/>
      <name val="Times New Roman"/>
      <family val="1"/>
      <charset val="186"/>
    </font>
    <font>
      <b/>
      <i/>
      <sz val="9"/>
      <color theme="1"/>
      <name val="Times New Roman"/>
      <family val="1"/>
    </font>
    <font>
      <sz val="11"/>
      <color theme="1"/>
      <name val="Calibri"/>
      <family val="2"/>
      <scheme val="minor"/>
    </font>
    <font>
      <sz val="10"/>
      <name val="Arial"/>
      <family val="2"/>
    </font>
    <font>
      <sz val="10"/>
      <name val="Arial"/>
      <family val="2"/>
    </font>
    <font>
      <sz val="10"/>
      <name val="Arial"/>
      <family val="2"/>
    </font>
    <font>
      <sz val="11"/>
      <color indexed="8"/>
      <name val="Calibri"/>
      <family val="2"/>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libri Light"/>
      <family val="2"/>
      <scheme val="major"/>
    </font>
    <font>
      <sz val="11"/>
      <color indexed="10"/>
      <name val="Calibri"/>
      <family val="2"/>
      <scheme val="minor"/>
    </font>
    <font>
      <b/>
      <i/>
      <sz val="18"/>
      <name val="Times New Roman"/>
      <family val="1"/>
      <charset val="186"/>
    </font>
    <font>
      <b/>
      <i/>
      <sz val="18"/>
      <name val="Arial"/>
      <family val="2"/>
      <charset val="186"/>
    </font>
    <font>
      <sz val="10"/>
      <color rgb="FF333333"/>
      <name val="Times New Roman"/>
      <family val="1"/>
      <charset val="186"/>
    </font>
    <font>
      <b/>
      <sz val="9"/>
      <color theme="1"/>
      <name val="Times New Roman"/>
      <family val="1"/>
      <charset val="186"/>
    </font>
    <font>
      <b/>
      <sz val="14"/>
      <name val="Times New Roman"/>
      <family val="1"/>
      <charset val="186"/>
    </font>
    <font>
      <b/>
      <sz val="10"/>
      <color theme="1"/>
      <name val="Calibri"/>
      <family val="2"/>
      <scheme val="minor"/>
    </font>
    <font>
      <b/>
      <sz val="12"/>
      <color theme="1"/>
      <name val="Times New Roman"/>
      <family val="1"/>
    </font>
    <font>
      <b/>
      <sz val="10"/>
      <color rgb="FFFF0000"/>
      <name val="Times New Roman"/>
      <family val="1"/>
    </font>
  </fonts>
  <fills count="56">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rgb="FF00B0F0"/>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tint="-0.499984740745262"/>
        <bgColor indexed="64"/>
      </patternFill>
    </fill>
    <fill>
      <patternFill patternType="solid">
        <fgColor rgb="FF92D05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0"/>
        <bgColor rgb="FFFFFFFF"/>
      </patternFill>
    </fill>
    <fill>
      <patternFill patternType="solid">
        <fgColor indexed="47"/>
        <bgColor indexed="64"/>
      </patternFill>
    </fill>
    <fill>
      <patternFill patternType="solid">
        <fgColor indexed="26"/>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EB9C"/>
        <bgColor indexed="64"/>
      </patternFill>
    </fill>
    <fill>
      <patternFill patternType="solid">
        <fgColor rgb="FFEBF1DE"/>
        <bgColor rgb="FF000000"/>
      </patternFill>
    </fill>
    <fill>
      <patternFill patternType="solid">
        <fgColor theme="0" tint="-0.24994659260841701"/>
        <bgColor indexed="64"/>
      </patternFill>
    </fill>
    <fill>
      <patternFill patternType="solid">
        <fgColor theme="9" tint="0.39997558519241921"/>
        <bgColor rgb="FFFFFFFF"/>
      </patternFill>
    </fill>
  </fills>
  <borders count="8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top style="thin">
        <color indexed="8"/>
      </top>
      <bottom style="thin">
        <color indexed="8"/>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thin">
        <color auto="1"/>
      </right>
      <top/>
      <bottom/>
      <diagonal/>
    </border>
    <border>
      <left style="medium">
        <color indexed="64"/>
      </left>
      <right style="medium">
        <color indexed="64"/>
      </right>
      <top/>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64"/>
      </top>
      <bottom style="thin">
        <color indexed="8"/>
      </bottom>
      <diagonal/>
    </border>
    <border>
      <left style="thin">
        <color indexed="8"/>
      </left>
      <right style="thin">
        <color indexed="64"/>
      </right>
      <top style="thin">
        <color indexed="8"/>
      </top>
      <bottom style="thin">
        <color indexed="8"/>
      </bottom>
      <diagonal/>
    </border>
    <border>
      <left/>
      <right/>
      <top/>
      <bottom style="thick">
        <color theme="4"/>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theme="4" tint="0.49995422223578601"/>
      </bottom>
      <diagonal/>
    </border>
    <border>
      <left/>
      <right style="thin">
        <color indexed="64"/>
      </right>
      <top/>
      <bottom style="medium">
        <color indexed="64"/>
      </bottom>
      <diagonal/>
    </border>
    <border>
      <left style="thin">
        <color indexed="64"/>
      </left>
      <right/>
      <top/>
      <bottom style="medium">
        <color indexed="64"/>
      </bottom>
      <diagonal/>
    </border>
  </borders>
  <cellStyleXfs count="70">
    <xf numFmtId="0" fontId="0" fillId="0" borderId="0"/>
    <xf numFmtId="0" fontId="10" fillId="0" borderId="0"/>
    <xf numFmtId="9" fontId="27" fillId="0" borderId="0" applyFont="0" applyFill="0" applyBorder="0" applyAlignment="0" applyProtection="0"/>
    <xf numFmtId="0" fontId="30" fillId="0" borderId="0"/>
    <xf numFmtId="0" fontId="36" fillId="0" borderId="0" applyBorder="0"/>
    <xf numFmtId="0" fontId="36" fillId="0" borderId="0" applyBorder="0"/>
    <xf numFmtId="0" fontId="36" fillId="0" borderId="0"/>
    <xf numFmtId="0" fontId="36" fillId="0" borderId="0"/>
    <xf numFmtId="0" fontId="64" fillId="0" borderId="0"/>
    <xf numFmtId="0" fontId="66" fillId="0" borderId="0"/>
    <xf numFmtId="0" fontId="36" fillId="0" borderId="0"/>
    <xf numFmtId="0" fontId="27" fillId="0" borderId="0"/>
    <xf numFmtId="0" fontId="83" fillId="0" borderId="0"/>
    <xf numFmtId="0" fontId="27" fillId="0" borderId="0"/>
    <xf numFmtId="0" fontId="36" fillId="0" borderId="0"/>
    <xf numFmtId="0" fontId="27" fillId="0" borderId="0"/>
    <xf numFmtId="0" fontId="27" fillId="0" borderId="0"/>
    <xf numFmtId="0" fontId="27" fillId="0" borderId="0"/>
    <xf numFmtId="0" fontId="27" fillId="0" borderId="0"/>
    <xf numFmtId="0" fontId="27" fillId="0" borderId="0"/>
    <xf numFmtId="0" fontId="36" fillId="0" borderId="0"/>
    <xf numFmtId="0" fontId="95" fillId="0" borderId="0"/>
    <xf numFmtId="0" fontId="96" fillId="0" borderId="0"/>
    <xf numFmtId="0" fontId="27" fillId="0" borderId="0"/>
    <xf numFmtId="0" fontId="97" fillId="0" borderId="0"/>
    <xf numFmtId="0" fontId="30" fillId="0" borderId="0"/>
    <xf numFmtId="0" fontId="98" fillId="0" borderId="0"/>
    <xf numFmtId="0" fontId="95" fillId="27" borderId="0" applyNumberFormat="0" applyBorder="0" applyAlignment="0" applyProtection="0"/>
    <xf numFmtId="0" fontId="95" fillId="28" borderId="0" applyNumberFormat="0" applyBorder="0" applyAlignment="0" applyProtection="0"/>
    <xf numFmtId="0" fontId="95" fillId="29" borderId="0" applyNumberFormat="0" applyBorder="0" applyAlignment="0" applyProtection="0"/>
    <xf numFmtId="0" fontId="95" fillId="30" borderId="0" applyNumberFormat="0" applyBorder="0" applyAlignment="0" applyProtection="0"/>
    <xf numFmtId="0" fontId="95" fillId="31" borderId="0" applyNumberFormat="0" applyBorder="0" applyAlignment="0" applyProtection="0"/>
    <xf numFmtId="0" fontId="95" fillId="32" borderId="0" applyNumberFormat="0" applyBorder="0" applyAlignment="0" applyProtection="0"/>
    <xf numFmtId="0" fontId="95" fillId="33" borderId="0" applyNumberFormat="0" applyBorder="0" applyAlignment="0" applyProtection="0"/>
    <xf numFmtId="0" fontId="95" fillId="34" borderId="0" applyNumberFormat="0" applyBorder="0" applyAlignment="0" applyProtection="0"/>
    <xf numFmtId="0" fontId="95" fillId="35" borderId="0" applyNumberFormat="0" applyBorder="0" applyAlignment="0" applyProtection="0"/>
    <xf numFmtId="0" fontId="95" fillId="36" borderId="0" applyNumberFormat="0" applyBorder="0" applyAlignment="0" applyProtection="0"/>
    <xf numFmtId="0" fontId="95" fillId="37" borderId="0" applyNumberFormat="0" applyBorder="0" applyAlignment="0" applyProtection="0"/>
    <xf numFmtId="0" fontId="95" fillId="38" borderId="0" applyNumberFormat="0" applyBorder="0" applyAlignment="0" applyProtection="0"/>
    <xf numFmtId="0" fontId="100" fillId="39" borderId="0" applyNumberFormat="0" applyBorder="0" applyAlignment="0" applyProtection="0"/>
    <xf numFmtId="0" fontId="100" fillId="40" borderId="0" applyNumberFormat="0" applyBorder="0" applyAlignment="0" applyProtection="0"/>
    <xf numFmtId="0" fontId="100" fillId="16" borderId="0" applyNumberFormat="0" applyBorder="0" applyAlignment="0" applyProtection="0"/>
    <xf numFmtId="0" fontId="100" fillId="22" borderId="0" applyNumberFormat="0" applyBorder="0" applyAlignment="0" applyProtection="0"/>
    <xf numFmtId="0" fontId="100" fillId="8" borderId="0" applyNumberFormat="0" applyBorder="0" applyAlignment="0" applyProtection="0"/>
    <xf numFmtId="0" fontId="100" fillId="41" borderId="0" applyNumberFormat="0" applyBorder="0" applyAlignment="0" applyProtection="0"/>
    <xf numFmtId="0" fontId="100" fillId="42" borderId="0" applyNumberFormat="0" applyBorder="0" applyAlignment="0" applyProtection="0"/>
    <xf numFmtId="0" fontId="100" fillId="43" borderId="0" applyNumberFormat="0" applyBorder="0" applyAlignment="0" applyProtection="0"/>
    <xf numFmtId="0" fontId="100" fillId="44" borderId="0" applyNumberFormat="0" applyBorder="0" applyAlignment="0" applyProtection="0"/>
    <xf numFmtId="0" fontId="100" fillId="45" borderId="0" applyNumberFormat="0" applyBorder="0" applyAlignment="0" applyProtection="0"/>
    <xf numFmtId="0" fontId="100" fillId="46" borderId="0" applyNumberFormat="0" applyBorder="0" applyAlignment="0" applyProtection="0"/>
    <xf numFmtId="0" fontId="100" fillId="47" borderId="0" applyNumberFormat="0" applyBorder="0" applyAlignment="0" applyProtection="0"/>
    <xf numFmtId="0" fontId="101" fillId="48" borderId="0" applyNumberFormat="0" applyBorder="0" applyAlignment="0" applyProtection="0"/>
    <xf numFmtId="0" fontId="102" fillId="49" borderId="74" applyNumberFormat="0" applyAlignment="0" applyProtection="0"/>
    <xf numFmtId="0" fontId="103" fillId="50" borderId="77" applyNumberFormat="0" applyAlignment="0" applyProtection="0"/>
    <xf numFmtId="0" fontId="99" fillId="0" borderId="0"/>
    <xf numFmtId="0" fontId="104" fillId="0" borderId="0" applyNumberFormat="0" applyFill="0" applyBorder="0" applyAlignment="0" applyProtection="0"/>
    <xf numFmtId="0" fontId="105" fillId="51" borderId="0" applyNumberFormat="0" applyBorder="0" applyAlignment="0" applyProtection="0"/>
    <xf numFmtId="0" fontId="106" fillId="0" borderId="72" applyNumberFormat="0" applyFill="0" applyAlignment="0" applyProtection="0"/>
    <xf numFmtId="0" fontId="107" fillId="0" borderId="80" applyNumberFormat="0" applyFill="0" applyAlignment="0" applyProtection="0"/>
    <xf numFmtId="0" fontId="108" fillId="0" borderId="73" applyNumberFormat="0" applyFill="0" applyAlignment="0" applyProtection="0"/>
    <xf numFmtId="0" fontId="108" fillId="0" borderId="0" applyNumberFormat="0" applyFill="0" applyBorder="0" applyAlignment="0" applyProtection="0"/>
    <xf numFmtId="0" fontId="109" fillId="25" borderId="74" applyNumberFormat="0" applyAlignment="0" applyProtection="0"/>
    <xf numFmtId="0" fontId="110" fillId="0" borderId="76" applyNumberFormat="0" applyFill="0" applyAlignment="0" applyProtection="0"/>
    <xf numFmtId="0" fontId="111" fillId="52" borderId="0" applyNumberFormat="0" applyBorder="0" applyAlignment="0" applyProtection="0"/>
    <xf numFmtId="0" fontId="36" fillId="26" borderId="78" applyNumberFormat="0" applyFont="0" applyAlignment="0" applyProtection="0"/>
    <xf numFmtId="0" fontId="112" fillId="49" borderId="75" applyNumberFormat="0" applyAlignment="0" applyProtection="0"/>
    <xf numFmtId="0" fontId="113" fillId="0" borderId="0" applyNumberFormat="0" applyFill="0" applyBorder="0" applyAlignment="0" applyProtection="0"/>
    <xf numFmtId="0" fontId="68" fillId="0" borderId="79" applyNumberFormat="0" applyFill="0" applyAlignment="0" applyProtection="0"/>
    <xf numFmtId="0" fontId="114" fillId="0" borderId="0" applyNumberFormat="0" applyFill="0" applyBorder="0" applyAlignment="0" applyProtection="0"/>
    <xf numFmtId="0" fontId="30" fillId="0" borderId="0"/>
  </cellStyleXfs>
  <cellXfs count="1157">
    <xf numFmtId="0" fontId="0" fillId="0" borderId="0" xfId="0"/>
    <xf numFmtId="0" fontId="4" fillId="0" borderId="12" xfId="0" applyFont="1" applyBorder="1"/>
    <xf numFmtId="0" fontId="4" fillId="6" borderId="13" xfId="0" quotePrefix="1" applyFont="1" applyFill="1" applyBorder="1" applyAlignment="1">
      <alignment horizontal="center"/>
    </xf>
    <xf numFmtId="0" fontId="4" fillId="6" borderId="13" xfId="0" applyFont="1" applyFill="1" applyBorder="1" applyAlignment="1">
      <alignment horizontal="center"/>
    </xf>
    <xf numFmtId="0" fontId="9" fillId="6" borderId="12" xfId="0" applyFont="1" applyFill="1" applyBorder="1" applyAlignment="1">
      <alignment horizontal="right"/>
    </xf>
    <xf numFmtId="0" fontId="9" fillId="6" borderId="4" xfId="0" applyFont="1" applyFill="1" applyBorder="1" applyAlignment="1">
      <alignment horizontal="right"/>
    </xf>
    <xf numFmtId="0" fontId="4" fillId="6" borderId="5" xfId="0" quotePrefix="1" applyFont="1" applyFill="1" applyBorder="1" applyAlignment="1">
      <alignment horizontal="center"/>
    </xf>
    <xf numFmtId="0" fontId="4" fillId="6" borderId="5" xfId="0" applyFont="1" applyFill="1" applyBorder="1" applyAlignment="1">
      <alignment horizontal="center"/>
    </xf>
    <xf numFmtId="0" fontId="6" fillId="8" borderId="4" xfId="0" applyFont="1" applyFill="1" applyBorder="1" applyAlignment="1">
      <alignment horizontal="right" vertical="center"/>
    </xf>
    <xf numFmtId="0" fontId="4" fillId="8" borderId="5" xfId="0" applyFont="1" applyFill="1" applyBorder="1"/>
    <xf numFmtId="0" fontId="6" fillId="6" borderId="12" xfId="0" applyFont="1" applyFill="1" applyBorder="1" applyAlignment="1">
      <alignment horizontal="right"/>
    </xf>
    <xf numFmtId="3" fontId="6" fillId="5" borderId="13" xfId="0" applyNumberFormat="1" applyFont="1" applyFill="1" applyBorder="1" applyAlignment="1">
      <alignment horizontal="center" wrapText="1"/>
    </xf>
    <xf numFmtId="0" fontId="4" fillId="0" borderId="0" xfId="0" applyFont="1"/>
    <xf numFmtId="0" fontId="4" fillId="0" borderId="0" xfId="0" applyFont="1" applyAlignment="1">
      <alignment wrapText="1"/>
    </xf>
    <xf numFmtId="0" fontId="4" fillId="0" borderId="0" xfId="0" applyFont="1" applyAlignment="1">
      <alignment horizontal="center" vertical="center" wrapText="1"/>
    </xf>
    <xf numFmtId="0" fontId="21" fillId="0" borderId="0" xfId="0" applyFont="1"/>
    <xf numFmtId="164" fontId="21" fillId="0" borderId="0" xfId="0" applyNumberFormat="1" applyFont="1"/>
    <xf numFmtId="0" fontId="2" fillId="0" borderId="0" xfId="0" applyFont="1"/>
    <xf numFmtId="0" fontId="4" fillId="9" borderId="12" xfId="0" applyFont="1" applyFill="1" applyBorder="1" applyAlignment="1">
      <alignment horizontal="left" vertical="center" wrapText="1"/>
    </xf>
    <xf numFmtId="164" fontId="4" fillId="9" borderId="13" xfId="0" quotePrefix="1" applyNumberFormat="1" applyFont="1" applyFill="1" applyBorder="1" applyAlignment="1">
      <alignment horizontal="center"/>
    </xf>
    <xf numFmtId="3" fontId="12" fillId="9" borderId="13" xfId="0" applyNumberFormat="1" applyFont="1" applyFill="1" applyBorder="1" applyAlignment="1">
      <alignment horizontal="center"/>
    </xf>
    <xf numFmtId="0" fontId="22" fillId="9" borderId="12" xfId="0" applyFont="1" applyFill="1" applyBorder="1" applyAlignment="1">
      <alignment horizontal="left" vertical="center" wrapText="1"/>
    </xf>
    <xf numFmtId="3" fontId="12" fillId="9" borderId="13" xfId="0" applyNumberFormat="1" applyFont="1" applyFill="1" applyBorder="1" applyAlignment="1">
      <alignment horizontal="center" vertical="center"/>
    </xf>
    <xf numFmtId="164" fontId="12" fillId="9" borderId="13" xfId="0" quotePrefix="1" applyNumberFormat="1" applyFont="1" applyFill="1" applyBorder="1" applyAlignment="1">
      <alignment horizontal="center"/>
    </xf>
    <xf numFmtId="3" fontId="12" fillId="9" borderId="14" xfId="0" applyNumberFormat="1" applyFont="1" applyFill="1" applyBorder="1" applyAlignment="1">
      <alignment horizontal="center"/>
    </xf>
    <xf numFmtId="0" fontId="11" fillId="9" borderId="12" xfId="0" applyFont="1" applyFill="1" applyBorder="1" applyAlignment="1">
      <alignment horizontal="left" vertical="center" wrapText="1"/>
    </xf>
    <xf numFmtId="0" fontId="6" fillId="10" borderId="12" xfId="0" applyFont="1" applyFill="1" applyBorder="1" applyAlignment="1">
      <alignment horizontal="left" wrapText="1"/>
    </xf>
    <xf numFmtId="164" fontId="6" fillId="10" borderId="11" xfId="0" applyNumberFormat="1" applyFont="1" applyFill="1" applyBorder="1" applyAlignment="1">
      <alignment horizontal="center" vertical="center" wrapText="1"/>
    </xf>
    <xf numFmtId="3" fontId="6" fillId="10" borderId="13" xfId="0" applyNumberFormat="1" applyFont="1" applyFill="1" applyBorder="1" applyAlignment="1">
      <alignment horizontal="center" vertical="center" wrapText="1"/>
    </xf>
    <xf numFmtId="164" fontId="20" fillId="10" borderId="11" xfId="0" applyNumberFormat="1" applyFont="1" applyFill="1" applyBorder="1" applyAlignment="1">
      <alignment horizontal="center" vertical="center" wrapText="1"/>
    </xf>
    <xf numFmtId="3" fontId="20" fillId="10" borderId="13" xfId="0" applyNumberFormat="1" applyFont="1" applyFill="1" applyBorder="1" applyAlignment="1">
      <alignment horizontal="center" vertical="center" wrapText="1"/>
    </xf>
    <xf numFmtId="164" fontId="4" fillId="9" borderId="13" xfId="0" quotePrefix="1" applyNumberFormat="1" applyFont="1" applyFill="1" applyBorder="1" applyAlignment="1">
      <alignment horizontal="center" vertical="center"/>
    </xf>
    <xf numFmtId="0" fontId="20" fillId="10" borderId="12" xfId="0" applyFont="1" applyFill="1" applyBorder="1" applyAlignment="1">
      <alignment horizontal="left" wrapText="1"/>
    </xf>
    <xf numFmtId="0" fontId="24" fillId="0" borderId="0" xfId="0" applyFont="1" applyAlignment="1">
      <alignment horizontal="center"/>
    </xf>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0" fontId="6" fillId="11" borderId="4" xfId="0" applyFont="1" applyFill="1" applyBorder="1" applyAlignment="1">
      <alignment horizontal="right" vertical="center"/>
    </xf>
    <xf numFmtId="0" fontId="6" fillId="11" borderId="5" xfId="0" applyFont="1" applyFill="1" applyBorder="1" applyAlignment="1">
      <alignment horizontal="center" vertical="center"/>
    </xf>
    <xf numFmtId="0" fontId="12" fillId="12" borderId="13" xfId="0" quotePrefix="1" applyFont="1" applyFill="1" applyBorder="1" applyAlignment="1">
      <alignment horizontal="center"/>
    </xf>
    <xf numFmtId="0" fontId="4" fillId="12" borderId="13" xfId="0" applyFont="1" applyFill="1" applyBorder="1" applyAlignment="1">
      <alignment horizontal="center"/>
    </xf>
    <xf numFmtId="0" fontId="12" fillId="12" borderId="13" xfId="0" quotePrefix="1" applyFont="1" applyFill="1" applyBorder="1" applyAlignment="1">
      <alignment horizontal="center" vertical="center"/>
    </xf>
    <xf numFmtId="0" fontId="4" fillId="12" borderId="13" xfId="0" applyFont="1" applyFill="1" applyBorder="1" applyAlignment="1">
      <alignment horizontal="center" vertical="center"/>
    </xf>
    <xf numFmtId="2" fontId="4" fillId="6" borderId="13" xfId="0" quotePrefix="1" applyNumberFormat="1" applyFont="1" applyFill="1" applyBorder="1" applyAlignment="1">
      <alignment horizontal="center"/>
    </xf>
    <xf numFmtId="4" fontId="4" fillId="0" borderId="13" xfId="0" applyNumberFormat="1" applyFont="1" applyBorder="1" applyAlignment="1">
      <alignment horizontal="center"/>
    </xf>
    <xf numFmtId="0" fontId="12" fillId="12" borderId="12" xfId="0" applyFont="1" applyFill="1" applyBorder="1"/>
    <xf numFmtId="0" fontId="12" fillId="0" borderId="12" xfId="0" applyFont="1" applyBorder="1"/>
    <xf numFmtId="0" fontId="12" fillId="12" borderId="12" xfId="0" applyFont="1" applyFill="1" applyBorder="1" applyAlignment="1">
      <alignment wrapText="1"/>
    </xf>
    <xf numFmtId="0" fontId="25" fillId="0" borderId="0" xfId="0" applyFont="1"/>
    <xf numFmtId="0" fontId="25" fillId="0" borderId="12" xfId="0" applyFont="1" applyBorder="1"/>
    <xf numFmtId="0" fontId="25" fillId="0" borderId="13" xfId="0" applyFont="1" applyBorder="1"/>
    <xf numFmtId="4" fontId="12" fillId="0" borderId="20" xfId="0" applyNumberFormat="1" applyFont="1" applyBorder="1" applyAlignment="1">
      <alignment horizontal="center"/>
    </xf>
    <xf numFmtId="4" fontId="19" fillId="14" borderId="11" xfId="0" applyNumberFormat="1" applyFont="1" applyFill="1" applyBorder="1" applyAlignment="1">
      <alignment horizontal="center"/>
    </xf>
    <xf numFmtId="0" fontId="29" fillId="14" borderId="11" xfId="0" applyFont="1" applyFill="1" applyBorder="1"/>
    <xf numFmtId="0" fontId="29" fillId="14" borderId="31" xfId="0" applyFont="1" applyFill="1" applyBorder="1" applyAlignment="1">
      <alignment horizontal="right"/>
    </xf>
    <xf numFmtId="0" fontId="28" fillId="14" borderId="13" xfId="0" applyFont="1" applyFill="1" applyBorder="1"/>
    <xf numFmtId="0" fontId="28" fillId="14" borderId="12" xfId="0" applyFont="1" applyFill="1" applyBorder="1" applyAlignment="1">
      <alignment horizontal="right"/>
    </xf>
    <xf numFmtId="4" fontId="0" fillId="0" borderId="0" xfId="0" applyNumberFormat="1"/>
    <xf numFmtId="10" fontId="0" fillId="0" borderId="0" xfId="2" applyNumberFormat="1" applyFont="1"/>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wrapText="1"/>
    </xf>
    <xf numFmtId="4" fontId="22" fillId="0" borderId="13" xfId="0" applyNumberFormat="1" applyFont="1" applyBorder="1"/>
    <xf numFmtId="0" fontId="6" fillId="0" borderId="6" xfId="0" applyFont="1" applyBorder="1" applyAlignment="1">
      <alignment horizontal="center" vertical="center"/>
    </xf>
    <xf numFmtId="0" fontId="6" fillId="0" borderId="7" xfId="0" applyFont="1" applyBorder="1" applyAlignment="1">
      <alignment horizontal="center" vertical="center"/>
    </xf>
    <xf numFmtId="4" fontId="20" fillId="14" borderId="13" xfId="0" applyNumberFormat="1" applyFont="1" applyFill="1" applyBorder="1" applyAlignment="1">
      <alignment horizontal="center"/>
    </xf>
    <xf numFmtId="4" fontId="1" fillId="0" borderId="0" xfId="0" applyNumberFormat="1" applyFont="1"/>
    <xf numFmtId="4" fontId="25" fillId="0" borderId="0" xfId="2" applyNumberFormat="1" applyFont="1" applyFill="1" applyBorder="1" applyAlignment="1">
      <alignment horizontal="right"/>
    </xf>
    <xf numFmtId="0" fontId="1" fillId="0" borderId="0" xfId="0" applyFont="1"/>
    <xf numFmtId="0" fontId="0" fillId="0" borderId="12" xfId="0" applyBorder="1"/>
    <xf numFmtId="0" fontId="0" fillId="0" borderId="20" xfId="0" applyBorder="1"/>
    <xf numFmtId="0" fontId="33" fillId="0" borderId="0" xfId="0" applyFont="1"/>
    <xf numFmtId="0" fontId="32" fillId="0" borderId="0" xfId="0" applyFont="1"/>
    <xf numFmtId="0" fontId="0" fillId="0" borderId="13" xfId="0" applyBorder="1"/>
    <xf numFmtId="4" fontId="22" fillId="0" borderId="0" xfId="0" applyNumberFormat="1" applyFont="1"/>
    <xf numFmtId="10" fontId="25" fillId="0" borderId="0" xfId="2" applyNumberFormat="1" applyFont="1" applyFill="1" applyBorder="1"/>
    <xf numFmtId="10" fontId="25" fillId="0" borderId="0" xfId="2" applyNumberFormat="1" applyFont="1" applyFill="1" applyBorder="1" applyAlignment="1">
      <alignment horizontal="right"/>
    </xf>
    <xf numFmtId="10" fontId="22" fillId="0" borderId="0" xfId="2" applyNumberFormat="1" applyFont="1" applyFill="1" applyBorder="1"/>
    <xf numFmtId="0" fontId="4" fillId="5" borderId="13" xfId="0" applyFont="1" applyFill="1" applyBorder="1" applyAlignment="1">
      <alignment horizontal="center"/>
    </xf>
    <xf numFmtId="0" fontId="4" fillId="5" borderId="12" xfId="0" applyFont="1" applyFill="1" applyBorder="1" applyAlignment="1">
      <alignment horizontal="center" vertical="center" wrapText="1"/>
    </xf>
    <xf numFmtId="2" fontId="4" fillId="0" borderId="13" xfId="0" applyNumberFormat="1" applyFont="1" applyBorder="1" applyAlignment="1">
      <alignment horizontal="center"/>
    </xf>
    <xf numFmtId="0" fontId="34" fillId="0" borderId="0" xfId="0" applyFont="1" applyAlignment="1">
      <alignment wrapText="1"/>
    </xf>
    <xf numFmtId="0" fontId="15" fillId="0" borderId="0" xfId="0" applyFont="1" applyAlignment="1">
      <alignment horizontal="center"/>
    </xf>
    <xf numFmtId="0" fontId="16" fillId="0" borderId="0" xfId="0" applyFont="1" applyAlignment="1">
      <alignment horizontal="center" vertical="center"/>
    </xf>
    <xf numFmtId="0" fontId="4" fillId="0" borderId="0" xfId="0" applyFont="1" applyAlignment="1">
      <alignment horizontal="center" vertical="center"/>
    </xf>
    <xf numFmtId="0" fontId="4" fillId="5" borderId="12" xfId="0" applyFont="1" applyFill="1" applyBorder="1" applyAlignment="1">
      <alignment horizontal="center"/>
    </xf>
    <xf numFmtId="4" fontId="12" fillId="5" borderId="23" xfId="0" applyNumberFormat="1" applyFont="1" applyFill="1" applyBorder="1" applyAlignment="1">
      <alignment horizontal="center"/>
    </xf>
    <xf numFmtId="4" fontId="12" fillId="5" borderId="20" xfId="0" applyNumberFormat="1" applyFont="1" applyFill="1" applyBorder="1" applyAlignment="1">
      <alignment horizontal="center"/>
    </xf>
    <xf numFmtId="4" fontId="12" fillId="0" borderId="12" xfId="0" applyNumberFormat="1" applyFont="1" applyBorder="1" applyAlignment="1">
      <alignment horizontal="center"/>
    </xf>
    <xf numFmtId="4" fontId="4" fillId="5" borderId="13" xfId="0" applyNumberFormat="1" applyFont="1" applyFill="1" applyBorder="1" applyAlignment="1">
      <alignment horizontal="center"/>
    </xf>
    <xf numFmtId="0" fontId="21" fillId="0" borderId="15" xfId="0" applyFont="1" applyBorder="1" applyAlignment="1">
      <alignment horizontal="center" vertical="center"/>
    </xf>
    <xf numFmtId="4" fontId="21" fillId="0" borderId="16" xfId="0" applyNumberFormat="1" applyFont="1" applyBorder="1" applyAlignment="1">
      <alignment horizontal="center"/>
    </xf>
    <xf numFmtId="4" fontId="8" fillId="0" borderId="36" xfId="0" applyNumberFormat="1" applyFont="1" applyBorder="1" applyAlignment="1">
      <alignment horizontal="center" vertical="center"/>
    </xf>
    <xf numFmtId="4" fontId="2" fillId="0" borderId="0" xfId="0" applyNumberFormat="1" applyFont="1"/>
    <xf numFmtId="4" fontId="21" fillId="0" borderId="0" xfId="0" applyNumberFormat="1" applyFont="1"/>
    <xf numFmtId="166" fontId="21" fillId="0" borderId="0" xfId="0" applyNumberFormat="1" applyFont="1"/>
    <xf numFmtId="167" fontId="39" fillId="0" borderId="13" xfId="0" applyNumberFormat="1" applyFont="1" applyBorder="1"/>
    <xf numFmtId="167" fontId="39" fillId="0" borderId="33" xfId="0" applyNumberFormat="1" applyFont="1" applyBorder="1"/>
    <xf numFmtId="167" fontId="40" fillId="0" borderId="7" xfId="0" applyNumberFormat="1" applyFont="1" applyBorder="1" applyAlignment="1">
      <alignment horizontal="right"/>
    </xf>
    <xf numFmtId="167" fontId="0" fillId="0" borderId="0" xfId="0" applyNumberFormat="1"/>
    <xf numFmtId="167" fontId="1" fillId="0" borderId="0" xfId="0" applyNumberFormat="1" applyFont="1"/>
    <xf numFmtId="166" fontId="0" fillId="0" borderId="0" xfId="0" applyNumberFormat="1"/>
    <xf numFmtId="166" fontId="1" fillId="0" borderId="0" xfId="0" applyNumberFormat="1" applyFont="1"/>
    <xf numFmtId="0" fontId="44" fillId="2" borderId="13" xfId="0" applyFont="1" applyFill="1" applyBorder="1" applyAlignment="1">
      <alignment horizontal="center" vertical="center" wrapText="1"/>
    </xf>
    <xf numFmtId="0" fontId="0" fillId="0" borderId="31" xfId="0" applyBorder="1"/>
    <xf numFmtId="0" fontId="0" fillId="0" borderId="32" xfId="0" applyBorder="1"/>
    <xf numFmtId="3" fontId="11" fillId="18" borderId="13" xfId="0" applyNumberFormat="1" applyFont="1" applyFill="1" applyBorder="1" applyAlignment="1">
      <alignment horizontal="center" vertical="center" wrapText="1"/>
    </xf>
    <xf numFmtId="3" fontId="51" fillId="2" borderId="13" xfId="0" applyNumberFormat="1" applyFont="1" applyFill="1" applyBorder="1" applyAlignment="1">
      <alignment horizontal="right" vertical="center" wrapText="1"/>
    </xf>
    <xf numFmtId="3" fontId="19" fillId="2" borderId="13" xfId="0" applyNumberFormat="1" applyFont="1" applyFill="1" applyBorder="1" applyAlignment="1">
      <alignment horizontal="right" vertical="center" wrapText="1"/>
    </xf>
    <xf numFmtId="3" fontId="58" fillId="2" borderId="13" xfId="0" applyNumberFormat="1" applyFont="1" applyFill="1" applyBorder="1" applyAlignment="1">
      <alignment horizontal="right" vertical="center" wrapText="1"/>
    </xf>
    <xf numFmtId="9" fontId="59" fillId="15" borderId="13" xfId="0" applyNumberFormat="1" applyFont="1" applyFill="1" applyBorder="1" applyAlignment="1">
      <alignment horizontal="center" vertical="center" wrapText="1"/>
    </xf>
    <xf numFmtId="0" fontId="44" fillId="15" borderId="13" xfId="0" applyFont="1" applyFill="1" applyBorder="1" applyAlignment="1">
      <alignment horizontal="center" vertical="center" wrapText="1"/>
    </xf>
    <xf numFmtId="0" fontId="2" fillId="10" borderId="6" xfId="0" applyFont="1" applyFill="1" applyBorder="1" applyAlignment="1">
      <alignment horizontal="center" vertical="center"/>
    </xf>
    <xf numFmtId="0" fontId="21" fillId="10" borderId="7" xfId="0" applyFont="1" applyFill="1" applyBorder="1" applyAlignment="1">
      <alignment horizontal="center" vertical="center"/>
    </xf>
    <xf numFmtId="4" fontId="12" fillId="0" borderId="13" xfId="0" applyNumberFormat="1" applyFont="1" applyBorder="1" applyAlignment="1">
      <alignment horizontal="center"/>
    </xf>
    <xf numFmtId="0" fontId="25" fillId="0" borderId="14" xfId="0" applyFont="1" applyBorder="1"/>
    <xf numFmtId="0" fontId="4" fillId="12" borderId="14" xfId="0" applyFont="1" applyFill="1" applyBorder="1" applyAlignment="1">
      <alignment horizontal="center"/>
    </xf>
    <xf numFmtId="4" fontId="4" fillId="0" borderId="14" xfId="0" applyNumberFormat="1" applyFont="1" applyBorder="1" applyAlignment="1">
      <alignment horizontal="center"/>
    </xf>
    <xf numFmtId="0" fontId="4" fillId="6" borderId="14" xfId="0" applyFont="1" applyFill="1" applyBorder="1" applyAlignment="1">
      <alignment horizontal="center"/>
    </xf>
    <xf numFmtId="0" fontId="6" fillId="11" borderId="50" xfId="0" applyFont="1" applyFill="1" applyBorder="1" applyAlignment="1">
      <alignment horizontal="center" vertical="center"/>
    </xf>
    <xf numFmtId="0" fontId="4" fillId="0" borderId="44" xfId="0" applyFont="1" applyBorder="1"/>
    <xf numFmtId="4" fontId="4" fillId="0" borderId="44" xfId="0" applyNumberFormat="1" applyFont="1" applyBorder="1"/>
    <xf numFmtId="0" fontId="4" fillId="6" borderId="44" xfId="0" applyFont="1" applyFill="1" applyBorder="1" applyAlignment="1">
      <alignment horizontal="center"/>
    </xf>
    <xf numFmtId="0" fontId="4" fillId="12" borderId="44" xfId="0" applyFont="1" applyFill="1" applyBorder="1"/>
    <xf numFmtId="0" fontId="4" fillId="5" borderId="44" xfId="0" applyFont="1" applyFill="1" applyBorder="1"/>
    <xf numFmtId="0" fontId="4" fillId="7" borderId="44" xfId="0" applyFont="1" applyFill="1" applyBorder="1"/>
    <xf numFmtId="4" fontId="6" fillId="11" borderId="54" xfId="0" applyNumberFormat="1" applyFont="1" applyFill="1" applyBorder="1"/>
    <xf numFmtId="2" fontId="12" fillId="0" borderId="13" xfId="0" applyNumberFormat="1" applyFont="1" applyBorder="1" applyAlignment="1">
      <alignment horizontal="center"/>
    </xf>
    <xf numFmtId="0" fontId="12" fillId="2" borderId="48" xfId="0" applyFont="1" applyFill="1" applyBorder="1" applyAlignment="1">
      <alignment horizontal="center" vertical="center" wrapText="1"/>
    </xf>
    <xf numFmtId="2" fontId="20" fillId="6" borderId="14" xfId="0" applyNumberFormat="1" applyFont="1" applyFill="1" applyBorder="1" applyAlignment="1">
      <alignment horizontal="center"/>
    </xf>
    <xf numFmtId="0" fontId="0" fillId="0" borderId="44" xfId="0" applyBorder="1"/>
    <xf numFmtId="0" fontId="6" fillId="7" borderId="12" xfId="0" applyFont="1" applyFill="1" applyBorder="1" applyAlignment="1">
      <alignment vertical="center"/>
    </xf>
    <xf numFmtId="0" fontId="6" fillId="7" borderId="13" xfId="0" applyFont="1" applyFill="1" applyBorder="1" applyAlignment="1">
      <alignment vertical="center"/>
    </xf>
    <xf numFmtId="0" fontId="0" fillId="0" borderId="0" xfId="0" applyAlignment="1">
      <alignment horizontal="center"/>
    </xf>
    <xf numFmtId="10" fontId="1" fillId="0" borderId="0" xfId="2" applyNumberFormat="1" applyFont="1" applyFill="1"/>
    <xf numFmtId="0" fontId="13" fillId="0" borderId="0" xfId="0" applyFont="1" applyAlignment="1">
      <alignment horizontal="center" vertical="center" wrapText="1"/>
    </xf>
    <xf numFmtId="10" fontId="1" fillId="0" borderId="0" xfId="2" applyNumberFormat="1" applyFont="1" applyFill="1" applyBorder="1"/>
    <xf numFmtId="10" fontId="0" fillId="0" borderId="0" xfId="2" applyNumberFormat="1" applyFont="1" applyFill="1"/>
    <xf numFmtId="10" fontId="0" fillId="0" borderId="0" xfId="2" applyNumberFormat="1" applyFont="1" applyFill="1" applyBorder="1"/>
    <xf numFmtId="0" fontId="0" fillId="0" borderId="0" xfId="0" applyAlignment="1">
      <alignment vertical="center" wrapText="1"/>
    </xf>
    <xf numFmtId="2" fontId="20" fillId="0" borderId="38" xfId="0" applyNumberFormat="1" applyFont="1" applyBorder="1" applyAlignment="1">
      <alignment horizontal="center" vertical="center"/>
    </xf>
    <xf numFmtId="0" fontId="6" fillId="0" borderId="0" xfId="0" applyFont="1" applyAlignment="1">
      <alignment vertical="center"/>
    </xf>
    <xf numFmtId="0" fontId="0" fillId="0" borderId="0" xfId="0" applyAlignment="1">
      <alignment wrapText="1"/>
    </xf>
    <xf numFmtId="4" fontId="12" fillId="0" borderId="14" xfId="0" applyNumberFormat="1" applyFont="1" applyBorder="1" applyAlignment="1">
      <alignment horizontal="center"/>
    </xf>
    <xf numFmtId="4" fontId="20" fillId="6" borderId="14" xfId="0" applyNumberFormat="1" applyFont="1" applyFill="1" applyBorder="1" applyAlignment="1">
      <alignment horizontal="center"/>
    </xf>
    <xf numFmtId="4" fontId="20" fillId="14" borderId="14" xfId="0" applyNumberFormat="1" applyFont="1" applyFill="1" applyBorder="1" applyAlignment="1">
      <alignment horizontal="center"/>
    </xf>
    <xf numFmtId="4" fontId="20" fillId="6" borderId="50" xfId="0" applyNumberFormat="1" applyFont="1" applyFill="1" applyBorder="1" applyAlignment="1">
      <alignment horizontal="center"/>
    </xf>
    <xf numFmtId="4" fontId="20" fillId="14" borderId="49" xfId="0" applyNumberFormat="1" applyFont="1" applyFill="1" applyBorder="1" applyAlignment="1">
      <alignment horizontal="center"/>
    </xf>
    <xf numFmtId="0" fontId="20"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3" fontId="12" fillId="2" borderId="2" xfId="0" applyNumberFormat="1" applyFont="1" applyFill="1" applyBorder="1" applyAlignment="1">
      <alignment horizontal="center" vertical="center" wrapText="1"/>
    </xf>
    <xf numFmtId="3" fontId="12" fillId="2" borderId="3" xfId="0" applyNumberFormat="1" applyFont="1" applyFill="1" applyBorder="1" applyAlignment="1">
      <alignment horizontal="center" vertical="center" wrapText="1"/>
    </xf>
    <xf numFmtId="4" fontId="22" fillId="0" borderId="12" xfId="0" applyNumberFormat="1" applyFont="1" applyBorder="1"/>
    <xf numFmtId="4" fontId="22" fillId="0" borderId="20" xfId="0" applyNumberFormat="1" applyFont="1" applyBorder="1"/>
    <xf numFmtId="4" fontId="0" fillId="0" borderId="20" xfId="0" applyNumberFormat="1" applyBorder="1"/>
    <xf numFmtId="0" fontId="0" fillId="18" borderId="13" xfId="0" applyFill="1" applyBorder="1"/>
    <xf numFmtId="0" fontId="0" fillId="5" borderId="13" xfId="0" applyFill="1" applyBorder="1"/>
    <xf numFmtId="0" fontId="0" fillId="18" borderId="12" xfId="0" applyFill="1" applyBorder="1"/>
    <xf numFmtId="0" fontId="0" fillId="5" borderId="12" xfId="0" applyFill="1" applyBorder="1"/>
    <xf numFmtId="0" fontId="0" fillId="5" borderId="20" xfId="0" applyFill="1" applyBorder="1"/>
    <xf numFmtId="0" fontId="0" fillId="0" borderId="6" xfId="0" applyBorder="1"/>
    <xf numFmtId="0" fontId="0" fillId="0" borderId="7" xfId="0" applyBorder="1"/>
    <xf numFmtId="0" fontId="0" fillId="5" borderId="15" xfId="0" applyFill="1" applyBorder="1"/>
    <xf numFmtId="0" fontId="0" fillId="5" borderId="16" xfId="0" applyFill="1" applyBorder="1"/>
    <xf numFmtId="0" fontId="0" fillId="0" borderId="11" xfId="0" applyBorder="1"/>
    <xf numFmtId="0" fontId="0" fillId="6" borderId="12" xfId="0" applyFill="1" applyBorder="1"/>
    <xf numFmtId="0" fontId="0" fillId="6" borderId="13" xfId="0" applyFill="1" applyBorder="1"/>
    <xf numFmtId="0" fontId="0" fillId="6" borderId="20" xfId="0" applyFill="1" applyBorder="1"/>
    <xf numFmtId="0" fontId="0" fillId="7" borderId="12" xfId="0" applyFill="1" applyBorder="1"/>
    <xf numFmtId="0" fontId="0" fillId="7" borderId="13" xfId="0" applyFill="1" applyBorder="1"/>
    <xf numFmtId="0" fontId="0" fillId="7" borderId="20" xfId="0" applyFill="1" applyBorder="1"/>
    <xf numFmtId="4" fontId="0" fillId="6" borderId="20" xfId="0" applyNumberFormat="1" applyFill="1" applyBorder="1"/>
    <xf numFmtId="0" fontId="0" fillId="14" borderId="12" xfId="0" applyFill="1" applyBorder="1"/>
    <xf numFmtId="0" fontId="0" fillId="14" borderId="13" xfId="0" applyFill="1" applyBorder="1"/>
    <xf numFmtId="0" fontId="0" fillId="14" borderId="20" xfId="0" applyFill="1" applyBorder="1"/>
    <xf numFmtId="4" fontId="1" fillId="14" borderId="20" xfId="0" applyNumberFormat="1" applyFont="1" applyFill="1" applyBorder="1"/>
    <xf numFmtId="4" fontId="6" fillId="0" borderId="8" xfId="0" applyNumberFormat="1" applyFont="1" applyBorder="1"/>
    <xf numFmtId="0" fontId="0" fillId="6" borderId="15" xfId="0" applyFill="1" applyBorder="1"/>
    <xf numFmtId="0" fontId="0" fillId="6" borderId="16" xfId="0" applyFill="1" applyBorder="1"/>
    <xf numFmtId="0" fontId="0" fillId="6" borderId="21" xfId="0" applyFill="1" applyBorder="1"/>
    <xf numFmtId="0" fontId="0" fillId="11" borderId="6" xfId="0" applyFill="1" applyBorder="1"/>
    <xf numFmtId="0" fontId="0" fillId="11" borderId="7" xfId="0" applyFill="1" applyBorder="1"/>
    <xf numFmtId="0" fontId="2" fillId="0" borderId="0" xfId="0" applyFont="1" applyAlignment="1">
      <alignment vertical="center" wrapText="1"/>
    </xf>
    <xf numFmtId="2" fontId="20" fillId="6" borderId="50" xfId="0" applyNumberFormat="1" applyFont="1" applyFill="1" applyBorder="1" applyAlignment="1">
      <alignment horizontal="center"/>
    </xf>
    <xf numFmtId="2" fontId="20" fillId="8" borderId="50" xfId="0" applyNumberFormat="1" applyFont="1" applyFill="1" applyBorder="1" applyAlignment="1">
      <alignment horizontal="center"/>
    </xf>
    <xf numFmtId="0" fontId="0" fillId="7" borderId="1" xfId="0" applyFill="1" applyBorder="1"/>
    <xf numFmtId="0" fontId="0" fillId="7" borderId="2" xfId="0" applyFill="1" applyBorder="1"/>
    <xf numFmtId="0" fontId="0" fillId="7" borderId="3" xfId="0" applyFill="1" applyBorder="1"/>
    <xf numFmtId="4" fontId="6" fillId="11" borderId="40" xfId="0" applyNumberFormat="1" applyFont="1" applyFill="1" applyBorder="1"/>
    <xf numFmtId="0" fontId="0" fillId="11" borderId="38" xfId="0" applyFill="1" applyBorder="1"/>
    <xf numFmtId="164" fontId="8" fillId="5" borderId="14" xfId="0" applyNumberFormat="1" applyFont="1" applyFill="1" applyBorder="1" applyAlignment="1">
      <alignment horizontal="center" wrapText="1"/>
    </xf>
    <xf numFmtId="0" fontId="65" fillId="0" borderId="13" xfId="0" applyFont="1" applyBorder="1"/>
    <xf numFmtId="0" fontId="65" fillId="5" borderId="13" xfId="0" applyFont="1" applyFill="1" applyBorder="1"/>
    <xf numFmtId="0" fontId="65" fillId="7" borderId="2" xfId="0" applyFont="1" applyFill="1" applyBorder="1"/>
    <xf numFmtId="4" fontId="0" fillId="7" borderId="3" xfId="0" applyNumberFormat="1" applyFill="1" applyBorder="1"/>
    <xf numFmtId="4" fontId="0" fillId="5" borderId="20" xfId="0" applyNumberFormat="1" applyFill="1" applyBorder="1"/>
    <xf numFmtId="0" fontId="4" fillId="6" borderId="12" xfId="0" applyFont="1" applyFill="1" applyBorder="1"/>
    <xf numFmtId="0" fontId="4" fillId="5" borderId="12" xfId="0" applyFont="1" applyFill="1" applyBorder="1"/>
    <xf numFmtId="0" fontId="4" fillId="6" borderId="15" xfId="0" applyFont="1" applyFill="1" applyBorder="1"/>
    <xf numFmtId="0" fontId="4" fillId="8" borderId="6" xfId="0" applyFont="1" applyFill="1" applyBorder="1"/>
    <xf numFmtId="0" fontId="0" fillId="8" borderId="7" xfId="0" applyFill="1" applyBorder="1"/>
    <xf numFmtId="4" fontId="6" fillId="8" borderId="8" xfId="0" applyNumberFormat="1" applyFont="1" applyFill="1" applyBorder="1"/>
    <xf numFmtId="0" fontId="6" fillId="0" borderId="0" xfId="0" applyFont="1" applyAlignment="1">
      <alignment horizontal="right"/>
    </xf>
    <xf numFmtId="0" fontId="4" fillId="0" borderId="0" xfId="0" quotePrefix="1" applyFont="1" applyAlignment="1">
      <alignment horizontal="center"/>
    </xf>
    <xf numFmtId="0" fontId="4" fillId="0" borderId="0" xfId="0" applyFont="1" applyAlignment="1">
      <alignment horizontal="center"/>
    </xf>
    <xf numFmtId="2" fontId="20" fillId="0" borderId="0" xfId="0" applyNumberFormat="1" applyFont="1" applyAlignment="1">
      <alignment horizontal="center"/>
    </xf>
    <xf numFmtId="0" fontId="6" fillId="6" borderId="6" xfId="0" applyFont="1" applyFill="1" applyBorder="1" applyAlignment="1">
      <alignment horizontal="right"/>
    </xf>
    <xf numFmtId="0" fontId="4" fillId="6" borderId="7" xfId="0" quotePrefix="1" applyFont="1" applyFill="1" applyBorder="1" applyAlignment="1">
      <alignment horizontal="center"/>
    </xf>
    <xf numFmtId="0" fontId="4" fillId="6" borderId="7" xfId="0" applyFont="1" applyFill="1" applyBorder="1" applyAlignment="1">
      <alignment horizontal="center"/>
    </xf>
    <xf numFmtId="2" fontId="20" fillId="6" borderId="38" xfId="0" applyNumberFormat="1" applyFont="1" applyFill="1" applyBorder="1" applyAlignment="1">
      <alignment horizontal="center"/>
    </xf>
    <xf numFmtId="2" fontId="0" fillId="0" borderId="20" xfId="0" applyNumberFormat="1" applyBorder="1"/>
    <xf numFmtId="0" fontId="0" fillId="6" borderId="6" xfId="0" applyFill="1" applyBorder="1"/>
    <xf numFmtId="0" fontId="0" fillId="6" borderId="7" xfId="0" applyFill="1" applyBorder="1"/>
    <xf numFmtId="4" fontId="6" fillId="6" borderId="8" xfId="0" applyNumberFormat="1" applyFont="1" applyFill="1" applyBorder="1"/>
    <xf numFmtId="0" fontId="4" fillId="7" borderId="1" xfId="0" applyFont="1" applyFill="1" applyBorder="1"/>
    <xf numFmtId="0" fontId="6" fillId="6" borderId="4" xfId="0" applyFont="1" applyFill="1" applyBorder="1" applyAlignment="1">
      <alignment horizontal="right"/>
    </xf>
    <xf numFmtId="0" fontId="6" fillId="0" borderId="0" xfId="0" applyFont="1" applyAlignment="1">
      <alignment horizontal="center" vertical="center"/>
    </xf>
    <xf numFmtId="0" fontId="8" fillId="0" borderId="0" xfId="0" applyFont="1" applyAlignment="1">
      <alignment horizontal="center" vertical="center"/>
    </xf>
    <xf numFmtId="0" fontId="6" fillId="0" borderId="0" xfId="0" applyFont="1" applyAlignment="1">
      <alignment horizontal="right" vertical="center"/>
    </xf>
    <xf numFmtId="2" fontId="8" fillId="0" borderId="0" xfId="0" applyNumberFormat="1" applyFont="1" applyAlignment="1">
      <alignment horizontal="center"/>
    </xf>
    <xf numFmtId="0" fontId="31" fillId="0" borderId="0" xfId="0" applyFont="1" applyAlignment="1">
      <alignment horizontal="center" vertical="top" wrapText="1"/>
    </xf>
    <xf numFmtId="0" fontId="60" fillId="0" borderId="0" xfId="0" applyFont="1"/>
    <xf numFmtId="0" fontId="6" fillId="7" borderId="34" xfId="0" applyFont="1" applyFill="1" applyBorder="1" applyAlignment="1">
      <alignment vertical="center"/>
    </xf>
    <xf numFmtId="0" fontId="6" fillId="7" borderId="35" xfId="0" applyFont="1" applyFill="1" applyBorder="1" applyAlignment="1">
      <alignment vertical="center"/>
    </xf>
    <xf numFmtId="16" fontId="9" fillId="5" borderId="23" xfId="0" quotePrefix="1" applyNumberFormat="1" applyFont="1" applyFill="1" applyBorder="1"/>
    <xf numFmtId="16" fontId="9" fillId="5" borderId="24" xfId="0" quotePrefix="1" applyNumberFormat="1" applyFont="1" applyFill="1" applyBorder="1"/>
    <xf numFmtId="0" fontId="7" fillId="0" borderId="0" xfId="0" applyFont="1" applyAlignment="1">
      <alignment vertical="center" wrapText="1"/>
    </xf>
    <xf numFmtId="16" fontId="9" fillId="0" borderId="0" xfId="0" quotePrefix="1" applyNumberFormat="1" applyFont="1"/>
    <xf numFmtId="0" fontId="12" fillId="2" borderId="38" xfId="0" applyFont="1" applyFill="1" applyBorder="1" applyAlignment="1">
      <alignment horizontal="center" vertical="center" wrapText="1"/>
    </xf>
    <xf numFmtId="2" fontId="19" fillId="6" borderId="14" xfId="0" applyNumberFormat="1" applyFont="1" applyFill="1" applyBorder="1" applyAlignment="1">
      <alignment horizontal="center"/>
    </xf>
    <xf numFmtId="0" fontId="7" fillId="4" borderId="13" xfId="0" applyFont="1" applyFill="1" applyBorder="1" applyAlignment="1">
      <alignment vertical="center" wrapText="1"/>
    </xf>
    <xf numFmtId="16" fontId="9" fillId="5" borderId="13" xfId="0" quotePrefix="1" applyNumberFormat="1" applyFont="1" applyFill="1" applyBorder="1"/>
    <xf numFmtId="0" fontId="6" fillId="7" borderId="20" xfId="0" applyFont="1" applyFill="1" applyBorder="1" applyAlignment="1">
      <alignment vertical="center"/>
    </xf>
    <xf numFmtId="0" fontId="7" fillId="4" borderId="12" xfId="0" applyFont="1" applyFill="1" applyBorder="1" applyAlignment="1">
      <alignment vertical="center" wrapText="1"/>
    </xf>
    <xf numFmtId="0" fontId="7" fillId="4" borderId="20" xfId="0" applyFont="1" applyFill="1" applyBorder="1" applyAlignment="1">
      <alignment vertical="center" wrapText="1"/>
    </xf>
    <xf numFmtId="16" fontId="9" fillId="5" borderId="12" xfId="0" quotePrefix="1" applyNumberFormat="1" applyFont="1" applyFill="1" applyBorder="1"/>
    <xf numFmtId="16" fontId="9" fillId="5" borderId="20" xfId="0" quotePrefix="1" applyNumberFormat="1" applyFont="1" applyFill="1" applyBorder="1"/>
    <xf numFmtId="4" fontId="0" fillId="6" borderId="13" xfId="0" applyNumberFormat="1" applyFill="1" applyBorder="1"/>
    <xf numFmtId="0" fontId="22" fillId="6" borderId="20" xfId="0" applyFont="1" applyFill="1" applyBorder="1"/>
    <xf numFmtId="0" fontId="0" fillId="8" borderId="6" xfId="0" applyFill="1" applyBorder="1"/>
    <xf numFmtId="0" fontId="0" fillId="8" borderId="38" xfId="0" applyFill="1" applyBorder="1"/>
    <xf numFmtId="4" fontId="6" fillId="8" borderId="40" xfId="0" applyNumberFormat="1" applyFont="1" applyFill="1" applyBorder="1"/>
    <xf numFmtId="0" fontId="1" fillId="0" borderId="0" xfId="0" applyFont="1" applyAlignment="1">
      <alignment vertical="center" wrapText="1"/>
    </xf>
    <xf numFmtId="0" fontId="2" fillId="0" borderId="0" xfId="0" applyFont="1" applyAlignment="1">
      <alignment horizontal="right" vertical="center" wrapText="1"/>
    </xf>
    <xf numFmtId="4" fontId="6" fillId="10" borderId="14" xfId="0" applyNumberFormat="1" applyFont="1" applyFill="1" applyBorder="1" applyAlignment="1">
      <alignment horizontal="center" vertical="center" wrapText="1"/>
    </xf>
    <xf numFmtId="4" fontId="12" fillId="9" borderId="14" xfId="0" applyNumberFormat="1" applyFont="1" applyFill="1" applyBorder="1" applyAlignment="1">
      <alignment horizontal="center"/>
    </xf>
    <xf numFmtId="3" fontId="12" fillId="9" borderId="14" xfId="0" applyNumberFormat="1" applyFont="1" applyFill="1" applyBorder="1" applyAlignment="1">
      <alignment horizontal="center" vertical="center"/>
    </xf>
    <xf numFmtId="3" fontId="20" fillId="10" borderId="14" xfId="0" applyNumberFormat="1" applyFont="1" applyFill="1" applyBorder="1" applyAlignment="1">
      <alignment horizontal="center" vertical="center" wrapText="1"/>
    </xf>
    <xf numFmtId="3" fontId="20" fillId="9" borderId="14" xfId="0" applyNumberFormat="1" applyFont="1" applyFill="1" applyBorder="1" applyAlignment="1">
      <alignment horizontal="center"/>
    </xf>
    <xf numFmtId="3" fontId="12" fillId="9" borderId="24" xfId="0" applyNumberFormat="1" applyFont="1" applyFill="1" applyBorder="1" applyAlignment="1">
      <alignment horizontal="center"/>
    </xf>
    <xf numFmtId="3" fontId="2" fillId="10" borderId="38" xfId="0" applyNumberFormat="1" applyFont="1" applyFill="1" applyBorder="1" applyAlignment="1">
      <alignment horizontal="center" vertical="center"/>
    </xf>
    <xf numFmtId="0" fontId="0" fillId="7" borderId="44" xfId="0" applyFill="1" applyBorder="1"/>
    <xf numFmtId="0" fontId="0" fillId="10" borderId="44" xfId="0" applyFill="1" applyBorder="1"/>
    <xf numFmtId="0" fontId="0" fillId="9" borderId="44" xfId="0" applyFill="1" applyBorder="1"/>
    <xf numFmtId="0" fontId="21" fillId="0" borderId="0" xfId="0" applyFont="1" applyAlignment="1">
      <alignment vertical="top" wrapText="1"/>
    </xf>
    <xf numFmtId="4" fontId="8" fillId="0" borderId="17" xfId="0" applyNumberFormat="1" applyFont="1" applyBorder="1" applyAlignment="1">
      <alignment horizontal="center" vertical="center"/>
    </xf>
    <xf numFmtId="0" fontId="15" fillId="0" borderId="52" xfId="0" applyFont="1" applyBorder="1" applyAlignment="1">
      <alignment horizontal="center"/>
    </xf>
    <xf numFmtId="4" fontId="12" fillId="0" borderId="44" xfId="0" applyNumberFormat="1" applyFont="1" applyBorder="1" applyAlignment="1">
      <alignment horizontal="center"/>
    </xf>
    <xf numFmtId="0" fontId="2" fillId="14" borderId="6" xfId="0" applyFont="1" applyFill="1" applyBorder="1" applyAlignment="1">
      <alignment horizontal="center" vertical="center"/>
    </xf>
    <xf numFmtId="4" fontId="21" fillId="14" borderId="7" xfId="0" applyNumberFormat="1" applyFont="1" applyFill="1" applyBorder="1" applyAlignment="1">
      <alignment horizontal="center" vertical="center"/>
    </xf>
    <xf numFmtId="4" fontId="2" fillId="14" borderId="8" xfId="0" applyNumberFormat="1" applyFont="1" applyFill="1" applyBorder="1" applyAlignment="1">
      <alignment horizontal="center" vertical="center"/>
    </xf>
    <xf numFmtId="4" fontId="2" fillId="14" borderId="18" xfId="0" applyNumberFormat="1" applyFont="1" applyFill="1" applyBorder="1" applyAlignment="1">
      <alignment horizontal="center" vertical="center"/>
    </xf>
    <xf numFmtId="4" fontId="2" fillId="14" borderId="38" xfId="0" applyNumberFormat="1" applyFont="1" applyFill="1" applyBorder="1" applyAlignment="1">
      <alignment horizontal="center" vertical="center"/>
    </xf>
    <xf numFmtId="0" fontId="4" fillId="5" borderId="44" xfId="0" applyFont="1" applyFill="1" applyBorder="1" applyAlignment="1">
      <alignment horizontal="center" vertical="center" wrapText="1"/>
    </xf>
    <xf numFmtId="0" fontId="20" fillId="0" borderId="0" xfId="0" applyFont="1" applyAlignment="1">
      <alignment horizontal="right"/>
    </xf>
    <xf numFmtId="0" fontId="4" fillId="18" borderId="44" xfId="0" applyFont="1" applyFill="1" applyBorder="1" applyAlignment="1">
      <alignment horizontal="center" vertical="center" wrapText="1"/>
    </xf>
    <xf numFmtId="10" fontId="21" fillId="0" borderId="0" xfId="2" applyNumberFormat="1" applyFont="1" applyFill="1"/>
    <xf numFmtId="0" fontId="0" fillId="9" borderId="6" xfId="0" applyFill="1" applyBorder="1"/>
    <xf numFmtId="0" fontId="0" fillId="9" borderId="7" xfId="0" applyFill="1" applyBorder="1"/>
    <xf numFmtId="4" fontId="6" fillId="9" borderId="8" xfId="0" applyNumberFormat="1" applyFont="1" applyFill="1" applyBorder="1"/>
    <xf numFmtId="4" fontId="68" fillId="18" borderId="20" xfId="0" applyNumberFormat="1" applyFont="1" applyFill="1" applyBorder="1"/>
    <xf numFmtId="3" fontId="2" fillId="14" borderId="40" xfId="0" applyNumberFormat="1" applyFont="1" applyFill="1" applyBorder="1" applyAlignment="1">
      <alignment horizontal="center" vertical="center"/>
    </xf>
    <xf numFmtId="0" fontId="20" fillId="19" borderId="1" xfId="0" applyFont="1" applyFill="1" applyBorder="1" applyAlignment="1">
      <alignment horizontal="center" vertical="center" wrapText="1"/>
    </xf>
    <xf numFmtId="0" fontId="12" fillId="19" borderId="2" xfId="0" applyFont="1" applyFill="1" applyBorder="1" applyAlignment="1">
      <alignment horizontal="center" vertical="center" wrapText="1"/>
    </xf>
    <xf numFmtId="0" fontId="76" fillId="0" borderId="0" xfId="3" applyFont="1" applyAlignment="1">
      <alignment horizontal="right"/>
    </xf>
    <xf numFmtId="0" fontId="15" fillId="0" borderId="0" xfId="3" applyFont="1" applyAlignment="1">
      <alignment horizontal="center"/>
    </xf>
    <xf numFmtId="0" fontId="6" fillId="20" borderId="12" xfId="3" applyFont="1" applyFill="1" applyBorder="1" applyAlignment="1">
      <alignment horizontal="center" wrapText="1"/>
    </xf>
    <xf numFmtId="0" fontId="4" fillId="5" borderId="12" xfId="3" applyFont="1" applyFill="1" applyBorder="1" applyAlignment="1">
      <alignment horizontal="left" vertical="center" wrapText="1"/>
    </xf>
    <xf numFmtId="2" fontId="12" fillId="5" borderId="13" xfId="3" applyNumberFormat="1" applyFont="1" applyFill="1" applyBorder="1" applyAlignment="1">
      <alignment horizontal="center"/>
    </xf>
    <xf numFmtId="0" fontId="4" fillId="0" borderId="12" xfId="3" applyFont="1" applyBorder="1"/>
    <xf numFmtId="0" fontId="68" fillId="0" borderId="0" xfId="0" applyFont="1"/>
    <xf numFmtId="0" fontId="2" fillId="11" borderId="6" xfId="3" applyFont="1" applyFill="1" applyBorder="1" applyAlignment="1">
      <alignment horizontal="center" vertical="center"/>
    </xf>
    <xf numFmtId="2" fontId="2" fillId="11" borderId="7" xfId="3" applyNumberFormat="1" applyFont="1" applyFill="1" applyBorder="1" applyAlignment="1">
      <alignment horizontal="center" vertical="center"/>
    </xf>
    <xf numFmtId="0" fontId="21" fillId="11" borderId="7" xfId="3" applyFont="1" applyFill="1" applyBorder="1" applyAlignment="1">
      <alignment horizontal="center" vertical="center"/>
    </xf>
    <xf numFmtId="0" fontId="21" fillId="11" borderId="38" xfId="3" applyFont="1" applyFill="1" applyBorder="1" applyAlignment="1">
      <alignment horizontal="center" vertical="center"/>
    </xf>
    <xf numFmtId="165" fontId="68" fillId="11" borderId="40" xfId="0" applyNumberFormat="1" applyFont="1" applyFill="1" applyBorder="1"/>
    <xf numFmtId="2" fontId="2" fillId="10" borderId="7" xfId="0" applyNumberFormat="1" applyFont="1" applyFill="1" applyBorder="1" applyAlignment="1">
      <alignment horizontal="center" vertical="center"/>
    </xf>
    <xf numFmtId="4" fontId="68" fillId="10" borderId="40" xfId="0" applyNumberFormat="1" applyFont="1" applyFill="1" applyBorder="1"/>
    <xf numFmtId="4" fontId="68" fillId="10" borderId="44" xfId="0" applyNumberFormat="1" applyFont="1" applyFill="1" applyBorder="1"/>
    <xf numFmtId="4" fontId="68" fillId="9" borderId="44" xfId="0" applyNumberFormat="1" applyFont="1" applyFill="1" applyBorder="1"/>
    <xf numFmtId="3" fontId="43" fillId="18" borderId="13" xfId="0" applyNumberFormat="1" applyFont="1" applyFill="1" applyBorder="1" applyAlignment="1">
      <alignment horizontal="center" vertical="center" wrapText="1"/>
    </xf>
    <xf numFmtId="0" fontId="36" fillId="0" borderId="0" xfId="0" applyFont="1" applyAlignment="1">
      <alignment wrapText="1"/>
    </xf>
    <xf numFmtId="0" fontId="36" fillId="0" borderId="0" xfId="5" applyAlignment="1">
      <alignment wrapText="1"/>
    </xf>
    <xf numFmtId="0" fontId="19" fillId="0" borderId="0" xfId="5" applyFont="1" applyAlignment="1">
      <alignment vertical="center" wrapText="1"/>
    </xf>
    <xf numFmtId="3" fontId="36" fillId="0" borderId="0" xfId="0" applyNumberFormat="1" applyFont="1" applyAlignment="1">
      <alignment wrapText="1"/>
    </xf>
    <xf numFmtId="0" fontId="44" fillId="0" borderId="0" xfId="0" applyFont="1" applyAlignment="1">
      <alignment horizontal="center" vertical="center" wrapText="1"/>
    </xf>
    <xf numFmtId="0" fontId="69" fillId="0" borderId="0" xfId="0" applyFont="1" applyAlignment="1">
      <alignment horizontal="center" wrapText="1"/>
    </xf>
    <xf numFmtId="10" fontId="59" fillId="0" borderId="0" xfId="0" applyNumberFormat="1" applyFont="1" applyAlignment="1">
      <alignment horizontal="center" vertical="center" wrapText="1"/>
    </xf>
    <xf numFmtId="0" fontId="62" fillId="0" borderId="0" xfId="0" applyFont="1" applyAlignment="1">
      <alignment wrapText="1"/>
    </xf>
    <xf numFmtId="3" fontId="43" fillId="0" borderId="0" xfId="0" applyNumberFormat="1" applyFont="1" applyAlignment="1">
      <alignment wrapText="1"/>
    </xf>
    <xf numFmtId="168" fontId="71" fillId="0" borderId="0" xfId="2" applyNumberFormat="1" applyFont="1" applyAlignment="1">
      <alignment vertical="center" wrapText="1"/>
    </xf>
    <xf numFmtId="0" fontId="45" fillId="0" borderId="0" xfId="0" applyFont="1" applyAlignment="1">
      <alignment wrapText="1"/>
    </xf>
    <xf numFmtId="0" fontId="46" fillId="0" borderId="0" xfId="0" applyFont="1" applyAlignment="1">
      <alignment wrapText="1"/>
    </xf>
    <xf numFmtId="0" fontId="11" fillId="0" borderId="0" xfId="0" applyFont="1" applyAlignment="1">
      <alignment wrapText="1"/>
    </xf>
    <xf numFmtId="0" fontId="49" fillId="0" borderId="0" xfId="0" applyFont="1" applyAlignment="1">
      <alignment wrapText="1"/>
    </xf>
    <xf numFmtId="0" fontId="50" fillId="0" borderId="0" xfId="0" applyFont="1" applyAlignment="1">
      <alignment wrapText="1"/>
    </xf>
    <xf numFmtId="3" fontId="48" fillId="0" borderId="0" xfId="0" applyNumberFormat="1" applyFont="1" applyAlignment="1">
      <alignment horizontal="right" vertical="center" wrapText="1"/>
    </xf>
    <xf numFmtId="3" fontId="11" fillId="0" borderId="0" xfId="0" applyNumberFormat="1" applyFont="1" applyAlignment="1">
      <alignment horizontal="right" vertical="center" wrapText="1"/>
    </xf>
    <xf numFmtId="3" fontId="11" fillId="0" borderId="0" xfId="0" applyNumberFormat="1" applyFont="1" applyAlignment="1">
      <alignment horizontal="center" vertical="center" wrapText="1"/>
    </xf>
    <xf numFmtId="0" fontId="73" fillId="0" borderId="0" xfId="0" applyFont="1" applyAlignment="1">
      <alignment horizontal="center" vertical="center" wrapText="1"/>
    </xf>
    <xf numFmtId="9" fontId="73" fillId="0" borderId="0" xfId="0" applyNumberFormat="1" applyFont="1" applyAlignment="1">
      <alignment horizontal="center" vertical="center" wrapText="1"/>
    </xf>
    <xf numFmtId="3" fontId="69" fillId="0" borderId="0" xfId="0" applyNumberFormat="1" applyFont="1" applyAlignment="1">
      <alignment vertical="center" wrapText="1"/>
    </xf>
    <xf numFmtId="0" fontId="51" fillId="0" borderId="0" xfId="0" applyFont="1" applyAlignment="1">
      <alignment wrapText="1"/>
    </xf>
    <xf numFmtId="0" fontId="52" fillId="0" borderId="0" xfId="0" applyFont="1" applyAlignment="1">
      <alignment wrapText="1"/>
    </xf>
    <xf numFmtId="0" fontId="53" fillId="0" borderId="0" xfId="0" applyFont="1" applyAlignment="1">
      <alignment wrapText="1"/>
    </xf>
    <xf numFmtId="0" fontId="56" fillId="0" borderId="0" xfId="0" applyFont="1" applyAlignment="1">
      <alignment wrapText="1"/>
    </xf>
    <xf numFmtId="3" fontId="51" fillId="0" borderId="0" xfId="0" applyNumberFormat="1" applyFont="1" applyAlignment="1">
      <alignment horizontal="right" vertical="center" wrapText="1"/>
    </xf>
    <xf numFmtId="3" fontId="74" fillId="0" borderId="0" xfId="0" applyNumberFormat="1" applyFont="1" applyAlignment="1">
      <alignment wrapText="1"/>
    </xf>
    <xf numFmtId="3" fontId="75" fillId="0" borderId="0" xfId="0" applyNumberFormat="1" applyFont="1" applyAlignment="1">
      <alignment wrapText="1"/>
    </xf>
    <xf numFmtId="0" fontId="54" fillId="0" borderId="0" xfId="0" applyFont="1" applyAlignment="1">
      <alignment wrapText="1"/>
    </xf>
    <xf numFmtId="3" fontId="43" fillId="0" borderId="0" xfId="0" applyNumberFormat="1" applyFont="1" applyAlignment="1">
      <alignment horizontal="center" vertical="center" wrapText="1"/>
    </xf>
    <xf numFmtId="3" fontId="50" fillId="0" borderId="0" xfId="0" applyNumberFormat="1" applyFont="1" applyAlignment="1">
      <alignment wrapText="1"/>
    </xf>
    <xf numFmtId="3" fontId="19" fillId="0" borderId="0" xfId="0" applyNumberFormat="1" applyFont="1" applyAlignment="1">
      <alignment horizontal="right" vertical="center" wrapText="1"/>
    </xf>
    <xf numFmtId="0" fontId="57" fillId="0" borderId="0" xfId="0" applyFont="1" applyAlignment="1">
      <alignment wrapText="1"/>
    </xf>
    <xf numFmtId="0" fontId="14" fillId="0" borderId="0" xfId="0" applyFont="1" applyAlignment="1">
      <alignment wrapText="1"/>
    </xf>
    <xf numFmtId="0" fontId="19" fillId="0" borderId="0" xfId="0" applyFont="1" applyAlignment="1">
      <alignment wrapText="1"/>
    </xf>
    <xf numFmtId="3" fontId="52" fillId="0" borderId="0" xfId="0" applyNumberFormat="1" applyFont="1" applyAlignment="1">
      <alignment wrapText="1"/>
    </xf>
    <xf numFmtId="2" fontId="21" fillId="0" borderId="0" xfId="0" applyNumberFormat="1" applyFont="1" applyAlignment="1">
      <alignment vertical="top" wrapText="1"/>
    </xf>
    <xf numFmtId="2" fontId="0" fillId="0" borderId="0" xfId="0" applyNumberFormat="1"/>
    <xf numFmtId="0" fontId="63" fillId="0" borderId="0" xfId="0" applyFont="1" applyAlignment="1">
      <alignment horizontal="right"/>
    </xf>
    <xf numFmtId="4" fontId="60" fillId="0" borderId="0" xfId="0" applyNumberFormat="1" applyFont="1" applyAlignment="1">
      <alignment horizontal="right"/>
    </xf>
    <xf numFmtId="0" fontId="61" fillId="0" borderId="0" xfId="0" applyFont="1" applyAlignment="1">
      <alignment horizontal="right"/>
    </xf>
    <xf numFmtId="10" fontId="63" fillId="0" borderId="0" xfId="2" applyNumberFormat="1" applyFont="1" applyFill="1" applyBorder="1" applyAlignment="1">
      <alignment horizontal="right"/>
    </xf>
    <xf numFmtId="165" fontId="0" fillId="0" borderId="0" xfId="0" applyNumberFormat="1"/>
    <xf numFmtId="3" fontId="21" fillId="0" borderId="0" xfId="0" applyNumberFormat="1" applyFont="1"/>
    <xf numFmtId="0" fontId="48" fillId="0" borderId="0" xfId="0" applyFont="1" applyAlignment="1">
      <alignment wrapText="1"/>
    </xf>
    <xf numFmtId="169" fontId="71" fillId="0" borderId="0" xfId="2" applyNumberFormat="1" applyFont="1" applyAlignment="1">
      <alignment vertical="center" wrapText="1"/>
    </xf>
    <xf numFmtId="169" fontId="36" fillId="0" borderId="0" xfId="0" applyNumberFormat="1" applyFont="1" applyAlignment="1">
      <alignment wrapText="1"/>
    </xf>
    <xf numFmtId="169" fontId="59" fillId="15" borderId="13" xfId="0" applyNumberFormat="1" applyFont="1" applyFill="1" applyBorder="1" applyAlignment="1">
      <alignment horizontal="center" vertical="center" wrapText="1"/>
    </xf>
    <xf numFmtId="10" fontId="82" fillId="21" borderId="0" xfId="0" applyNumberFormat="1" applyFont="1" applyFill="1" applyAlignment="1">
      <alignment wrapText="1"/>
    </xf>
    <xf numFmtId="4" fontId="22" fillId="6" borderId="13" xfId="0" applyNumberFormat="1" applyFont="1" applyFill="1" applyBorder="1"/>
    <xf numFmtId="3" fontId="19" fillId="0" borderId="0" xfId="5" applyNumberFormat="1" applyFont="1" applyAlignment="1">
      <alignment vertical="center" wrapText="1"/>
    </xf>
    <xf numFmtId="3" fontId="11" fillId="0" borderId="0" xfId="5" applyNumberFormat="1" applyFont="1" applyAlignment="1">
      <alignment vertical="center" wrapText="1"/>
    </xf>
    <xf numFmtId="0" fontId="58" fillId="0" borderId="0" xfId="5" applyFont="1" applyAlignment="1">
      <alignment vertical="center" wrapText="1"/>
    </xf>
    <xf numFmtId="3" fontId="58" fillId="0" borderId="0" xfId="5" applyNumberFormat="1" applyFont="1" applyAlignment="1">
      <alignment vertical="center" wrapText="1"/>
    </xf>
    <xf numFmtId="0" fontId="84" fillId="0" borderId="0" xfId="0" applyFont="1" applyAlignment="1">
      <alignment wrapText="1"/>
    </xf>
    <xf numFmtId="0" fontId="85" fillId="0" borderId="0" xfId="0" applyFont="1" applyAlignment="1">
      <alignment wrapText="1"/>
    </xf>
    <xf numFmtId="3" fontId="85" fillId="0" borderId="0" xfId="0" applyNumberFormat="1" applyFont="1" applyAlignment="1">
      <alignment wrapText="1"/>
    </xf>
    <xf numFmtId="3" fontId="49" fillId="0" borderId="0" xfId="0" applyNumberFormat="1" applyFont="1" applyAlignment="1">
      <alignment wrapText="1"/>
    </xf>
    <xf numFmtId="0" fontId="16" fillId="0" borderId="12" xfId="0" applyFont="1" applyBorder="1" applyAlignment="1">
      <alignment horizontal="center" vertical="center" wrapText="1"/>
    </xf>
    <xf numFmtId="0" fontId="16" fillId="0" borderId="14" xfId="0" applyFont="1" applyBorder="1" applyAlignment="1">
      <alignment horizontal="center" vertical="center" wrapText="1"/>
    </xf>
    <xf numFmtId="0" fontId="4" fillId="6" borderId="50" xfId="0" applyFont="1" applyFill="1" applyBorder="1" applyAlignment="1">
      <alignment horizontal="center"/>
    </xf>
    <xf numFmtId="4" fontId="19" fillId="14" borderId="49" xfId="0" applyNumberFormat="1" applyFont="1" applyFill="1" applyBorder="1" applyAlignment="1">
      <alignment horizontal="center"/>
    </xf>
    <xf numFmtId="0" fontId="6" fillId="0" borderId="38" xfId="0" applyFont="1" applyBorder="1" applyAlignment="1">
      <alignment horizontal="center" vertical="center"/>
    </xf>
    <xf numFmtId="0" fontId="12" fillId="2" borderId="16" xfId="0" applyFont="1" applyFill="1" applyBorder="1" applyAlignment="1">
      <alignment horizontal="center" vertical="center" wrapText="1"/>
    </xf>
    <xf numFmtId="4" fontId="1" fillId="18" borderId="20" xfId="0" applyNumberFormat="1" applyFont="1" applyFill="1" applyBorder="1"/>
    <xf numFmtId="0" fontId="0" fillId="5" borderId="21" xfId="0" applyFill="1" applyBorder="1"/>
    <xf numFmtId="0" fontId="0" fillId="5" borderId="32" xfId="0" applyFill="1" applyBorder="1"/>
    <xf numFmtId="2" fontId="4" fillId="0" borderId="13" xfId="3" quotePrefix="1" applyNumberFormat="1" applyFont="1" applyBorder="1" applyAlignment="1">
      <alignment horizontal="center"/>
    </xf>
    <xf numFmtId="4" fontId="4" fillId="9" borderId="44" xfId="0" applyNumberFormat="1" applyFont="1" applyFill="1" applyBorder="1"/>
    <xf numFmtId="0" fontId="4" fillId="9" borderId="12" xfId="3" applyFont="1" applyFill="1" applyBorder="1" applyAlignment="1">
      <alignment horizontal="left" vertical="center" wrapText="1"/>
    </xf>
    <xf numFmtId="16" fontId="4" fillId="9" borderId="13" xfId="3" quotePrefix="1" applyNumberFormat="1" applyFont="1" applyFill="1" applyBorder="1" applyAlignment="1">
      <alignment horizontal="center"/>
    </xf>
    <xf numFmtId="2" fontId="12" fillId="9" borderId="13" xfId="3" applyNumberFormat="1" applyFont="1" applyFill="1" applyBorder="1" applyAlignment="1">
      <alignment horizontal="center"/>
    </xf>
    <xf numFmtId="0" fontId="4" fillId="0" borderId="13" xfId="0" applyFont="1" applyBorder="1"/>
    <xf numFmtId="0" fontId="4" fillId="5" borderId="14" xfId="0" applyFont="1" applyFill="1" applyBorder="1" applyAlignment="1">
      <alignment horizontal="center"/>
    </xf>
    <xf numFmtId="4" fontId="4" fillId="5" borderId="14" xfId="0" applyNumberFormat="1" applyFont="1" applyFill="1" applyBorder="1" applyAlignment="1">
      <alignment horizontal="center"/>
    </xf>
    <xf numFmtId="4" fontId="21" fillId="0" borderId="17" xfId="0" applyNumberFormat="1" applyFont="1" applyBorder="1" applyAlignment="1">
      <alignment horizontal="center"/>
    </xf>
    <xf numFmtId="4" fontId="21" fillId="14" borderId="38" xfId="0" applyNumberFormat="1" applyFont="1" applyFill="1" applyBorder="1" applyAlignment="1">
      <alignment horizontal="center" vertical="center"/>
    </xf>
    <xf numFmtId="0" fontId="22" fillId="0" borderId="1" xfId="0" applyFont="1" applyBorder="1" applyAlignment="1">
      <alignment horizontal="center" vertical="center" wrapText="1"/>
    </xf>
    <xf numFmtId="0" fontId="9" fillId="0" borderId="12" xfId="0" applyFont="1" applyBorder="1" applyAlignment="1">
      <alignment horizontal="center" vertical="center"/>
    </xf>
    <xf numFmtId="0" fontId="22" fillId="0" borderId="1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13" xfId="0" applyFont="1" applyBorder="1" applyAlignment="1">
      <alignment horizontal="center" vertical="center" wrapText="1"/>
    </xf>
    <xf numFmtId="167" fontId="22" fillId="9" borderId="20" xfId="0" applyNumberFormat="1" applyFont="1" applyFill="1" applyBorder="1" applyAlignment="1">
      <alignment horizontal="center" vertical="center"/>
    </xf>
    <xf numFmtId="0" fontId="37" fillId="0" borderId="13" xfId="4" applyFont="1" applyBorder="1" applyAlignment="1">
      <alignment horizontal="left"/>
    </xf>
    <xf numFmtId="3" fontId="21" fillId="0" borderId="14" xfId="0" applyNumberFormat="1" applyFont="1" applyBorder="1" applyAlignment="1">
      <alignment horizontal="center"/>
    </xf>
    <xf numFmtId="167" fontId="38" fillId="0" borderId="12" xfId="4" applyNumberFormat="1" applyFont="1" applyBorder="1" applyAlignment="1">
      <alignment horizontal="center"/>
    </xf>
    <xf numFmtId="167" fontId="39" fillId="0" borderId="12" xfId="0" applyNumberFormat="1" applyFont="1" applyBorder="1"/>
    <xf numFmtId="167" fontId="37" fillId="9" borderId="20" xfId="4" applyNumberFormat="1" applyFont="1" applyFill="1" applyBorder="1" applyAlignment="1">
      <alignment horizontal="right"/>
    </xf>
    <xf numFmtId="0" fontId="40" fillId="0" borderId="6" xfId="0" applyFont="1" applyBorder="1" applyAlignment="1">
      <alignment horizontal="center"/>
    </xf>
    <xf numFmtId="3" fontId="40" fillId="0" borderId="38" xfId="0" applyNumberFormat="1" applyFont="1" applyBorder="1" applyAlignment="1">
      <alignment horizontal="center"/>
    </xf>
    <xf numFmtId="167" fontId="40" fillId="0" borderId="6" xfId="0" applyNumberFormat="1" applyFont="1" applyBorder="1" applyAlignment="1">
      <alignment horizontal="center"/>
    </xf>
    <xf numFmtId="167" fontId="40" fillId="0" borderId="38" xfId="0" applyNumberFormat="1" applyFont="1" applyBorder="1" applyAlignment="1">
      <alignment horizontal="right"/>
    </xf>
    <xf numFmtId="167" fontId="38" fillId="9" borderId="40" xfId="4" applyNumberFormat="1" applyFont="1" applyFill="1" applyBorder="1" applyAlignment="1">
      <alignment horizontal="right"/>
    </xf>
    <xf numFmtId="0" fontId="37" fillId="0" borderId="60" xfId="4" applyFont="1" applyBorder="1" applyAlignment="1">
      <alignment horizontal="left"/>
    </xf>
    <xf numFmtId="0" fontId="4" fillId="8" borderId="50" xfId="0" applyFont="1" applyFill="1" applyBorder="1"/>
    <xf numFmtId="3" fontId="6" fillId="5" borderId="14" xfId="0" applyNumberFormat="1" applyFont="1" applyFill="1" applyBorder="1" applyAlignment="1">
      <alignment horizontal="center" wrapText="1"/>
    </xf>
    <xf numFmtId="0" fontId="4" fillId="6" borderId="38" xfId="0" applyFont="1" applyFill="1" applyBorder="1" applyAlignment="1">
      <alignment horizontal="center"/>
    </xf>
    <xf numFmtId="0" fontId="71" fillId="0" borderId="0" xfId="2" applyNumberFormat="1" applyFont="1" applyAlignment="1">
      <alignment vertical="center" wrapText="1"/>
    </xf>
    <xf numFmtId="4" fontId="4" fillId="10" borderId="44" xfId="0" applyNumberFormat="1" applyFont="1" applyFill="1" applyBorder="1"/>
    <xf numFmtId="4" fontId="6" fillId="10" borderId="44" xfId="0" applyNumberFormat="1" applyFont="1" applyFill="1" applyBorder="1"/>
    <xf numFmtId="4" fontId="6" fillId="9" borderId="44" xfId="0" applyNumberFormat="1" applyFont="1" applyFill="1" applyBorder="1"/>
    <xf numFmtId="0" fontId="24" fillId="0" borderId="0" xfId="0" applyFont="1"/>
    <xf numFmtId="4" fontId="12" fillId="0" borderId="13" xfId="3" applyNumberFormat="1" applyFont="1" applyBorder="1" applyAlignment="1">
      <alignment horizontal="center"/>
    </xf>
    <xf numFmtId="0" fontId="12" fillId="0" borderId="13" xfId="3" quotePrefix="1" applyFont="1" applyBorder="1" applyAlignment="1">
      <alignment horizontal="center"/>
    </xf>
    <xf numFmtId="0" fontId="6" fillId="9" borderId="6" xfId="0" applyFont="1" applyFill="1" applyBorder="1" applyAlignment="1">
      <alignment horizontal="center" vertical="center"/>
    </xf>
    <xf numFmtId="0" fontId="6" fillId="9" borderId="7" xfId="0" applyFont="1" applyFill="1" applyBorder="1" applyAlignment="1">
      <alignment horizontal="center" vertical="center"/>
    </xf>
    <xf numFmtId="0" fontId="6" fillId="9" borderId="38" xfId="0" applyFont="1" applyFill="1" applyBorder="1" applyAlignment="1">
      <alignment horizontal="center" vertical="center"/>
    </xf>
    <xf numFmtId="2" fontId="20" fillId="9" borderId="8" xfId="0" applyNumberFormat="1" applyFont="1" applyFill="1" applyBorder="1" applyAlignment="1">
      <alignment horizontal="center" vertical="center"/>
    </xf>
    <xf numFmtId="3" fontId="12" fillId="18" borderId="13" xfId="0" applyNumberFormat="1" applyFont="1" applyFill="1" applyBorder="1" applyAlignment="1">
      <alignment horizontal="center" vertical="center" wrapText="1"/>
    </xf>
    <xf numFmtId="49" fontId="42" fillId="0" borderId="0" xfId="0" applyNumberFormat="1" applyFont="1" applyAlignment="1">
      <alignment horizontal="left" vertical="top" wrapText="1"/>
    </xf>
    <xf numFmtId="0" fontId="12" fillId="3" borderId="16" xfId="0" applyFont="1" applyFill="1" applyBorder="1" applyAlignment="1">
      <alignment horizontal="center" vertical="center" wrapText="1"/>
    </xf>
    <xf numFmtId="0" fontId="21" fillId="0" borderId="0" xfId="3" applyFont="1"/>
    <xf numFmtId="0" fontId="34" fillId="0" borderId="0" xfId="3" applyFont="1" applyAlignment="1">
      <alignment wrapText="1"/>
    </xf>
    <xf numFmtId="0" fontId="24" fillId="0" borderId="0" xfId="3" applyFont="1"/>
    <xf numFmtId="0" fontId="33" fillId="0" borderId="0" xfId="3" applyFont="1"/>
    <xf numFmtId="0" fontId="32" fillId="0" borderId="0" xfId="3" applyFont="1"/>
    <xf numFmtId="0" fontId="16" fillId="0" borderId="0" xfId="3" applyFont="1" applyAlignment="1">
      <alignment horizontal="center" vertical="center"/>
    </xf>
    <xf numFmtId="0" fontId="20" fillId="20" borderId="23" xfId="3" applyFont="1" applyFill="1" applyBorder="1" applyAlignment="1">
      <alignment horizontal="center" wrapText="1"/>
    </xf>
    <xf numFmtId="0" fontId="20" fillId="20" borderId="13" xfId="3" applyFont="1" applyFill="1" applyBorder="1" applyAlignment="1">
      <alignment horizontal="center" wrapText="1"/>
    </xf>
    <xf numFmtId="4" fontId="20" fillId="20" borderId="13" xfId="3" applyNumberFormat="1" applyFont="1" applyFill="1" applyBorder="1" applyAlignment="1">
      <alignment horizontal="center" wrapText="1"/>
    </xf>
    <xf numFmtId="2" fontId="20" fillId="20" borderId="13" xfId="3" applyNumberFormat="1" applyFont="1" applyFill="1" applyBorder="1" applyAlignment="1">
      <alignment horizontal="center" wrapText="1"/>
    </xf>
    <xf numFmtId="0" fontId="12" fillId="5" borderId="12" xfId="3" applyFont="1" applyFill="1" applyBorder="1" applyAlignment="1">
      <alignment horizontal="left" vertical="center" wrapText="1"/>
    </xf>
    <xf numFmtId="2" fontId="12" fillId="5" borderId="13" xfId="0" applyNumberFormat="1" applyFont="1" applyFill="1" applyBorder="1" applyAlignment="1">
      <alignment horizontal="center"/>
    </xf>
    <xf numFmtId="4" fontId="12" fillId="5" borderId="13" xfId="0" applyNumberFormat="1" applyFont="1" applyFill="1" applyBorder="1" applyAlignment="1">
      <alignment horizontal="center"/>
    </xf>
    <xf numFmtId="0" fontId="12" fillId="0" borderId="12" xfId="20" applyFont="1" applyBorder="1" applyAlignment="1">
      <alignment vertical="top" wrapText="1"/>
    </xf>
    <xf numFmtId="2" fontId="12" fillId="0" borderId="13" xfId="3" quotePrefix="1" applyNumberFormat="1" applyFont="1" applyBorder="1" applyAlignment="1">
      <alignment horizontal="center"/>
    </xf>
    <xf numFmtId="2" fontId="12" fillId="0" borderId="13" xfId="3" applyNumberFormat="1" applyFont="1" applyBorder="1" applyAlignment="1">
      <alignment horizontal="center"/>
    </xf>
    <xf numFmtId="3" fontId="12" fillId="5" borderId="13" xfId="0" applyNumberFormat="1" applyFont="1" applyFill="1" applyBorder="1" applyAlignment="1">
      <alignment horizontal="center"/>
    </xf>
    <xf numFmtId="3" fontId="12" fillId="0" borderId="13" xfId="3" applyNumberFormat="1" applyFont="1" applyBorder="1" applyAlignment="1">
      <alignment horizontal="center"/>
    </xf>
    <xf numFmtId="0" fontId="20" fillId="20" borderId="12" xfId="3" applyFont="1" applyFill="1" applyBorder="1" applyAlignment="1">
      <alignment horizontal="center" wrapText="1"/>
    </xf>
    <xf numFmtId="2" fontId="13" fillId="0" borderId="13" xfId="3" quotePrefix="1" applyNumberFormat="1" applyFont="1" applyBorder="1" applyAlignment="1">
      <alignment horizontal="center"/>
    </xf>
    <xf numFmtId="4" fontId="13" fillId="0" borderId="13" xfId="3" applyNumberFormat="1" applyFont="1" applyBorder="1" applyAlignment="1">
      <alignment horizontal="center"/>
    </xf>
    <xf numFmtId="2" fontId="13" fillId="0" borderId="13" xfId="3" applyNumberFormat="1" applyFont="1" applyBorder="1" applyAlignment="1">
      <alignment horizontal="center"/>
    </xf>
    <xf numFmtId="0" fontId="90" fillId="23" borderId="6" xfId="0" applyFont="1" applyFill="1" applyBorder="1" applyAlignment="1">
      <alignment horizontal="center" vertical="center"/>
    </xf>
    <xf numFmtId="2" fontId="20" fillId="23" borderId="7" xfId="0" applyNumberFormat="1" applyFont="1" applyFill="1" applyBorder="1" applyAlignment="1">
      <alignment horizontal="center" vertical="center"/>
    </xf>
    <xf numFmtId="0" fontId="6" fillId="23" borderId="7" xfId="0" applyFont="1" applyFill="1" applyBorder="1" applyAlignment="1">
      <alignment horizontal="center" vertical="center"/>
    </xf>
    <xf numFmtId="3" fontId="13" fillId="0" borderId="13" xfId="3" applyNumberFormat="1" applyFont="1" applyBorder="1" applyAlignment="1">
      <alignment horizontal="center"/>
    </xf>
    <xf numFmtId="2" fontId="13" fillId="5" borderId="13" xfId="0" applyNumberFormat="1" applyFont="1" applyFill="1" applyBorder="1" applyAlignment="1">
      <alignment horizontal="center"/>
    </xf>
    <xf numFmtId="3" fontId="13" fillId="5" borderId="13" xfId="0" applyNumberFormat="1" applyFont="1" applyFill="1" applyBorder="1" applyAlignment="1">
      <alignment horizontal="center"/>
    </xf>
    <xf numFmtId="3" fontId="20" fillId="20" borderId="13" xfId="3" applyNumberFormat="1" applyFont="1" applyFill="1" applyBorder="1" applyAlignment="1">
      <alignment horizontal="center" wrapText="1"/>
    </xf>
    <xf numFmtId="0" fontId="12" fillId="5" borderId="13" xfId="0" applyFont="1" applyFill="1" applyBorder="1" applyAlignment="1">
      <alignment horizontal="center"/>
    </xf>
    <xf numFmtId="0" fontId="6" fillId="20" borderId="23" xfId="3" applyFont="1" applyFill="1" applyBorder="1" applyAlignment="1">
      <alignment horizontal="center" wrapText="1"/>
    </xf>
    <xf numFmtId="0" fontId="11" fillId="0" borderId="12" xfId="20" applyFont="1" applyBorder="1" applyAlignment="1">
      <alignment vertical="top" wrapText="1"/>
    </xf>
    <xf numFmtId="4" fontId="12" fillId="5" borderId="14" xfId="0" applyNumberFormat="1" applyFont="1" applyFill="1" applyBorder="1" applyAlignment="1">
      <alignment horizontal="center"/>
    </xf>
    <xf numFmtId="0" fontId="11" fillId="4" borderId="12" xfId="20" applyFont="1" applyFill="1" applyBorder="1" applyAlignment="1">
      <alignment horizontal="left" vertical="center"/>
    </xf>
    <xf numFmtId="0" fontId="11" fillId="24" borderId="12" xfId="20" applyFont="1" applyFill="1" applyBorder="1" applyAlignment="1">
      <alignment horizontal="left" vertical="center" wrapText="1"/>
    </xf>
    <xf numFmtId="2" fontId="6" fillId="20" borderId="13" xfId="3" applyNumberFormat="1" applyFont="1" applyFill="1" applyBorder="1" applyAlignment="1">
      <alignment horizontal="center" wrapText="1"/>
    </xf>
    <xf numFmtId="4" fontId="6" fillId="20" borderId="13" xfId="3" applyNumberFormat="1" applyFont="1" applyFill="1" applyBorder="1" applyAlignment="1">
      <alignment horizontal="center" wrapText="1"/>
    </xf>
    <xf numFmtId="2" fontId="4" fillId="5" borderId="13" xfId="0" applyNumberFormat="1" applyFont="1" applyFill="1" applyBorder="1" applyAlignment="1">
      <alignment horizontal="center"/>
    </xf>
    <xf numFmtId="0" fontId="20" fillId="23" borderId="7" xfId="0" applyFont="1" applyFill="1" applyBorder="1" applyAlignment="1">
      <alignment horizontal="center" vertical="center"/>
    </xf>
    <xf numFmtId="0" fontId="9" fillId="19" borderId="6" xfId="0" applyFont="1" applyFill="1" applyBorder="1" applyAlignment="1">
      <alignment horizontal="center"/>
    </xf>
    <xf numFmtId="166" fontId="19" fillId="19" borderId="7" xfId="0" applyNumberFormat="1" applyFont="1" applyFill="1" applyBorder="1"/>
    <xf numFmtId="0" fontId="9" fillId="19" borderId="7" xfId="0" applyFont="1" applyFill="1" applyBorder="1" applyAlignment="1">
      <alignment horizontal="center"/>
    </xf>
    <xf numFmtId="4" fontId="6" fillId="20" borderId="13" xfId="3" applyNumberFormat="1" applyFont="1" applyFill="1" applyBorder="1" applyAlignment="1">
      <alignment horizontal="center" vertical="center" wrapText="1"/>
    </xf>
    <xf numFmtId="4" fontId="22" fillId="20" borderId="13" xfId="3" applyNumberFormat="1" applyFont="1" applyFill="1" applyBorder="1" applyAlignment="1">
      <alignment horizontal="right" vertical="center" wrapText="1"/>
    </xf>
    <xf numFmtId="4" fontId="12" fillId="5" borderId="13" xfId="3" applyNumberFormat="1" applyFont="1" applyFill="1" applyBorder="1" applyAlignment="1">
      <alignment horizontal="center"/>
    </xf>
    <xf numFmtId="4" fontId="4" fillId="5" borderId="13" xfId="3" quotePrefix="1" applyNumberFormat="1" applyFont="1" applyFill="1" applyBorder="1" applyAlignment="1">
      <alignment horizontal="center"/>
    </xf>
    <xf numFmtId="4" fontId="6" fillId="20" borderId="11" xfId="3" applyNumberFormat="1" applyFont="1" applyFill="1" applyBorder="1" applyAlignment="1">
      <alignment horizontal="center" vertical="center" wrapText="1"/>
    </xf>
    <xf numFmtId="0" fontId="2" fillId="19" borderId="6" xfId="3" applyFont="1" applyFill="1" applyBorder="1" applyAlignment="1">
      <alignment horizontal="center" vertical="center"/>
    </xf>
    <xf numFmtId="2" fontId="16" fillId="0" borderId="0" xfId="3" applyNumberFormat="1" applyFont="1" applyAlignment="1">
      <alignment horizontal="center" vertical="center"/>
    </xf>
    <xf numFmtId="2" fontId="6" fillId="20" borderId="11" xfId="3" applyNumberFormat="1" applyFont="1" applyFill="1" applyBorder="1" applyAlignment="1">
      <alignment horizontal="center" vertical="center" wrapText="1"/>
    </xf>
    <xf numFmtId="2" fontId="4" fillId="5" borderId="13" xfId="3" quotePrefix="1" applyNumberFormat="1" applyFont="1" applyFill="1" applyBorder="1" applyAlignment="1">
      <alignment horizontal="center"/>
    </xf>
    <xf numFmtId="4" fontId="16" fillId="0" borderId="0" xfId="3" applyNumberFormat="1" applyFont="1" applyAlignment="1">
      <alignment horizontal="center" vertical="center"/>
    </xf>
    <xf numFmtId="2" fontId="19" fillId="19" borderId="7" xfId="0" applyNumberFormat="1" applyFont="1" applyFill="1" applyBorder="1"/>
    <xf numFmtId="0" fontId="2" fillId="0" borderId="0" xfId="3" applyFont="1"/>
    <xf numFmtId="0" fontId="2" fillId="0" borderId="6" xfId="3" applyFont="1" applyBorder="1" applyAlignment="1">
      <alignment horizontal="center" vertical="center"/>
    </xf>
    <xf numFmtId="2" fontId="2" fillId="0" borderId="7" xfId="3" applyNumberFormat="1" applyFont="1" applyBorder="1" applyAlignment="1">
      <alignment horizontal="center" vertical="center"/>
    </xf>
    <xf numFmtId="0" fontId="21" fillId="0" borderId="7" xfId="3" applyFont="1" applyBorder="1" applyAlignment="1">
      <alignment horizontal="center" vertical="center"/>
    </xf>
    <xf numFmtId="4" fontId="20" fillId="20" borderId="14" xfId="3" applyNumberFormat="1" applyFont="1" applyFill="1" applyBorder="1" applyAlignment="1">
      <alignment horizontal="center" wrapText="1"/>
    </xf>
    <xf numFmtId="4" fontId="5" fillId="0" borderId="14" xfId="3" applyNumberFormat="1" applyFont="1" applyBorder="1" applyAlignment="1">
      <alignment horizontal="center"/>
    </xf>
    <xf numFmtId="4" fontId="13" fillId="0" borderId="14" xfId="0" applyNumberFormat="1" applyFont="1" applyBorder="1" applyAlignment="1">
      <alignment horizontal="center"/>
    </xf>
    <xf numFmtId="0" fontId="6" fillId="23" borderId="38" xfId="0" applyFont="1" applyFill="1" applyBorder="1" applyAlignment="1">
      <alignment horizontal="center" vertical="center"/>
    </xf>
    <xf numFmtId="4" fontId="13" fillId="5" borderId="14" xfId="0" applyNumberFormat="1" applyFont="1" applyFill="1" applyBorder="1" applyAlignment="1">
      <alignment horizontal="center"/>
    </xf>
    <xf numFmtId="4" fontId="6" fillId="20" borderId="14" xfId="3" applyNumberFormat="1" applyFont="1" applyFill="1" applyBorder="1" applyAlignment="1">
      <alignment horizontal="center" wrapText="1"/>
    </xf>
    <xf numFmtId="0" fontId="20" fillId="23" borderId="38" xfId="0" applyFont="1" applyFill="1" applyBorder="1" applyAlignment="1">
      <alignment horizontal="center" vertical="center"/>
    </xf>
    <xf numFmtId="0" fontId="9" fillId="19" borderId="38" xfId="0" applyFont="1" applyFill="1" applyBorder="1" applyAlignment="1">
      <alignment horizontal="center"/>
    </xf>
    <xf numFmtId="4" fontId="22" fillId="20" borderId="14" xfId="3" applyNumberFormat="1" applyFont="1" applyFill="1" applyBorder="1" applyAlignment="1">
      <alignment horizontal="right" vertical="center" wrapText="1"/>
    </xf>
    <xf numFmtId="3" fontId="2" fillId="0" borderId="38" xfId="3" applyNumberFormat="1" applyFont="1" applyBorder="1" applyAlignment="1">
      <alignment horizontal="center" vertical="center"/>
    </xf>
    <xf numFmtId="0" fontId="4" fillId="0" borderId="12" xfId="0" applyFont="1" applyBorder="1" applyAlignment="1">
      <alignment horizontal="center"/>
    </xf>
    <xf numFmtId="4" fontId="4" fillId="0" borderId="12" xfId="0" applyNumberFormat="1" applyFont="1" applyBorder="1"/>
    <xf numFmtId="0" fontId="6" fillId="0" borderId="12" xfId="0" applyFont="1" applyBorder="1" applyAlignment="1">
      <alignment vertical="center"/>
    </xf>
    <xf numFmtId="2" fontId="16" fillId="0" borderId="12" xfId="3" applyNumberFormat="1" applyFont="1" applyBorder="1" applyAlignment="1">
      <alignment horizontal="center" vertical="center"/>
    </xf>
    <xf numFmtId="0" fontId="16" fillId="0" borderId="12" xfId="3" applyFont="1" applyBorder="1" applyAlignment="1">
      <alignment horizontal="center" vertical="center"/>
    </xf>
    <xf numFmtId="4" fontId="4" fillId="0" borderId="44" xfId="0" applyNumberFormat="1" applyFont="1" applyBorder="1" applyAlignment="1">
      <alignment horizontal="right" vertical="center"/>
    </xf>
    <xf numFmtId="4" fontId="4" fillId="0" borderId="54" xfId="0" applyNumberFormat="1" applyFont="1" applyBorder="1" applyAlignment="1">
      <alignment horizontal="right" vertical="center"/>
    </xf>
    <xf numFmtId="4" fontId="4" fillId="19" borderId="12" xfId="0" applyNumberFormat="1" applyFont="1" applyFill="1" applyBorder="1"/>
    <xf numFmtId="4" fontId="16" fillId="19" borderId="12" xfId="3" applyNumberFormat="1" applyFont="1" applyFill="1" applyBorder="1" applyAlignment="1">
      <alignment horizontal="center" vertical="center"/>
    </xf>
    <xf numFmtId="4" fontId="2" fillId="0" borderId="12" xfId="3" applyNumberFormat="1" applyFont="1" applyBorder="1"/>
    <xf numFmtId="0" fontId="6" fillId="0" borderId="19" xfId="0" applyFont="1" applyBorder="1" applyAlignment="1">
      <alignment horizontal="right" vertical="center"/>
    </xf>
    <xf numFmtId="0" fontId="4" fillId="0" borderId="19" xfId="0" applyFont="1" applyBorder="1"/>
    <xf numFmtId="2" fontId="20" fillId="0" borderId="19" xfId="0" applyNumberFormat="1" applyFont="1" applyBorder="1" applyAlignment="1">
      <alignment horizontal="center"/>
    </xf>
    <xf numFmtId="0" fontId="0" fillId="0" borderId="19" xfId="0" applyBorder="1"/>
    <xf numFmtId="4" fontId="6" fillId="0" borderId="19" xfId="0" applyNumberFormat="1" applyFont="1" applyBorder="1"/>
    <xf numFmtId="4" fontId="2" fillId="19" borderId="12" xfId="0" applyNumberFormat="1" applyFont="1" applyFill="1" applyBorder="1" applyAlignment="1">
      <alignment horizontal="center"/>
    </xf>
    <xf numFmtId="0" fontId="4" fillId="5" borderId="33" xfId="3" applyFont="1" applyFill="1" applyBorder="1" applyAlignment="1">
      <alignment horizontal="left" vertical="center" wrapText="1"/>
    </xf>
    <xf numFmtId="0" fontId="6" fillId="20" borderId="24" xfId="3" applyFont="1" applyFill="1" applyBorder="1" applyAlignment="1">
      <alignment horizontal="center" wrapText="1"/>
    </xf>
    <xf numFmtId="0" fontId="6" fillId="20" borderId="33" xfId="3" applyFont="1" applyFill="1" applyBorder="1" applyAlignment="1">
      <alignment horizontal="center" wrapText="1"/>
    </xf>
    <xf numFmtId="0" fontId="9" fillId="6" borderId="33" xfId="0" applyFont="1" applyFill="1" applyBorder="1" applyAlignment="1">
      <alignment horizontal="right"/>
    </xf>
    <xf numFmtId="0" fontId="28" fillId="14" borderId="33" xfId="0" applyFont="1" applyFill="1" applyBorder="1" applyAlignment="1">
      <alignment horizontal="right"/>
    </xf>
    <xf numFmtId="0" fontId="12" fillId="0" borderId="33" xfId="0" applyFont="1" applyBorder="1"/>
    <xf numFmtId="0" fontId="9" fillId="6" borderId="63" xfId="0" applyFont="1" applyFill="1" applyBorder="1" applyAlignment="1">
      <alignment horizontal="right"/>
    </xf>
    <xf numFmtId="0" fontId="29" fillId="14" borderId="62" xfId="0" applyFont="1" applyFill="1" applyBorder="1" applyAlignment="1">
      <alignment horizontal="right"/>
    </xf>
    <xf numFmtId="0" fontId="6" fillId="9" borderId="42" xfId="0" applyFont="1" applyFill="1" applyBorder="1" applyAlignment="1">
      <alignment horizontal="center" vertical="center"/>
    </xf>
    <xf numFmtId="0" fontId="6" fillId="0" borderId="42" xfId="0" applyFont="1" applyBorder="1" applyAlignment="1">
      <alignment horizontal="center" vertical="center"/>
    </xf>
    <xf numFmtId="0" fontId="4" fillId="2" borderId="51" xfId="0" applyFont="1" applyFill="1" applyBorder="1" applyAlignment="1">
      <alignment horizontal="center" vertical="center" wrapText="1"/>
    </xf>
    <xf numFmtId="0" fontId="20" fillId="20" borderId="24" xfId="3" applyFont="1" applyFill="1" applyBorder="1" applyAlignment="1">
      <alignment horizontal="center" wrapText="1"/>
    </xf>
    <xf numFmtId="0" fontId="12" fillId="5" borderId="33" xfId="3" applyFont="1" applyFill="1" applyBorder="1" applyAlignment="1">
      <alignment horizontal="left" vertical="center" wrapText="1"/>
    </xf>
    <xf numFmtId="0" fontId="12" fillId="0" borderId="33" xfId="20" applyFont="1" applyBorder="1" applyAlignment="1">
      <alignment vertical="top" wrapText="1"/>
    </xf>
    <xf numFmtId="0" fontId="20" fillId="20" borderId="33" xfId="3" applyFont="1" applyFill="1" applyBorder="1" applyAlignment="1">
      <alignment horizontal="center" wrapText="1"/>
    </xf>
    <xf numFmtId="0" fontId="90" fillId="23" borderId="42" xfId="0" applyFont="1" applyFill="1" applyBorder="1" applyAlignment="1">
      <alignment horizontal="center" vertical="center"/>
    </xf>
    <xf numFmtId="0" fontId="11" fillId="0" borderId="33" xfId="20" applyFont="1" applyBorder="1" applyAlignment="1">
      <alignment vertical="top" wrapText="1"/>
    </xf>
    <xf numFmtId="0" fontId="11" fillId="4" borderId="33" xfId="20" applyFont="1" applyFill="1" applyBorder="1" applyAlignment="1">
      <alignment horizontal="left" vertical="center"/>
    </xf>
    <xf numFmtId="0" fontId="4" fillId="0" borderId="33" xfId="3" applyFont="1" applyBorder="1"/>
    <xf numFmtId="0" fontId="9" fillId="19" borderId="42" xfId="0" applyFont="1" applyFill="1" applyBorder="1" applyAlignment="1">
      <alignment horizontal="center"/>
    </xf>
    <xf numFmtId="0" fontId="6" fillId="20" borderId="62" xfId="3" applyFont="1" applyFill="1" applyBorder="1" applyAlignment="1">
      <alignment horizontal="center" wrapText="1"/>
    </xf>
    <xf numFmtId="0" fontId="2" fillId="19" borderId="65" xfId="3" applyFont="1" applyFill="1" applyBorder="1" applyAlignment="1">
      <alignment horizontal="center" vertical="center"/>
    </xf>
    <xf numFmtId="0" fontId="2" fillId="0" borderId="42" xfId="3" applyFont="1" applyBorder="1" applyAlignment="1">
      <alignment horizontal="center" vertical="center"/>
    </xf>
    <xf numFmtId="0" fontId="12" fillId="0" borderId="33" xfId="20" applyFont="1" applyBorder="1" applyAlignment="1">
      <alignment horizontal="center" vertical="top" wrapText="1"/>
    </xf>
    <xf numFmtId="0" fontId="12" fillId="0" borderId="33" xfId="3" applyFont="1" applyBorder="1" applyAlignment="1">
      <alignment horizontal="center"/>
    </xf>
    <xf numFmtId="0" fontId="12" fillId="24" borderId="33" xfId="20" applyFont="1" applyFill="1" applyBorder="1" applyAlignment="1">
      <alignment horizontal="center" vertical="center" wrapText="1"/>
    </xf>
    <xf numFmtId="0" fontId="25" fillId="0" borderId="33" xfId="0" applyFont="1" applyBorder="1"/>
    <xf numFmtId="0" fontId="12" fillId="12" borderId="33" xfId="0" applyFont="1" applyFill="1" applyBorder="1"/>
    <xf numFmtId="0" fontId="6" fillId="6" borderId="33" xfId="0" applyFont="1" applyFill="1" applyBorder="1" applyAlignment="1">
      <alignment horizontal="right"/>
    </xf>
    <xf numFmtId="0" fontId="12" fillId="12" borderId="33" xfId="0" applyFont="1" applyFill="1" applyBorder="1" applyAlignment="1">
      <alignment wrapText="1"/>
    </xf>
    <xf numFmtId="0" fontId="6" fillId="11" borderId="63" xfId="0" applyFont="1" applyFill="1" applyBorder="1" applyAlignment="1">
      <alignment horizontal="right" vertical="center"/>
    </xf>
    <xf numFmtId="0" fontId="2" fillId="11" borderId="42" xfId="3" applyFont="1" applyFill="1" applyBorder="1" applyAlignment="1">
      <alignment horizontal="center" vertical="center"/>
    </xf>
    <xf numFmtId="0" fontId="6" fillId="10" borderId="62" xfId="0" applyFont="1" applyFill="1" applyBorder="1" applyAlignment="1">
      <alignment horizontal="left" wrapText="1"/>
    </xf>
    <xf numFmtId="0" fontId="22" fillId="9" borderId="33" xfId="0" applyFont="1" applyFill="1" applyBorder="1" applyAlignment="1">
      <alignment horizontal="left" vertical="center" wrapText="1"/>
    </xf>
    <xf numFmtId="0" fontId="4" fillId="9" borderId="33" xfId="3" applyFont="1" applyFill="1" applyBorder="1" applyAlignment="1">
      <alignment horizontal="left" vertical="center" wrapText="1"/>
    </xf>
    <xf numFmtId="0" fontId="4" fillId="9" borderId="33" xfId="0" applyFont="1" applyFill="1" applyBorder="1" applyAlignment="1">
      <alignment horizontal="left" vertical="center" wrapText="1"/>
    </xf>
    <xf numFmtId="0" fontId="2" fillId="10" borderId="42" xfId="0" applyFont="1" applyFill="1" applyBorder="1" applyAlignment="1">
      <alignment horizontal="center" vertical="center"/>
    </xf>
    <xf numFmtId="0" fontId="6" fillId="8" borderId="63" xfId="0" applyFont="1" applyFill="1" applyBorder="1" applyAlignment="1">
      <alignment horizontal="right" vertical="center"/>
    </xf>
    <xf numFmtId="0" fontId="6" fillId="6" borderId="63" xfId="0" applyFont="1" applyFill="1" applyBorder="1" applyAlignment="1">
      <alignment horizontal="right"/>
    </xf>
    <xf numFmtId="0" fontId="4" fillId="2" borderId="42" xfId="0" applyFont="1" applyFill="1" applyBorder="1" applyAlignment="1">
      <alignment horizontal="center" vertical="center" wrapText="1"/>
    </xf>
    <xf numFmtId="0" fontId="6" fillId="6" borderId="42" xfId="0" applyFont="1" applyFill="1" applyBorder="1" applyAlignment="1">
      <alignment horizontal="right"/>
    </xf>
    <xf numFmtId="0" fontId="20" fillId="10" borderId="62" xfId="0" applyFont="1" applyFill="1" applyBorder="1" applyAlignment="1">
      <alignment horizontal="left" wrapText="1"/>
    </xf>
    <xf numFmtId="0" fontId="11" fillId="9" borderId="33" xfId="0" applyFont="1" applyFill="1" applyBorder="1" applyAlignment="1">
      <alignment horizontal="left" vertical="center" wrapText="1"/>
    </xf>
    <xf numFmtId="0" fontId="0" fillId="0" borderId="57" xfId="0" applyBorder="1"/>
    <xf numFmtId="4" fontId="6" fillId="0" borderId="57" xfId="0" applyNumberFormat="1" applyFont="1" applyBorder="1"/>
    <xf numFmtId="0" fontId="4" fillId="5" borderId="33" xfId="0" applyFont="1" applyFill="1" applyBorder="1" applyAlignment="1">
      <alignment horizontal="center"/>
    </xf>
    <xf numFmtId="0" fontId="4" fillId="5" borderId="33" xfId="0" applyFont="1" applyFill="1" applyBorder="1" applyAlignment="1">
      <alignment horizontal="center" vertical="center" wrapText="1"/>
    </xf>
    <xf numFmtId="0" fontId="21" fillId="0" borderId="64" xfId="0" applyFont="1" applyBorder="1" applyAlignment="1">
      <alignment horizontal="center" vertical="center"/>
    </xf>
    <xf numFmtId="0" fontId="2" fillId="14" borderId="42" xfId="0" applyFont="1" applyFill="1" applyBorder="1" applyAlignment="1">
      <alignment horizontal="center" vertical="center"/>
    </xf>
    <xf numFmtId="167" fontId="4" fillId="0" borderId="13" xfId="0" quotePrefix="1" applyNumberFormat="1" applyFont="1" applyBorder="1" applyAlignment="1">
      <alignment horizontal="center"/>
    </xf>
    <xf numFmtId="167" fontId="9" fillId="5" borderId="13" xfId="0" quotePrefix="1" applyNumberFormat="1" applyFont="1" applyFill="1" applyBorder="1" applyAlignment="1">
      <alignment horizontal="center"/>
    </xf>
    <xf numFmtId="2" fontId="6" fillId="5" borderId="13" xfId="0" quotePrefix="1" applyNumberFormat="1" applyFont="1" applyFill="1" applyBorder="1" applyAlignment="1">
      <alignment horizontal="center"/>
    </xf>
    <xf numFmtId="167" fontId="4" fillId="5" borderId="13" xfId="0" quotePrefix="1" applyNumberFormat="1" applyFont="1" applyFill="1" applyBorder="1" applyAlignment="1">
      <alignment horizontal="center"/>
    </xf>
    <xf numFmtId="167" fontId="4" fillId="0" borderId="11" xfId="0" quotePrefix="1" applyNumberFormat="1" applyFont="1" applyBorder="1" applyAlignment="1">
      <alignment horizontal="center"/>
    </xf>
    <xf numFmtId="167" fontId="4" fillId="0" borderId="37" xfId="0" quotePrefix="1" applyNumberFormat="1" applyFont="1" applyBorder="1" applyAlignment="1">
      <alignment horizontal="center"/>
    </xf>
    <xf numFmtId="167" fontId="4" fillId="0" borderId="0" xfId="0" quotePrefix="1" applyNumberFormat="1" applyFont="1" applyAlignment="1">
      <alignment horizontal="center"/>
    </xf>
    <xf numFmtId="0" fontId="11" fillId="9" borderId="33" xfId="0" applyFont="1" applyFill="1" applyBorder="1" applyAlignment="1">
      <alignment horizontal="center" vertical="center" wrapText="1"/>
    </xf>
    <xf numFmtId="0" fontId="4" fillId="9" borderId="33" xfId="0" applyFont="1" applyFill="1" applyBorder="1" applyAlignment="1">
      <alignment horizontal="center" vertical="center" wrapText="1"/>
    </xf>
    <xf numFmtId="0" fontId="7" fillId="4" borderId="35" xfId="0" applyFont="1" applyFill="1" applyBorder="1" applyAlignment="1">
      <alignment horizontal="left" vertical="center" wrapText="1"/>
    </xf>
    <xf numFmtId="0" fontId="23" fillId="0" borderId="0" xfId="0" applyFont="1" applyAlignment="1">
      <alignment horizontal="center" vertical="center" wrapText="1"/>
    </xf>
    <xf numFmtId="0" fontId="6" fillId="7" borderId="0" xfId="0" applyFont="1" applyFill="1" applyAlignment="1">
      <alignment horizontal="center" vertical="center"/>
    </xf>
    <xf numFmtId="0" fontId="2" fillId="10" borderId="7" xfId="0" applyFont="1" applyFill="1" applyBorder="1" applyAlignment="1">
      <alignment horizontal="center" vertical="center"/>
    </xf>
    <xf numFmtId="3" fontId="32" fillId="0" borderId="0" xfId="0" applyNumberFormat="1" applyFont="1"/>
    <xf numFmtId="3" fontId="11" fillId="0" borderId="0" xfId="0" applyNumberFormat="1" applyFont="1" applyAlignment="1">
      <alignment wrapText="1"/>
    </xf>
    <xf numFmtId="3" fontId="48" fillId="0" borderId="0" xfId="0" applyNumberFormat="1" applyFont="1" applyAlignment="1">
      <alignment wrapText="1"/>
    </xf>
    <xf numFmtId="0" fontId="22" fillId="21" borderId="12" xfId="0" applyFont="1" applyFill="1" applyBorder="1"/>
    <xf numFmtId="0" fontId="22" fillId="21" borderId="33" xfId="0" applyFont="1" applyFill="1" applyBorder="1" applyAlignment="1">
      <alignment horizontal="center"/>
    </xf>
    <xf numFmtId="16" fontId="4" fillId="21" borderId="13" xfId="0" quotePrefix="1" applyNumberFormat="1" applyFont="1" applyFill="1" applyBorder="1" applyAlignment="1">
      <alignment horizontal="center"/>
    </xf>
    <xf numFmtId="0" fontId="4" fillId="21" borderId="13" xfId="0" applyFont="1" applyFill="1" applyBorder="1" applyAlignment="1">
      <alignment horizontal="center"/>
    </xf>
    <xf numFmtId="0" fontId="4" fillId="21" borderId="5" xfId="0" applyFont="1" applyFill="1" applyBorder="1" applyAlignment="1">
      <alignment horizontal="center"/>
    </xf>
    <xf numFmtId="0" fontId="12" fillId="21" borderId="20" xfId="0" applyFont="1" applyFill="1" applyBorder="1" applyAlignment="1">
      <alignment horizontal="center"/>
    </xf>
    <xf numFmtId="0" fontId="56" fillId="53" borderId="13" xfId="0" applyFont="1" applyFill="1" applyBorder="1" applyAlignment="1">
      <alignment horizontal="center" vertical="center" wrapText="1"/>
    </xf>
    <xf numFmtId="0" fontId="63" fillId="53" borderId="13" xfId="0" applyFont="1" applyFill="1" applyBorder="1" applyAlignment="1">
      <alignment horizontal="center" vertical="center" wrapText="1"/>
    </xf>
    <xf numFmtId="4" fontId="0" fillId="0" borderId="13" xfId="0" applyNumberFormat="1" applyBorder="1"/>
    <xf numFmtId="0" fontId="56" fillId="2" borderId="13" xfId="20" applyFont="1" applyFill="1" applyBorder="1" applyAlignment="1">
      <alignment horizontal="center" vertical="center" wrapText="1"/>
    </xf>
    <xf numFmtId="0" fontId="63" fillId="2" borderId="13" xfId="20" applyFont="1" applyFill="1" applyBorder="1" applyAlignment="1">
      <alignment horizontal="center" vertical="center" wrapText="1"/>
    </xf>
    <xf numFmtId="4" fontId="25" fillId="0" borderId="13" xfId="2" applyNumberFormat="1" applyFont="1" applyFill="1" applyBorder="1" applyAlignment="1">
      <alignment horizontal="right"/>
    </xf>
    <xf numFmtId="0" fontId="0" fillId="0" borderId="13" xfId="0" applyBorder="1" applyAlignment="1">
      <alignment horizontal="center" vertical="center"/>
    </xf>
    <xf numFmtId="0" fontId="4" fillId="21" borderId="12" xfId="0" applyFont="1" applyFill="1" applyBorder="1" applyAlignment="1">
      <alignment vertical="center"/>
    </xf>
    <xf numFmtId="0" fontId="4" fillId="21" borderId="33" xfId="22" applyFont="1" applyFill="1" applyBorder="1" applyAlignment="1">
      <alignment horizontal="center" vertical="center"/>
    </xf>
    <xf numFmtId="0" fontId="4" fillId="21" borderId="33" xfId="0" applyFont="1" applyFill="1" applyBorder="1" applyAlignment="1">
      <alignment horizontal="center" vertical="center"/>
    </xf>
    <xf numFmtId="0" fontId="4" fillId="21" borderId="13" xfId="0" applyFont="1" applyFill="1" applyBorder="1" applyAlignment="1">
      <alignment horizontal="center" vertical="center"/>
    </xf>
    <xf numFmtId="49" fontId="4" fillId="21" borderId="13" xfId="0" applyNumberFormat="1" applyFont="1" applyFill="1" applyBorder="1" applyAlignment="1">
      <alignment horizontal="center" vertical="center"/>
    </xf>
    <xf numFmtId="4" fontId="4" fillId="21" borderId="13" xfId="0" applyNumberFormat="1" applyFont="1" applyFill="1" applyBorder="1" applyAlignment="1">
      <alignment horizontal="center"/>
    </xf>
    <xf numFmtId="4" fontId="4" fillId="21" borderId="14" xfId="0" applyNumberFormat="1" applyFont="1" applyFill="1" applyBorder="1" applyAlignment="1">
      <alignment horizontal="center"/>
    </xf>
    <xf numFmtId="4" fontId="12" fillId="21" borderId="14" xfId="0" applyNumberFormat="1" applyFont="1" applyFill="1" applyBorder="1" applyAlignment="1">
      <alignment horizontal="center"/>
    </xf>
    <xf numFmtId="0" fontId="4" fillId="21" borderId="64" xfId="22" applyFont="1" applyFill="1" applyBorder="1" applyAlignment="1">
      <alignment horizontal="center" wrapText="1"/>
    </xf>
    <xf numFmtId="0" fontId="4" fillId="21" borderId="33" xfId="21" applyFont="1" applyFill="1" applyBorder="1" applyAlignment="1">
      <alignment horizontal="center" vertical="center" wrapText="1"/>
    </xf>
    <xf numFmtId="0" fontId="4" fillId="21" borderId="12" xfId="0" applyFont="1" applyFill="1" applyBorder="1"/>
    <xf numFmtId="0" fontId="4" fillId="21" borderId="13" xfId="0" quotePrefix="1" applyFont="1" applyFill="1" applyBorder="1" applyAlignment="1">
      <alignment horizontal="center"/>
    </xf>
    <xf numFmtId="0" fontId="4" fillId="21" borderId="64" xfId="21" applyFont="1" applyFill="1" applyBorder="1" applyAlignment="1">
      <alignment horizontal="center" vertical="center" wrapText="1"/>
    </xf>
    <xf numFmtId="0" fontId="4" fillId="0" borderId="13" xfId="20" applyFont="1" applyBorder="1" applyAlignment="1">
      <alignment horizontal="center"/>
    </xf>
    <xf numFmtId="0" fontId="4" fillId="21" borderId="13" xfId="0" applyFont="1" applyFill="1" applyBorder="1"/>
    <xf numFmtId="1" fontId="4" fillId="21" borderId="13" xfId="0" applyNumberFormat="1" applyFont="1" applyFill="1" applyBorder="1" applyAlignment="1">
      <alignment horizontal="center"/>
    </xf>
    <xf numFmtId="4" fontId="12" fillId="21" borderId="20" xfId="0" applyNumberFormat="1" applyFont="1" applyFill="1" applyBorder="1" applyAlignment="1">
      <alignment horizontal="center"/>
    </xf>
    <xf numFmtId="0" fontId="4" fillId="21" borderId="64" xfId="21" applyFont="1" applyFill="1" applyBorder="1" applyAlignment="1">
      <alignment horizontal="center" vertical="center"/>
    </xf>
    <xf numFmtId="0" fontId="4" fillId="21" borderId="64" xfId="21" applyFont="1" applyFill="1" applyBorder="1" applyAlignment="1">
      <alignment horizontal="center"/>
    </xf>
    <xf numFmtId="3" fontId="4" fillId="21" borderId="13" xfId="0" applyNumberFormat="1" applyFont="1" applyFill="1" applyBorder="1" applyAlignment="1">
      <alignment horizontal="center"/>
    </xf>
    <xf numFmtId="0" fontId="4" fillId="21" borderId="13" xfId="0" applyFont="1" applyFill="1" applyBorder="1" applyAlignment="1">
      <alignment horizontal="left"/>
    </xf>
    <xf numFmtId="49" fontId="22" fillId="21" borderId="13" xfId="22" applyNumberFormat="1" applyFont="1" applyFill="1" applyBorder="1" applyAlignment="1">
      <alignment horizontal="center"/>
    </xf>
    <xf numFmtId="0" fontId="4" fillId="21" borderId="13" xfId="0" applyFont="1" applyFill="1" applyBorder="1" applyAlignment="1">
      <alignment horizontal="center" vertical="center" wrapText="1"/>
    </xf>
    <xf numFmtId="2" fontId="4" fillId="21" borderId="13" xfId="0" applyNumberFormat="1" applyFont="1" applyFill="1" applyBorder="1" applyAlignment="1">
      <alignment horizontal="center"/>
    </xf>
    <xf numFmtId="2" fontId="12" fillId="21" borderId="13" xfId="0" applyNumberFormat="1" applyFont="1" applyFill="1" applyBorder="1" applyAlignment="1">
      <alignment horizontal="center"/>
    </xf>
    <xf numFmtId="0" fontId="4" fillId="21" borderId="33" xfId="0" applyFont="1" applyFill="1" applyBorder="1" applyAlignment="1">
      <alignment horizontal="center" wrapText="1"/>
    </xf>
    <xf numFmtId="0" fontId="4" fillId="21" borderId="33" xfId="26" applyFont="1" applyFill="1" applyBorder="1" applyAlignment="1">
      <alignment horizontal="center" vertical="center" wrapText="1"/>
    </xf>
    <xf numFmtId="2" fontId="4" fillId="21" borderId="14" xfId="0" applyNumberFormat="1" applyFont="1" applyFill="1" applyBorder="1" applyAlignment="1">
      <alignment horizontal="center"/>
    </xf>
    <xf numFmtId="2" fontId="12" fillId="21" borderId="14" xfId="0" applyNumberFormat="1" applyFont="1" applyFill="1" applyBorder="1" applyAlignment="1">
      <alignment horizontal="center"/>
    </xf>
    <xf numFmtId="0" fontId="12" fillId="21" borderId="12" xfId="0" applyFont="1" applyFill="1" applyBorder="1"/>
    <xf numFmtId="0" fontId="4" fillId="21" borderId="33" xfId="0" applyFont="1" applyFill="1" applyBorder="1" applyAlignment="1">
      <alignment horizontal="center"/>
    </xf>
    <xf numFmtId="0" fontId="4" fillId="21" borderId="33" xfId="26" applyFont="1" applyFill="1" applyBorder="1" applyAlignment="1">
      <alignment horizontal="center"/>
    </xf>
    <xf numFmtId="0" fontId="4" fillId="21" borderId="14" xfId="0" applyFont="1" applyFill="1" applyBorder="1" applyAlignment="1">
      <alignment horizontal="center"/>
    </xf>
    <xf numFmtId="0" fontId="12" fillId="21" borderId="33" xfId="0" applyFont="1" applyFill="1" applyBorder="1" applyAlignment="1">
      <alignment horizontal="center" vertical="center"/>
    </xf>
    <xf numFmtId="0" fontId="12" fillId="21" borderId="62" xfId="0" applyFont="1" applyFill="1" applyBorder="1" applyAlignment="1">
      <alignment horizontal="center" vertical="center"/>
    </xf>
    <xf numFmtId="0" fontId="12" fillId="21" borderId="62" xfId="0" applyFont="1" applyFill="1" applyBorder="1" applyAlignment="1">
      <alignment horizontal="center" vertical="center" wrapText="1"/>
    </xf>
    <xf numFmtId="0" fontId="12" fillId="21" borderId="33" xfId="0" applyFont="1" applyFill="1" applyBorder="1" applyAlignment="1">
      <alignment horizontal="center" vertical="center" wrapText="1"/>
    </xf>
    <xf numFmtId="0" fontId="56" fillId="2" borderId="13" xfId="0" applyFont="1" applyFill="1" applyBorder="1" applyAlignment="1">
      <alignment horizontal="center" vertical="center" wrapText="1"/>
    </xf>
    <xf numFmtId="0" fontId="63" fillId="2" borderId="13" xfId="0" applyFont="1" applyFill="1" applyBorder="1" applyAlignment="1">
      <alignment horizontal="center" vertical="center" wrapText="1"/>
    </xf>
    <xf numFmtId="2" fontId="6" fillId="11" borderId="5" xfId="0" applyNumberFormat="1" applyFont="1" applyFill="1" applyBorder="1" applyAlignment="1">
      <alignment horizontal="center" vertical="center"/>
    </xf>
    <xf numFmtId="0" fontId="12" fillId="21" borderId="64" xfId="0" applyFont="1" applyFill="1" applyBorder="1" applyAlignment="1">
      <alignment horizontal="center" vertical="center"/>
    </xf>
    <xf numFmtId="2" fontId="12" fillId="21" borderId="13" xfId="0" quotePrefix="1" applyNumberFormat="1" applyFont="1" applyFill="1" applyBorder="1" applyAlignment="1">
      <alignment horizontal="center"/>
    </xf>
    <xf numFmtId="10" fontId="0" fillId="0" borderId="13" xfId="2" applyNumberFormat="1" applyFont="1" applyFill="1" applyBorder="1" applyAlignment="1">
      <alignment horizontal="right"/>
    </xf>
    <xf numFmtId="4" fontId="0" fillId="0" borderId="13" xfId="2" applyNumberFormat="1" applyFont="1" applyFill="1" applyBorder="1" applyAlignment="1">
      <alignment horizontal="right"/>
    </xf>
    <xf numFmtId="10" fontId="1" fillId="0" borderId="13" xfId="2" applyNumberFormat="1" applyFont="1" applyFill="1" applyBorder="1"/>
    <xf numFmtId="0" fontId="4" fillId="0" borderId="13" xfId="0" applyFont="1" applyBorder="1" applyAlignment="1">
      <alignment wrapText="1"/>
    </xf>
    <xf numFmtId="4" fontId="1" fillId="0" borderId="13" xfId="0" applyNumberFormat="1" applyFont="1" applyBorder="1"/>
    <xf numFmtId="10" fontId="0" fillId="0" borderId="13" xfId="2" applyNumberFormat="1" applyFont="1" applyFill="1" applyBorder="1"/>
    <xf numFmtId="0" fontId="12" fillId="21" borderId="12" xfId="0" applyFont="1" applyFill="1" applyBorder="1" applyAlignment="1">
      <alignment vertical="center" wrapText="1"/>
    </xf>
    <xf numFmtId="49" fontId="12" fillId="21" borderId="13" xfId="0" applyNumberFormat="1" applyFont="1" applyFill="1" applyBorder="1" applyAlignment="1">
      <alignment horizontal="center" vertical="center"/>
    </xf>
    <xf numFmtId="2" fontId="12" fillId="21" borderId="13" xfId="0" applyNumberFormat="1" applyFont="1" applyFill="1" applyBorder="1" applyAlignment="1">
      <alignment horizontal="center" vertical="center"/>
    </xf>
    <xf numFmtId="2" fontId="12" fillId="21" borderId="13" xfId="0" applyNumberFormat="1" applyFont="1" applyFill="1" applyBorder="1" applyAlignment="1">
      <alignment horizontal="center" vertical="center" wrapText="1"/>
    </xf>
    <xf numFmtId="2" fontId="12" fillId="21" borderId="14" xfId="0" applyNumberFormat="1" applyFont="1" applyFill="1" applyBorder="1" applyAlignment="1">
      <alignment horizontal="center" vertical="center" wrapText="1"/>
    </xf>
    <xf numFmtId="2" fontId="12" fillId="21" borderId="14" xfId="0" applyNumberFormat="1" applyFont="1" applyFill="1" applyBorder="1" applyAlignment="1">
      <alignment horizontal="center" vertical="center"/>
    </xf>
    <xf numFmtId="0" fontId="4" fillId="21" borderId="12" xfId="0" applyFont="1" applyFill="1" applyBorder="1" applyAlignment="1">
      <alignment wrapText="1"/>
    </xf>
    <xf numFmtId="0" fontId="4" fillId="21" borderId="33" xfId="22" applyFont="1" applyFill="1" applyBorder="1" applyAlignment="1">
      <alignment horizontal="center" vertical="center" wrapText="1"/>
    </xf>
    <xf numFmtId="0" fontId="4" fillId="21" borderId="33" xfId="0" applyFont="1" applyFill="1" applyBorder="1" applyAlignment="1">
      <alignment wrapText="1"/>
    </xf>
    <xf numFmtId="10" fontId="0" fillId="0" borderId="13" xfId="2" applyNumberFormat="1" applyFont="1" applyFill="1" applyBorder="1" applyAlignment="1">
      <alignment horizontal="right" wrapText="1"/>
    </xf>
    <xf numFmtId="0" fontId="12" fillId="21" borderId="12" xfId="0" applyFont="1" applyFill="1" applyBorder="1" applyAlignment="1">
      <alignment horizontal="left" vertical="center" wrapText="1"/>
    </xf>
    <xf numFmtId="49" fontId="12" fillId="21" borderId="13" xfId="0" quotePrefix="1" applyNumberFormat="1" applyFont="1" applyFill="1" applyBorder="1" applyAlignment="1">
      <alignment horizontal="center" vertical="center"/>
    </xf>
    <xf numFmtId="1" fontId="4" fillId="21" borderId="13" xfId="0" applyNumberFormat="1" applyFont="1" applyFill="1" applyBorder="1" applyAlignment="1">
      <alignment horizontal="center" vertical="center"/>
    </xf>
    <xf numFmtId="2" fontId="11" fillId="21" borderId="13" xfId="0" applyNumberFormat="1" applyFont="1" applyFill="1" applyBorder="1" applyAlignment="1">
      <alignment horizontal="center" vertical="center"/>
    </xf>
    <xf numFmtId="2" fontId="11" fillId="21" borderId="14" xfId="0" applyNumberFormat="1" applyFont="1" applyFill="1" applyBorder="1" applyAlignment="1">
      <alignment horizontal="center" vertical="center"/>
    </xf>
    <xf numFmtId="0" fontId="4" fillId="21" borderId="14" xfId="0" applyFont="1" applyFill="1" applyBorder="1" applyAlignment="1">
      <alignment horizontal="center" vertical="center" wrapText="1"/>
    </xf>
    <xf numFmtId="0" fontId="11" fillId="21" borderId="13" xfId="0" applyFont="1" applyFill="1" applyBorder="1" applyAlignment="1">
      <alignment horizontal="center" vertical="center" wrapText="1"/>
    </xf>
    <xf numFmtId="0" fontId="4" fillId="21" borderId="12" xfId="0" applyFont="1" applyFill="1" applyBorder="1" applyAlignment="1">
      <alignment horizontal="left" vertical="center"/>
    </xf>
    <xf numFmtId="0" fontId="4" fillId="21" borderId="33" xfId="23" applyFont="1" applyFill="1" applyBorder="1" applyAlignment="1">
      <alignment horizontal="center"/>
    </xf>
    <xf numFmtId="0" fontId="4" fillId="21" borderId="33" xfId="23" applyFont="1" applyFill="1" applyBorder="1" applyAlignment="1">
      <alignment horizontal="center" vertical="center"/>
    </xf>
    <xf numFmtId="0" fontId="0" fillId="0" borderId="13" xfId="2" applyNumberFormat="1" applyFont="1" applyFill="1" applyBorder="1" applyAlignment="1">
      <alignment horizontal="right"/>
    </xf>
    <xf numFmtId="0" fontId="4" fillId="21" borderId="33" xfId="0" applyFont="1" applyFill="1" applyBorder="1" applyAlignment="1">
      <alignment horizontal="center" vertical="center" wrapText="1"/>
    </xf>
    <xf numFmtId="16" fontId="4" fillId="21" borderId="5" xfId="0" quotePrefix="1" applyNumberFormat="1" applyFont="1" applyFill="1" applyBorder="1" applyAlignment="1">
      <alignment horizontal="center"/>
    </xf>
    <xf numFmtId="2" fontId="4" fillId="21" borderId="5" xfId="0" applyNumberFormat="1" applyFont="1" applyFill="1" applyBorder="1" applyAlignment="1">
      <alignment horizontal="center"/>
    </xf>
    <xf numFmtId="2" fontId="4" fillId="21" borderId="50" xfId="0" applyNumberFormat="1" applyFont="1" applyFill="1" applyBorder="1" applyAlignment="1">
      <alignment horizontal="center"/>
    </xf>
    <xf numFmtId="2" fontId="12" fillId="21" borderId="50" xfId="0" applyNumberFormat="1" applyFont="1" applyFill="1" applyBorder="1" applyAlignment="1">
      <alignment horizontal="center"/>
    </xf>
    <xf numFmtId="10" fontId="71" fillId="15" borderId="0" xfId="2" applyNumberFormat="1" applyFont="1" applyFill="1" applyAlignment="1">
      <alignment vertical="center" wrapText="1"/>
    </xf>
    <xf numFmtId="0" fontId="82" fillId="0" borderId="0" xfId="0" applyFont="1" applyAlignment="1">
      <alignment horizontal="center" wrapText="1"/>
    </xf>
    <xf numFmtId="0" fontId="116" fillId="0" borderId="35" xfId="0" applyFont="1" applyBorder="1" applyAlignment="1">
      <alignment horizontal="center" vertical="center" wrapText="1"/>
    </xf>
    <xf numFmtId="4" fontId="2" fillId="0" borderId="0" xfId="3" applyNumberFormat="1" applyFont="1"/>
    <xf numFmtId="2" fontId="4" fillId="41" borderId="13" xfId="20" applyNumberFormat="1" applyFont="1" applyFill="1" applyBorder="1" applyAlignment="1">
      <alignment horizontal="center"/>
    </xf>
    <xf numFmtId="0" fontId="4" fillId="41" borderId="13" xfId="20" applyFont="1" applyFill="1" applyBorder="1" applyAlignment="1">
      <alignment horizontal="center"/>
    </xf>
    <xf numFmtId="0" fontId="4" fillId="41" borderId="13" xfId="20" applyFont="1" applyFill="1" applyBorder="1" applyAlignment="1">
      <alignment horizontal="left" wrapText="1" shrinkToFit="1"/>
    </xf>
    <xf numFmtId="0" fontId="4" fillId="41" borderId="13" xfId="20" applyFont="1" applyFill="1" applyBorder="1" applyAlignment="1">
      <alignment horizontal="center" vertical="center"/>
    </xf>
    <xf numFmtId="2" fontId="4" fillId="41" borderId="13" xfId="20" quotePrefix="1" applyNumberFormat="1" applyFont="1" applyFill="1" applyBorder="1" applyAlignment="1">
      <alignment horizontal="center"/>
    </xf>
    <xf numFmtId="0" fontId="4" fillId="41" borderId="13" xfId="20" applyFont="1" applyFill="1" applyBorder="1" applyAlignment="1">
      <alignment wrapText="1" shrinkToFit="1"/>
    </xf>
    <xf numFmtId="0" fontId="4" fillId="41" borderId="13" xfId="20" applyFont="1" applyFill="1" applyBorder="1" applyAlignment="1">
      <alignment horizontal="left" vertical="center" wrapText="1" shrinkToFit="1"/>
    </xf>
    <xf numFmtId="0" fontId="4" fillId="41" borderId="33" xfId="20" applyFont="1" applyFill="1" applyBorder="1" applyAlignment="1">
      <alignment horizontal="center" vertical="top" wrapText="1"/>
    </xf>
    <xf numFmtId="0" fontId="12" fillId="41" borderId="12" xfId="20" applyFont="1" applyFill="1" applyBorder="1" applyAlignment="1">
      <alignment vertical="top" wrapText="1"/>
    </xf>
    <xf numFmtId="0" fontId="12" fillId="41" borderId="33" xfId="20" applyFont="1" applyFill="1" applyBorder="1" applyAlignment="1">
      <alignment horizontal="center" vertical="top" wrapText="1"/>
    </xf>
    <xf numFmtId="2" fontId="12" fillId="41" borderId="13" xfId="6" quotePrefix="1" applyNumberFormat="1" applyFont="1" applyFill="1" applyBorder="1" applyAlignment="1">
      <alignment horizontal="center"/>
    </xf>
    <xf numFmtId="2" fontId="12" fillId="41" borderId="13" xfId="6" applyNumberFormat="1" applyFont="1" applyFill="1" applyBorder="1" applyAlignment="1">
      <alignment horizontal="center"/>
    </xf>
    <xf numFmtId="2" fontId="4" fillId="41" borderId="13" xfId="6" applyNumberFormat="1" applyFont="1" applyFill="1" applyBorder="1" applyAlignment="1">
      <alignment horizontal="center"/>
    </xf>
    <xf numFmtId="0" fontId="12" fillId="41" borderId="33" xfId="3" applyFont="1" applyFill="1" applyBorder="1" applyAlignment="1">
      <alignment horizontal="center"/>
    </xf>
    <xf numFmtId="4" fontId="12" fillId="41" borderId="13" xfId="6" applyNumberFormat="1" applyFont="1" applyFill="1" applyBorder="1" applyAlignment="1">
      <alignment horizontal="center"/>
    </xf>
    <xf numFmtId="0" fontId="4" fillId="41" borderId="12" xfId="0" applyFont="1" applyFill="1" applyBorder="1"/>
    <xf numFmtId="0" fontId="4" fillId="41" borderId="33" xfId="3" applyFont="1" applyFill="1" applyBorder="1" applyAlignment="1">
      <alignment horizontal="center"/>
    </xf>
    <xf numFmtId="0" fontId="4" fillId="41" borderId="33" xfId="0" applyFont="1" applyFill="1" applyBorder="1" applyAlignment="1">
      <alignment horizontal="center"/>
    </xf>
    <xf numFmtId="2" fontId="4" fillId="41" borderId="13" xfId="6" quotePrefix="1" applyNumberFormat="1" applyFont="1" applyFill="1" applyBorder="1" applyAlignment="1">
      <alignment horizontal="center"/>
    </xf>
    <xf numFmtId="4" fontId="4" fillId="41" borderId="13" xfId="6" applyNumberFormat="1" applyFont="1" applyFill="1" applyBorder="1" applyAlignment="1">
      <alignment horizontal="center"/>
    </xf>
    <xf numFmtId="0" fontId="4" fillId="41" borderId="12" xfId="20" applyFont="1" applyFill="1" applyBorder="1" applyAlignment="1">
      <alignment vertical="top" wrapText="1"/>
    </xf>
    <xf numFmtId="0" fontId="12" fillId="54" borderId="13" xfId="6" applyFont="1" applyFill="1" applyBorder="1" applyAlignment="1">
      <alignment horizontal="left" vertical="center" wrapText="1"/>
    </xf>
    <xf numFmtId="2" fontId="12" fillId="54" borderId="13" xfId="6" applyNumberFormat="1" applyFont="1" applyFill="1" applyBorder="1" applyAlignment="1">
      <alignment horizontal="center" wrapText="1"/>
    </xf>
    <xf numFmtId="0" fontId="12" fillId="41" borderId="13" xfId="20" applyFont="1" applyFill="1" applyBorder="1" applyAlignment="1">
      <alignment vertical="top" wrapText="1"/>
    </xf>
    <xf numFmtId="0" fontId="12" fillId="41" borderId="13" xfId="20" applyFont="1" applyFill="1" applyBorder="1" applyAlignment="1">
      <alignment horizontal="center" wrapText="1"/>
    </xf>
    <xf numFmtId="0" fontId="12" fillId="41" borderId="12" xfId="0" applyFont="1" applyFill="1" applyBorder="1"/>
    <xf numFmtId="0" fontId="12" fillId="41" borderId="33" xfId="0" applyFont="1" applyFill="1" applyBorder="1" applyAlignment="1">
      <alignment horizontal="center"/>
    </xf>
    <xf numFmtId="2" fontId="12" fillId="41" borderId="13" xfId="3" quotePrefix="1" applyNumberFormat="1" applyFont="1" applyFill="1" applyBorder="1" applyAlignment="1">
      <alignment horizontal="center"/>
    </xf>
    <xf numFmtId="4" fontId="12" fillId="41" borderId="13" xfId="3" applyNumberFormat="1" applyFont="1" applyFill="1" applyBorder="1" applyAlignment="1">
      <alignment horizontal="center"/>
    </xf>
    <xf numFmtId="2" fontId="12" fillId="41" borderId="13" xfId="3" applyNumberFormat="1" applyFont="1" applyFill="1" applyBorder="1" applyAlignment="1">
      <alignment horizontal="center"/>
    </xf>
    <xf numFmtId="4" fontId="4" fillId="41" borderId="14" xfId="3" applyNumberFormat="1" applyFont="1" applyFill="1" applyBorder="1" applyAlignment="1">
      <alignment horizontal="center"/>
    </xf>
    <xf numFmtId="0" fontId="12" fillId="41" borderId="13" xfId="0" applyFont="1" applyFill="1" applyBorder="1"/>
    <xf numFmtId="0" fontId="12" fillId="41" borderId="60" xfId="20" applyFont="1" applyFill="1" applyBorder="1" applyAlignment="1">
      <alignment horizontal="center" vertical="top" wrapText="1"/>
    </xf>
    <xf numFmtId="0" fontId="12" fillId="41" borderId="13" xfId="6" applyFont="1" applyFill="1" applyBorder="1" applyAlignment="1">
      <alignment horizontal="center"/>
    </xf>
    <xf numFmtId="0" fontId="12" fillId="41" borderId="13" xfId="20" applyFont="1" applyFill="1" applyBorder="1" applyAlignment="1">
      <alignment wrapText="1"/>
    </xf>
    <xf numFmtId="0" fontId="12" fillId="41" borderId="13" xfId="20" applyFont="1" applyFill="1" applyBorder="1" applyAlignment="1">
      <alignment horizontal="center" vertical="top" wrapText="1"/>
    </xf>
    <xf numFmtId="0" fontId="12" fillId="41" borderId="13" xfId="0" applyFont="1" applyFill="1" applyBorder="1" applyAlignment="1">
      <alignment horizontal="center"/>
    </xf>
    <xf numFmtId="0" fontId="11" fillId="41" borderId="12" xfId="20" applyFont="1" applyFill="1" applyBorder="1" applyAlignment="1">
      <alignment vertical="top" wrapText="1"/>
    </xf>
    <xf numFmtId="0" fontId="11" fillId="41" borderId="12" xfId="20" applyFont="1" applyFill="1" applyBorder="1"/>
    <xf numFmtId="0" fontId="12" fillId="41" borderId="33" xfId="20" applyFont="1" applyFill="1" applyBorder="1" applyAlignment="1">
      <alignment horizontal="center"/>
    </xf>
    <xf numFmtId="0" fontId="11" fillId="41" borderId="12" xfId="20" applyFont="1" applyFill="1" applyBorder="1" applyAlignment="1">
      <alignment horizontal="left" vertical="center"/>
    </xf>
    <xf numFmtId="0" fontId="12" fillId="41" borderId="33" xfId="20" applyFont="1" applyFill="1" applyBorder="1" applyAlignment="1">
      <alignment horizontal="center" vertical="center"/>
    </xf>
    <xf numFmtId="4" fontId="4" fillId="41" borderId="13" xfId="0" applyNumberFormat="1" applyFont="1" applyFill="1" applyBorder="1" applyAlignment="1">
      <alignment horizontal="center"/>
    </xf>
    <xf numFmtId="2" fontId="4" fillId="41" borderId="13" xfId="0" applyNumberFormat="1" applyFont="1" applyFill="1" applyBorder="1" applyAlignment="1">
      <alignment horizontal="center"/>
    </xf>
    <xf numFmtId="0" fontId="11" fillId="55" borderId="12" xfId="20" applyFont="1" applyFill="1" applyBorder="1" applyAlignment="1">
      <alignment horizontal="left" vertical="center" wrapText="1"/>
    </xf>
    <xf numFmtId="0" fontId="12" fillId="55" borderId="33" xfId="20" applyFont="1" applyFill="1" applyBorder="1" applyAlignment="1">
      <alignment horizontal="center" vertical="center" wrapText="1"/>
    </xf>
    <xf numFmtId="0" fontId="4" fillId="41" borderId="13" xfId="6" applyFont="1" applyFill="1" applyBorder="1"/>
    <xf numFmtId="0" fontId="12" fillId="41" borderId="13" xfId="20" applyFont="1" applyFill="1" applyBorder="1" applyAlignment="1">
      <alignment horizontal="left" vertical="center" wrapText="1" shrinkToFit="1"/>
    </xf>
    <xf numFmtId="0" fontId="12" fillId="41" borderId="13" xfId="20" applyFont="1" applyFill="1" applyBorder="1" applyAlignment="1">
      <alignment horizontal="center" vertical="center"/>
    </xf>
    <xf numFmtId="0" fontId="12" fillId="41" borderId="13" xfId="20" applyFont="1" applyFill="1" applyBorder="1" applyAlignment="1">
      <alignment horizontal="center" vertical="center" wrapText="1"/>
    </xf>
    <xf numFmtId="0" fontId="4" fillId="41" borderId="12" xfId="3" applyFont="1" applyFill="1" applyBorder="1" applyAlignment="1">
      <alignment horizontal="left"/>
    </xf>
    <xf numFmtId="0" fontId="12" fillId="41" borderId="13" xfId="20" applyFont="1" applyFill="1" applyBorder="1" applyAlignment="1">
      <alignment horizontal="left" vertical="center"/>
    </xf>
    <xf numFmtId="0" fontId="4" fillId="41" borderId="13" xfId="0" applyFont="1" applyFill="1" applyBorder="1"/>
    <xf numFmtId="0" fontId="12" fillId="41" borderId="13" xfId="20" applyFont="1" applyFill="1" applyBorder="1" applyAlignment="1">
      <alignment horizontal="left"/>
    </xf>
    <xf numFmtId="0" fontId="4" fillId="41" borderId="13" xfId="6" quotePrefix="1" applyFont="1" applyFill="1" applyBorder="1" applyAlignment="1">
      <alignment horizontal="center"/>
    </xf>
    <xf numFmtId="0" fontId="4" fillId="41" borderId="13" xfId="20" applyFont="1" applyFill="1" applyBorder="1" applyAlignment="1">
      <alignment horizontal="left" vertical="center"/>
    </xf>
    <xf numFmtId="4" fontId="4" fillId="41" borderId="13" xfId="20" applyNumberFormat="1" applyFont="1" applyFill="1" applyBorder="1" applyAlignment="1">
      <alignment horizontal="center"/>
    </xf>
    <xf numFmtId="0" fontId="4" fillId="41" borderId="13" xfId="20" applyFont="1" applyFill="1" applyBorder="1"/>
    <xf numFmtId="4" fontId="4" fillId="41" borderId="13" xfId="20" applyNumberFormat="1" applyFont="1" applyFill="1" applyBorder="1" applyAlignment="1">
      <alignment horizontal="right"/>
    </xf>
    <xf numFmtId="0" fontId="4" fillId="41" borderId="12" xfId="0" applyFont="1" applyFill="1" applyBorder="1" applyAlignment="1">
      <alignment vertical="center"/>
    </xf>
    <xf numFmtId="2" fontId="4" fillId="41" borderId="13" xfId="3" quotePrefix="1" applyNumberFormat="1" applyFont="1" applyFill="1" applyBorder="1" applyAlignment="1">
      <alignment horizontal="center"/>
    </xf>
    <xf numFmtId="4" fontId="4" fillId="41" borderId="13" xfId="3" applyNumberFormat="1" applyFont="1" applyFill="1" applyBorder="1" applyAlignment="1">
      <alignment horizontal="center"/>
    </xf>
    <xf numFmtId="0" fontId="4" fillId="41" borderId="12" xfId="0" applyFont="1" applyFill="1" applyBorder="1" applyAlignment="1">
      <alignment vertical="center" wrapText="1"/>
    </xf>
    <xf numFmtId="3" fontId="21" fillId="41" borderId="16" xfId="3" applyNumberFormat="1" applyFont="1" applyFill="1" applyBorder="1" applyAlignment="1">
      <alignment horizontal="center"/>
    </xf>
    <xf numFmtId="4" fontId="21" fillId="41" borderId="16" xfId="3" applyNumberFormat="1" applyFont="1" applyFill="1" applyBorder="1" applyAlignment="1">
      <alignment horizontal="center"/>
    </xf>
    <xf numFmtId="4" fontId="4" fillId="41" borderId="13" xfId="3" quotePrefix="1" applyNumberFormat="1" applyFont="1" applyFill="1" applyBorder="1" applyAlignment="1">
      <alignment horizontal="center"/>
    </xf>
    <xf numFmtId="0" fontId="21" fillId="19" borderId="7" xfId="3" applyFont="1" applyFill="1" applyBorder="1" applyAlignment="1">
      <alignment horizontal="right" vertical="center"/>
    </xf>
    <xf numFmtId="0" fontId="21" fillId="19" borderId="38" xfId="3" applyFont="1" applyFill="1" applyBorder="1" applyAlignment="1">
      <alignment horizontal="right" vertical="center"/>
    </xf>
    <xf numFmtId="3" fontId="2" fillId="19" borderId="38" xfId="3" applyNumberFormat="1" applyFont="1" applyFill="1" applyBorder="1" applyAlignment="1">
      <alignment horizontal="right" vertical="center"/>
    </xf>
    <xf numFmtId="4" fontId="4" fillId="5" borderId="13" xfId="3" applyNumberFormat="1" applyFont="1" applyFill="1" applyBorder="1" applyAlignment="1">
      <alignment horizontal="center"/>
    </xf>
    <xf numFmtId="4" fontId="4" fillId="5" borderId="14" xfId="3" applyNumberFormat="1" applyFont="1" applyFill="1" applyBorder="1" applyAlignment="1">
      <alignment horizontal="center"/>
    </xf>
    <xf numFmtId="49" fontId="4" fillId="41" borderId="33" xfId="0" applyNumberFormat="1" applyFont="1" applyFill="1" applyBorder="1" applyAlignment="1">
      <alignment horizontal="center" vertical="center"/>
    </xf>
    <xf numFmtId="0" fontId="4" fillId="41" borderId="33" xfId="0" applyFont="1" applyFill="1" applyBorder="1" applyAlignment="1">
      <alignment horizontal="center" vertical="center"/>
    </xf>
    <xf numFmtId="49" fontId="4" fillId="41" borderId="33" xfId="0" applyNumberFormat="1" applyFont="1" applyFill="1" applyBorder="1" applyAlignment="1">
      <alignment horizontal="center" vertical="center" wrapText="1"/>
    </xf>
    <xf numFmtId="0" fontId="4" fillId="41" borderId="13" xfId="0" applyFont="1" applyFill="1" applyBorder="1" applyAlignment="1">
      <alignment vertical="center"/>
    </xf>
    <xf numFmtId="49" fontId="4" fillId="41" borderId="13" xfId="0" applyNumberFormat="1" applyFont="1" applyFill="1" applyBorder="1" applyAlignment="1">
      <alignment horizontal="center" vertical="center"/>
    </xf>
    <xf numFmtId="2" fontId="4" fillId="5" borderId="13" xfId="3" applyNumberFormat="1" applyFont="1" applyFill="1" applyBorder="1" applyAlignment="1">
      <alignment horizontal="center"/>
    </xf>
    <xf numFmtId="2" fontId="4" fillId="5" borderId="14" xfId="3" applyNumberFormat="1" applyFont="1" applyFill="1" applyBorder="1" applyAlignment="1">
      <alignment horizontal="center"/>
    </xf>
    <xf numFmtId="49" fontId="4" fillId="41" borderId="64" xfId="0" applyNumberFormat="1" applyFont="1" applyFill="1" applyBorder="1" applyAlignment="1">
      <alignment horizontal="center" vertical="center"/>
    </xf>
    <xf numFmtId="0" fontId="4" fillId="41" borderId="64" xfId="0" applyFont="1" applyFill="1" applyBorder="1" applyAlignment="1">
      <alignment horizontal="center" vertical="center"/>
    </xf>
    <xf numFmtId="49" fontId="4" fillId="41" borderId="64" xfId="0" applyNumberFormat="1" applyFont="1" applyFill="1" applyBorder="1" applyAlignment="1">
      <alignment horizontal="center"/>
    </xf>
    <xf numFmtId="0" fontId="4" fillId="5" borderId="13" xfId="3" applyFont="1" applyFill="1" applyBorder="1" applyAlignment="1">
      <alignment horizontal="left" vertical="center" wrapText="1"/>
    </xf>
    <xf numFmtId="2" fontId="4" fillId="5" borderId="13" xfId="3" applyNumberFormat="1" applyFont="1" applyFill="1" applyBorder="1" applyAlignment="1">
      <alignment horizontal="left" vertical="center" wrapText="1"/>
    </xf>
    <xf numFmtId="0" fontId="4" fillId="5" borderId="13" xfId="3" applyFont="1" applyFill="1" applyBorder="1" applyAlignment="1">
      <alignment vertical="center" wrapText="1"/>
    </xf>
    <xf numFmtId="2" fontId="4" fillId="5" borderId="13" xfId="3" applyNumberFormat="1" applyFont="1" applyFill="1" applyBorder="1" applyAlignment="1">
      <alignment vertical="center" wrapText="1"/>
    </xf>
    <xf numFmtId="0" fontId="4" fillId="5" borderId="12" xfId="20" applyFont="1" applyFill="1" applyBorder="1" applyAlignment="1">
      <alignment horizontal="left" vertical="center"/>
    </xf>
    <xf numFmtId="0" fontId="6" fillId="20" borderId="13" xfId="3" applyFont="1" applyFill="1" applyBorder="1" applyAlignment="1">
      <alignment wrapText="1"/>
    </xf>
    <xf numFmtId="0" fontId="6" fillId="20" borderId="13" xfId="3" applyFont="1" applyFill="1" applyBorder="1" applyAlignment="1">
      <alignment horizontal="left" wrapText="1"/>
    </xf>
    <xf numFmtId="0" fontId="6" fillId="20" borderId="23" xfId="3" applyFont="1" applyFill="1" applyBorder="1" applyAlignment="1">
      <alignment wrapText="1"/>
    </xf>
    <xf numFmtId="0" fontId="6" fillId="20" borderId="24" xfId="3" applyFont="1" applyFill="1" applyBorder="1" applyAlignment="1">
      <alignment wrapText="1"/>
    </xf>
    <xf numFmtId="0" fontId="6" fillId="20" borderId="33" xfId="3" applyFont="1" applyFill="1" applyBorder="1" applyAlignment="1">
      <alignment wrapText="1"/>
    </xf>
    <xf numFmtId="167" fontId="6" fillId="14" borderId="13" xfId="0" quotePrefix="1" applyNumberFormat="1" applyFont="1" applyFill="1" applyBorder="1" applyAlignment="1">
      <alignment horizontal="center"/>
    </xf>
    <xf numFmtId="4" fontId="22" fillId="0" borderId="33" xfId="0" applyNumberFormat="1" applyFont="1" applyBorder="1"/>
    <xf numFmtId="4" fontId="22" fillId="0" borderId="16" xfId="0" applyNumberFormat="1" applyFont="1" applyBorder="1"/>
    <xf numFmtId="4" fontId="22" fillId="0" borderId="21" xfId="0" applyNumberFormat="1" applyFont="1" applyBorder="1"/>
    <xf numFmtId="0" fontId="25" fillId="0" borderId="13" xfId="0" applyFont="1" applyBorder="1" applyAlignment="1">
      <alignment wrapText="1"/>
    </xf>
    <xf numFmtId="0" fontId="4" fillId="21" borderId="12" xfId="6" applyFont="1" applyFill="1" applyBorder="1" applyAlignment="1">
      <alignment horizontal="left"/>
    </xf>
    <xf numFmtId="0" fontId="4" fillId="21" borderId="33" xfId="6" applyFont="1" applyFill="1" applyBorder="1" applyAlignment="1">
      <alignment horizontal="center"/>
    </xf>
    <xf numFmtId="0" fontId="4" fillId="21" borderId="13" xfId="20" applyFont="1" applyFill="1" applyBorder="1" applyAlignment="1">
      <alignment horizontal="center"/>
    </xf>
    <xf numFmtId="49" fontId="4" fillId="21" borderId="13" xfId="0" quotePrefix="1" applyNumberFormat="1" applyFont="1" applyFill="1" applyBorder="1" applyAlignment="1">
      <alignment horizontal="center"/>
    </xf>
    <xf numFmtId="2" fontId="4" fillId="21" borderId="13" xfId="20" applyNumberFormat="1" applyFont="1" applyFill="1" applyBorder="1" applyAlignment="1">
      <alignment horizontal="center"/>
    </xf>
    <xf numFmtId="2" fontId="12" fillId="21" borderId="20" xfId="0" applyNumberFormat="1" applyFont="1" applyFill="1" applyBorder="1" applyAlignment="1">
      <alignment horizontal="center"/>
    </xf>
    <xf numFmtId="0" fontId="4" fillId="21" borderId="13" xfId="20" applyFont="1" applyFill="1" applyBorder="1" applyAlignment="1">
      <alignment horizontal="left" wrapText="1" shrinkToFit="1"/>
    </xf>
    <xf numFmtId="0" fontId="4" fillId="21" borderId="13" xfId="20" applyFont="1" applyFill="1" applyBorder="1" applyAlignment="1">
      <alignment horizontal="center" vertical="center"/>
    </xf>
    <xf numFmtId="0" fontId="4" fillId="21" borderId="13" xfId="20" quotePrefix="1" applyFont="1" applyFill="1" applyBorder="1" applyAlignment="1">
      <alignment horizontal="center"/>
    </xf>
    <xf numFmtId="0" fontId="4" fillId="21" borderId="12" xfId="20" applyFont="1" applyFill="1" applyBorder="1" applyAlignment="1">
      <alignment horizontal="left" vertical="center"/>
    </xf>
    <xf numFmtId="0" fontId="4" fillId="21" borderId="33" xfId="20" applyFont="1" applyFill="1" applyBorder="1" applyAlignment="1">
      <alignment horizontal="center" vertical="center"/>
    </xf>
    <xf numFmtId="0" fontId="4" fillId="21" borderId="33" xfId="3" applyFont="1" applyFill="1" applyBorder="1" applyAlignment="1">
      <alignment horizontal="center" wrapText="1"/>
    </xf>
    <xf numFmtId="2" fontId="4" fillId="21" borderId="13" xfId="20" quotePrefix="1" applyNumberFormat="1" applyFont="1" applyFill="1" applyBorder="1" applyAlignment="1">
      <alignment horizontal="center" vertical="center"/>
    </xf>
    <xf numFmtId="4" fontId="4" fillId="21" borderId="14" xfId="20" applyNumberFormat="1" applyFont="1" applyFill="1" applyBorder="1" applyAlignment="1">
      <alignment horizontal="center" vertical="center"/>
    </xf>
    <xf numFmtId="0" fontId="12" fillId="21" borderId="12" xfId="20" applyFont="1" applyFill="1" applyBorder="1" applyAlignment="1">
      <alignment horizontal="left" vertical="center"/>
    </xf>
    <xf numFmtId="2" fontId="4" fillId="21" borderId="13" xfId="20" applyNumberFormat="1" applyFont="1" applyFill="1" applyBorder="1" applyAlignment="1">
      <alignment horizontal="center" vertical="center"/>
    </xf>
    <xf numFmtId="0" fontId="4" fillId="21" borderId="33" xfId="3" applyFont="1" applyFill="1" applyBorder="1"/>
    <xf numFmtId="164" fontId="4" fillId="21" borderId="13" xfId="20" applyNumberFormat="1" applyFont="1" applyFill="1" applyBorder="1" applyAlignment="1">
      <alignment horizontal="center" vertical="center"/>
    </xf>
    <xf numFmtId="4" fontId="21" fillId="21" borderId="13" xfId="20" applyNumberFormat="1" applyFont="1" applyFill="1" applyBorder="1" applyAlignment="1">
      <alignment horizontal="center" vertical="center"/>
    </xf>
    <xf numFmtId="0" fontId="4" fillId="21" borderId="15" xfId="20" applyFont="1" applyFill="1" applyBorder="1" applyAlignment="1">
      <alignment horizontal="left" vertical="center"/>
    </xf>
    <xf numFmtId="0" fontId="4" fillId="21" borderId="64" xfId="20" applyFont="1" applyFill="1" applyBorder="1" applyAlignment="1">
      <alignment horizontal="center" vertical="center"/>
    </xf>
    <xf numFmtId="0" fontId="4" fillId="21" borderId="33" xfId="3" applyFont="1" applyFill="1" applyBorder="1" applyAlignment="1">
      <alignment horizontal="center"/>
    </xf>
    <xf numFmtId="2" fontId="4" fillId="21" borderId="16" xfId="20" applyNumberFormat="1" applyFont="1" applyFill="1" applyBorder="1" applyAlignment="1">
      <alignment horizontal="center" vertical="center"/>
    </xf>
    <xf numFmtId="4" fontId="4" fillId="21" borderId="16" xfId="20" applyNumberFormat="1" applyFont="1" applyFill="1" applyBorder="1" applyAlignment="1">
      <alignment horizontal="center" vertical="center"/>
    </xf>
    <xf numFmtId="4" fontId="21" fillId="21" borderId="16" xfId="20" applyNumberFormat="1" applyFont="1" applyFill="1" applyBorder="1" applyAlignment="1">
      <alignment horizontal="center" vertical="center"/>
    </xf>
    <xf numFmtId="0" fontId="2" fillId="11" borderId="46" xfId="3" applyFont="1" applyFill="1" applyBorder="1" applyAlignment="1">
      <alignment horizontal="center" vertical="center"/>
    </xf>
    <xf numFmtId="0" fontId="2" fillId="11" borderId="81" xfId="3" applyFont="1" applyFill="1" applyBorder="1" applyAlignment="1">
      <alignment horizontal="center" vertical="center"/>
    </xf>
    <xf numFmtId="2" fontId="2" fillId="11" borderId="67" xfId="3" applyNumberFormat="1" applyFont="1" applyFill="1" applyBorder="1" applyAlignment="1">
      <alignment horizontal="center" vertical="center"/>
    </xf>
    <xf numFmtId="0" fontId="21" fillId="11" borderId="67" xfId="3" applyFont="1" applyFill="1" applyBorder="1" applyAlignment="1">
      <alignment horizontal="center" vertical="center"/>
    </xf>
    <xf numFmtId="0" fontId="21" fillId="11" borderId="82" xfId="3" applyFont="1" applyFill="1" applyBorder="1" applyAlignment="1">
      <alignment horizontal="center" vertical="center"/>
    </xf>
    <xf numFmtId="0" fontId="4" fillId="0" borderId="13" xfId="20" applyFont="1" applyBorder="1" applyAlignment="1">
      <alignment horizontal="center" vertical="center"/>
    </xf>
    <xf numFmtId="0" fontId="31" fillId="0" borderId="13" xfId="20" applyFont="1" applyBorder="1" applyAlignment="1">
      <alignment horizontal="left" vertical="center" wrapText="1"/>
    </xf>
    <xf numFmtId="0" fontId="12" fillId="0" borderId="13" xfId="20" applyFont="1" applyBorder="1" applyAlignment="1">
      <alignment horizontal="center" vertical="center"/>
    </xf>
    <xf numFmtId="0" fontId="0" fillId="0" borderId="13" xfId="0" applyBorder="1" applyAlignment="1">
      <alignment wrapText="1"/>
    </xf>
    <xf numFmtId="49" fontId="12" fillId="21" borderId="13" xfId="22" applyNumberFormat="1" applyFont="1" applyFill="1" applyBorder="1" applyAlignment="1">
      <alignment horizontal="center"/>
    </xf>
    <xf numFmtId="0" fontId="12" fillId="21" borderId="13" xfId="0" applyFont="1" applyFill="1" applyBorder="1" applyAlignment="1">
      <alignment horizontal="center" vertical="center" wrapText="1"/>
    </xf>
    <xf numFmtId="4" fontId="12" fillId="21" borderId="13" xfId="0" applyNumberFormat="1" applyFont="1" applyFill="1" applyBorder="1" applyAlignment="1">
      <alignment horizontal="center" vertical="center" wrapText="1"/>
    </xf>
    <xf numFmtId="2" fontId="22" fillId="21" borderId="13" xfId="0" applyNumberFormat="1" applyFont="1" applyFill="1" applyBorder="1" applyAlignment="1">
      <alignment horizontal="center"/>
    </xf>
    <xf numFmtId="0" fontId="11" fillId="21" borderId="12" xfId="0" applyFont="1" applyFill="1" applyBorder="1" applyAlignment="1">
      <alignment horizontal="left" vertical="center" wrapText="1"/>
    </xf>
    <xf numFmtId="0" fontId="12" fillId="21" borderId="12" xfId="1" applyFont="1" applyFill="1" applyBorder="1" applyAlignment="1">
      <alignment vertical="center" wrapText="1"/>
    </xf>
    <xf numFmtId="0" fontId="12" fillId="21" borderId="33" xfId="1" applyFont="1" applyFill="1" applyBorder="1" applyAlignment="1">
      <alignment horizontal="center" vertical="center" wrapText="1"/>
    </xf>
    <xf numFmtId="49" fontId="12" fillId="21" borderId="13" xfId="1" applyNumberFormat="1" applyFont="1" applyFill="1" applyBorder="1" applyAlignment="1">
      <alignment horizontal="center" wrapText="1"/>
    </xf>
    <xf numFmtId="2" fontId="11" fillId="21" borderId="13" xfId="0" applyNumberFormat="1" applyFont="1" applyFill="1" applyBorder="1" applyAlignment="1">
      <alignment horizontal="center"/>
    </xf>
    <xf numFmtId="0" fontId="5" fillId="21" borderId="14" xfId="0" applyFont="1" applyFill="1" applyBorder="1" applyAlignment="1">
      <alignment horizontal="center"/>
    </xf>
    <xf numFmtId="0" fontId="4" fillId="21" borderId="16" xfId="0" applyFont="1" applyFill="1" applyBorder="1" applyAlignment="1">
      <alignment horizontal="center"/>
    </xf>
    <xf numFmtId="0" fontId="11" fillId="21" borderId="13" xfId="0" applyFont="1" applyFill="1" applyBorder="1" applyAlignment="1">
      <alignment horizontal="center"/>
    </xf>
    <xf numFmtId="49" fontId="11" fillId="21" borderId="13" xfId="0" applyNumberFormat="1" applyFont="1" applyFill="1" applyBorder="1" applyAlignment="1">
      <alignment horizontal="center" vertical="center"/>
    </xf>
    <xf numFmtId="1" fontId="11" fillId="21" borderId="13" xfId="0" applyNumberFormat="1" applyFont="1" applyFill="1" applyBorder="1" applyAlignment="1">
      <alignment horizontal="center" vertical="center"/>
    </xf>
    <xf numFmtId="1" fontId="117" fillId="21" borderId="13" xfId="0" applyNumberFormat="1" applyFont="1" applyFill="1" applyBorder="1" applyAlignment="1">
      <alignment horizontal="center" vertical="center"/>
    </xf>
    <xf numFmtId="0" fontId="22" fillId="21" borderId="13" xfId="0" applyFont="1" applyFill="1" applyBorder="1" applyAlignment="1">
      <alignment horizontal="center"/>
    </xf>
    <xf numFmtId="0" fontId="93" fillId="21" borderId="13" xfId="0" applyFont="1" applyFill="1" applyBorder="1" applyAlignment="1">
      <alignment horizontal="center"/>
    </xf>
    <xf numFmtId="0" fontId="12" fillId="21" borderId="13" xfId="0" applyFont="1" applyFill="1" applyBorder="1" applyAlignment="1">
      <alignment horizontal="left" vertical="center" wrapText="1"/>
    </xf>
    <xf numFmtId="0" fontId="11" fillId="21" borderId="13" xfId="0" applyFont="1" applyFill="1" applyBorder="1" applyAlignment="1">
      <alignment horizontal="center" vertical="center"/>
    </xf>
    <xf numFmtId="0" fontId="12" fillId="21" borderId="13" xfId="0" applyFont="1" applyFill="1" applyBorder="1" applyAlignment="1">
      <alignment vertical="center" wrapText="1"/>
    </xf>
    <xf numFmtId="49" fontId="12" fillId="21" borderId="13" xfId="0" applyNumberFormat="1" applyFont="1" applyFill="1" applyBorder="1" applyAlignment="1">
      <alignment vertical="center" wrapText="1"/>
    </xf>
    <xf numFmtId="1" fontId="15" fillId="0" borderId="0" xfId="0" applyNumberFormat="1" applyFont="1" applyAlignment="1">
      <alignment horizontal="center" vertical="center" wrapText="1"/>
    </xf>
    <xf numFmtId="167" fontId="4" fillId="21" borderId="13" xfId="0" quotePrefix="1" applyNumberFormat="1" applyFont="1" applyFill="1" applyBorder="1" applyAlignment="1">
      <alignment horizontal="center"/>
    </xf>
    <xf numFmtId="4" fontId="4" fillId="21" borderId="13" xfId="0" quotePrefix="1" applyNumberFormat="1" applyFont="1" applyFill="1" applyBorder="1" applyAlignment="1">
      <alignment horizontal="center"/>
    </xf>
    <xf numFmtId="0" fontId="22" fillId="21" borderId="64" xfId="0" applyFont="1" applyFill="1" applyBorder="1" applyAlignment="1">
      <alignment horizontal="center"/>
    </xf>
    <xf numFmtId="4" fontId="22" fillId="21" borderId="16" xfId="0" applyNumberFormat="1" applyFont="1" applyFill="1" applyBorder="1" applyAlignment="1">
      <alignment horizontal="center"/>
    </xf>
    <xf numFmtId="4" fontId="4" fillId="21" borderId="16" xfId="0" applyNumberFormat="1" applyFont="1" applyFill="1" applyBorder="1" applyAlignment="1">
      <alignment horizontal="center"/>
    </xf>
    <xf numFmtId="4" fontId="4" fillId="21" borderId="17" xfId="0" applyNumberFormat="1" applyFont="1" applyFill="1" applyBorder="1" applyAlignment="1">
      <alignment horizontal="center"/>
    </xf>
    <xf numFmtId="0" fontId="11" fillId="21" borderId="30" xfId="1" applyFont="1" applyFill="1" applyBorder="1" applyAlignment="1">
      <alignment vertical="center" wrapText="1"/>
    </xf>
    <xf numFmtId="0" fontId="11" fillId="21" borderId="69" xfId="1" applyFont="1" applyFill="1" applyBorder="1" applyAlignment="1">
      <alignment horizontal="center" vertical="center" wrapText="1"/>
    </xf>
    <xf numFmtId="2" fontId="11" fillId="21" borderId="68" xfId="1" applyNumberFormat="1" applyFont="1" applyFill="1" applyBorder="1" applyAlignment="1">
      <alignment horizontal="center" vertical="center"/>
    </xf>
    <xf numFmtId="4" fontId="11" fillId="21" borderId="13" xfId="0" applyNumberFormat="1" applyFont="1" applyFill="1" applyBorder="1" applyAlignment="1">
      <alignment horizontal="center" vertical="center"/>
    </xf>
    <xf numFmtId="4" fontId="12" fillId="21" borderId="13" xfId="0" applyNumberFormat="1" applyFont="1" applyFill="1" applyBorder="1" applyAlignment="1">
      <alignment horizontal="center" vertical="center"/>
    </xf>
    <xf numFmtId="4" fontId="12" fillId="21" borderId="14" xfId="0" applyNumberFormat="1" applyFont="1" applyFill="1" applyBorder="1" applyAlignment="1">
      <alignment horizontal="center" vertical="center"/>
    </xf>
    <xf numFmtId="0" fontId="4" fillId="21" borderId="12" xfId="3" applyFont="1" applyFill="1" applyBorder="1"/>
    <xf numFmtId="2" fontId="4" fillId="21" borderId="13" xfId="3" quotePrefix="1" applyNumberFormat="1" applyFont="1" applyFill="1" applyBorder="1" applyAlignment="1">
      <alignment horizontal="center"/>
    </xf>
    <xf numFmtId="2" fontId="4" fillId="21" borderId="13" xfId="3" applyNumberFormat="1" applyFont="1" applyFill="1" applyBorder="1" applyAlignment="1">
      <alignment horizontal="center"/>
    </xf>
    <xf numFmtId="0" fontId="11" fillId="21" borderId="28" xfId="1" applyFont="1" applyFill="1" applyBorder="1" applyAlignment="1">
      <alignment vertical="center" wrapText="1"/>
    </xf>
    <xf numFmtId="2" fontId="11" fillId="21" borderId="29" xfId="1" applyNumberFormat="1" applyFont="1" applyFill="1" applyBorder="1" applyAlignment="1">
      <alignment horizontal="center" vertical="center"/>
    </xf>
    <xf numFmtId="0" fontId="12" fillId="21" borderId="28" xfId="1" applyFont="1" applyFill="1" applyBorder="1" applyAlignment="1">
      <alignment vertical="center" wrapText="1"/>
    </xf>
    <xf numFmtId="2" fontId="12" fillId="21" borderId="29" xfId="1" applyNumberFormat="1" applyFont="1" applyFill="1" applyBorder="1" applyAlignment="1">
      <alignment horizontal="center" vertical="center"/>
    </xf>
    <xf numFmtId="0" fontId="11" fillId="21" borderId="70" xfId="1" applyFont="1" applyFill="1" applyBorder="1" applyAlignment="1">
      <alignment horizontal="center" vertical="center" wrapText="1"/>
    </xf>
    <xf numFmtId="0" fontId="11" fillId="21" borderId="68" xfId="1" applyFont="1" applyFill="1" applyBorder="1" applyAlignment="1">
      <alignment horizontal="center" vertical="center" wrapText="1"/>
    </xf>
    <xf numFmtId="0" fontId="11" fillId="21" borderId="71" xfId="1" applyFont="1" applyFill="1" applyBorder="1" applyAlignment="1">
      <alignment horizontal="center" vertical="center" wrapText="1"/>
    </xf>
    <xf numFmtId="0" fontId="31" fillId="21" borderId="33" xfId="20" applyFont="1" applyFill="1" applyBorder="1" applyAlignment="1">
      <alignment horizontal="center" wrapText="1"/>
    </xf>
    <xf numFmtId="0" fontId="31" fillId="21" borderId="33" xfId="20" applyFont="1" applyFill="1" applyBorder="1" applyAlignment="1">
      <alignment horizontal="center"/>
    </xf>
    <xf numFmtId="0" fontId="22" fillId="21" borderId="33" xfId="20" applyFont="1" applyFill="1" applyBorder="1" applyAlignment="1">
      <alignment horizontal="center" wrapText="1"/>
    </xf>
    <xf numFmtId="0" fontId="22" fillId="21" borderId="13" xfId="20" applyFont="1" applyFill="1" applyBorder="1" applyAlignment="1">
      <alignment horizontal="center"/>
    </xf>
    <xf numFmtId="0" fontId="11" fillId="21" borderId="13" xfId="1" applyFont="1" applyFill="1" applyBorder="1" applyAlignment="1">
      <alignment horizontal="center" vertical="center" wrapText="1"/>
    </xf>
    <xf numFmtId="0" fontId="12" fillId="21" borderId="30" xfId="1" applyFont="1" applyFill="1" applyBorder="1" applyAlignment="1">
      <alignment vertical="center" wrapText="1"/>
    </xf>
    <xf numFmtId="0" fontId="12" fillId="21" borderId="13" xfId="1" applyFont="1" applyFill="1" applyBorder="1" applyAlignment="1">
      <alignment horizontal="center" vertical="center" wrapText="1"/>
    </xf>
    <xf numFmtId="0" fontId="12" fillId="21" borderId="68" xfId="1" applyFont="1" applyFill="1" applyBorder="1" applyAlignment="1">
      <alignment horizontal="center" vertical="center" wrapText="1"/>
    </xf>
    <xf numFmtId="2" fontId="12" fillId="21" borderId="68" xfId="1" applyNumberFormat="1" applyFont="1" applyFill="1" applyBorder="1" applyAlignment="1">
      <alignment horizontal="center" vertical="center"/>
    </xf>
    <xf numFmtId="0" fontId="12" fillId="21" borderId="30" xfId="1" applyFont="1" applyFill="1" applyBorder="1" applyAlignment="1">
      <alignment vertical="center"/>
    </xf>
    <xf numFmtId="0" fontId="12" fillId="21" borderId="13" xfId="1" applyFont="1" applyFill="1" applyBorder="1" applyAlignment="1">
      <alignment horizontal="center" vertical="center"/>
    </xf>
    <xf numFmtId="49" fontId="12" fillId="21" borderId="36" xfId="0" applyNumberFormat="1" applyFont="1" applyFill="1" applyBorder="1" applyAlignment="1">
      <alignment horizontal="left" wrapText="1"/>
    </xf>
    <xf numFmtId="49" fontId="12" fillId="21" borderId="13" xfId="0" applyNumberFormat="1" applyFont="1" applyFill="1" applyBorder="1" applyAlignment="1">
      <alignment horizontal="center" wrapText="1"/>
    </xf>
    <xf numFmtId="2" fontId="12" fillId="21" borderId="37" xfId="0" applyNumberFormat="1" applyFont="1" applyFill="1" applyBorder="1" applyAlignment="1">
      <alignment horizontal="center" vertical="center"/>
    </xf>
    <xf numFmtId="0" fontId="11" fillId="21" borderId="16" xfId="1" applyFont="1" applyFill="1" applyBorder="1" applyAlignment="1">
      <alignment horizontal="center" vertical="center" wrapText="1"/>
    </xf>
    <xf numFmtId="0" fontId="22" fillId="21" borderId="64" xfId="20" applyFont="1" applyFill="1" applyBorder="1" applyAlignment="1">
      <alignment horizontal="center" vertical="center"/>
    </xf>
    <xf numFmtId="0" fontId="20" fillId="21" borderId="12" xfId="0" applyFont="1" applyFill="1" applyBorder="1" applyAlignment="1">
      <alignment horizontal="left" wrapText="1"/>
    </xf>
    <xf numFmtId="0" fontId="20" fillId="21" borderId="62" xfId="0" applyFont="1" applyFill="1" applyBorder="1" applyAlignment="1">
      <alignment horizontal="left" wrapText="1"/>
    </xf>
    <xf numFmtId="0" fontId="20" fillId="21" borderId="62" xfId="0" applyFont="1" applyFill="1" applyBorder="1" applyAlignment="1">
      <alignment horizontal="center" wrapText="1"/>
    </xf>
    <xf numFmtId="164" fontId="20" fillId="21" borderId="11" xfId="0" applyNumberFormat="1" applyFont="1" applyFill="1" applyBorder="1" applyAlignment="1">
      <alignment horizontal="center" vertical="center" wrapText="1"/>
    </xf>
    <xf numFmtId="3" fontId="20" fillId="21" borderId="13" xfId="0" applyNumberFormat="1" applyFont="1" applyFill="1" applyBorder="1" applyAlignment="1">
      <alignment horizontal="center" vertical="center" wrapText="1"/>
    </xf>
    <xf numFmtId="3" fontId="20" fillId="21" borderId="14" xfId="0" applyNumberFormat="1" applyFont="1" applyFill="1" applyBorder="1" applyAlignment="1">
      <alignment horizontal="center" vertical="center" wrapText="1"/>
    </xf>
    <xf numFmtId="49" fontId="12" fillId="21" borderId="12" xfId="0" applyNumberFormat="1" applyFont="1" applyFill="1" applyBorder="1" applyAlignment="1">
      <alignment horizontal="left" wrapText="1"/>
    </xf>
    <xf numFmtId="49" fontId="12" fillId="21" borderId="65" xfId="0" applyNumberFormat="1" applyFont="1" applyFill="1" applyBorder="1" applyAlignment="1">
      <alignment horizontal="left" wrapText="1"/>
    </xf>
    <xf numFmtId="49" fontId="12" fillId="21" borderId="16" xfId="0" applyNumberFormat="1" applyFont="1" applyFill="1" applyBorder="1" applyAlignment="1">
      <alignment horizontal="center" wrapText="1"/>
    </xf>
    <xf numFmtId="2" fontId="12" fillId="21" borderId="16" xfId="0" applyNumberFormat="1" applyFont="1" applyFill="1" applyBorder="1" applyAlignment="1">
      <alignment horizontal="center" vertical="center"/>
    </xf>
    <xf numFmtId="4" fontId="12" fillId="21" borderId="45" xfId="0" applyNumberFormat="1" applyFont="1" applyFill="1" applyBorder="1" applyAlignment="1">
      <alignment horizontal="center" vertical="center"/>
    </xf>
    <xf numFmtId="49" fontId="11" fillId="21" borderId="33" xfId="1" applyNumberFormat="1" applyFont="1" applyFill="1" applyBorder="1" applyAlignment="1">
      <alignment horizontal="center" vertical="center" wrapText="1"/>
    </xf>
    <xf numFmtId="0" fontId="4" fillId="21" borderId="16" xfId="0" applyFont="1" applyFill="1" applyBorder="1" applyAlignment="1">
      <alignment horizontal="center" vertical="center" wrapText="1"/>
    </xf>
    <xf numFmtId="0" fontId="11" fillId="21" borderId="12" xfId="1" applyFont="1" applyFill="1" applyBorder="1" applyAlignment="1">
      <alignment vertical="center" wrapText="1"/>
    </xf>
    <xf numFmtId="0" fontId="11" fillId="21" borderId="33" xfId="1" applyFont="1" applyFill="1" applyBorder="1" applyAlignment="1">
      <alignment horizontal="center" vertical="center" wrapText="1"/>
    </xf>
    <xf numFmtId="0" fontId="11" fillId="21" borderId="64" xfId="1" applyFont="1" applyFill="1" applyBorder="1" applyAlignment="1">
      <alignment horizontal="center" vertical="center" wrapText="1"/>
    </xf>
    <xf numFmtId="2" fontId="11" fillId="21" borderId="0" xfId="1" applyNumberFormat="1" applyFont="1" applyFill="1" applyAlignment="1">
      <alignment horizontal="center" vertical="center"/>
    </xf>
    <xf numFmtId="49" fontId="4" fillId="21" borderId="33" xfId="0" applyNumberFormat="1" applyFont="1" applyFill="1" applyBorder="1" applyAlignment="1">
      <alignment horizontal="center" wrapText="1"/>
    </xf>
    <xf numFmtId="0" fontId="12" fillId="21" borderId="28" xfId="1" applyFont="1" applyFill="1" applyBorder="1" applyAlignment="1">
      <alignment vertical="center"/>
    </xf>
    <xf numFmtId="2" fontId="12" fillId="21" borderId="0" xfId="1" applyNumberFormat="1" applyFont="1" applyFill="1" applyAlignment="1">
      <alignment horizontal="center" vertical="center"/>
    </xf>
    <xf numFmtId="2" fontId="12" fillId="21" borderId="13" xfId="0" quotePrefix="1" applyNumberFormat="1" applyFont="1" applyFill="1" applyBorder="1" applyAlignment="1">
      <alignment horizontal="center" vertical="center"/>
    </xf>
    <xf numFmtId="4" fontId="12" fillId="21" borderId="13" xfId="0" applyNumberFormat="1" applyFont="1" applyFill="1" applyBorder="1" applyAlignment="1">
      <alignment horizontal="center"/>
    </xf>
    <xf numFmtId="0" fontId="12" fillId="21" borderId="22" xfId="1" applyFont="1" applyFill="1" applyBorder="1" applyAlignment="1">
      <alignment vertical="center" wrapText="1"/>
    </xf>
    <xf numFmtId="0" fontId="4" fillId="21" borderId="64" xfId="0" applyFont="1" applyFill="1" applyBorder="1" applyAlignment="1">
      <alignment horizontal="center" vertical="center" wrapText="1"/>
    </xf>
    <xf numFmtId="2" fontId="12" fillId="21" borderId="0" xfId="0" quotePrefix="1" applyNumberFormat="1" applyFont="1" applyFill="1" applyAlignment="1">
      <alignment horizontal="center" vertical="center"/>
    </xf>
    <xf numFmtId="4" fontId="11" fillId="21" borderId="13" xfId="1" applyNumberFormat="1" applyFont="1" applyFill="1" applyBorder="1" applyAlignment="1">
      <alignment horizontal="center" vertical="center" wrapText="1"/>
    </xf>
    <xf numFmtId="4" fontId="12" fillId="21" borderId="13" xfId="0" applyNumberFormat="1" applyFont="1" applyFill="1" applyBorder="1"/>
    <xf numFmtId="4" fontId="21" fillId="21" borderId="13" xfId="0" applyNumberFormat="1" applyFont="1" applyFill="1" applyBorder="1" applyAlignment="1">
      <alignment horizontal="center" vertical="center"/>
    </xf>
    <xf numFmtId="49" fontId="12" fillId="21" borderId="33" xfId="0" applyNumberFormat="1" applyFont="1" applyFill="1" applyBorder="1" applyAlignment="1">
      <alignment horizontal="center" wrapText="1"/>
    </xf>
    <xf numFmtId="49" fontId="12" fillId="21" borderId="37" xfId="0" applyNumberFormat="1" applyFont="1" applyFill="1" applyBorder="1" applyAlignment="1">
      <alignment horizontal="left" wrapText="1"/>
    </xf>
    <xf numFmtId="2" fontId="12" fillId="21" borderId="17" xfId="0" applyNumberFormat="1" applyFont="1" applyFill="1" applyBorder="1" applyAlignment="1">
      <alignment horizontal="center" vertical="center"/>
    </xf>
    <xf numFmtId="49" fontId="12" fillId="21" borderId="15" xfId="0" applyNumberFormat="1" applyFont="1" applyFill="1" applyBorder="1" applyAlignment="1">
      <alignment horizontal="left" wrapText="1"/>
    </xf>
    <xf numFmtId="49" fontId="11" fillId="21" borderId="63" xfId="0" applyNumberFormat="1" applyFont="1" applyFill="1" applyBorder="1" applyAlignment="1">
      <alignment horizontal="center" wrapText="1"/>
    </xf>
    <xf numFmtId="0" fontId="12" fillId="21" borderId="13" xfId="1" applyFont="1" applyFill="1" applyBorder="1" applyAlignment="1">
      <alignment vertical="center" wrapText="1"/>
    </xf>
    <xf numFmtId="4" fontId="11" fillId="0" borderId="12" xfId="0" applyNumberFormat="1" applyFont="1" applyBorder="1"/>
    <xf numFmtId="0" fontId="12" fillId="19" borderId="13" xfId="0" applyFont="1" applyFill="1" applyBorder="1" applyAlignment="1">
      <alignment horizontal="left" vertical="center" wrapText="1"/>
    </xf>
    <xf numFmtId="0" fontId="11" fillId="19" borderId="13" xfId="0" applyFont="1" applyFill="1" applyBorder="1" applyAlignment="1">
      <alignment horizontal="center"/>
    </xf>
    <xf numFmtId="0" fontId="12" fillId="19" borderId="13" xfId="0" applyFont="1" applyFill="1" applyBorder="1" applyAlignment="1">
      <alignment vertical="center" wrapText="1"/>
    </xf>
    <xf numFmtId="49" fontId="11" fillId="19" borderId="13" xfId="0" applyNumberFormat="1" applyFont="1" applyFill="1" applyBorder="1" applyAlignment="1">
      <alignment horizontal="center" vertical="center"/>
    </xf>
    <xf numFmtId="2" fontId="11" fillId="19" borderId="13" xfId="0" applyNumberFormat="1" applyFont="1" applyFill="1" applyBorder="1" applyAlignment="1">
      <alignment horizontal="center" vertical="center"/>
    </xf>
    <xf numFmtId="1" fontId="11" fillId="19" borderId="13" xfId="0" applyNumberFormat="1" applyFont="1" applyFill="1" applyBorder="1" applyAlignment="1">
      <alignment horizontal="center" vertical="center"/>
    </xf>
    <xf numFmtId="1" fontId="117" fillId="19" borderId="13" xfId="0" applyNumberFormat="1" applyFont="1" applyFill="1" applyBorder="1" applyAlignment="1">
      <alignment horizontal="center" vertical="center"/>
    </xf>
    <xf numFmtId="0" fontId="22" fillId="19" borderId="13" xfId="0" applyFont="1" applyFill="1" applyBorder="1" applyAlignment="1">
      <alignment horizontal="center"/>
    </xf>
    <xf numFmtId="0" fontId="93" fillId="19" borderId="13" xfId="0" applyFont="1" applyFill="1" applyBorder="1" applyAlignment="1">
      <alignment horizontal="center"/>
    </xf>
    <xf numFmtId="49" fontId="12" fillId="19" borderId="13" xfId="0" applyNumberFormat="1" applyFont="1" applyFill="1" applyBorder="1" applyAlignment="1">
      <alignment vertical="center" wrapText="1"/>
    </xf>
    <xf numFmtId="0" fontId="4" fillId="19" borderId="33" xfId="0" applyFont="1" applyFill="1" applyBorder="1" applyAlignment="1">
      <alignment horizontal="center" vertical="center" wrapText="1"/>
    </xf>
    <xf numFmtId="0" fontId="4" fillId="19" borderId="12" xfId="20" applyFont="1" applyFill="1" applyBorder="1" applyAlignment="1">
      <alignment horizontal="left" vertical="center"/>
    </xf>
    <xf numFmtId="0" fontId="4" fillId="19" borderId="33" xfId="20" applyFont="1" applyFill="1" applyBorder="1" applyAlignment="1">
      <alignment horizontal="center" vertical="center"/>
    </xf>
    <xf numFmtId="0" fontId="4" fillId="19" borderId="33" xfId="3" applyFont="1" applyFill="1" applyBorder="1" applyAlignment="1">
      <alignment horizontal="center" wrapText="1"/>
    </xf>
    <xf numFmtId="2" fontId="4" fillId="19" borderId="13" xfId="20" quotePrefix="1" applyNumberFormat="1" applyFont="1" applyFill="1" applyBorder="1" applyAlignment="1">
      <alignment horizontal="center" vertical="center"/>
    </xf>
    <xf numFmtId="0" fontId="4" fillId="19" borderId="13" xfId="20" applyFont="1" applyFill="1" applyBorder="1" applyAlignment="1">
      <alignment horizontal="center" vertical="center"/>
    </xf>
    <xf numFmtId="0" fontId="4" fillId="19" borderId="14" xfId="20" applyFont="1" applyFill="1" applyBorder="1" applyAlignment="1">
      <alignment horizontal="center" vertical="center"/>
    </xf>
    <xf numFmtId="0" fontId="12" fillId="19" borderId="12" xfId="20" applyFont="1" applyFill="1" applyBorder="1" applyAlignment="1">
      <alignment horizontal="left" vertical="center"/>
    </xf>
    <xf numFmtId="2" fontId="4" fillId="19" borderId="13" xfId="20" applyNumberFormat="1" applyFont="1" applyFill="1" applyBorder="1" applyAlignment="1">
      <alignment horizontal="center" vertical="center"/>
    </xf>
    <xf numFmtId="4" fontId="4" fillId="19" borderId="13" xfId="20" applyNumberFormat="1" applyFont="1" applyFill="1" applyBorder="1" applyAlignment="1">
      <alignment horizontal="center" vertical="center"/>
    </xf>
    <xf numFmtId="0" fontId="12" fillId="19" borderId="13" xfId="20" applyFont="1" applyFill="1" applyBorder="1" applyAlignment="1">
      <alignment horizontal="left" vertical="center"/>
    </xf>
    <xf numFmtId="0" fontId="4" fillId="19" borderId="13" xfId="3" applyFont="1" applyFill="1" applyBorder="1" applyAlignment="1">
      <alignment horizontal="center" wrapText="1"/>
    </xf>
    <xf numFmtId="0" fontId="4" fillId="19" borderId="12" xfId="0" applyFont="1" applyFill="1" applyBorder="1"/>
    <xf numFmtId="0" fontId="4" fillId="19" borderId="33" xfId="0" applyFont="1" applyFill="1" applyBorder="1" applyAlignment="1">
      <alignment horizontal="center"/>
    </xf>
    <xf numFmtId="167" fontId="4" fillId="19" borderId="13" xfId="0" quotePrefix="1" applyNumberFormat="1" applyFont="1" applyFill="1" applyBorder="1" applyAlignment="1">
      <alignment horizontal="center"/>
    </xf>
    <xf numFmtId="4" fontId="4" fillId="19" borderId="13" xfId="0" quotePrefix="1" applyNumberFormat="1" applyFont="1" applyFill="1" applyBorder="1" applyAlignment="1">
      <alignment horizontal="center"/>
    </xf>
    <xf numFmtId="4" fontId="4" fillId="19" borderId="13" xfId="0" applyNumberFormat="1" applyFont="1" applyFill="1" applyBorder="1" applyAlignment="1">
      <alignment horizontal="center"/>
    </xf>
    <xf numFmtId="4" fontId="12" fillId="19" borderId="20" xfId="0" applyNumberFormat="1" applyFont="1" applyFill="1" applyBorder="1" applyAlignment="1">
      <alignment horizontal="center"/>
    </xf>
    <xf numFmtId="0" fontId="43" fillId="0" borderId="0" xfId="0" applyFont="1" applyAlignment="1">
      <alignment vertical="top" wrapText="1"/>
    </xf>
    <xf numFmtId="3" fontId="43" fillId="0" borderId="0" xfId="0" applyNumberFormat="1" applyFont="1" applyAlignment="1">
      <alignment vertical="top" wrapText="1"/>
    </xf>
    <xf numFmtId="3" fontId="78" fillId="0" borderId="0" xfId="0" applyNumberFormat="1" applyFont="1" applyAlignment="1">
      <alignment horizontal="right" vertical="center" wrapText="1"/>
    </xf>
    <xf numFmtId="0" fontId="58" fillId="0" borderId="0" xfId="0" applyFont="1" applyAlignment="1">
      <alignment horizontal="right" vertical="center" wrapText="1"/>
    </xf>
    <xf numFmtId="2" fontId="58" fillId="0" borderId="0" xfId="0" applyNumberFormat="1" applyFont="1" applyAlignment="1">
      <alignment horizontal="right" vertical="center" wrapText="1"/>
    </xf>
    <xf numFmtId="3" fontId="79" fillId="0" borderId="0" xfId="0" applyNumberFormat="1" applyFont="1" applyAlignment="1">
      <alignment horizontal="right" vertical="center" wrapText="1"/>
    </xf>
    <xf numFmtId="4" fontId="58" fillId="0" borderId="0" xfId="0" applyNumberFormat="1" applyFont="1" applyAlignment="1">
      <alignment horizontal="right" vertical="center" wrapText="1"/>
    </xf>
    <xf numFmtId="4" fontId="51" fillId="0" borderId="0" xfId="0" applyNumberFormat="1" applyFont="1" applyAlignment="1">
      <alignment horizontal="right" vertical="center" wrapText="1"/>
    </xf>
    <xf numFmtId="0" fontId="84" fillId="0" borderId="0" xfId="0" applyFont="1" applyAlignment="1">
      <alignment horizontal="center" wrapText="1"/>
    </xf>
    <xf numFmtId="2" fontId="84" fillId="0" borderId="0" xfId="0" applyNumberFormat="1" applyFont="1" applyAlignment="1">
      <alignment horizontal="center" wrapText="1"/>
    </xf>
    <xf numFmtId="165" fontId="79" fillId="0" borderId="0" xfId="0" applyNumberFormat="1" applyFont="1" applyAlignment="1">
      <alignment horizontal="right" vertical="center" wrapText="1"/>
    </xf>
    <xf numFmtId="3" fontId="19" fillId="17" borderId="13" xfId="0" applyNumberFormat="1" applyFont="1" applyFill="1" applyBorder="1" applyAlignment="1">
      <alignment horizontal="right" vertical="center" wrapText="1"/>
    </xf>
    <xf numFmtId="0" fontId="19" fillId="0" borderId="0" xfId="0" applyFont="1" applyAlignment="1">
      <alignment vertical="top" wrapText="1"/>
    </xf>
    <xf numFmtId="0" fontId="42" fillId="0" borderId="0" xfId="0" applyFont="1" applyAlignment="1">
      <alignment vertical="top" wrapText="1"/>
    </xf>
    <xf numFmtId="3" fontId="14" fillId="0" borderId="0" xfId="0" applyNumberFormat="1" applyFont="1" applyAlignment="1">
      <alignment wrapText="1"/>
    </xf>
    <xf numFmtId="4" fontId="4" fillId="0" borderId="44" xfId="0" applyNumberFormat="1" applyFont="1" applyBorder="1" applyAlignment="1">
      <alignment horizontal="center" vertical="center"/>
    </xf>
    <xf numFmtId="4" fontId="22" fillId="43" borderId="20" xfId="0" applyNumberFormat="1" applyFont="1" applyFill="1" applyBorder="1"/>
    <xf numFmtId="4" fontId="50" fillId="0" borderId="0" xfId="0" applyNumberFormat="1" applyFont="1" applyAlignment="1">
      <alignment horizontal="center" wrapText="1"/>
    </xf>
    <xf numFmtId="0" fontId="50" fillId="0" borderId="0" xfId="0" applyFont="1" applyAlignment="1">
      <alignment horizontal="center" wrapText="1"/>
    </xf>
    <xf numFmtId="0" fontId="58" fillId="17" borderId="0" xfId="0" applyFont="1" applyFill="1" applyAlignment="1">
      <alignment horizontal="right" vertical="center" wrapText="1"/>
    </xf>
    <xf numFmtId="0" fontId="54" fillId="17" borderId="0" xfId="0" applyFont="1" applyFill="1" applyAlignment="1">
      <alignment wrapText="1"/>
    </xf>
    <xf numFmtId="2" fontId="58" fillId="17" borderId="0" xfId="0" applyNumberFormat="1" applyFont="1" applyFill="1" applyAlignment="1">
      <alignment horizontal="right" vertical="center" wrapText="1"/>
    </xf>
    <xf numFmtId="3" fontId="78" fillId="17" borderId="0" xfId="0" applyNumberFormat="1" applyFont="1" applyFill="1" applyAlignment="1">
      <alignment horizontal="right" vertical="center" wrapText="1"/>
    </xf>
    <xf numFmtId="4" fontId="50" fillId="17" borderId="0" xfId="0" applyNumberFormat="1" applyFont="1" applyFill="1" applyAlignment="1">
      <alignment horizontal="center" wrapText="1"/>
    </xf>
    <xf numFmtId="0" fontId="50" fillId="17" borderId="0" xfId="0" applyFont="1" applyFill="1" applyAlignment="1">
      <alignment wrapText="1"/>
    </xf>
    <xf numFmtId="3" fontId="79" fillId="17" borderId="13" xfId="0" applyNumberFormat="1" applyFont="1" applyFill="1" applyBorder="1" applyAlignment="1">
      <alignment horizontal="right" vertical="center" wrapText="1"/>
    </xf>
    <xf numFmtId="3" fontId="51" fillId="15" borderId="13" xfId="0" applyNumberFormat="1" applyFont="1" applyFill="1" applyBorder="1" applyAlignment="1">
      <alignment horizontal="right" vertical="center" wrapText="1"/>
    </xf>
    <xf numFmtId="3" fontId="29" fillId="0" borderId="0" xfId="0" applyNumberFormat="1" applyFont="1" applyAlignment="1">
      <alignment wrapText="1"/>
    </xf>
    <xf numFmtId="3" fontId="19" fillId="0" borderId="0" xfId="0" applyNumberFormat="1" applyFont="1" applyAlignment="1">
      <alignment wrapText="1"/>
    </xf>
    <xf numFmtId="3" fontId="49" fillId="17" borderId="0" xfId="0" applyNumberFormat="1" applyFont="1" applyFill="1" applyAlignment="1">
      <alignment wrapText="1"/>
    </xf>
    <xf numFmtId="4" fontId="0" fillId="5" borderId="12" xfId="0" applyNumberFormat="1" applyFill="1" applyBorder="1"/>
    <xf numFmtId="4" fontId="0" fillId="5" borderId="13" xfId="0" applyNumberFormat="1" applyFill="1" applyBorder="1"/>
    <xf numFmtId="3" fontId="79" fillId="2" borderId="13" xfId="0" applyNumberFormat="1" applyFont="1" applyFill="1" applyBorder="1" applyAlignment="1">
      <alignment horizontal="right" vertical="center" wrapText="1"/>
    </xf>
    <xf numFmtId="3" fontId="32" fillId="0" borderId="0" xfId="0" applyNumberFormat="1" applyFont="1" applyAlignment="1">
      <alignment horizontal="right" vertical="center"/>
    </xf>
    <xf numFmtId="3" fontId="32" fillId="0" borderId="0" xfId="0" applyNumberFormat="1" applyFont="1" applyAlignment="1">
      <alignment vertical="center" wrapText="1"/>
    </xf>
    <xf numFmtId="0" fontId="35" fillId="0" borderId="0" xfId="0" applyFont="1" applyAlignment="1">
      <alignment wrapText="1"/>
    </xf>
    <xf numFmtId="4" fontId="2" fillId="10" borderId="44" xfId="0" applyNumberFormat="1" applyFont="1" applyFill="1" applyBorder="1"/>
    <xf numFmtId="4" fontId="2" fillId="9" borderId="44" xfId="0" applyNumberFormat="1" applyFont="1" applyFill="1" applyBorder="1"/>
    <xf numFmtId="0" fontId="122" fillId="2" borderId="13" xfId="0" applyFont="1" applyFill="1" applyBorder="1" applyAlignment="1">
      <alignment horizontal="center" vertical="center" wrapText="1"/>
    </xf>
    <xf numFmtId="4" fontId="6" fillId="0" borderId="0" xfId="0" applyNumberFormat="1" applyFont="1"/>
    <xf numFmtId="10" fontId="4" fillId="0" borderId="0" xfId="2" applyNumberFormat="1" applyFont="1"/>
    <xf numFmtId="4" fontId="2" fillId="10" borderId="40" xfId="0" applyNumberFormat="1" applyFont="1" applyFill="1" applyBorder="1"/>
    <xf numFmtId="4" fontId="0" fillId="0" borderId="13" xfId="0" applyNumberFormat="1" applyBorder="1" applyAlignment="1">
      <alignment wrapText="1"/>
    </xf>
    <xf numFmtId="49" fontId="55" fillId="2" borderId="33" xfId="0" applyNumberFormat="1" applyFont="1" applyFill="1" applyBorder="1" applyAlignment="1">
      <alignment horizontal="left" vertical="top" wrapText="1" indent="1"/>
    </xf>
    <xf numFmtId="49" fontId="55" fillId="2" borderId="13" xfId="0" applyNumberFormat="1" applyFont="1" applyFill="1" applyBorder="1" applyAlignment="1">
      <alignment horizontal="left" vertical="top" wrapText="1" indent="1"/>
    </xf>
    <xf numFmtId="49" fontId="11" fillId="18" borderId="13" xfId="0" applyNumberFormat="1" applyFont="1" applyFill="1" applyBorder="1" applyAlignment="1">
      <alignment horizontal="center" vertical="top" wrapText="1"/>
    </xf>
    <xf numFmtId="49" fontId="11" fillId="18" borderId="33" xfId="0" applyNumberFormat="1" applyFont="1" applyFill="1" applyBorder="1" applyAlignment="1">
      <alignment horizontal="center" vertical="top" wrapText="1"/>
    </xf>
    <xf numFmtId="49" fontId="51" fillId="2" borderId="33" xfId="0" applyNumberFormat="1" applyFont="1" applyFill="1" applyBorder="1" applyAlignment="1">
      <alignment horizontal="right" vertical="top"/>
    </xf>
    <xf numFmtId="49" fontId="51" fillId="2" borderId="13" xfId="0" applyNumberFormat="1" applyFont="1" applyFill="1" applyBorder="1" applyAlignment="1">
      <alignment horizontal="right" vertical="top"/>
    </xf>
    <xf numFmtId="49" fontId="42" fillId="0" borderId="45" xfId="0" applyNumberFormat="1" applyFont="1" applyBorder="1" applyAlignment="1">
      <alignment horizontal="left" vertical="top" wrapText="1"/>
    </xf>
    <xf numFmtId="0" fontId="44" fillId="2" borderId="13" xfId="0" applyFont="1" applyFill="1" applyBorder="1" applyAlignment="1">
      <alignment horizontal="left" wrapText="1"/>
    </xf>
    <xf numFmtId="0" fontId="56" fillId="15" borderId="14" xfId="0" applyFont="1" applyFill="1" applyBorder="1" applyAlignment="1">
      <alignment vertical="center" wrapText="1"/>
    </xf>
    <xf numFmtId="0" fontId="56" fillId="15" borderId="24" xfId="0" applyFont="1" applyFill="1" applyBorder="1" applyAlignment="1">
      <alignment vertical="center" wrapText="1"/>
    </xf>
    <xf numFmtId="0" fontId="56" fillId="15" borderId="33" xfId="0" applyFont="1" applyFill="1" applyBorder="1" applyAlignment="1">
      <alignment vertical="center" wrapText="1"/>
    </xf>
    <xf numFmtId="0" fontId="19" fillId="2" borderId="14" xfId="0" applyFont="1" applyFill="1" applyBorder="1" applyAlignment="1">
      <alignment vertical="center" wrapText="1"/>
    </xf>
    <xf numFmtId="0" fontId="19" fillId="2" borderId="24" xfId="0" applyFont="1" applyFill="1" applyBorder="1" applyAlignment="1">
      <alignment vertical="center" wrapText="1"/>
    </xf>
    <xf numFmtId="0" fontId="19" fillId="2" borderId="33" xfId="0" applyFont="1" applyFill="1" applyBorder="1" applyAlignment="1">
      <alignment vertical="center" wrapText="1"/>
    </xf>
    <xf numFmtId="49" fontId="48" fillId="18" borderId="33" xfId="0" applyNumberFormat="1" applyFont="1" applyFill="1" applyBorder="1" applyAlignment="1">
      <alignment horizontal="left" vertical="top" wrapText="1" indent="2"/>
    </xf>
    <xf numFmtId="49" fontId="48" fillId="18" borderId="13" xfId="0" applyNumberFormat="1" applyFont="1" applyFill="1" applyBorder="1" applyAlignment="1">
      <alignment horizontal="left" vertical="top" wrapText="1" indent="2"/>
    </xf>
    <xf numFmtId="0" fontId="41" fillId="0" borderId="0" xfId="5" applyFont="1" applyAlignment="1">
      <alignment horizontal="center" vertical="top" wrapText="1"/>
    </xf>
    <xf numFmtId="0" fontId="19" fillId="0" borderId="0" xfId="0" applyFont="1" applyAlignment="1">
      <alignment horizontal="left" vertical="top" wrapText="1"/>
    </xf>
    <xf numFmtId="0" fontId="19" fillId="0" borderId="0" xfId="0" applyFont="1" applyAlignment="1">
      <alignment horizontal="left" wrapText="1"/>
    </xf>
    <xf numFmtId="0" fontId="119" fillId="0" borderId="0" xfId="5" applyFont="1" applyAlignment="1">
      <alignment horizontal="center" vertical="center" wrapText="1"/>
    </xf>
    <xf numFmtId="2" fontId="19" fillId="2" borderId="33" xfId="0" applyNumberFormat="1" applyFont="1" applyFill="1" applyBorder="1" applyAlignment="1">
      <alignment horizontal="left" vertical="top" wrapText="1" indent="1"/>
    </xf>
    <xf numFmtId="2" fontId="19" fillId="2" borderId="13" xfId="0" applyNumberFormat="1" applyFont="1" applyFill="1" applyBorder="1" applyAlignment="1">
      <alignment horizontal="left" vertical="top" wrapText="1" indent="1"/>
    </xf>
    <xf numFmtId="2" fontId="29" fillId="2" borderId="33" xfId="0" applyNumberFormat="1" applyFont="1" applyFill="1" applyBorder="1" applyAlignment="1">
      <alignment horizontal="left" vertical="top" wrapText="1" indent="1"/>
    </xf>
    <xf numFmtId="2" fontId="29" fillId="2" borderId="13" xfId="0" applyNumberFormat="1" applyFont="1" applyFill="1" applyBorder="1" applyAlignment="1">
      <alignment horizontal="left" vertical="top" wrapText="1" indent="1"/>
    </xf>
    <xf numFmtId="0" fontId="70" fillId="0" borderId="0" xfId="0" applyFont="1" applyAlignment="1">
      <alignment horizontal="center" vertical="center" wrapText="1"/>
    </xf>
    <xf numFmtId="3" fontId="72" fillId="0" borderId="0" xfId="0" applyNumberFormat="1" applyFont="1" applyAlignment="1">
      <alignment horizontal="right" vertical="center" wrapText="1"/>
    </xf>
    <xf numFmtId="0" fontId="45" fillId="19" borderId="0" xfId="0" applyFont="1" applyFill="1" applyAlignment="1">
      <alignment horizontal="center" vertical="center" wrapText="1"/>
    </xf>
    <xf numFmtId="3" fontId="20" fillId="0" borderId="0" xfId="0" applyNumberFormat="1" applyFont="1" applyAlignment="1">
      <alignment horizontal="right" vertical="center" wrapText="1"/>
    </xf>
    <xf numFmtId="0" fontId="74" fillId="19" borderId="0" xfId="0" applyFont="1" applyFill="1" applyAlignment="1">
      <alignment horizontal="center" vertical="center" wrapText="1"/>
    </xf>
    <xf numFmtId="0" fontId="69" fillId="19" borderId="0" xfId="0" applyFont="1" applyFill="1" applyAlignment="1">
      <alignment horizontal="center" vertical="center" wrapText="1"/>
    </xf>
    <xf numFmtId="3" fontId="81" fillId="21" borderId="0" xfId="0" applyNumberFormat="1" applyFont="1" applyFill="1" applyAlignment="1">
      <alignment horizontal="center" vertical="center" wrapText="1"/>
    </xf>
    <xf numFmtId="3" fontId="81" fillId="0" borderId="0" xfId="0" applyNumberFormat="1" applyFont="1" applyAlignment="1">
      <alignment horizontal="center" vertical="center" wrapText="1"/>
    </xf>
    <xf numFmtId="3" fontId="115" fillId="0" borderId="35" xfId="0" applyNumberFormat="1" applyFont="1" applyBorder="1" applyAlignment="1">
      <alignment horizontal="center" vertical="center" wrapText="1"/>
    </xf>
    <xf numFmtId="4" fontId="50" fillId="0" borderId="0" xfId="0" applyNumberFormat="1" applyFont="1" applyAlignment="1">
      <alignment horizontal="center" wrapText="1"/>
    </xf>
    <xf numFmtId="3" fontId="77" fillId="0" borderId="0" xfId="0" applyNumberFormat="1" applyFont="1" applyAlignment="1">
      <alignment horizontal="center" vertical="center" wrapText="1"/>
    </xf>
    <xf numFmtId="0" fontId="47" fillId="0" borderId="0" xfId="0" quotePrefix="1" applyFont="1" applyAlignment="1">
      <alignment horizontal="right" vertical="center" wrapText="1"/>
    </xf>
    <xf numFmtId="49" fontId="11" fillId="18" borderId="13" xfId="0" applyNumberFormat="1" applyFont="1" applyFill="1" applyBorder="1" applyAlignment="1">
      <alignment horizontal="left" vertical="top" wrapText="1"/>
    </xf>
    <xf numFmtId="49" fontId="11" fillId="18" borderId="33" xfId="0" applyNumberFormat="1" applyFont="1" applyFill="1" applyBorder="1" applyAlignment="1">
      <alignment horizontal="left" vertical="top" wrapText="1"/>
    </xf>
    <xf numFmtId="2" fontId="55" fillId="2" borderId="33" xfId="0" applyNumberFormat="1" applyFont="1" applyFill="1" applyBorder="1" applyAlignment="1">
      <alignment horizontal="left" vertical="top" wrapText="1" indent="1"/>
    </xf>
    <xf numFmtId="2" fontId="55" fillId="2" borderId="13" xfId="0" applyNumberFormat="1" applyFont="1" applyFill="1" applyBorder="1" applyAlignment="1">
      <alignment horizontal="left" vertical="top" wrapText="1" indent="1"/>
    </xf>
    <xf numFmtId="3" fontId="51" fillId="0" borderId="0" xfId="0" quotePrefix="1" applyNumberFormat="1" applyFont="1" applyAlignment="1">
      <alignment horizontal="right" vertical="center" wrapText="1"/>
    </xf>
    <xf numFmtId="0" fontId="50" fillId="0" borderId="0" xfId="0" applyFont="1" applyAlignment="1">
      <alignment horizontal="center" wrapText="1"/>
    </xf>
    <xf numFmtId="0" fontId="0" fillId="0" borderId="16" xfId="0" applyBorder="1" applyAlignment="1">
      <alignment horizontal="center" wrapText="1"/>
    </xf>
    <xf numFmtId="0" fontId="0" fillId="0" borderId="45" xfId="0" applyBorder="1" applyAlignment="1">
      <alignment horizontal="center" wrapText="1"/>
    </xf>
    <xf numFmtId="0" fontId="0" fillId="0" borderId="11" xfId="0" applyBorder="1" applyAlignment="1">
      <alignment horizontal="center" wrapText="1"/>
    </xf>
    <xf numFmtId="0" fontId="4" fillId="5" borderId="23" xfId="0" applyFont="1" applyFill="1" applyBorder="1" applyAlignment="1">
      <alignment horizontal="left" vertical="center" wrapText="1"/>
    </xf>
    <xf numFmtId="0" fontId="4" fillId="5" borderId="24" xfId="0" applyFont="1" applyFill="1" applyBorder="1" applyAlignment="1">
      <alignment horizontal="left" vertical="center" wrapText="1"/>
    </xf>
    <xf numFmtId="0" fontId="6" fillId="7" borderId="1" xfId="0" applyFont="1" applyFill="1" applyBorder="1" applyAlignment="1">
      <alignment horizontal="center" vertical="center"/>
    </xf>
    <xf numFmtId="0" fontId="6" fillId="7" borderId="51" xfId="0" applyFont="1" applyFill="1" applyBorder="1" applyAlignment="1">
      <alignment horizontal="center" vertical="center"/>
    </xf>
    <xf numFmtId="0" fontId="6" fillId="7" borderId="2" xfId="0" applyFont="1" applyFill="1" applyBorder="1" applyAlignment="1">
      <alignment horizontal="center" vertical="center"/>
    </xf>
    <xf numFmtId="0" fontId="6" fillId="7" borderId="48" xfId="0" applyFont="1" applyFill="1" applyBorder="1" applyAlignment="1">
      <alignment horizontal="center" vertical="center"/>
    </xf>
    <xf numFmtId="0" fontId="7" fillId="18" borderId="12" xfId="0" applyFont="1" applyFill="1" applyBorder="1" applyAlignment="1">
      <alignment horizontal="left" vertical="center" wrapText="1"/>
    </xf>
    <xf numFmtId="0" fontId="7" fillId="18" borderId="33" xfId="0" applyFont="1" applyFill="1" applyBorder="1" applyAlignment="1">
      <alignment horizontal="left" vertical="center" wrapText="1"/>
    </xf>
    <xf numFmtId="0" fontId="7" fillId="18" borderId="13" xfId="0" applyFont="1" applyFill="1" applyBorder="1" applyAlignment="1">
      <alignment horizontal="left" vertical="center" wrapText="1"/>
    </xf>
    <xf numFmtId="0" fontId="7" fillId="18" borderId="14"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5" borderId="33" xfId="0" applyFont="1" applyFill="1" applyBorder="1" applyAlignment="1">
      <alignment horizontal="left" vertical="center" wrapText="1"/>
    </xf>
    <xf numFmtId="0" fontId="9" fillId="5" borderId="13" xfId="0" applyFont="1" applyFill="1" applyBorder="1" applyAlignment="1">
      <alignment horizontal="left" vertical="center" wrapText="1"/>
    </xf>
    <xf numFmtId="0" fontId="9" fillId="5" borderId="14" xfId="0" applyFont="1" applyFill="1" applyBorder="1" applyAlignment="1">
      <alignment horizontal="left" vertical="center" wrapText="1"/>
    </xf>
    <xf numFmtId="0" fontId="7" fillId="18" borderId="9" xfId="0" applyFont="1" applyFill="1" applyBorder="1" applyAlignment="1">
      <alignment horizontal="left" vertical="center" wrapText="1"/>
    </xf>
    <xf numFmtId="0" fontId="7" fillId="18" borderId="10" xfId="0" applyFont="1" applyFill="1" applyBorder="1" applyAlignment="1">
      <alignment horizontal="left" vertical="center" wrapText="1"/>
    </xf>
    <xf numFmtId="16" fontId="4" fillId="5" borderId="23" xfId="0" quotePrefix="1" applyNumberFormat="1" applyFont="1" applyFill="1" applyBorder="1" applyAlignment="1">
      <alignment horizontal="left"/>
    </xf>
    <xf numFmtId="16" fontId="4" fillId="5" borderId="24" xfId="0" quotePrefix="1" applyNumberFormat="1" applyFont="1" applyFill="1" applyBorder="1" applyAlignment="1">
      <alignment horizontal="left"/>
    </xf>
    <xf numFmtId="0" fontId="6" fillId="7" borderId="18" xfId="0" applyFont="1" applyFill="1" applyBorder="1" applyAlignment="1">
      <alignment horizontal="center" vertical="center"/>
    </xf>
    <xf numFmtId="0" fontId="6" fillId="7" borderId="19" xfId="0" applyFont="1" applyFill="1" applyBorder="1" applyAlignment="1">
      <alignment horizontal="center" vertical="center"/>
    </xf>
    <xf numFmtId="0" fontId="6" fillId="7" borderId="27" xfId="0" applyFont="1" applyFill="1" applyBorder="1" applyAlignment="1">
      <alignment horizontal="center" vertical="center"/>
    </xf>
    <xf numFmtId="0" fontId="7" fillId="18" borderId="26" xfId="0" applyFont="1" applyFill="1" applyBorder="1" applyAlignment="1">
      <alignment horizontal="left" vertical="center" wrapText="1"/>
    </xf>
    <xf numFmtId="16" fontId="4" fillId="5" borderId="25" xfId="0" quotePrefix="1" applyNumberFormat="1" applyFont="1" applyFill="1" applyBorder="1" applyAlignment="1">
      <alignment horizontal="left"/>
    </xf>
    <xf numFmtId="10" fontId="120" fillId="43" borderId="22" xfId="2" applyNumberFormat="1" applyFont="1" applyFill="1" applyBorder="1" applyAlignment="1">
      <alignment horizontal="center" vertical="center"/>
    </xf>
    <xf numFmtId="0" fontId="2" fillId="0" borderId="0" xfId="0" applyFont="1" applyAlignment="1">
      <alignment horizontal="center" vertical="center" wrapText="1"/>
    </xf>
    <xf numFmtId="16" fontId="9" fillId="5" borderId="12" xfId="0" quotePrefix="1" applyNumberFormat="1" applyFont="1" applyFill="1" applyBorder="1" applyAlignment="1">
      <alignment horizontal="left"/>
    </xf>
    <xf numFmtId="16" fontId="9" fillId="5" borderId="33" xfId="0" quotePrefix="1" applyNumberFormat="1" applyFont="1" applyFill="1" applyBorder="1" applyAlignment="1">
      <alignment horizontal="left"/>
    </xf>
    <xf numFmtId="16" fontId="9" fillId="5" borderId="13" xfId="0" quotePrefix="1" applyNumberFormat="1" applyFont="1" applyFill="1" applyBorder="1" applyAlignment="1">
      <alignment horizontal="left"/>
    </xf>
    <xf numFmtId="16" fontId="9" fillId="5" borderId="14" xfId="0" quotePrefix="1" applyNumberFormat="1" applyFont="1" applyFill="1" applyBorder="1" applyAlignment="1">
      <alignment horizontal="left"/>
    </xf>
    <xf numFmtId="0" fontId="7" fillId="18" borderId="23" xfId="0" applyFont="1" applyFill="1" applyBorder="1" applyAlignment="1">
      <alignment horizontal="left" vertical="center" wrapText="1"/>
    </xf>
    <xf numFmtId="0" fontId="7" fillId="18" borderId="24" xfId="0" applyFont="1" applyFill="1" applyBorder="1" applyAlignment="1">
      <alignment horizontal="left" vertical="center" wrapText="1"/>
    </xf>
    <xf numFmtId="16" fontId="4" fillId="5" borderId="36" xfId="0" quotePrefix="1" applyNumberFormat="1" applyFont="1" applyFill="1" applyBorder="1" applyAlignment="1">
      <alignment horizontal="left" vertical="center"/>
    </xf>
    <xf numFmtId="16" fontId="4" fillId="5" borderId="37" xfId="0" quotePrefix="1" applyNumberFormat="1" applyFont="1" applyFill="1" applyBorder="1" applyAlignment="1">
      <alignment horizontal="left" vertical="center"/>
    </xf>
    <xf numFmtId="16" fontId="4" fillId="5" borderId="23" xfId="0" quotePrefix="1" applyNumberFormat="1" applyFont="1" applyFill="1" applyBorder="1" applyAlignment="1">
      <alignment horizontal="left" vertical="center"/>
    </xf>
    <xf numFmtId="16" fontId="4" fillId="5" borderId="24" xfId="0" quotePrefix="1" applyNumberFormat="1" applyFont="1" applyFill="1" applyBorder="1" applyAlignment="1">
      <alignment horizontal="left" vertical="center"/>
    </xf>
    <xf numFmtId="4" fontId="6" fillId="7" borderId="56" xfId="3" applyNumberFormat="1" applyFont="1" applyFill="1" applyBorder="1" applyAlignment="1">
      <alignment horizontal="center" vertical="center"/>
    </xf>
    <xf numFmtId="4" fontId="6" fillId="7" borderId="57" xfId="3" applyNumberFormat="1" applyFont="1" applyFill="1" applyBorder="1" applyAlignment="1">
      <alignment horizontal="center" vertical="center"/>
    </xf>
    <xf numFmtId="4" fontId="6" fillId="7" borderId="58" xfId="3" applyNumberFormat="1" applyFont="1" applyFill="1" applyBorder="1" applyAlignment="1">
      <alignment horizontal="center" vertical="center"/>
    </xf>
    <xf numFmtId="0" fontId="7" fillId="4" borderId="34" xfId="0" applyFont="1" applyFill="1" applyBorder="1" applyAlignment="1">
      <alignment horizontal="left" vertical="center" wrapText="1"/>
    </xf>
    <xf numFmtId="0" fontId="7" fillId="4" borderId="35" xfId="0" applyFont="1" applyFill="1" applyBorder="1" applyAlignment="1">
      <alignment horizontal="left" vertical="center" wrapText="1"/>
    </xf>
    <xf numFmtId="0" fontId="7" fillId="4" borderId="62" xfId="0" applyFont="1" applyFill="1" applyBorder="1" applyAlignment="1">
      <alignment horizontal="left" vertical="center" wrapText="1"/>
    </xf>
    <xf numFmtId="0" fontId="6" fillId="7" borderId="12" xfId="0" applyFont="1" applyFill="1" applyBorder="1" applyAlignment="1">
      <alignment horizontal="center" vertical="center"/>
    </xf>
    <xf numFmtId="0" fontId="6" fillId="7" borderId="33" xfId="0" applyFont="1" applyFill="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6" fillId="4" borderId="23" xfId="0" applyFont="1" applyFill="1" applyBorder="1" applyAlignment="1">
      <alignment horizontal="left" vertical="center" wrapText="1"/>
    </xf>
    <xf numFmtId="0" fontId="6" fillId="4" borderId="24" xfId="0" applyFont="1" applyFill="1" applyBorder="1" applyAlignment="1">
      <alignment horizontal="left" vertical="center" wrapText="1"/>
    </xf>
    <xf numFmtId="16" fontId="6" fillId="5" borderId="23" xfId="0" quotePrefix="1" applyNumberFormat="1" applyFont="1" applyFill="1" applyBorder="1" applyAlignment="1">
      <alignment horizontal="left"/>
    </xf>
    <xf numFmtId="16" fontId="6" fillId="5" borderId="24" xfId="0" quotePrefix="1" applyNumberFormat="1" applyFont="1" applyFill="1" applyBorder="1" applyAlignment="1">
      <alignment horizontal="left"/>
    </xf>
    <xf numFmtId="0" fontId="6" fillId="0" borderId="0" xfId="0" applyFont="1" applyAlignment="1">
      <alignment horizontal="center"/>
    </xf>
    <xf numFmtId="0" fontId="4" fillId="0" borderId="48" xfId="0" applyFont="1" applyBorder="1" applyAlignment="1">
      <alignment horizontal="center" vertical="center" wrapText="1"/>
    </xf>
    <xf numFmtId="0" fontId="4" fillId="0" borderId="14" xfId="0" applyFont="1" applyBorder="1" applyAlignment="1">
      <alignment horizontal="center" vertical="center" wrapText="1"/>
    </xf>
    <xf numFmtId="0" fontId="6" fillId="3" borderId="52"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2" xfId="0"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13"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6" xfId="0" applyFont="1" applyBorder="1" applyAlignment="1">
      <alignment horizontal="center" vertical="center" wrapText="1"/>
    </xf>
    <xf numFmtId="0" fontId="4" fillId="0" borderId="11" xfId="0" applyFont="1" applyBorder="1" applyAlignment="1">
      <alignment horizontal="center" vertical="center" wrapText="1"/>
    </xf>
    <xf numFmtId="3" fontId="32" fillId="0" borderId="0" xfId="0" applyNumberFormat="1" applyFont="1" applyAlignment="1">
      <alignment horizontal="right" vertical="center" wrapText="1"/>
    </xf>
    <xf numFmtId="0" fontId="6" fillId="3" borderId="43" xfId="0" applyFont="1" applyFill="1" applyBorder="1" applyAlignment="1">
      <alignment horizontal="center" vertical="center" wrapText="1"/>
    </xf>
    <xf numFmtId="0" fontId="6" fillId="7" borderId="18" xfId="3" applyFont="1" applyFill="1" applyBorder="1" applyAlignment="1">
      <alignment horizontal="center" vertical="center"/>
    </xf>
    <xf numFmtId="0" fontId="6" fillId="7" borderId="19" xfId="3" applyFont="1" applyFill="1" applyBorder="1" applyAlignment="1">
      <alignment horizontal="center" vertical="center"/>
    </xf>
    <xf numFmtId="0" fontId="6" fillId="7" borderId="42" xfId="3" applyFont="1" applyFill="1" applyBorder="1" applyAlignment="1">
      <alignment horizontal="center" vertical="center"/>
    </xf>
    <xf numFmtId="0" fontId="15" fillId="0" borderId="0" xfId="3" applyFont="1" applyAlignment="1">
      <alignment horizontal="center" vertical="center" wrapText="1"/>
    </xf>
    <xf numFmtId="0" fontId="15" fillId="0" borderId="1" xfId="3" applyFont="1" applyBorder="1" applyAlignment="1">
      <alignment horizontal="center"/>
    </xf>
    <xf numFmtId="0" fontId="15" fillId="0" borderId="51" xfId="3" applyFont="1" applyBorder="1" applyAlignment="1">
      <alignment horizontal="center"/>
    </xf>
    <xf numFmtId="0" fontId="15" fillId="0" borderId="2" xfId="3" applyFont="1" applyBorder="1" applyAlignment="1">
      <alignment horizontal="center"/>
    </xf>
    <xf numFmtId="0" fontId="15" fillId="0" borderId="48" xfId="3" applyFont="1" applyBorder="1" applyAlignment="1">
      <alignment horizontal="center"/>
    </xf>
    <xf numFmtId="0" fontId="16" fillId="0" borderId="12" xfId="3" applyFont="1" applyBorder="1" applyAlignment="1">
      <alignment horizontal="center" vertical="center" wrapText="1"/>
    </xf>
    <xf numFmtId="0" fontId="16" fillId="0" borderId="15" xfId="3" applyFont="1" applyBorder="1" applyAlignment="1">
      <alignment horizontal="center" vertical="center" wrapText="1"/>
    </xf>
    <xf numFmtId="0" fontId="16" fillId="0" borderId="13" xfId="3" applyFont="1" applyBorder="1" applyAlignment="1">
      <alignment horizontal="center" vertical="center" wrapText="1"/>
    </xf>
    <xf numFmtId="0" fontId="16" fillId="0" borderId="16" xfId="3" applyFont="1" applyBorder="1" applyAlignment="1">
      <alignment horizontal="center" vertical="center" wrapText="1"/>
    </xf>
    <xf numFmtId="0" fontId="16" fillId="0" borderId="20" xfId="3" applyFont="1" applyBorder="1" applyAlignment="1">
      <alignment horizontal="center" vertical="center" wrapText="1"/>
    </xf>
    <xf numFmtId="0" fontId="16" fillId="0" borderId="21" xfId="3" applyFont="1" applyBorder="1" applyAlignment="1">
      <alignment horizontal="center" vertical="center" wrapText="1"/>
    </xf>
    <xf numFmtId="0" fontId="16" fillId="0" borderId="67" xfId="3" applyFont="1" applyBorder="1" applyAlignment="1">
      <alignment horizontal="center" vertical="center" wrapText="1"/>
    </xf>
    <xf numFmtId="0" fontId="7" fillId="4" borderId="23" xfId="0" applyFont="1" applyFill="1" applyBorder="1" applyAlignment="1">
      <alignment horizontal="left" vertical="center" wrapText="1"/>
    </xf>
    <xf numFmtId="0" fontId="7" fillId="4" borderId="24" xfId="0" applyFont="1" applyFill="1" applyBorder="1" applyAlignment="1">
      <alignment horizontal="left" vertical="center" wrapText="1"/>
    </xf>
    <xf numFmtId="0" fontId="7" fillId="4" borderId="25" xfId="0" applyFont="1" applyFill="1" applyBorder="1" applyAlignment="1">
      <alignment horizontal="left" vertical="center" wrapText="1"/>
    </xf>
    <xf numFmtId="0" fontId="7" fillId="4" borderId="12" xfId="0" applyFont="1" applyFill="1" applyBorder="1" applyAlignment="1">
      <alignment horizontal="left" vertical="center"/>
    </xf>
    <xf numFmtId="0" fontId="7" fillId="4" borderId="33" xfId="0" applyFont="1" applyFill="1" applyBorder="1" applyAlignment="1">
      <alignment horizontal="left" vertical="center"/>
    </xf>
    <xf numFmtId="0" fontId="7" fillId="4" borderId="13" xfId="0" applyFont="1" applyFill="1" applyBorder="1" applyAlignment="1">
      <alignment horizontal="left" vertical="center"/>
    </xf>
    <xf numFmtId="0" fontId="7" fillId="4" borderId="14" xfId="0" applyFont="1" applyFill="1" applyBorder="1" applyAlignment="1">
      <alignment horizontal="left" vertical="center"/>
    </xf>
    <xf numFmtId="0" fontId="6" fillId="7" borderId="1" xfId="0" applyFont="1" applyFill="1" applyBorder="1" applyAlignment="1">
      <alignment horizontal="center" vertical="center" wrapText="1"/>
    </xf>
    <xf numFmtId="0" fontId="6" fillId="7" borderId="5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7" borderId="9" xfId="0" applyFont="1" applyFill="1" applyBorder="1" applyAlignment="1">
      <alignment horizontal="center" vertical="center"/>
    </xf>
    <xf numFmtId="0" fontId="6" fillId="7" borderId="10" xfId="0" applyFont="1" applyFill="1" applyBorder="1" applyAlignment="1">
      <alignment horizontal="center" vertical="center"/>
    </xf>
    <xf numFmtId="0" fontId="9" fillId="5" borderId="23" xfId="0" applyFont="1" applyFill="1" applyBorder="1" applyAlignment="1">
      <alignment horizontal="left" vertical="center" wrapText="1"/>
    </xf>
    <xf numFmtId="0" fontId="9" fillId="5" borderId="24" xfId="0" applyFont="1" applyFill="1" applyBorder="1" applyAlignment="1">
      <alignment horizontal="left" vertical="center" wrapText="1"/>
    </xf>
    <xf numFmtId="16" fontId="6" fillId="5" borderId="12" xfId="0" quotePrefix="1" applyNumberFormat="1" applyFont="1" applyFill="1" applyBorder="1" applyAlignment="1">
      <alignment horizontal="left" vertical="center" wrapText="1"/>
    </xf>
    <xf numFmtId="16" fontId="6" fillId="5" borderId="33" xfId="0" quotePrefix="1" applyNumberFormat="1" applyFont="1" applyFill="1" applyBorder="1" applyAlignment="1">
      <alignment horizontal="left" vertical="center" wrapText="1"/>
    </xf>
    <xf numFmtId="16" fontId="6" fillId="5" borderId="13" xfId="0" quotePrefix="1" applyNumberFormat="1" applyFont="1" applyFill="1" applyBorder="1" applyAlignment="1">
      <alignment horizontal="left" vertical="center" wrapText="1"/>
    </xf>
    <xf numFmtId="16" fontId="6" fillId="5" borderId="14" xfId="0" quotePrefix="1" applyNumberFormat="1" applyFont="1" applyFill="1" applyBorder="1" applyAlignment="1">
      <alignment horizontal="left" vertical="center" wrapText="1"/>
    </xf>
    <xf numFmtId="0" fontId="7" fillId="4" borderId="12" xfId="0" applyFont="1" applyFill="1" applyBorder="1" applyAlignment="1">
      <alignment horizontal="left" vertical="center" wrapText="1"/>
    </xf>
    <xf numFmtId="0" fontId="7" fillId="4" borderId="33" xfId="0" applyFont="1" applyFill="1" applyBorder="1" applyAlignment="1">
      <alignment horizontal="left" vertical="center" wrapText="1"/>
    </xf>
    <xf numFmtId="0" fontId="7" fillId="4" borderId="13" xfId="0" applyFont="1" applyFill="1" applyBorder="1" applyAlignment="1">
      <alignment horizontal="left" vertical="center" wrapText="1"/>
    </xf>
    <xf numFmtId="0" fontId="7" fillId="4" borderId="14" xfId="0" applyFont="1" applyFill="1" applyBorder="1" applyAlignment="1">
      <alignment horizontal="left" vertical="center" wrapText="1"/>
    </xf>
    <xf numFmtId="16" fontId="9" fillId="5" borderId="23" xfId="0" quotePrefix="1" applyNumberFormat="1" applyFont="1" applyFill="1" applyBorder="1" applyAlignment="1">
      <alignment horizontal="left"/>
    </xf>
    <xf numFmtId="16" fontId="9" fillId="5" borderId="24" xfId="0" quotePrefix="1" applyNumberFormat="1" applyFont="1" applyFill="1" applyBorder="1" applyAlignment="1">
      <alignment horizontal="left"/>
    </xf>
    <xf numFmtId="0" fontId="6" fillId="5" borderId="12" xfId="0" applyFont="1" applyFill="1" applyBorder="1" applyAlignment="1">
      <alignment horizontal="left" vertical="center" wrapText="1"/>
    </xf>
    <xf numFmtId="0" fontId="6" fillId="5" borderId="33"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15" fillId="0" borderId="9" xfId="0" applyFont="1" applyBorder="1" applyAlignment="1">
      <alignment horizontal="center"/>
    </xf>
    <xf numFmtId="0" fontId="15" fillId="0" borderId="10" xfId="0" applyFont="1" applyBorder="1" applyAlignment="1">
      <alignment horizontal="center"/>
    </xf>
    <xf numFmtId="0" fontId="7" fillId="4" borderId="9" xfId="0" applyFont="1" applyFill="1" applyBorder="1" applyAlignment="1">
      <alignment horizontal="left" vertical="center" wrapText="1"/>
    </xf>
    <xf numFmtId="0" fontId="7" fillId="4" borderId="10" xfId="0" applyFont="1" applyFill="1" applyBorder="1" applyAlignment="1">
      <alignment horizontal="left" vertical="center" wrapText="1"/>
    </xf>
    <xf numFmtId="0" fontId="121" fillId="0" borderId="0" xfId="0" applyFont="1" applyAlignment="1">
      <alignment horizontal="center" vertical="center" wrapText="1"/>
    </xf>
    <xf numFmtId="0" fontId="16" fillId="0" borderId="12" xfId="0" applyFont="1" applyBorder="1" applyAlignment="1">
      <alignment horizontal="center" vertical="center" wrapText="1"/>
    </xf>
    <xf numFmtId="0" fontId="16" fillId="0" borderId="15" xfId="0" applyFont="1" applyBorder="1" applyAlignment="1">
      <alignment horizontal="center" vertical="center" wrapText="1"/>
    </xf>
    <xf numFmtId="164" fontId="16" fillId="0" borderId="13" xfId="0" applyNumberFormat="1" applyFont="1" applyBorder="1" applyAlignment="1">
      <alignment horizontal="center" vertical="center" wrapText="1"/>
    </xf>
    <xf numFmtId="164" fontId="16" fillId="0" borderId="16" xfId="0" applyNumberFormat="1" applyFont="1" applyBorder="1" applyAlignment="1">
      <alignment horizontal="center" vertical="center" wrapText="1"/>
    </xf>
    <xf numFmtId="0" fontId="16" fillId="0" borderId="13"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67" xfId="0" applyFont="1" applyBorder="1" applyAlignment="1">
      <alignment horizontal="center" vertical="center" wrapText="1"/>
    </xf>
    <xf numFmtId="0" fontId="6" fillId="3" borderId="53" xfId="0" applyFont="1" applyFill="1" applyBorder="1" applyAlignment="1">
      <alignment horizontal="center" vertical="center" wrapText="1"/>
    </xf>
    <xf numFmtId="0" fontId="15" fillId="0" borderId="26" xfId="0" applyFont="1" applyBorder="1" applyAlignment="1">
      <alignment horizontal="center"/>
    </xf>
    <xf numFmtId="0" fontId="15" fillId="0" borderId="0" xfId="3" applyFont="1" applyAlignment="1">
      <alignment horizontal="left" wrapText="1"/>
    </xf>
    <xf numFmtId="0" fontId="16" fillId="0" borderId="31"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32" xfId="3" applyFont="1" applyBorder="1" applyAlignment="1">
      <alignment horizontal="center" vertical="center" wrapText="1"/>
    </xf>
    <xf numFmtId="0" fontId="16" fillId="0" borderId="66" xfId="3" applyFont="1" applyBorder="1" applyAlignment="1">
      <alignment horizontal="center" vertical="center" wrapText="1"/>
    </xf>
    <xf numFmtId="0" fontId="89" fillId="18" borderId="9" xfId="0" applyFont="1" applyFill="1" applyBorder="1" applyAlignment="1">
      <alignment horizontal="center" vertical="center" wrapText="1"/>
    </xf>
    <xf numFmtId="0" fontId="89" fillId="18" borderId="10" xfId="0" applyFont="1" applyFill="1" applyBorder="1" applyAlignment="1">
      <alignment horizontal="center" vertical="center" wrapText="1"/>
    </xf>
    <xf numFmtId="0" fontId="88" fillId="3" borderId="9" xfId="0" applyFont="1" applyFill="1" applyBorder="1" applyAlignment="1">
      <alignment horizontal="center" vertical="center" wrapText="1"/>
    </xf>
    <xf numFmtId="0" fontId="88" fillId="3" borderId="10" xfId="0" applyFont="1" applyFill="1" applyBorder="1" applyAlignment="1">
      <alignment horizontal="center" vertical="center" wrapText="1"/>
    </xf>
    <xf numFmtId="0" fontId="94" fillId="3" borderId="9" xfId="0" applyFont="1" applyFill="1" applyBorder="1" applyAlignment="1">
      <alignment horizontal="center" vertical="center" wrapText="1"/>
    </xf>
    <xf numFmtId="0" fontId="94" fillId="3" borderId="10" xfId="0" applyFont="1" applyFill="1" applyBorder="1" applyAlignment="1">
      <alignment horizontal="center" vertical="center" wrapText="1"/>
    </xf>
    <xf numFmtId="0" fontId="6" fillId="3" borderId="61" xfId="0" applyFont="1" applyFill="1" applyBorder="1" applyAlignment="1">
      <alignment horizontal="center" vertical="center" wrapText="1"/>
    </xf>
    <xf numFmtId="0" fontId="15" fillId="0" borderId="18" xfId="3" applyFont="1" applyBorder="1" applyAlignment="1">
      <alignment horizontal="center"/>
    </xf>
    <xf numFmtId="0" fontId="15" fillId="0" borderId="19" xfId="3" applyFont="1" applyBorder="1" applyAlignment="1">
      <alignment horizontal="center"/>
    </xf>
    <xf numFmtId="0" fontId="15" fillId="0" borderId="27" xfId="3" applyFont="1" applyBorder="1" applyAlignment="1">
      <alignment horizontal="center"/>
    </xf>
    <xf numFmtId="0" fontId="90" fillId="18" borderId="9" xfId="0" applyFont="1" applyFill="1" applyBorder="1" applyAlignment="1">
      <alignment horizontal="center" vertical="center" wrapText="1"/>
    </xf>
    <xf numFmtId="0" fontId="90" fillId="18" borderId="10" xfId="0" applyFont="1" applyFill="1" applyBorder="1" applyAlignment="1">
      <alignment horizontal="center" vertical="center" wrapText="1"/>
    </xf>
    <xf numFmtId="0" fontId="88" fillId="3" borderId="18" xfId="0" applyFont="1" applyFill="1" applyBorder="1" applyAlignment="1">
      <alignment horizontal="center" vertical="center" wrapText="1"/>
    </xf>
    <xf numFmtId="0" fontId="88" fillId="3" borderId="19" xfId="0" applyFont="1" applyFill="1" applyBorder="1" applyAlignment="1">
      <alignment horizontal="center" vertical="center" wrapText="1"/>
    </xf>
    <xf numFmtId="0" fontId="91" fillId="18" borderId="9" xfId="0" applyFont="1" applyFill="1" applyBorder="1" applyAlignment="1">
      <alignment horizontal="center" vertical="center" wrapText="1"/>
    </xf>
    <xf numFmtId="0" fontId="91" fillId="18" borderId="10" xfId="0" applyFont="1" applyFill="1" applyBorder="1" applyAlignment="1">
      <alignment horizontal="center" vertical="center" wrapText="1"/>
    </xf>
    <xf numFmtId="0" fontId="6" fillId="10" borderId="34" xfId="0" applyFont="1" applyFill="1" applyBorder="1" applyAlignment="1">
      <alignment horizontal="left" wrapText="1"/>
    </xf>
    <xf numFmtId="0" fontId="6" fillId="10" borderId="35" xfId="0" applyFont="1" applyFill="1" applyBorder="1" applyAlignment="1">
      <alignment horizontal="left" wrapText="1"/>
    </xf>
    <xf numFmtId="0" fontId="6" fillId="10" borderId="59" xfId="0" applyFont="1" applyFill="1" applyBorder="1" applyAlignment="1">
      <alignment horizontal="left" wrapText="1"/>
    </xf>
    <xf numFmtId="4" fontId="16" fillId="0" borderId="16" xfId="3" applyNumberFormat="1" applyFont="1" applyBorder="1" applyAlignment="1">
      <alignment horizontal="center" vertical="center" wrapText="1"/>
    </xf>
    <xf numFmtId="4" fontId="16" fillId="0" borderId="67" xfId="3" applyNumberFormat="1" applyFont="1" applyBorder="1" applyAlignment="1">
      <alignment horizontal="center" vertical="center" wrapText="1"/>
    </xf>
    <xf numFmtId="0" fontId="15" fillId="0" borderId="0" xfId="0" applyFont="1" applyAlignment="1">
      <alignment horizontal="left" wrapText="1"/>
    </xf>
    <xf numFmtId="0" fontId="6" fillId="16" borderId="18" xfId="0" applyFont="1" applyFill="1" applyBorder="1" applyAlignment="1">
      <alignment horizontal="left" vertical="center"/>
    </xf>
    <xf numFmtId="0" fontId="6" fillId="16" borderId="19" xfId="0" applyFont="1" applyFill="1" applyBorder="1" applyAlignment="1">
      <alignment horizontal="left" vertical="center"/>
    </xf>
    <xf numFmtId="0" fontId="6" fillId="16" borderId="27" xfId="0" applyFont="1" applyFill="1" applyBorder="1" applyAlignment="1">
      <alignment horizontal="left" vertical="center"/>
    </xf>
    <xf numFmtId="0" fontId="67" fillId="3" borderId="53" xfId="0" applyFont="1" applyFill="1" applyBorder="1" applyAlignment="1">
      <alignment horizontal="center" vertical="center" wrapText="1"/>
    </xf>
    <xf numFmtId="0" fontId="67" fillId="3" borderId="43" xfId="0" applyFont="1" applyFill="1" applyBorder="1" applyAlignment="1">
      <alignment horizontal="center" vertical="center" wrapText="1"/>
    </xf>
    <xf numFmtId="0" fontId="15" fillId="0" borderId="0" xfId="0" applyFont="1" applyAlignment="1">
      <alignment horizontal="center" vertical="center" wrapText="1"/>
    </xf>
    <xf numFmtId="0" fontId="31" fillId="0" borderId="55" xfId="0" applyFont="1" applyBorder="1" applyAlignment="1">
      <alignment horizontal="center" vertical="center" wrapText="1"/>
    </xf>
    <xf numFmtId="0" fontId="31" fillId="0" borderId="46"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47" xfId="0" applyFont="1" applyBorder="1" applyAlignment="1">
      <alignment horizontal="center" vertical="center" wrapText="1"/>
    </xf>
    <xf numFmtId="0" fontId="15" fillId="0" borderId="18" xfId="0" applyFont="1" applyBorder="1" applyAlignment="1">
      <alignment horizontal="center"/>
    </xf>
    <xf numFmtId="0" fontId="15" fillId="0" borderId="19" xfId="0" applyFont="1" applyBorder="1" applyAlignment="1">
      <alignment horizont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21" xfId="0" applyFont="1" applyBorder="1" applyAlignment="1">
      <alignment horizontal="center" vertical="center" wrapText="1"/>
    </xf>
    <xf numFmtId="0" fontId="4" fillId="0" borderId="0" xfId="0" applyFont="1" applyAlignment="1">
      <alignment horizontal="left" wrapText="1"/>
    </xf>
    <xf numFmtId="0" fontId="35" fillId="14" borderId="41" xfId="0" applyFont="1" applyFill="1" applyBorder="1" applyAlignment="1">
      <alignment horizontal="left" vertical="top" wrapText="1"/>
    </xf>
    <xf numFmtId="0" fontId="35" fillId="13" borderId="1" xfId="0" applyFont="1" applyFill="1" applyBorder="1" applyAlignment="1">
      <alignment horizontal="left" vertical="center" wrapText="1"/>
    </xf>
    <xf numFmtId="0" fontId="35" fillId="13" borderId="48" xfId="0" applyFont="1" applyFill="1" applyBorder="1" applyAlignment="1">
      <alignment horizontal="left" vertical="center" wrapText="1"/>
    </xf>
    <xf numFmtId="0" fontId="22" fillId="0" borderId="1" xfId="0" applyFont="1" applyBorder="1" applyAlignment="1">
      <alignment horizontal="center" vertical="center"/>
    </xf>
    <xf numFmtId="0" fontId="22" fillId="0" borderId="5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3" fontId="32" fillId="0" borderId="0" xfId="0" applyNumberFormat="1" applyFont="1" applyAlignment="1">
      <alignment horizontal="center" vertical="center" wrapText="1"/>
    </xf>
    <xf numFmtId="0" fontId="35" fillId="0" borderId="0" xfId="0" applyFont="1" applyAlignment="1">
      <alignment horizontal="center" vertical="center" wrapText="1"/>
    </xf>
  </cellXfs>
  <cellStyles count="70">
    <cellStyle name="20% - Accent1 2" xfId="27" xr:uid="{3D7C40CC-2B54-468E-A664-7EAD0DBA23C0}"/>
    <cellStyle name="20% - Accent2 2" xfId="28" xr:uid="{A317245D-F959-4DD0-9FB1-77F6D942039C}"/>
    <cellStyle name="20% - Accent3 2" xfId="29" xr:uid="{C1DAC4B3-6724-4F2F-8C45-BBC99A3DC9E9}"/>
    <cellStyle name="20% - Accent4 2" xfId="30" xr:uid="{032BEF2B-CF63-47D5-B6D5-21CD793E33F2}"/>
    <cellStyle name="20% - Accent5 2" xfId="31" xr:uid="{9CC21899-E476-4D41-A856-11F295035D6C}"/>
    <cellStyle name="20% - Accent6 2" xfId="32" xr:uid="{F0BDE37B-E93F-4FF5-8BCB-AB439AC40963}"/>
    <cellStyle name="40% - Accent1 2" xfId="33" xr:uid="{7F837C71-CDD4-484B-83CF-D60280F7F8E4}"/>
    <cellStyle name="40% - Accent2 2" xfId="34" xr:uid="{A22ED855-C9A1-4DE3-B18D-5A84152F3B6C}"/>
    <cellStyle name="40% - Accent3 2" xfId="35" xr:uid="{92CD077C-5D0D-4E0B-B229-415284A9D029}"/>
    <cellStyle name="40% - Accent4 2" xfId="36" xr:uid="{B676B335-E8F4-4B90-AC51-96FF84A6A42C}"/>
    <cellStyle name="40% - Accent5 2" xfId="37" xr:uid="{FBBDE513-15AE-4E34-9807-16661E34C665}"/>
    <cellStyle name="40% - Accent6 2" xfId="38" xr:uid="{CAAE2D75-6938-418D-93B2-4D16EEBEF61B}"/>
    <cellStyle name="60% - Accent1 2" xfId="39" xr:uid="{2EBABB5A-8841-491E-A890-E29B82533BB0}"/>
    <cellStyle name="60% - Accent2 2" xfId="40" xr:uid="{0F2A6A46-02F2-439B-9CFE-ED99E7C5EB4E}"/>
    <cellStyle name="60% - Accent3 2" xfId="41" xr:uid="{AD6FB0AC-F3C8-4EF0-B7A0-CAFFC4BBB0A5}"/>
    <cellStyle name="60% - Accent4 2" xfId="42" xr:uid="{C3784CD0-D550-4CFA-8411-261CD6E9AB93}"/>
    <cellStyle name="60% - Accent5 2" xfId="43" xr:uid="{5C400342-1786-420E-9CA1-82ADDC753997}"/>
    <cellStyle name="60% - Accent6 2" xfId="44" xr:uid="{F7E27A86-FF40-44B6-96E9-1296E72D6141}"/>
    <cellStyle name="Accent1 2" xfId="45" xr:uid="{A9A34E90-8560-4716-BC57-68E89AA2EF00}"/>
    <cellStyle name="Accent2 2" xfId="46" xr:uid="{AFDA6B2A-E6E0-4005-AD98-B535AE7143E9}"/>
    <cellStyle name="Accent3 2" xfId="47" xr:uid="{13C0E489-2D1F-4DA8-8035-442CC2C41B25}"/>
    <cellStyle name="Accent4 2" xfId="48" xr:uid="{FB0018B6-5A23-457C-AC84-8EC347B13B8D}"/>
    <cellStyle name="Accent5 2" xfId="49" xr:uid="{164F86BC-58D6-4988-B9D7-F8CF7B3016E9}"/>
    <cellStyle name="Accent6 2" xfId="50" xr:uid="{B20DB781-4E32-4EEB-AABD-DA2E80427A1D}"/>
    <cellStyle name="Bad 2" xfId="51" xr:uid="{66B2BB53-B05B-4238-9E8F-8DAA583BD7B7}"/>
    <cellStyle name="Calculation 2" xfId="52" xr:uid="{07E64DEB-2A25-4310-AD14-63F3EBCE1016}"/>
    <cellStyle name="Check Cell 2" xfId="53" xr:uid="{FD81F1B8-CCD6-4482-A518-0709069D4BD6}"/>
    <cellStyle name="Excel Built-in Normal" xfId="1" xr:uid="{14C84ADE-DD2B-4C23-953D-93DA5ECCB0BA}"/>
    <cellStyle name="Excel Built-in Normal 2" xfId="54" xr:uid="{E4349796-B68E-4E66-B491-0224D016B163}"/>
    <cellStyle name="Explanatory Text 2" xfId="55" xr:uid="{27A51504-C3FA-4C3C-A26F-73196DCAB2E4}"/>
    <cellStyle name="Good 2" xfId="56" xr:uid="{C3D29049-2F83-482B-9C17-2EED010A0FA4}"/>
    <cellStyle name="Heading 1 2" xfId="57" xr:uid="{55FEC9AA-0786-4601-A617-80BF789D0F40}"/>
    <cellStyle name="Heading 2 2" xfId="58" xr:uid="{549B6E9B-BAB6-4524-A506-54F1F07D003C}"/>
    <cellStyle name="Heading 3 2" xfId="59" xr:uid="{50971458-5379-4402-8FF5-82BDBA0EC574}"/>
    <cellStyle name="Heading 4 2" xfId="60" xr:uid="{6FB1DF89-5582-43F8-A4B4-27ECD9E5865E}"/>
    <cellStyle name="Input 2" xfId="61" xr:uid="{7F432620-0930-445D-83A1-531912C36CF0}"/>
    <cellStyle name="Linked Cell 2" xfId="62" xr:uid="{981F646B-131D-4B09-9D85-4EAF1246C289}"/>
    <cellStyle name="Neutral 2" xfId="63" xr:uid="{942FDD29-D164-4BC0-A9DB-3A75C5A261DA}"/>
    <cellStyle name="Normal" xfId="0" builtinId="0"/>
    <cellStyle name="Normal 10 2" xfId="14" xr:uid="{366D8435-2694-4E3E-8552-A8503A34C34E}"/>
    <cellStyle name="Normal 14 2" xfId="12" xr:uid="{62013C79-685B-4EB1-81D3-06CF6DA1A7A6}"/>
    <cellStyle name="Normal 2" xfId="3" xr:uid="{B922C458-E73B-44A0-9912-D6193DD7A699}"/>
    <cellStyle name="Normal 2 2" xfId="25" xr:uid="{1CBA49E5-B683-41E8-873B-2F88BF847DBB}"/>
    <cellStyle name="Normal 2 2 2" xfId="6" xr:uid="{E3BE130D-48B6-4268-BA72-B5F020B49AE5}"/>
    <cellStyle name="Normal 2 2 2 2" xfId="10" xr:uid="{940F33D7-95EA-44DD-ADDE-1E5125BC0603}"/>
    <cellStyle name="Normal 2 3" xfId="7" xr:uid="{0C4E759A-E679-4B9E-8218-EEA7E5189F9D}"/>
    <cellStyle name="Normal 24 2 3 4 2 2 3 6 2" xfId="19" xr:uid="{86BBE06E-67BD-4B07-A427-8AFE2A2D9CBB}"/>
    <cellStyle name="Normal 24 2 3 4 2 2 3 6 3" xfId="16" xr:uid="{798B172C-2014-49CC-8D78-13BE4276FAE7}"/>
    <cellStyle name="Normal 24 2 3 4 2 2 7 3 2 2 4" xfId="18" xr:uid="{6CBCB452-5F45-4B06-BC33-0ABEC8C6FB2F}"/>
    <cellStyle name="Normal 24 2 3 4 2 2 7 3 2 4" xfId="17" xr:uid="{5078D0A5-7C44-44A4-B2BF-446E36FE8D76}"/>
    <cellStyle name="Normal 24 2 3 4 2 3 6 2 3 2 2 5" xfId="15" xr:uid="{DC7B9B23-86C9-4907-9890-B94195AC599A}"/>
    <cellStyle name="Normal 3" xfId="11" xr:uid="{74C3F255-FFFD-4C52-B762-75414AD83E1D}"/>
    <cellStyle name="Normal 3 2" xfId="20" xr:uid="{771EBB40-E90B-477E-BBFF-A8B0DB836044}"/>
    <cellStyle name="Normal 4" xfId="9" xr:uid="{DB1F6146-BC69-4316-9511-C05E9AAF58BE}"/>
    <cellStyle name="Normal 5" xfId="8" xr:uid="{80AF9E37-B077-40F3-B5C3-C118354B4063}"/>
    <cellStyle name="Normal 6" xfId="21" xr:uid="{D63DDB46-13F1-43E1-A8DD-6AF328D81196}"/>
    <cellStyle name="Normal 7" xfId="22" xr:uid="{27C13D58-C8ED-4C22-8AB2-643CA99A088B}"/>
    <cellStyle name="Normal 7 2" xfId="69" xr:uid="{144F9D6B-685F-41FC-84FD-B7C32523E3E8}"/>
    <cellStyle name="Normal 8" xfId="24" xr:uid="{A5EBBE7B-0150-4680-BECC-22997D2D20CA}"/>
    <cellStyle name="Normal 9" xfId="26" xr:uid="{1DEB2FAD-E413-48DF-A0FC-AADC75A00F67}"/>
    <cellStyle name="Normal 92" xfId="13" xr:uid="{779A7C70-2F8C-4241-BAB8-5F00FE4F47F6}"/>
    <cellStyle name="Normal_Dažādi" xfId="4" xr:uid="{5935B21F-ADB1-49F9-8ACE-4030D9FE7006}"/>
    <cellStyle name="Normal_Sheet1 2" xfId="5" xr:uid="{F16DE1DF-8ACC-425F-8713-96237E6BA353}"/>
    <cellStyle name="Note 2" xfId="64" xr:uid="{52EB1390-0A08-4903-9EC6-CD8DCD9E979E}"/>
    <cellStyle name="Output 2" xfId="65" xr:uid="{BFA2A8C6-DE31-4798-86E5-DB659989568A}"/>
    <cellStyle name="Parasts 2" xfId="23" xr:uid="{7F1AD937-A604-4DE2-A232-CFA6CFDE320A}"/>
    <cellStyle name="Percent" xfId="2" builtinId="5"/>
    <cellStyle name="Title 2" xfId="66" xr:uid="{36EB5310-588A-46E8-9108-EDE73594E526}"/>
    <cellStyle name="Total 2" xfId="67" xr:uid="{0FFAB152-F45C-436F-91B0-D61B1113EE50}"/>
    <cellStyle name="Warning Text 2" xfId="68" xr:uid="{320E3CF1-C357-4D66-967E-A91621FB238B}"/>
  </cellStyles>
  <dxfs count="0"/>
  <tableStyles count="0" defaultTableStyle="TableStyleMedium2" defaultPivotStyle="PivotStyleLight16"/>
  <colors>
    <mruColors>
      <color rgb="FF90FA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nozare.pri\vm\Redirect_profiles\VM_Liene_Abola\My%20Documents\ATALGOJUMS\2024_PP\Jaunie_varianti_170923\+10,6%25_arstiem\DS_modelesana_2024-2026_10.6%25_171023.xlsx" TargetMode="External"/><Relationship Id="rId1" Type="http://schemas.openxmlformats.org/officeDocument/2006/relationships/externalLinkPath" Target="https://veselibasministrija-my.sharepoint.com/Redirect_profiles/VM_Igors_Belovs/My%20Documents/Darba%20mape/PP/2024/Darba_samaksa/275_milj/191023/DS_modelesana_2024-2026_10.6%25_17102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vnozare.pri\vm\Redirect_profiles\VM_Liene_Abola\My%20Documents\ATALGOJUMS\2024_PP\Jaunie_varianti_131023\2023-10-11%20DS_modelesana_2024-2026_+1%25_PP_iesniegt_variantam.xlsx" TargetMode="External"/><Relationship Id="rId1" Type="http://schemas.openxmlformats.org/officeDocument/2006/relationships/externalLinkPath" Target="https://veselibasministrija-my.sharepoint.com/Redirect_profiles/VM_Liene_Abola/My%20Documents/ATALGOJUMS/2024_PP/Jaunie_varianti_131023/2023-10-11%20DS_modelesana_2024-2026_+1%25_PP_iesniegt_variantam.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edirect_profiles/VM_Sandra_Kasparenko/My%20Documents/Budzets_2019/Budzeta_projekts/Prioritarie_pasakumi_2019-2021/VMvestp1_xx0818_PP_2019-2021%20PROJ.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K 555 tarifos"/>
      <sheetName val="33.00 sadalījums"/>
      <sheetName val="no SVP summām 60M"/>
      <sheetName val="prieš PP veidl APRĒĶINI"/>
      <sheetName val="prieš PP veidl APRĒĶINI PREC"/>
      <sheetName val="tarifi"/>
      <sheetName val="tarifi (2)"/>
      <sheetName val="tarifi (3)"/>
      <sheetName val="Caur tarifiem + pārējie"/>
      <sheetName val="PAPILDUS_nepieciešamais"/>
      <sheetName val="tarifi (5)"/>
      <sheetName val="tarifi (6)"/>
      <sheetName val="modelēšana EUR"/>
      <sheetName val="Sheet5"/>
    </sheetNames>
    <sheetDataSet>
      <sheetData sheetId="0"/>
      <sheetData sheetId="1"/>
      <sheetData sheetId="2"/>
      <sheetData sheetId="3"/>
      <sheetData sheetId="4"/>
      <sheetData sheetId="5"/>
      <sheetData sheetId="6"/>
      <sheetData sheetId="7"/>
      <sheetData sheetId="8"/>
      <sheetData sheetId="9">
        <row r="54">
          <cell r="C54">
            <v>0.106</v>
          </cell>
        </row>
      </sheetData>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K 555 tarifos"/>
      <sheetName val="33.00 sadalījums"/>
      <sheetName val="no SVP summām 60M"/>
      <sheetName val="prieš PP veidl APRĒĶINI"/>
      <sheetName val="prieš PP veidl APRĒĶINI PREC"/>
      <sheetName val="tarifi"/>
      <sheetName val="tarifi (2)"/>
      <sheetName val="tarifi (3)"/>
      <sheetName val="Caur tarifiem + pārējie"/>
      <sheetName val="PAPILDUS_nepieciešamais"/>
      <sheetName val="tarifi (5)"/>
      <sheetName val="tarifi (6)"/>
      <sheetName val="modelēšana EUR"/>
      <sheetName val="Sheet5"/>
    </sheetNames>
    <sheetDataSet>
      <sheetData sheetId="0"/>
      <sheetData sheetId="1"/>
      <sheetData sheetId="2"/>
      <sheetData sheetId="3"/>
      <sheetData sheetId="4"/>
      <sheetData sheetId="5"/>
      <sheetData sheetId="6"/>
      <sheetData sheetId="7"/>
      <sheetData sheetId="8"/>
      <sheetData sheetId="9">
        <row r="54">
          <cell r="C54">
            <v>0.11</v>
          </cell>
        </row>
        <row r="55">
          <cell r="C55">
            <v>6.5000000000000002E-2</v>
          </cell>
        </row>
        <row r="56">
          <cell r="C56">
            <v>6.9000000000000006E-2</v>
          </cell>
        </row>
      </sheetData>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Šablon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A15F3-ED32-4F97-B1A6-9E329E372FA7}">
  <sheetPr>
    <tabColor rgb="FFFFC000"/>
  </sheetPr>
  <dimension ref="A1:W82"/>
  <sheetViews>
    <sheetView tabSelected="1" zoomScaleNormal="100" workbookViewId="0">
      <selection activeCell="I6" sqref="I6"/>
    </sheetView>
  </sheetViews>
  <sheetFormatPr defaultColWidth="8.85546875" defaultRowHeight="12.75" x14ac:dyDescent="0.2"/>
  <cols>
    <col min="1" max="1" width="1" style="290" customWidth="1"/>
    <col min="2" max="2" width="25.7109375" style="290" customWidth="1"/>
    <col min="3" max="3" width="13.7109375" style="290" customWidth="1"/>
    <col min="4" max="4" width="10.7109375" style="290" customWidth="1"/>
    <col min="5" max="8" width="14.28515625" style="290" customWidth="1"/>
    <col min="9" max="9" width="20.28515625" style="290" customWidth="1"/>
    <col min="10" max="11" width="8.85546875" style="290" customWidth="1"/>
    <col min="12" max="12" width="9.5703125" style="290" customWidth="1"/>
    <col min="13" max="13" width="8.85546875" style="290" customWidth="1"/>
    <col min="14" max="14" width="8.85546875" style="290"/>
    <col min="15" max="15" width="17.140625" style="290" customWidth="1"/>
    <col min="16" max="16" width="11.7109375" style="290" bestFit="1" customWidth="1"/>
    <col min="17" max="19" width="11.7109375" style="290" customWidth="1"/>
    <col min="20" max="16384" width="8.85546875" style="290"/>
  </cols>
  <sheetData>
    <row r="1" spans="1:23" ht="15.75" x14ac:dyDescent="0.2">
      <c r="B1" s="952"/>
      <c r="C1" s="952"/>
      <c r="D1" s="952"/>
      <c r="E1" s="952"/>
      <c r="F1" s="952"/>
      <c r="G1" s="952"/>
      <c r="H1" s="952"/>
      <c r="R1" s="290" t="s">
        <v>976</v>
      </c>
    </row>
    <row r="2" spans="1:23" x14ac:dyDescent="0.2">
      <c r="A2" s="291"/>
      <c r="B2" s="292"/>
      <c r="C2" s="292"/>
      <c r="D2" s="292"/>
      <c r="E2" s="292"/>
      <c r="F2" s="292"/>
      <c r="G2" s="292"/>
      <c r="H2" s="340"/>
      <c r="K2" s="342"/>
      <c r="L2" s="343"/>
      <c r="M2" s="341"/>
      <c r="O2" s="293"/>
    </row>
    <row r="3" spans="1:23" x14ac:dyDescent="0.2">
      <c r="A3" s="291"/>
      <c r="B3" s="953"/>
      <c r="C3" s="953"/>
      <c r="D3" s="954"/>
      <c r="E3" s="954"/>
      <c r="F3" s="954"/>
      <c r="G3" s="954"/>
      <c r="H3" s="293"/>
      <c r="I3" s="293"/>
      <c r="K3" s="344"/>
      <c r="L3" s="343"/>
      <c r="M3" s="341"/>
    </row>
    <row r="4" spans="1:23" ht="18.75" x14ac:dyDescent="0.25">
      <c r="A4" s="291"/>
      <c r="B4" s="955" t="s">
        <v>991</v>
      </c>
      <c r="C4" s="955"/>
      <c r="D4" s="955"/>
      <c r="E4" s="955"/>
      <c r="F4" s="955"/>
      <c r="G4" s="955"/>
      <c r="H4" s="955"/>
      <c r="K4" s="345"/>
      <c r="L4" s="343"/>
      <c r="M4" s="341"/>
    </row>
    <row r="5" spans="1:23" ht="15" x14ac:dyDescent="0.25">
      <c r="A5" s="291"/>
      <c r="B5" s="905"/>
      <c r="C5" s="906"/>
      <c r="D5" s="893"/>
      <c r="E5" s="894"/>
      <c r="F5" s="894"/>
      <c r="G5" s="894"/>
      <c r="H5" s="894"/>
      <c r="J5" s="293"/>
      <c r="K5" s="345"/>
      <c r="L5" s="346"/>
      <c r="M5" s="341"/>
    </row>
    <row r="6" spans="1:23" ht="42" x14ac:dyDescent="0.2">
      <c r="A6" s="942"/>
      <c r="B6" s="943"/>
      <c r="C6" s="943"/>
      <c r="D6" s="943"/>
      <c r="E6" s="102">
        <v>2024</v>
      </c>
      <c r="F6" s="102">
        <v>2025</v>
      </c>
      <c r="G6" s="102">
        <v>2026</v>
      </c>
      <c r="H6" s="102" t="s">
        <v>192</v>
      </c>
      <c r="I6" s="294"/>
      <c r="J6" s="294"/>
      <c r="K6" s="294"/>
      <c r="L6" s="294"/>
      <c r="M6" s="294"/>
      <c r="O6" s="295" t="s">
        <v>230</v>
      </c>
    </row>
    <row r="7" spans="1:23" x14ac:dyDescent="0.2">
      <c r="A7" s="942"/>
      <c r="B7" s="944" t="s">
        <v>209</v>
      </c>
      <c r="C7" s="945"/>
      <c r="D7" s="946"/>
      <c r="E7" s="337"/>
      <c r="F7" s="109"/>
      <c r="G7" s="109"/>
      <c r="H7" s="110"/>
      <c r="I7" s="294"/>
      <c r="J7" s="294"/>
      <c r="K7" s="296"/>
      <c r="L7" s="296"/>
      <c r="M7" s="294"/>
      <c r="N7" s="297"/>
    </row>
    <row r="8" spans="1:23" ht="15.75" x14ac:dyDescent="0.2">
      <c r="A8" s="942"/>
      <c r="B8" s="947" t="s">
        <v>193</v>
      </c>
      <c r="C8" s="948"/>
      <c r="D8" s="949"/>
      <c r="E8" s="904">
        <f>E9+E23</f>
        <v>9846474</v>
      </c>
      <c r="F8" s="107">
        <f>F9+F23</f>
        <v>9846474</v>
      </c>
      <c r="G8" s="107">
        <f>G9+G23</f>
        <v>9846474</v>
      </c>
      <c r="H8" s="107">
        <f>H9+H23</f>
        <v>9846474</v>
      </c>
      <c r="I8" s="298"/>
      <c r="J8" s="961" t="s">
        <v>325</v>
      </c>
      <c r="K8" s="961"/>
      <c r="L8" s="961"/>
      <c r="M8" s="961"/>
      <c r="N8" s="961"/>
      <c r="O8" s="636">
        <f>[1]PAPILDUS_nepieciešamais!$C$54</f>
        <v>0.106</v>
      </c>
      <c r="P8" s="965" t="s">
        <v>260</v>
      </c>
      <c r="Q8" s="965"/>
      <c r="R8" s="965"/>
      <c r="S8" s="960"/>
      <c r="T8" s="960"/>
      <c r="U8" s="960"/>
      <c r="V8" s="960"/>
      <c r="W8" s="960"/>
    </row>
    <row r="9" spans="1:23" s="300" customFormat="1" ht="15.75" x14ac:dyDescent="0.25">
      <c r="A9" s="942"/>
      <c r="B9" s="958" t="s">
        <v>229</v>
      </c>
      <c r="C9" s="958"/>
      <c r="D9" s="959"/>
      <c r="E9" s="107">
        <f>E11+E13+E15+E17+E19+E21</f>
        <v>7689499</v>
      </c>
      <c r="F9" s="107">
        <f t="shared" ref="F9:F53" si="0">E9</f>
        <v>7689499</v>
      </c>
      <c r="G9" s="107">
        <f t="shared" ref="G9:G53" si="1">E9</f>
        <v>7689499</v>
      </c>
      <c r="H9" s="107">
        <f t="shared" ref="H9:H53" si="2">E9</f>
        <v>7689499</v>
      </c>
      <c r="I9" s="920"/>
      <c r="J9" s="961"/>
      <c r="K9" s="961"/>
      <c r="L9" s="961"/>
      <c r="M9" s="961"/>
      <c r="N9" s="961"/>
      <c r="O9" s="335"/>
      <c r="P9" s="965"/>
      <c r="Q9" s="965"/>
      <c r="R9" s="965"/>
      <c r="S9" s="960"/>
      <c r="T9" s="960"/>
      <c r="U9" s="960"/>
      <c r="V9" s="960"/>
      <c r="W9" s="960"/>
    </row>
    <row r="10" spans="1:23" s="301" customFormat="1" ht="15.75" x14ac:dyDescent="0.25">
      <c r="A10" s="942"/>
      <c r="B10" s="940" t="s">
        <v>194</v>
      </c>
      <c r="C10" s="940"/>
      <c r="D10" s="941"/>
      <c r="E10" s="106">
        <f>ROUNDUP(E12+E14+E16+E18+E20+E22,0)</f>
        <v>7656818</v>
      </c>
      <c r="F10" s="106">
        <f t="shared" si="0"/>
        <v>7656818</v>
      </c>
      <c r="G10" s="106">
        <f t="shared" si="1"/>
        <v>7656818</v>
      </c>
      <c r="H10" s="106">
        <f t="shared" si="2"/>
        <v>7656818</v>
      </c>
      <c r="I10" s="920"/>
      <c r="J10" s="961"/>
      <c r="K10" s="961"/>
      <c r="L10" s="961"/>
      <c r="M10" s="961"/>
      <c r="N10" s="961"/>
      <c r="O10" s="335"/>
      <c r="P10" s="965"/>
      <c r="Q10" s="965"/>
      <c r="R10" s="965"/>
      <c r="S10" s="960"/>
      <c r="T10" s="960"/>
      <c r="U10" s="960"/>
      <c r="V10" s="960"/>
      <c r="W10" s="960"/>
    </row>
    <row r="11" spans="1:23" x14ac:dyDescent="0.2">
      <c r="A11" s="942"/>
      <c r="B11" s="950" t="s">
        <v>196</v>
      </c>
      <c r="C11" s="950"/>
      <c r="D11" s="951"/>
      <c r="E11" s="289">
        <f>ROUND(E12+'VM VADC MK851'!I75,0)</f>
        <v>267626</v>
      </c>
      <c r="F11" s="289">
        <f t="shared" si="0"/>
        <v>267626</v>
      </c>
      <c r="G11" s="289">
        <f t="shared" si="1"/>
        <v>267626</v>
      </c>
      <c r="H11" s="105">
        <f t="shared" si="2"/>
        <v>267626</v>
      </c>
      <c r="I11" s="547"/>
      <c r="O11" s="336"/>
      <c r="S11" s="960"/>
      <c r="T11" s="960"/>
      <c r="U11" s="960"/>
      <c r="V11" s="960"/>
      <c r="W11" s="960"/>
    </row>
    <row r="12" spans="1:23" s="300" customFormat="1" ht="15.75" x14ac:dyDescent="0.25">
      <c r="A12" s="942"/>
      <c r="B12" s="940" t="s">
        <v>194</v>
      </c>
      <c r="C12" s="940"/>
      <c r="D12" s="941"/>
      <c r="E12" s="106">
        <f>ROUND('VM padotibas iest MK361'!U30+'VM VADC MK851'!I62,0)</f>
        <v>234945</v>
      </c>
      <c r="F12" s="106">
        <f t="shared" si="0"/>
        <v>234945</v>
      </c>
      <c r="G12" s="106">
        <f t="shared" si="1"/>
        <v>234945</v>
      </c>
      <c r="H12" s="108">
        <f t="shared" si="2"/>
        <v>234945</v>
      </c>
      <c r="I12" s="920"/>
      <c r="J12" s="961" t="s">
        <v>326</v>
      </c>
      <c r="K12" s="961"/>
      <c r="L12" s="961"/>
      <c r="M12" s="961"/>
      <c r="N12" s="961"/>
      <c r="O12" s="636">
        <f>[2]PAPILDUS_nepieciešamais!$C$55</f>
        <v>6.5000000000000002E-2</v>
      </c>
      <c r="P12" s="962" t="s">
        <v>328</v>
      </c>
      <c r="Q12" s="962"/>
      <c r="R12" s="962"/>
      <c r="S12" s="960"/>
      <c r="T12" s="960"/>
      <c r="U12" s="960"/>
      <c r="V12" s="960"/>
      <c r="W12" s="960"/>
    </row>
    <row r="13" spans="1:23" s="304" customFormat="1" ht="15.75" x14ac:dyDescent="0.2">
      <c r="A13" s="942"/>
      <c r="B13" s="950" t="s">
        <v>195</v>
      </c>
      <c r="C13" s="950"/>
      <c r="D13" s="951"/>
      <c r="E13" s="289">
        <f>E14</f>
        <v>6641522</v>
      </c>
      <c r="F13" s="289">
        <f t="shared" si="0"/>
        <v>6641522</v>
      </c>
      <c r="G13" s="289">
        <f t="shared" si="1"/>
        <v>6641522</v>
      </c>
      <c r="H13" s="105">
        <f t="shared" si="2"/>
        <v>6641522</v>
      </c>
      <c r="I13" s="347"/>
      <c r="J13" s="961"/>
      <c r="K13" s="961"/>
      <c r="L13" s="961"/>
      <c r="M13" s="961"/>
      <c r="N13" s="961"/>
      <c r="O13" s="299"/>
      <c r="P13" s="962"/>
      <c r="Q13" s="962"/>
      <c r="R13" s="962"/>
      <c r="S13" s="960"/>
      <c r="T13" s="960"/>
      <c r="U13" s="960"/>
      <c r="V13" s="960"/>
      <c r="W13" s="960"/>
    </row>
    <row r="14" spans="1:23" s="304" customFormat="1" x14ac:dyDescent="0.2">
      <c r="A14" s="942"/>
      <c r="B14" s="940" t="s">
        <v>194</v>
      </c>
      <c r="C14" s="940"/>
      <c r="D14" s="941"/>
      <c r="E14" s="106">
        <f>ROUND('VM padotibas iest MK361'!U17+'VM NMPD MK851'!I111,0)</f>
        <v>6641522</v>
      </c>
      <c r="F14" s="106">
        <f t="shared" si="0"/>
        <v>6641522</v>
      </c>
      <c r="G14" s="106">
        <f t="shared" si="1"/>
        <v>6641522</v>
      </c>
      <c r="H14" s="106">
        <f t="shared" si="2"/>
        <v>6641522</v>
      </c>
      <c r="I14" s="347"/>
      <c r="J14" s="303"/>
      <c r="K14" s="305"/>
      <c r="L14" s="305"/>
      <c r="M14" s="306"/>
    </row>
    <row r="15" spans="1:23" s="304" customFormat="1" ht="15.75" x14ac:dyDescent="0.2">
      <c r="A15" s="942"/>
      <c r="B15" s="950" t="s">
        <v>197</v>
      </c>
      <c r="C15" s="950"/>
      <c r="D15" s="951"/>
      <c r="E15" s="289">
        <f>E16</f>
        <v>316379</v>
      </c>
      <c r="F15" s="289">
        <f t="shared" si="0"/>
        <v>316379</v>
      </c>
      <c r="G15" s="289">
        <f t="shared" si="1"/>
        <v>316379</v>
      </c>
      <c r="H15" s="105">
        <f t="shared" si="2"/>
        <v>316379</v>
      </c>
      <c r="I15" s="347"/>
      <c r="J15" s="961" t="s">
        <v>327</v>
      </c>
      <c r="K15" s="961"/>
      <c r="L15" s="961"/>
      <c r="M15" s="961"/>
      <c r="N15" s="961"/>
      <c r="O15" s="636">
        <f>[2]PAPILDUS_nepieciešamais!$C$56</f>
        <v>6.9000000000000006E-2</v>
      </c>
      <c r="P15" s="964" t="s">
        <v>329</v>
      </c>
      <c r="Q15" s="964"/>
      <c r="R15" s="964"/>
    </row>
    <row r="16" spans="1:23" s="304" customFormat="1" ht="15.75" x14ac:dyDescent="0.2">
      <c r="A16" s="942"/>
      <c r="B16" s="940" t="s">
        <v>194</v>
      </c>
      <c r="C16" s="940"/>
      <c r="D16" s="941"/>
      <c r="E16" s="106">
        <f>ROUND('VM padotibas iest MK361'!U232+'VM VTMEC MK851'!I42,0)</f>
        <v>316379</v>
      </c>
      <c r="F16" s="106">
        <f t="shared" si="0"/>
        <v>316379</v>
      </c>
      <c r="G16" s="106">
        <f t="shared" si="1"/>
        <v>316379</v>
      </c>
      <c r="H16" s="106">
        <f t="shared" si="2"/>
        <v>316379</v>
      </c>
      <c r="I16" s="347"/>
      <c r="J16" s="961"/>
      <c r="K16" s="961"/>
      <c r="L16" s="961"/>
      <c r="M16" s="961"/>
      <c r="N16" s="961"/>
      <c r="O16" s="387"/>
      <c r="P16" s="964"/>
      <c r="Q16" s="964"/>
      <c r="R16" s="964"/>
    </row>
    <row r="17" spans="1:23" s="304" customFormat="1" x14ac:dyDescent="0.2">
      <c r="A17" s="942"/>
      <c r="B17" s="950" t="s">
        <v>218</v>
      </c>
      <c r="C17" s="950"/>
      <c r="D17" s="951"/>
      <c r="E17" s="289">
        <f>E18</f>
        <v>39419</v>
      </c>
      <c r="F17" s="289">
        <f t="shared" si="0"/>
        <v>39419</v>
      </c>
      <c r="G17" s="289">
        <f t="shared" si="1"/>
        <v>39419</v>
      </c>
      <c r="H17" s="289">
        <f t="shared" si="2"/>
        <v>39419</v>
      </c>
      <c r="I17" s="347"/>
      <c r="J17" s="303"/>
      <c r="K17" s="305"/>
      <c r="L17" s="305"/>
      <c r="M17" s="306"/>
    </row>
    <row r="18" spans="1:23" s="304" customFormat="1" x14ac:dyDescent="0.2">
      <c r="A18" s="942"/>
      <c r="B18" s="940" t="s">
        <v>194</v>
      </c>
      <c r="C18" s="940"/>
      <c r="D18" s="941"/>
      <c r="E18" s="106">
        <f>ROUND('VM padotibas iest MK361'!U247,0)</f>
        <v>39419</v>
      </c>
      <c r="F18" s="106">
        <f t="shared" si="0"/>
        <v>39419</v>
      </c>
      <c r="G18" s="106">
        <f t="shared" si="1"/>
        <v>39419</v>
      </c>
      <c r="H18" s="106">
        <f t="shared" si="2"/>
        <v>39419</v>
      </c>
      <c r="I18" s="347"/>
      <c r="J18" s="303"/>
      <c r="K18" s="305"/>
      <c r="L18" s="305"/>
      <c r="M18" s="306"/>
    </row>
    <row r="19" spans="1:23" s="304" customFormat="1" x14ac:dyDescent="0.2">
      <c r="A19" s="942"/>
      <c r="B19" s="950" t="s">
        <v>198</v>
      </c>
      <c r="C19" s="950"/>
      <c r="D19" s="951"/>
      <c r="E19" s="289">
        <f>E20</f>
        <v>256053</v>
      </c>
      <c r="F19" s="289">
        <f t="shared" si="0"/>
        <v>256053</v>
      </c>
      <c r="G19" s="289">
        <f t="shared" si="1"/>
        <v>256053</v>
      </c>
      <c r="H19" s="105">
        <f t="shared" si="2"/>
        <v>256053</v>
      </c>
      <c r="I19" s="347"/>
      <c r="J19" s="303"/>
      <c r="K19" s="305"/>
      <c r="L19" s="305"/>
      <c r="M19" s="306"/>
    </row>
    <row r="20" spans="1:23" s="304" customFormat="1" ht="15.75" x14ac:dyDescent="0.2">
      <c r="A20" s="942"/>
      <c r="B20" s="940" t="s">
        <v>194</v>
      </c>
      <c r="C20" s="940"/>
      <c r="D20" s="941"/>
      <c r="E20" s="106">
        <f>ROUND('VM padotibas iest MK361'!U134,0)</f>
        <v>256053</v>
      </c>
      <c r="F20" s="106">
        <f t="shared" si="0"/>
        <v>256053</v>
      </c>
      <c r="G20" s="106">
        <f t="shared" si="1"/>
        <v>256053</v>
      </c>
      <c r="H20" s="106">
        <f t="shared" si="2"/>
        <v>256053</v>
      </c>
      <c r="I20" s="347"/>
      <c r="J20" s="303"/>
      <c r="K20" s="967"/>
      <c r="L20" s="967"/>
      <c r="M20" s="967"/>
      <c r="N20" s="967"/>
      <c r="O20" s="637"/>
    </row>
    <row r="21" spans="1:23" s="304" customFormat="1" x14ac:dyDescent="0.2">
      <c r="A21" s="942"/>
      <c r="B21" s="950" t="s">
        <v>199</v>
      </c>
      <c r="C21" s="950"/>
      <c r="D21" s="951"/>
      <c r="E21" s="289">
        <f>E22</f>
        <v>168500</v>
      </c>
      <c r="F21" s="289">
        <f t="shared" si="0"/>
        <v>168500</v>
      </c>
      <c r="G21" s="289">
        <f t="shared" si="1"/>
        <v>168500</v>
      </c>
      <c r="H21" s="105">
        <f t="shared" si="2"/>
        <v>168500</v>
      </c>
      <c r="I21" s="347"/>
      <c r="J21" s="303"/>
      <c r="K21" s="305"/>
      <c r="L21" s="305"/>
      <c r="M21" s="306"/>
    </row>
    <row r="22" spans="1:23" s="304" customFormat="1" ht="23.25" x14ac:dyDescent="0.2">
      <c r="A22" s="942"/>
      <c r="B22" s="940" t="s">
        <v>194</v>
      </c>
      <c r="C22" s="940"/>
      <c r="D22" s="941"/>
      <c r="E22" s="106">
        <f>ROUND('VM padotibas iest MK361'!U210,0)</f>
        <v>168500</v>
      </c>
      <c r="F22" s="106">
        <f t="shared" si="0"/>
        <v>168500</v>
      </c>
      <c r="G22" s="106">
        <f t="shared" si="1"/>
        <v>168500</v>
      </c>
      <c r="H22" s="106">
        <f t="shared" si="2"/>
        <v>168500</v>
      </c>
      <c r="I22" s="347"/>
      <c r="J22" s="303"/>
      <c r="K22" s="968"/>
      <c r="L22" s="968"/>
      <c r="M22" s="968"/>
      <c r="N22" s="968"/>
      <c r="O22" s="638"/>
    </row>
    <row r="23" spans="1:23" s="304" customFormat="1" ht="15.75" x14ac:dyDescent="0.2">
      <c r="A23" s="942"/>
      <c r="B23" s="956" t="s">
        <v>257</v>
      </c>
      <c r="C23" s="956"/>
      <c r="D23" s="957"/>
      <c r="E23" s="107">
        <f>E24+E27+E34+E45+E48+E55</f>
        <v>2156975</v>
      </c>
      <c r="F23" s="107">
        <f t="shared" si="0"/>
        <v>2156975</v>
      </c>
      <c r="G23" s="107">
        <f t="shared" si="1"/>
        <v>2156975</v>
      </c>
      <c r="H23" s="107">
        <f t="shared" si="2"/>
        <v>2156975</v>
      </c>
      <c r="I23" s="347"/>
      <c r="J23" s="303"/>
      <c r="K23" s="966"/>
      <c r="L23" s="966"/>
      <c r="M23" s="966"/>
      <c r="N23" s="966"/>
      <c r="O23" s="338">
        <v>0.2359</v>
      </c>
    </row>
    <row r="24" spans="1:23" s="304" customFormat="1" ht="15.75" x14ac:dyDescent="0.2">
      <c r="A24" s="942"/>
      <c r="B24" s="936" t="s">
        <v>210</v>
      </c>
      <c r="C24" s="936"/>
      <c r="D24" s="937"/>
      <c r="E24" s="107">
        <f>E25</f>
        <v>480820</v>
      </c>
      <c r="F24" s="107">
        <f t="shared" si="0"/>
        <v>480820</v>
      </c>
      <c r="G24" s="107">
        <f t="shared" si="1"/>
        <v>480820</v>
      </c>
      <c r="H24" s="107">
        <f t="shared" si="2"/>
        <v>480820</v>
      </c>
      <c r="I24" s="347"/>
      <c r="J24" s="303"/>
      <c r="K24" s="305"/>
      <c r="L24" s="305"/>
      <c r="M24" s="306"/>
      <c r="Q24" s="791"/>
      <c r="R24" s="791"/>
      <c r="S24" s="791"/>
    </row>
    <row r="25" spans="1:23" s="304" customFormat="1" x14ac:dyDescent="0.2">
      <c r="A25" s="942"/>
      <c r="B25" s="972" t="s">
        <v>110</v>
      </c>
      <c r="C25" s="973"/>
      <c r="D25" s="972"/>
      <c r="E25" s="105">
        <f>E26</f>
        <v>480820</v>
      </c>
      <c r="F25" s="105">
        <f t="shared" si="0"/>
        <v>480820</v>
      </c>
      <c r="G25" s="105">
        <f t="shared" si="1"/>
        <v>480820</v>
      </c>
      <c r="H25" s="105">
        <f t="shared" si="2"/>
        <v>480820</v>
      </c>
      <c r="I25" s="347"/>
      <c r="J25" s="303"/>
      <c r="K25" s="305"/>
      <c r="L25" s="305"/>
      <c r="M25" s="306"/>
      <c r="Q25" s="308"/>
      <c r="R25" s="309"/>
      <c r="S25" s="309"/>
    </row>
    <row r="26" spans="1:23" s="304" customFormat="1" x14ac:dyDescent="0.2">
      <c r="A26" s="942"/>
      <c r="B26" s="940" t="s">
        <v>194</v>
      </c>
      <c r="C26" s="940"/>
      <c r="D26" s="941"/>
      <c r="E26" s="106">
        <f>ROUND('Pārējās ministrijas MK851'!I247+'Pārējās ministrijas MK509'!J136,0)</f>
        <v>480820</v>
      </c>
      <c r="F26" s="106">
        <f t="shared" si="0"/>
        <v>480820</v>
      </c>
      <c r="G26" s="106">
        <f t="shared" si="1"/>
        <v>480820</v>
      </c>
      <c r="H26" s="106">
        <f t="shared" si="2"/>
        <v>480820</v>
      </c>
      <c r="I26" s="347"/>
      <c r="J26" s="303"/>
      <c r="K26" s="305"/>
      <c r="L26" s="305"/>
    </row>
    <row r="27" spans="1:23" s="304" customFormat="1" x14ac:dyDescent="0.2">
      <c r="A27" s="942"/>
      <c r="B27" s="974" t="s">
        <v>974</v>
      </c>
      <c r="C27" s="974"/>
      <c r="D27" s="975"/>
      <c r="E27" s="107">
        <f>E28+E30+E32</f>
        <v>225125</v>
      </c>
      <c r="F27" s="107">
        <f t="shared" si="0"/>
        <v>225125</v>
      </c>
      <c r="G27" s="107">
        <f t="shared" si="1"/>
        <v>225125</v>
      </c>
      <c r="H27" s="107">
        <f t="shared" si="2"/>
        <v>225125</v>
      </c>
      <c r="I27" s="347"/>
      <c r="J27" s="963"/>
      <c r="K27" s="963"/>
      <c r="L27" s="963"/>
      <c r="M27" s="963"/>
      <c r="N27" s="963"/>
      <c r="O27" s="963"/>
      <c r="P27" s="963"/>
      <c r="Q27" s="310"/>
      <c r="R27" s="310"/>
      <c r="S27" s="310"/>
    </row>
    <row r="28" spans="1:23" s="300" customFormat="1" ht="13.5" x14ac:dyDescent="0.25">
      <c r="A28" s="942"/>
      <c r="B28" s="938" t="s">
        <v>200</v>
      </c>
      <c r="C28" s="939"/>
      <c r="D28" s="938"/>
      <c r="E28" s="105">
        <f>E29</f>
        <v>23324</v>
      </c>
      <c r="F28" s="105">
        <f t="shared" si="0"/>
        <v>23324</v>
      </c>
      <c r="G28" s="105">
        <f t="shared" si="1"/>
        <v>23324</v>
      </c>
      <c r="H28" s="105">
        <f t="shared" si="2"/>
        <v>23324</v>
      </c>
      <c r="I28" s="920"/>
      <c r="J28" s="311"/>
      <c r="K28" s="315"/>
      <c r="L28" s="315"/>
      <c r="M28" s="315"/>
      <c r="N28" s="312"/>
      <c r="O28" s="312"/>
      <c r="P28" s="313"/>
      <c r="Q28" s="312"/>
      <c r="R28" s="312"/>
      <c r="S28" s="312"/>
      <c r="T28" s="313"/>
      <c r="U28" s="313"/>
      <c r="V28" s="313"/>
      <c r="W28" s="313"/>
    </row>
    <row r="29" spans="1:23" s="304" customFormat="1" ht="13.5" x14ac:dyDescent="0.2">
      <c r="A29" s="942"/>
      <c r="B29" s="940" t="s">
        <v>194</v>
      </c>
      <c r="C29" s="940"/>
      <c r="D29" s="941"/>
      <c r="E29" s="106">
        <f>ROUND('Pārējās ministrijas MK361'!U74,0)</f>
        <v>23324</v>
      </c>
      <c r="F29" s="106">
        <f t="shared" si="0"/>
        <v>23324</v>
      </c>
      <c r="G29" s="106">
        <f t="shared" si="1"/>
        <v>23324</v>
      </c>
      <c r="H29" s="106">
        <f t="shared" si="2"/>
        <v>23324</v>
      </c>
      <c r="I29" s="347"/>
      <c r="J29" s="971"/>
      <c r="K29" s="971"/>
      <c r="L29" s="971"/>
      <c r="M29" s="971"/>
      <c r="N29" s="971"/>
      <c r="O29" s="971"/>
      <c r="P29" s="971"/>
      <c r="Q29" s="316"/>
      <c r="R29" s="316"/>
      <c r="S29" s="316"/>
    </row>
    <row r="30" spans="1:23" s="313" customFormat="1" x14ac:dyDescent="0.2">
      <c r="A30" s="942"/>
      <c r="B30" s="938" t="s">
        <v>158</v>
      </c>
      <c r="C30" s="939"/>
      <c r="D30" s="938"/>
      <c r="E30" s="105">
        <f>E31</f>
        <v>11767</v>
      </c>
      <c r="F30" s="105">
        <f t="shared" si="0"/>
        <v>11767</v>
      </c>
      <c r="G30" s="105">
        <f t="shared" si="1"/>
        <v>11767</v>
      </c>
      <c r="H30" s="105">
        <f t="shared" si="2"/>
        <v>11767</v>
      </c>
      <c r="I30" s="548"/>
      <c r="J30" s="976"/>
      <c r="K30" s="976"/>
      <c r="L30" s="976"/>
      <c r="M30" s="976"/>
      <c r="N30" s="976"/>
      <c r="O30" s="976"/>
      <c r="P30" s="976"/>
      <c r="Q30" s="317"/>
      <c r="R30" s="317"/>
      <c r="S30" s="317"/>
      <c r="T30" s="304"/>
      <c r="U30" s="304"/>
      <c r="V30" s="304"/>
      <c r="W30" s="304"/>
    </row>
    <row r="31" spans="1:23" s="300" customFormat="1" ht="13.5" x14ac:dyDescent="0.25">
      <c r="A31" s="942"/>
      <c r="B31" s="940" t="s">
        <v>194</v>
      </c>
      <c r="C31" s="940"/>
      <c r="D31" s="941"/>
      <c r="E31" s="106">
        <f>ROUND('Pārējās ministrijas MK361'!U102,0)</f>
        <v>11767</v>
      </c>
      <c r="F31" s="106">
        <f t="shared" si="0"/>
        <v>11767</v>
      </c>
      <c r="G31" s="106">
        <f t="shared" si="1"/>
        <v>11767</v>
      </c>
      <c r="H31" s="106">
        <f t="shared" si="2"/>
        <v>11767</v>
      </c>
      <c r="I31" s="920"/>
      <c r="J31" s="318"/>
      <c r="K31" s="319"/>
      <c r="L31" s="307"/>
      <c r="M31" s="307"/>
      <c r="N31" s="304"/>
      <c r="O31" s="320"/>
      <c r="P31" s="304"/>
      <c r="Q31" s="304"/>
      <c r="R31" s="304"/>
      <c r="S31" s="304"/>
      <c r="T31" s="304"/>
      <c r="U31" s="304"/>
      <c r="V31" s="304"/>
      <c r="W31" s="304"/>
    </row>
    <row r="32" spans="1:23" s="304" customFormat="1" ht="13.5" x14ac:dyDescent="0.2">
      <c r="A32" s="942"/>
      <c r="B32" s="938" t="s">
        <v>208</v>
      </c>
      <c r="C32" s="939"/>
      <c r="D32" s="938"/>
      <c r="E32" s="105">
        <f>ROUND(IZM_pašv_1!M109,0)</f>
        <v>190034</v>
      </c>
      <c r="F32" s="105">
        <f t="shared" si="0"/>
        <v>190034</v>
      </c>
      <c r="G32" s="105">
        <f t="shared" si="1"/>
        <v>190034</v>
      </c>
      <c r="H32" s="105">
        <f t="shared" si="2"/>
        <v>190034</v>
      </c>
      <c r="I32" s="347"/>
      <c r="J32" s="971"/>
      <c r="K32" s="971"/>
      <c r="L32" s="971"/>
      <c r="M32" s="971"/>
      <c r="N32" s="971"/>
      <c r="O32" s="971"/>
      <c r="P32" s="971"/>
      <c r="Q32" s="316"/>
      <c r="R32" s="316"/>
      <c r="S32" s="316"/>
    </row>
    <row r="33" spans="1:23" s="304" customFormat="1" x14ac:dyDescent="0.2">
      <c r="A33" s="942"/>
      <c r="B33" s="940" t="s">
        <v>194</v>
      </c>
      <c r="C33" s="940"/>
      <c r="D33" s="941"/>
      <c r="E33" s="106">
        <v>0</v>
      </c>
      <c r="F33" s="106">
        <f t="shared" si="0"/>
        <v>0</v>
      </c>
      <c r="G33" s="106">
        <f t="shared" si="1"/>
        <v>0</v>
      </c>
      <c r="H33" s="106">
        <f t="shared" si="2"/>
        <v>0</v>
      </c>
      <c r="I33" s="347"/>
      <c r="J33" s="976"/>
      <c r="K33" s="976"/>
      <c r="L33" s="976"/>
      <c r="M33" s="976"/>
      <c r="N33" s="976"/>
      <c r="O33" s="976"/>
      <c r="P33" s="976"/>
      <c r="Q33" s="317"/>
      <c r="R33" s="317"/>
      <c r="S33" s="317"/>
    </row>
    <row r="34" spans="1:23" s="313" customFormat="1" x14ac:dyDescent="0.2">
      <c r="A34" s="942"/>
      <c r="B34" s="936" t="s">
        <v>201</v>
      </c>
      <c r="C34" s="936"/>
      <c r="D34" s="937"/>
      <c r="E34" s="107">
        <f>E37+E39+E41+E43+E35</f>
        <v>1065326</v>
      </c>
      <c r="F34" s="107">
        <f t="shared" si="0"/>
        <v>1065326</v>
      </c>
      <c r="G34" s="107">
        <f t="shared" si="1"/>
        <v>1065326</v>
      </c>
      <c r="H34" s="107">
        <f t="shared" si="2"/>
        <v>1065326</v>
      </c>
      <c r="I34" s="548"/>
      <c r="J34" s="318"/>
      <c r="K34" s="315"/>
      <c r="L34" s="315"/>
      <c r="M34" s="315"/>
      <c r="N34" s="304"/>
      <c r="O34" s="304"/>
      <c r="P34" s="304"/>
      <c r="Q34" s="304"/>
      <c r="R34" s="304"/>
      <c r="S34" s="304"/>
      <c r="T34" s="304"/>
      <c r="U34" s="304"/>
      <c r="V34" s="304"/>
      <c r="W34" s="304"/>
    </row>
    <row r="35" spans="1:23" s="300" customFormat="1" x14ac:dyDescent="0.2">
      <c r="A35" s="942"/>
      <c r="B35" s="938" t="s">
        <v>338</v>
      </c>
      <c r="C35" s="939"/>
      <c r="D35" s="938"/>
      <c r="E35" s="398">
        <f>E36</f>
        <v>2091</v>
      </c>
      <c r="F35" s="398">
        <f t="shared" ref="F35" si="3">E35</f>
        <v>2091</v>
      </c>
      <c r="G35" s="398">
        <f t="shared" ref="G35" si="4">E35</f>
        <v>2091</v>
      </c>
      <c r="H35" s="398">
        <f t="shared" ref="H35" si="5">E35</f>
        <v>2091</v>
      </c>
      <c r="I35" s="921"/>
      <c r="J35" s="318"/>
      <c r="K35" s="319"/>
      <c r="L35" s="319"/>
      <c r="M35" s="307"/>
      <c r="N35" s="304"/>
      <c r="O35" s="304"/>
      <c r="P35" s="304"/>
      <c r="Q35" s="304"/>
      <c r="R35" s="304"/>
      <c r="S35" s="304"/>
      <c r="T35" s="304"/>
      <c r="U35" s="304"/>
      <c r="V35" s="304"/>
      <c r="W35" s="304"/>
    </row>
    <row r="36" spans="1:23" s="313" customFormat="1" x14ac:dyDescent="0.2">
      <c r="A36" s="942"/>
      <c r="B36" s="940" t="s">
        <v>194</v>
      </c>
      <c r="C36" s="940"/>
      <c r="D36" s="941"/>
      <c r="E36" s="925">
        <f>ROUND('Pārējās ministrijas MK361'!U9,0)</f>
        <v>2091</v>
      </c>
      <c r="F36" s="925">
        <f t="shared" ref="F36:H36" si="6">F35</f>
        <v>2091</v>
      </c>
      <c r="G36" s="925">
        <f t="shared" si="6"/>
        <v>2091</v>
      </c>
      <c r="H36" s="925">
        <f t="shared" si="6"/>
        <v>2091</v>
      </c>
      <c r="I36" s="548"/>
      <c r="J36" s="318"/>
      <c r="K36" s="970"/>
      <c r="L36" s="970"/>
      <c r="M36" s="970"/>
      <c r="N36" s="970"/>
      <c r="O36" s="970"/>
      <c r="P36" s="304"/>
      <c r="Q36" s="304"/>
      <c r="R36" s="304"/>
      <c r="S36" s="304"/>
      <c r="T36" s="304"/>
      <c r="U36" s="304"/>
      <c r="V36" s="304"/>
      <c r="W36" s="304"/>
    </row>
    <row r="37" spans="1:23" s="304" customFormat="1" x14ac:dyDescent="0.2">
      <c r="A37" s="942"/>
      <c r="B37" s="938" t="s">
        <v>117</v>
      </c>
      <c r="C37" s="939"/>
      <c r="D37" s="938"/>
      <c r="E37" s="105">
        <f>E38</f>
        <v>534099</v>
      </c>
      <c r="F37" s="105">
        <f t="shared" ref="F37:H37" si="7">F38</f>
        <v>534099</v>
      </c>
      <c r="G37" s="105">
        <f t="shared" si="7"/>
        <v>534099</v>
      </c>
      <c r="H37" s="105">
        <f t="shared" si="7"/>
        <v>534099</v>
      </c>
      <c r="I37" s="548"/>
      <c r="J37" s="318"/>
      <c r="K37" s="319"/>
      <c r="L37" s="319"/>
      <c r="M37" s="307"/>
      <c r="N37" s="977"/>
      <c r="O37" s="977"/>
    </row>
    <row r="38" spans="1:23" s="304" customFormat="1" x14ac:dyDescent="0.2">
      <c r="A38" s="942"/>
      <c r="B38" s="940" t="s">
        <v>194</v>
      </c>
      <c r="C38" s="940"/>
      <c r="D38" s="941"/>
      <c r="E38" s="918">
        <f>ROUND(LM_līgumorg_851!J418,0)</f>
        <v>534099</v>
      </c>
      <c r="F38" s="918">
        <f>E38</f>
        <v>534099</v>
      </c>
      <c r="G38" s="918">
        <f>F38</f>
        <v>534099</v>
      </c>
      <c r="H38" s="918">
        <f>G38</f>
        <v>534099</v>
      </c>
      <c r="I38" s="548"/>
      <c r="J38" s="318"/>
      <c r="K38" s="319"/>
      <c r="L38" s="319"/>
      <c r="M38" s="307"/>
      <c r="N38" s="911"/>
      <c r="O38" s="911"/>
    </row>
    <row r="39" spans="1:23" s="304" customFormat="1" x14ac:dyDescent="0.2">
      <c r="A39" s="942"/>
      <c r="B39" s="938" t="s">
        <v>129</v>
      </c>
      <c r="C39" s="939"/>
      <c r="D39" s="938"/>
      <c r="E39" s="105">
        <f>E40</f>
        <v>108371</v>
      </c>
      <c r="F39" s="105">
        <f t="shared" ref="F39:H39" si="8">F40</f>
        <v>108371</v>
      </c>
      <c r="G39" s="105">
        <f t="shared" si="8"/>
        <v>108371</v>
      </c>
      <c r="H39" s="105">
        <f t="shared" si="8"/>
        <v>108371</v>
      </c>
      <c r="I39" s="347"/>
      <c r="J39" s="318"/>
      <c r="K39" s="895"/>
      <c r="L39" s="896"/>
      <c r="M39" s="897"/>
      <c r="N39" s="969"/>
      <c r="O39" s="969"/>
    </row>
    <row r="40" spans="1:23" s="917" customFormat="1" x14ac:dyDescent="0.2">
      <c r="A40" s="942"/>
      <c r="B40" s="940" t="s">
        <v>194</v>
      </c>
      <c r="C40" s="940"/>
      <c r="D40" s="941"/>
      <c r="E40" s="918">
        <f>ROUND(LM_līgumorg_851!J448,0)</f>
        <v>108371</v>
      </c>
      <c r="F40" s="918">
        <f>E40</f>
        <v>108371</v>
      </c>
      <c r="G40" s="918">
        <f>F40</f>
        <v>108371</v>
      </c>
      <c r="H40" s="918">
        <f>G40</f>
        <v>108371</v>
      </c>
      <c r="I40" s="922"/>
      <c r="J40" s="913"/>
      <c r="K40" s="915"/>
      <c r="L40" s="912"/>
      <c r="M40" s="914"/>
      <c r="N40" s="916"/>
      <c r="O40" s="916"/>
    </row>
    <row r="41" spans="1:23" s="304" customFormat="1" ht="13.5" x14ac:dyDescent="0.25">
      <c r="A41" s="942"/>
      <c r="B41" s="938" t="s">
        <v>202</v>
      </c>
      <c r="C41" s="939"/>
      <c r="D41" s="938"/>
      <c r="E41" s="105">
        <f>E42</f>
        <v>199718</v>
      </c>
      <c r="F41" s="105">
        <f t="shared" si="0"/>
        <v>199718</v>
      </c>
      <c r="G41" s="105">
        <f t="shared" si="1"/>
        <v>199718</v>
      </c>
      <c r="H41" s="105">
        <f t="shared" si="2"/>
        <v>199718</v>
      </c>
      <c r="I41" s="920"/>
      <c r="J41" s="314"/>
      <c r="K41" s="898"/>
      <c r="L41" s="899"/>
      <c r="M41" s="899"/>
      <c r="N41" s="969"/>
      <c r="O41" s="969"/>
      <c r="P41" s="322"/>
      <c r="Q41" s="322"/>
      <c r="R41" s="322"/>
      <c r="S41" s="322"/>
      <c r="T41" s="322"/>
      <c r="U41" s="322"/>
      <c r="V41" s="322"/>
      <c r="W41" s="322"/>
    </row>
    <row r="42" spans="1:23" s="304" customFormat="1" ht="13.5" x14ac:dyDescent="0.25">
      <c r="A42" s="942"/>
      <c r="B42" s="940" t="s">
        <v>194</v>
      </c>
      <c r="C42" s="940"/>
      <c r="D42" s="941"/>
      <c r="E42" s="919">
        <f>ROUND('Pārējās ministrijas MK361'!U15,0)</f>
        <v>199718</v>
      </c>
      <c r="F42" s="919">
        <f t="shared" si="0"/>
        <v>199718</v>
      </c>
      <c r="G42" s="919">
        <f t="shared" si="1"/>
        <v>199718</v>
      </c>
      <c r="H42" s="919">
        <f t="shared" si="2"/>
        <v>199718</v>
      </c>
      <c r="I42" s="920"/>
      <c r="J42" s="314"/>
      <c r="K42" s="898"/>
      <c r="L42" s="899"/>
      <c r="M42" s="899"/>
      <c r="N42" s="969"/>
      <c r="O42" s="969"/>
      <c r="P42" s="322"/>
      <c r="Q42" s="322"/>
      <c r="R42" s="322"/>
      <c r="S42" s="322"/>
      <c r="T42" s="322"/>
      <c r="U42" s="322"/>
      <c r="V42" s="322"/>
      <c r="W42" s="322"/>
    </row>
    <row r="43" spans="1:23" s="304" customFormat="1" x14ac:dyDescent="0.2">
      <c r="A43" s="942"/>
      <c r="B43" s="938" t="s">
        <v>203</v>
      </c>
      <c r="C43" s="939"/>
      <c r="D43" s="938"/>
      <c r="E43" s="105">
        <f>ROUND(LM_līgumorg_851!J214,0)</f>
        <v>221047</v>
      </c>
      <c r="F43" s="105">
        <f t="shared" si="0"/>
        <v>221047</v>
      </c>
      <c r="G43" s="105">
        <f t="shared" si="1"/>
        <v>221047</v>
      </c>
      <c r="H43" s="105">
        <f t="shared" si="2"/>
        <v>221047</v>
      </c>
      <c r="I43" s="347"/>
      <c r="J43" s="314"/>
      <c r="K43" s="898"/>
      <c r="L43" s="899"/>
      <c r="M43" s="899"/>
      <c r="N43" s="969"/>
      <c r="O43" s="969"/>
      <c r="P43" s="322"/>
      <c r="Q43" s="322"/>
      <c r="R43" s="322"/>
      <c r="S43" s="322"/>
      <c r="T43" s="322"/>
      <c r="U43" s="322"/>
      <c r="V43" s="322"/>
      <c r="W43" s="322"/>
    </row>
    <row r="44" spans="1:23" s="304" customFormat="1" x14ac:dyDescent="0.2">
      <c r="A44" s="942"/>
      <c r="B44" s="940" t="s">
        <v>194</v>
      </c>
      <c r="C44" s="940"/>
      <c r="D44" s="941"/>
      <c r="E44" s="918">
        <v>0</v>
      </c>
      <c r="F44" s="918">
        <v>0</v>
      </c>
      <c r="G44" s="918">
        <v>0</v>
      </c>
      <c r="H44" s="918">
        <v>0</v>
      </c>
      <c r="I44" s="347"/>
      <c r="J44" s="314"/>
      <c r="K44" s="898"/>
      <c r="L44" s="899"/>
      <c r="M44" s="899"/>
      <c r="N44" s="910"/>
      <c r="O44" s="910"/>
      <c r="P44" s="322"/>
      <c r="Q44" s="322"/>
      <c r="R44" s="322"/>
      <c r="S44" s="322"/>
      <c r="T44" s="322"/>
      <c r="U44" s="322"/>
      <c r="V44" s="322"/>
      <c r="W44" s="322"/>
    </row>
    <row r="45" spans="1:23" s="304" customFormat="1" x14ac:dyDescent="0.2">
      <c r="A45" s="942"/>
      <c r="B45" s="936" t="s">
        <v>204</v>
      </c>
      <c r="C45" s="936"/>
      <c r="D45" s="937"/>
      <c r="E45" s="107">
        <f>E46</f>
        <v>275700</v>
      </c>
      <c r="F45" s="107">
        <f t="shared" si="0"/>
        <v>275700</v>
      </c>
      <c r="G45" s="107">
        <f t="shared" si="1"/>
        <v>275700</v>
      </c>
      <c r="H45" s="107">
        <f t="shared" si="2"/>
        <v>275700</v>
      </c>
      <c r="I45" s="347"/>
      <c r="J45" s="314"/>
      <c r="K45" s="315"/>
      <c r="L45" s="900"/>
      <c r="M45" s="900"/>
      <c r="N45" s="969"/>
      <c r="O45" s="969"/>
      <c r="P45" s="322"/>
      <c r="Q45" s="322"/>
      <c r="R45" s="322"/>
      <c r="S45" s="322"/>
      <c r="T45" s="322"/>
      <c r="U45" s="322"/>
      <c r="V45" s="322"/>
      <c r="W45" s="322"/>
    </row>
    <row r="46" spans="1:23" s="304" customFormat="1" x14ac:dyDescent="0.2">
      <c r="A46" s="942"/>
      <c r="B46" s="938" t="s">
        <v>205</v>
      </c>
      <c r="C46" s="939"/>
      <c r="D46" s="938"/>
      <c r="E46" s="105">
        <f>E47</f>
        <v>275700</v>
      </c>
      <c r="F46" s="105">
        <f t="shared" si="0"/>
        <v>275700</v>
      </c>
      <c r="G46" s="105">
        <f t="shared" si="1"/>
        <v>275700</v>
      </c>
      <c r="H46" s="105">
        <f t="shared" si="2"/>
        <v>275700</v>
      </c>
      <c r="I46" s="347"/>
      <c r="J46" s="323"/>
      <c r="K46" s="901"/>
      <c r="L46" s="901"/>
      <c r="M46" s="902"/>
      <c r="N46" s="969"/>
      <c r="O46" s="969"/>
      <c r="P46" s="290"/>
      <c r="Q46" s="290"/>
      <c r="R46" s="290"/>
      <c r="S46" s="290"/>
      <c r="T46" s="290"/>
      <c r="U46" s="290"/>
      <c r="V46" s="290"/>
      <c r="W46" s="290"/>
    </row>
    <row r="47" spans="1:23" s="304" customFormat="1" x14ac:dyDescent="0.2">
      <c r="A47" s="942"/>
      <c r="B47" s="940" t="s">
        <v>194</v>
      </c>
      <c r="C47" s="940"/>
      <c r="D47" s="941"/>
      <c r="E47" s="106">
        <f>ROUND('Pārējās ministrijas MK851'!I144,0)</f>
        <v>275700</v>
      </c>
      <c r="F47" s="106">
        <f t="shared" si="0"/>
        <v>275700</v>
      </c>
      <c r="G47" s="106">
        <f t="shared" si="1"/>
        <v>275700</v>
      </c>
      <c r="H47" s="106">
        <f t="shared" si="2"/>
        <v>275700</v>
      </c>
      <c r="I47" s="347"/>
      <c r="J47" s="323"/>
      <c r="K47" s="321"/>
      <c r="L47" s="899"/>
      <c r="M47" s="899"/>
      <c r="N47" s="969"/>
      <c r="O47" s="969"/>
      <c r="P47" s="290"/>
      <c r="Q47" s="290"/>
      <c r="R47" s="290"/>
      <c r="S47" s="290"/>
      <c r="T47" s="290"/>
      <c r="U47" s="290"/>
      <c r="V47" s="290"/>
      <c r="W47" s="290"/>
    </row>
    <row r="48" spans="1:23" s="304" customFormat="1" x14ac:dyDescent="0.2">
      <c r="A48" s="942"/>
      <c r="B48" s="936" t="s">
        <v>206</v>
      </c>
      <c r="C48" s="936"/>
      <c r="D48" s="937"/>
      <c r="E48" s="107">
        <f>E49+E51+E53</f>
        <v>109044</v>
      </c>
      <c r="F48" s="107">
        <f t="shared" si="0"/>
        <v>109044</v>
      </c>
      <c r="G48" s="107">
        <f t="shared" si="1"/>
        <v>109044</v>
      </c>
      <c r="H48" s="107">
        <f t="shared" si="2"/>
        <v>109044</v>
      </c>
      <c r="I48" s="347"/>
      <c r="J48" s="907"/>
      <c r="K48" s="898"/>
      <c r="L48" s="899"/>
      <c r="M48" s="899"/>
      <c r="N48" s="969"/>
      <c r="O48" s="969"/>
      <c r="P48" s="290"/>
      <c r="Q48" s="290"/>
      <c r="R48" s="290"/>
      <c r="S48" s="290"/>
      <c r="T48" s="290"/>
      <c r="U48" s="290"/>
      <c r="V48" s="290"/>
      <c r="W48" s="290"/>
    </row>
    <row r="49" spans="1:23" s="304" customFormat="1" x14ac:dyDescent="0.2">
      <c r="A49" s="942"/>
      <c r="B49" s="938" t="s">
        <v>207</v>
      </c>
      <c r="C49" s="939"/>
      <c r="D49" s="938"/>
      <c r="E49" s="105">
        <f>E50</f>
        <v>8802</v>
      </c>
      <c r="F49" s="105">
        <f t="shared" si="0"/>
        <v>8802</v>
      </c>
      <c r="G49" s="105">
        <f t="shared" si="1"/>
        <v>8802</v>
      </c>
      <c r="H49" s="105">
        <f t="shared" si="2"/>
        <v>8802</v>
      </c>
      <c r="I49" s="347"/>
      <c r="J49" s="323"/>
      <c r="K49" s="898"/>
      <c r="L49" s="899"/>
      <c r="M49" s="897"/>
      <c r="N49" s="969"/>
      <c r="O49" s="969"/>
      <c r="P49" s="290"/>
      <c r="Q49" s="290"/>
      <c r="R49" s="290"/>
      <c r="S49" s="290"/>
      <c r="T49" s="290"/>
      <c r="U49" s="290"/>
      <c r="V49" s="290"/>
      <c r="W49" s="290"/>
    </row>
    <row r="50" spans="1:23" s="322" customFormat="1" x14ac:dyDescent="0.2">
      <c r="A50" s="942"/>
      <c r="B50" s="940" t="s">
        <v>194</v>
      </c>
      <c r="C50" s="940"/>
      <c r="D50" s="941"/>
      <c r="E50" s="106">
        <f>ROUND('Pārējās ministrijas MK361'!U39,0)</f>
        <v>8802</v>
      </c>
      <c r="F50" s="106">
        <f t="shared" si="0"/>
        <v>8802</v>
      </c>
      <c r="G50" s="106">
        <f t="shared" si="1"/>
        <v>8802</v>
      </c>
      <c r="H50" s="106">
        <f t="shared" si="2"/>
        <v>8802</v>
      </c>
      <c r="I50" s="921"/>
      <c r="J50" s="311"/>
      <c r="K50" s="895"/>
      <c r="L50" s="900"/>
      <c r="M50" s="900"/>
      <c r="N50" s="969"/>
      <c r="O50" s="969"/>
      <c r="P50" s="312"/>
      <c r="Q50" s="313"/>
      <c r="R50" s="313"/>
      <c r="S50" s="313"/>
      <c r="T50" s="313"/>
      <c r="U50" s="313"/>
      <c r="V50" s="313"/>
      <c r="W50" s="313"/>
    </row>
    <row r="51" spans="1:23" s="322" customFormat="1" x14ac:dyDescent="0.2">
      <c r="A51" s="942"/>
      <c r="B51" s="938" t="s">
        <v>141</v>
      </c>
      <c r="C51" s="939"/>
      <c r="D51" s="938"/>
      <c r="E51" s="105">
        <f>E52</f>
        <v>5929</v>
      </c>
      <c r="F51" s="105">
        <f t="shared" si="0"/>
        <v>5929</v>
      </c>
      <c r="G51" s="105">
        <f t="shared" si="1"/>
        <v>5929</v>
      </c>
      <c r="H51" s="105">
        <f t="shared" si="2"/>
        <v>5929</v>
      </c>
      <c r="I51" s="921"/>
      <c r="J51" s="323"/>
      <c r="K51" s="898"/>
      <c r="L51" s="899"/>
      <c r="M51" s="899"/>
      <c r="N51" s="969"/>
      <c r="O51" s="969"/>
      <c r="P51" s="290"/>
      <c r="Q51" s="290"/>
      <c r="R51" s="290"/>
      <c r="S51" s="290"/>
      <c r="T51" s="290"/>
      <c r="U51" s="290"/>
      <c r="V51" s="290"/>
      <c r="W51" s="290"/>
    </row>
    <row r="52" spans="1:23" s="322" customFormat="1" x14ac:dyDescent="0.2">
      <c r="A52" s="942"/>
      <c r="B52" s="940" t="s">
        <v>194</v>
      </c>
      <c r="C52" s="940"/>
      <c r="D52" s="941"/>
      <c r="E52" s="106">
        <f>ROUND('Pārējās ministrijas MK851'!I255,0)</f>
        <v>5929</v>
      </c>
      <c r="F52" s="106">
        <f t="shared" si="0"/>
        <v>5929</v>
      </c>
      <c r="G52" s="106">
        <f t="shared" si="1"/>
        <v>5929</v>
      </c>
      <c r="H52" s="106">
        <f t="shared" si="2"/>
        <v>5929</v>
      </c>
      <c r="I52" s="921"/>
      <c r="J52" s="323"/>
      <c r="K52" s="898"/>
      <c r="L52" s="899"/>
      <c r="M52" s="899"/>
      <c r="N52" s="969"/>
      <c r="O52" s="969"/>
      <c r="P52" s="290"/>
      <c r="Q52" s="290"/>
      <c r="R52" s="290"/>
      <c r="S52" s="290"/>
      <c r="T52" s="290"/>
      <c r="U52" s="290"/>
      <c r="V52" s="290"/>
      <c r="W52" s="290"/>
    </row>
    <row r="53" spans="1:23" s="322" customFormat="1" x14ac:dyDescent="0.2">
      <c r="A53" s="942"/>
      <c r="B53" s="938" t="s">
        <v>992</v>
      </c>
      <c r="C53" s="939"/>
      <c r="D53" s="938"/>
      <c r="E53" s="105">
        <f>ROUND(E54+IEM_kapitsab_851!J52+SUM('Pārējās ministrijas MK361'!U52:U63),0)</f>
        <v>94313</v>
      </c>
      <c r="F53" s="105">
        <f t="shared" si="0"/>
        <v>94313</v>
      </c>
      <c r="G53" s="105">
        <f t="shared" si="1"/>
        <v>94313</v>
      </c>
      <c r="H53" s="105">
        <f t="shared" si="2"/>
        <v>94313</v>
      </c>
      <c r="I53" s="921"/>
      <c r="J53" s="311"/>
      <c r="K53" s="895"/>
      <c r="L53" s="900"/>
      <c r="M53" s="900"/>
      <c r="N53" s="969"/>
      <c r="O53" s="969"/>
      <c r="P53" s="312"/>
      <c r="Q53" s="313"/>
      <c r="R53" s="313"/>
      <c r="S53" s="313"/>
      <c r="T53" s="313"/>
      <c r="U53" s="313"/>
      <c r="V53" s="313"/>
      <c r="W53" s="313"/>
    </row>
    <row r="54" spans="1:23" x14ac:dyDescent="0.2">
      <c r="A54" s="942"/>
      <c r="B54" s="940" t="s">
        <v>194</v>
      </c>
      <c r="C54" s="940"/>
      <c r="D54" s="941"/>
      <c r="E54" s="106">
        <f>ROUND(SUM('Pārējās ministrijas MK361'!U47:U50,'Pārējās ministrijas MK361'!U64:U70),0)</f>
        <v>28382</v>
      </c>
      <c r="F54" s="106">
        <f>E54</f>
        <v>28382</v>
      </c>
      <c r="G54" s="106">
        <f>E54</f>
        <v>28382</v>
      </c>
      <c r="H54" s="106">
        <f>E54</f>
        <v>28382</v>
      </c>
      <c r="I54" s="547"/>
      <c r="J54" s="323"/>
      <c r="K54" s="898"/>
      <c r="L54" s="903"/>
      <c r="M54" s="903"/>
      <c r="N54" s="969"/>
      <c r="O54" s="969"/>
    </row>
    <row r="55" spans="1:23" x14ac:dyDescent="0.2">
      <c r="A55" s="942"/>
      <c r="B55" s="936" t="s">
        <v>366</v>
      </c>
      <c r="C55" s="936"/>
      <c r="D55" s="937"/>
      <c r="E55" s="107">
        <f>E56</f>
        <v>960</v>
      </c>
      <c r="F55" s="107">
        <f t="shared" ref="F55:F57" si="9">E55</f>
        <v>960</v>
      </c>
      <c r="G55" s="107">
        <f t="shared" ref="G55:G57" si="10">E55</f>
        <v>960</v>
      </c>
      <c r="H55" s="107">
        <f t="shared" ref="H55:H57" si="11">E55</f>
        <v>960</v>
      </c>
      <c r="I55" s="547"/>
      <c r="J55" s="311"/>
      <c r="K55" s="321"/>
      <c r="L55" s="321"/>
      <c r="M55" s="321"/>
      <c r="N55" s="322"/>
      <c r="O55" s="322"/>
      <c r="P55" s="312"/>
      <c r="Q55" s="313"/>
      <c r="R55" s="313"/>
      <c r="S55" s="313"/>
      <c r="T55" s="313"/>
      <c r="U55" s="313"/>
      <c r="V55" s="313"/>
      <c r="W55" s="313"/>
    </row>
    <row r="56" spans="1:23" x14ac:dyDescent="0.2">
      <c r="A56" s="942"/>
      <c r="B56" s="938" t="s">
        <v>365</v>
      </c>
      <c r="C56" s="939"/>
      <c r="D56" s="938"/>
      <c r="E56" s="105">
        <f>E57</f>
        <v>960</v>
      </c>
      <c r="F56" s="105">
        <f t="shared" si="9"/>
        <v>960</v>
      </c>
      <c r="G56" s="105">
        <f t="shared" si="10"/>
        <v>960</v>
      </c>
      <c r="H56" s="105">
        <f t="shared" si="11"/>
        <v>960</v>
      </c>
      <c r="I56" s="547"/>
      <c r="J56" s="314"/>
      <c r="K56" s="307"/>
      <c r="L56" s="307"/>
      <c r="M56" s="307"/>
      <c r="P56" s="322"/>
      <c r="Q56" s="322"/>
      <c r="R56" s="322"/>
      <c r="S56" s="322"/>
      <c r="T56" s="322"/>
      <c r="U56" s="322"/>
      <c r="V56" s="322"/>
      <c r="W56" s="322"/>
    </row>
    <row r="57" spans="1:23" x14ac:dyDescent="0.2">
      <c r="A57" s="942"/>
      <c r="B57" s="940" t="s">
        <v>194</v>
      </c>
      <c r="C57" s="940"/>
      <c r="D57" s="941"/>
      <c r="E57" s="106">
        <f>ROUND('Pārējās ministrijas MK361'!U114,0)</f>
        <v>960</v>
      </c>
      <c r="F57" s="106">
        <f t="shared" si="9"/>
        <v>960</v>
      </c>
      <c r="G57" s="106">
        <f t="shared" si="10"/>
        <v>960</v>
      </c>
      <c r="H57" s="106">
        <f t="shared" si="11"/>
        <v>960</v>
      </c>
      <c r="I57" s="547"/>
      <c r="J57" s="323"/>
      <c r="K57" s="315"/>
      <c r="L57" s="315"/>
      <c r="M57" s="315"/>
      <c r="N57" s="312"/>
      <c r="O57" s="312"/>
    </row>
    <row r="58" spans="1:23" s="313" customFormat="1" x14ac:dyDescent="0.2">
      <c r="A58" s="942"/>
      <c r="B58" s="290"/>
      <c r="C58" s="290"/>
      <c r="D58" s="290"/>
      <c r="E58" s="290"/>
      <c r="F58" s="290"/>
      <c r="G58" s="290"/>
      <c r="H58" s="290"/>
      <c r="I58" s="334"/>
      <c r="J58" s="311"/>
      <c r="K58" s="307"/>
      <c r="L58" s="307"/>
      <c r="M58" s="307"/>
      <c r="N58" s="290"/>
      <c r="O58" s="290"/>
      <c r="P58" s="312"/>
    </row>
    <row r="59" spans="1:23" x14ac:dyDescent="0.2">
      <c r="A59" s="942"/>
      <c r="D59" s="293"/>
      <c r="G59" s="293"/>
      <c r="I59" s="302"/>
      <c r="J59" s="323"/>
      <c r="K59" s="315"/>
      <c r="L59" s="315"/>
      <c r="M59" s="315"/>
      <c r="N59" s="312"/>
      <c r="O59" s="325"/>
    </row>
    <row r="60" spans="1:23" x14ac:dyDescent="0.2">
      <c r="A60" s="942"/>
      <c r="E60" s="293"/>
      <c r="F60" s="293"/>
      <c r="I60" s="302"/>
      <c r="J60" s="311"/>
      <c r="K60" s="307"/>
      <c r="L60" s="307"/>
      <c r="M60" s="307"/>
      <c r="P60" s="312"/>
      <c r="Q60" s="313"/>
      <c r="R60" s="313"/>
      <c r="S60" s="313"/>
      <c r="T60" s="313"/>
      <c r="U60" s="313"/>
      <c r="V60" s="313"/>
      <c r="W60" s="313"/>
    </row>
    <row r="61" spans="1:23" s="313" customFormat="1" x14ac:dyDescent="0.2">
      <c r="A61" s="942"/>
      <c r="B61" s="290"/>
      <c r="C61" s="290"/>
      <c r="D61" s="290"/>
      <c r="E61" s="290"/>
      <c r="F61" s="290"/>
      <c r="G61" s="290"/>
      <c r="H61" s="290"/>
      <c r="I61" s="334"/>
      <c r="J61" s="323"/>
      <c r="K61" s="315"/>
      <c r="L61" s="315"/>
      <c r="M61" s="315"/>
      <c r="N61" s="312"/>
      <c r="O61" s="312"/>
      <c r="P61" s="290"/>
      <c r="Q61" s="290"/>
      <c r="R61" s="290"/>
      <c r="S61" s="290"/>
      <c r="T61" s="290"/>
      <c r="U61" s="290"/>
      <c r="V61" s="290"/>
      <c r="W61" s="290"/>
    </row>
    <row r="62" spans="1:23" x14ac:dyDescent="0.2">
      <c r="A62" s="942"/>
      <c r="I62" s="302"/>
      <c r="J62" s="311"/>
      <c r="K62" s="307"/>
      <c r="L62" s="307"/>
      <c r="M62" s="307"/>
      <c r="P62" s="312"/>
      <c r="Q62" s="313"/>
      <c r="R62" s="313"/>
      <c r="S62" s="313"/>
      <c r="T62" s="313"/>
      <c r="U62" s="313"/>
      <c r="V62" s="313"/>
      <c r="W62" s="313"/>
    </row>
    <row r="63" spans="1:23" s="313" customFormat="1" x14ac:dyDescent="0.2">
      <c r="A63" s="942"/>
      <c r="B63" s="290"/>
      <c r="C63" s="290"/>
      <c r="D63" s="290"/>
      <c r="E63" s="290"/>
      <c r="F63" s="290"/>
      <c r="G63" s="290"/>
      <c r="H63" s="290"/>
      <c r="I63" s="334"/>
      <c r="J63" s="323"/>
      <c r="K63" s="315"/>
      <c r="L63" s="315"/>
      <c r="M63" s="315"/>
      <c r="N63" s="312"/>
      <c r="O63" s="312"/>
      <c r="P63" s="290"/>
      <c r="Q63" s="290"/>
      <c r="R63" s="290"/>
      <c r="S63" s="290"/>
      <c r="T63" s="290"/>
      <c r="U63" s="290"/>
      <c r="V63" s="290"/>
      <c r="W63" s="290"/>
    </row>
    <row r="64" spans="1:23" s="322" customFormat="1" x14ac:dyDescent="0.2">
      <c r="A64" s="942"/>
      <c r="B64" s="290"/>
      <c r="C64" s="290"/>
      <c r="D64" s="290"/>
      <c r="E64" s="290"/>
      <c r="F64" s="290"/>
      <c r="G64" s="290"/>
      <c r="H64" s="290"/>
      <c r="I64" s="324"/>
      <c r="J64" s="311"/>
      <c r="K64" s="307"/>
      <c r="L64" s="307"/>
      <c r="M64" s="307"/>
      <c r="N64" s="290"/>
      <c r="O64" s="290"/>
      <c r="P64" s="312"/>
      <c r="Q64" s="313"/>
      <c r="R64" s="313"/>
      <c r="S64" s="313"/>
      <c r="T64" s="313"/>
      <c r="U64" s="313"/>
      <c r="V64" s="313"/>
      <c r="W64" s="313"/>
    </row>
    <row r="65" spans="1:23" x14ac:dyDescent="0.2">
      <c r="A65" s="942"/>
      <c r="F65" s="293"/>
      <c r="I65" s="302"/>
      <c r="J65" s="323"/>
      <c r="K65" s="321"/>
      <c r="L65" s="321"/>
      <c r="M65" s="321"/>
      <c r="N65" s="322"/>
      <c r="O65" s="322"/>
    </row>
    <row r="66" spans="1:23" s="313" customFormat="1" x14ac:dyDescent="0.2">
      <c r="A66" s="942"/>
      <c r="B66" s="290"/>
      <c r="C66" s="290"/>
      <c r="D66" s="290"/>
      <c r="E66" s="290"/>
      <c r="F66" s="290"/>
      <c r="G66" s="290"/>
      <c r="H66" s="290"/>
      <c r="I66" s="334"/>
      <c r="J66" s="314"/>
      <c r="K66" s="307"/>
      <c r="L66" s="307"/>
      <c r="M66" s="307"/>
      <c r="N66" s="290"/>
      <c r="O66" s="290"/>
      <c r="P66" s="322"/>
      <c r="Q66" s="322"/>
      <c r="R66" s="322"/>
      <c r="S66" s="322"/>
      <c r="T66" s="322"/>
      <c r="U66" s="322"/>
      <c r="V66" s="322"/>
      <c r="W66" s="322"/>
    </row>
    <row r="67" spans="1:23" x14ac:dyDescent="0.2">
      <c r="A67" s="942"/>
      <c r="F67" s="293"/>
      <c r="I67" s="302"/>
      <c r="J67" s="323"/>
      <c r="K67" s="315"/>
      <c r="L67" s="315"/>
      <c r="M67" s="315"/>
      <c r="N67" s="312"/>
      <c r="O67" s="312"/>
    </row>
    <row r="68" spans="1:23" s="313" customFormat="1" x14ac:dyDescent="0.2">
      <c r="A68" s="942"/>
      <c r="B68" s="290"/>
      <c r="C68" s="290"/>
      <c r="D68" s="290"/>
      <c r="E68" s="290"/>
      <c r="F68" s="290"/>
      <c r="G68" s="290"/>
      <c r="H68" s="290"/>
      <c r="I68" s="334"/>
      <c r="J68" s="311"/>
      <c r="K68" s="290"/>
      <c r="L68" s="290"/>
      <c r="M68" s="290"/>
      <c r="N68" s="290"/>
      <c r="O68" s="290"/>
      <c r="P68" s="312"/>
    </row>
    <row r="69" spans="1:23" x14ac:dyDescent="0.2">
      <c r="A69" s="942"/>
      <c r="I69" s="302"/>
    </row>
    <row r="70" spans="1:23" s="313" customFormat="1" x14ac:dyDescent="0.2">
      <c r="A70" s="942"/>
      <c r="B70" s="290"/>
      <c r="C70" s="290"/>
      <c r="D70" s="290"/>
      <c r="E70" s="290"/>
      <c r="F70" s="290"/>
      <c r="G70" s="290"/>
      <c r="H70" s="290"/>
      <c r="I70" s="334"/>
      <c r="J70" s="290"/>
      <c r="K70" s="290"/>
      <c r="L70" s="290"/>
      <c r="M70" s="290"/>
      <c r="N70" s="290"/>
      <c r="O70" s="290"/>
      <c r="P70" s="290"/>
      <c r="Q70" s="290"/>
      <c r="R70" s="290"/>
      <c r="S70" s="290"/>
      <c r="T70" s="290"/>
      <c r="U70" s="290"/>
      <c r="V70" s="290"/>
      <c r="W70" s="290"/>
    </row>
    <row r="71" spans="1:23" x14ac:dyDescent="0.2">
      <c r="A71" s="942"/>
      <c r="I71" s="547"/>
    </row>
    <row r="72" spans="1:23" s="313" customFormat="1" x14ac:dyDescent="0.2">
      <c r="A72" s="942"/>
      <c r="B72" s="290"/>
      <c r="C72" s="290"/>
      <c r="D72" s="290"/>
      <c r="E72" s="290"/>
      <c r="F72" s="290"/>
      <c r="G72" s="290"/>
      <c r="H72" s="290"/>
      <c r="I72" s="334"/>
      <c r="J72" s="290"/>
      <c r="K72" s="290"/>
      <c r="L72" s="290"/>
      <c r="M72" s="290"/>
      <c r="N72" s="290"/>
      <c r="O72" s="290"/>
      <c r="P72" s="290"/>
      <c r="Q72" s="290"/>
      <c r="R72" s="290"/>
      <c r="S72" s="290"/>
      <c r="T72" s="290"/>
      <c r="U72" s="290"/>
      <c r="V72" s="290"/>
      <c r="W72" s="290"/>
    </row>
    <row r="73" spans="1:23" x14ac:dyDescent="0.2">
      <c r="A73" s="942"/>
      <c r="I73" s="302"/>
    </row>
    <row r="74" spans="1:23" s="322" customFormat="1" x14ac:dyDescent="0.2">
      <c r="A74" s="399"/>
      <c r="B74" s="290"/>
      <c r="C74" s="290"/>
      <c r="D74" s="290"/>
      <c r="E74" s="290"/>
      <c r="F74" s="290"/>
      <c r="G74" s="290"/>
      <c r="H74" s="290"/>
      <c r="I74" s="324"/>
      <c r="J74" s="290"/>
      <c r="K74" s="290"/>
      <c r="L74" s="290"/>
      <c r="M74" s="290"/>
      <c r="N74" s="290"/>
      <c r="O74" s="290"/>
      <c r="P74" s="290"/>
      <c r="Q74" s="290"/>
      <c r="R74" s="290"/>
      <c r="S74" s="290"/>
      <c r="T74" s="290"/>
      <c r="U74" s="290"/>
      <c r="V74" s="290"/>
      <c r="W74" s="290"/>
    </row>
    <row r="75" spans="1:23" x14ac:dyDescent="0.2">
      <c r="A75" s="399"/>
      <c r="I75" s="302"/>
    </row>
    <row r="76" spans="1:23" s="313" customFormat="1" x14ac:dyDescent="0.2">
      <c r="A76" s="399"/>
      <c r="B76" s="290"/>
      <c r="C76" s="290"/>
      <c r="D76" s="290"/>
      <c r="E76" s="290"/>
      <c r="F76" s="290"/>
      <c r="G76" s="290"/>
      <c r="H76" s="290"/>
      <c r="I76" s="334"/>
      <c r="J76" s="290"/>
      <c r="K76" s="290"/>
      <c r="L76" s="290"/>
      <c r="M76" s="290"/>
      <c r="N76" s="290"/>
      <c r="O76" s="290"/>
      <c r="P76" s="290"/>
      <c r="Q76" s="290"/>
      <c r="R76" s="290"/>
      <c r="S76" s="290"/>
      <c r="T76" s="290"/>
      <c r="U76" s="290"/>
      <c r="V76" s="290"/>
      <c r="W76" s="290"/>
    </row>
    <row r="78" spans="1:23" x14ac:dyDescent="0.2">
      <c r="I78" s="293"/>
    </row>
    <row r="79" spans="1:23" x14ac:dyDescent="0.2">
      <c r="I79" s="304"/>
    </row>
    <row r="80" spans="1:23" x14ac:dyDescent="0.2">
      <c r="I80" s="304"/>
    </row>
    <row r="81" spans="9:9" x14ac:dyDescent="0.2">
      <c r="I81" s="304"/>
    </row>
    <row r="82" spans="9:9" x14ac:dyDescent="0.2">
      <c r="I82" s="304"/>
    </row>
  </sheetData>
  <mergeCells count="88">
    <mergeCell ref="B40:D40"/>
    <mergeCell ref="B44:D44"/>
    <mergeCell ref="N48:O48"/>
    <mergeCell ref="N53:O53"/>
    <mergeCell ref="B46:D46"/>
    <mergeCell ref="B47:D47"/>
    <mergeCell ref="B48:D48"/>
    <mergeCell ref="B49:D49"/>
    <mergeCell ref="B50:D50"/>
    <mergeCell ref="B45:D45"/>
    <mergeCell ref="N54:O54"/>
    <mergeCell ref="B53:D53"/>
    <mergeCell ref="B54:D54"/>
    <mergeCell ref="B51:D51"/>
    <mergeCell ref="B52:D52"/>
    <mergeCell ref="J29:P29"/>
    <mergeCell ref="B25:D25"/>
    <mergeCell ref="N45:O45"/>
    <mergeCell ref="N43:O43"/>
    <mergeCell ref="N42:O42"/>
    <mergeCell ref="B27:D27"/>
    <mergeCell ref="B26:D26"/>
    <mergeCell ref="J33:P33"/>
    <mergeCell ref="J30:P30"/>
    <mergeCell ref="J32:P32"/>
    <mergeCell ref="N37:O37"/>
    <mergeCell ref="B33:D33"/>
    <mergeCell ref="B30:D30"/>
    <mergeCell ref="B31:D31"/>
    <mergeCell ref="B39:D39"/>
    <mergeCell ref="B34:D34"/>
    <mergeCell ref="B35:D35"/>
    <mergeCell ref="B36:D36"/>
    <mergeCell ref="N52:O52"/>
    <mergeCell ref="N41:O41"/>
    <mergeCell ref="N39:O39"/>
    <mergeCell ref="K36:O36"/>
    <mergeCell ref="N49:O49"/>
    <mergeCell ref="N50:O50"/>
    <mergeCell ref="B37:D37"/>
    <mergeCell ref="B41:D41"/>
    <mergeCell ref="B42:D42"/>
    <mergeCell ref="B43:D43"/>
    <mergeCell ref="N51:O51"/>
    <mergeCell ref="N47:O47"/>
    <mergeCell ref="N46:O46"/>
    <mergeCell ref="B38:D38"/>
    <mergeCell ref="S8:W13"/>
    <mergeCell ref="J12:N13"/>
    <mergeCell ref="P12:R13"/>
    <mergeCell ref="J27:P27"/>
    <mergeCell ref="P15:R16"/>
    <mergeCell ref="J8:N10"/>
    <mergeCell ref="P8:R10"/>
    <mergeCell ref="K23:N23"/>
    <mergeCell ref="J15:N16"/>
    <mergeCell ref="K20:N20"/>
    <mergeCell ref="K22:N22"/>
    <mergeCell ref="B1:H1"/>
    <mergeCell ref="B3:C3"/>
    <mergeCell ref="D3:G3"/>
    <mergeCell ref="B28:D28"/>
    <mergeCell ref="B29:D29"/>
    <mergeCell ref="B4:H4"/>
    <mergeCell ref="B23:D23"/>
    <mergeCell ref="B24:D24"/>
    <mergeCell ref="B9:D9"/>
    <mergeCell ref="B10:D10"/>
    <mergeCell ref="B11:D11"/>
    <mergeCell ref="B16:D16"/>
    <mergeCell ref="B17:D17"/>
    <mergeCell ref="B15:D15"/>
    <mergeCell ref="B55:D55"/>
    <mergeCell ref="B56:D56"/>
    <mergeCell ref="B57:D57"/>
    <mergeCell ref="A6:A73"/>
    <mergeCell ref="B6:D6"/>
    <mergeCell ref="B7:D7"/>
    <mergeCell ref="B8:D8"/>
    <mergeCell ref="B12:D12"/>
    <mergeCell ref="B22:D22"/>
    <mergeCell ref="B13:D13"/>
    <mergeCell ref="B14:D14"/>
    <mergeCell ref="B18:D18"/>
    <mergeCell ref="B19:D19"/>
    <mergeCell ref="B20:D20"/>
    <mergeCell ref="B21:D21"/>
    <mergeCell ref="B32:D32"/>
  </mergeCells>
  <phoneticPr fontId="80" type="noConversion"/>
  <dataValidations count="3">
    <dataValidation type="whole" errorStyle="information" allowBlank="1" showInputMessage="1" showErrorMessage="1" error="Jāievada skaitlis" sqref="E8:H8" xr:uid="{54316FD0-20E5-4189-897B-1E7854C65D37}">
      <formula1>-1000000000000</formula1>
      <formula2>1000000000000</formula2>
    </dataValidation>
    <dataValidation type="whole" errorStyle="information" allowBlank="1" showInputMessage="1" showErrorMessage="1" error="Jāievada skaitlis" sqref="J8 Q24:S24 L24:M25 K26:L26 J27 K31:M31 J30 J33 L34:M35 K47:M67 J12 K14:M14 L21:M21 J15 K34:K45 L37:M45 L17:M19 K17:K25 K28:M28 E9:H57" xr:uid="{94CBB079-0E11-4735-93FD-8B968249178E}">
      <formula1>-100000000000000</formula1>
      <formula2>100000000000000</formula2>
    </dataValidation>
    <dataValidation errorStyle="information" allowBlank="1" showInputMessage="1" showErrorMessage="1" sqref="B4" xr:uid="{BB2C0110-A120-42ED-9266-39010BEFEDDC}"/>
  </dataValidations>
  <pageMargins left="0.70866141732283472" right="0.70866141732283472" top="0.74803149606299213" bottom="0.74803149606299213" header="0.31496062992125984" footer="0.31496062992125984"/>
  <pageSetup paperSize="9" scale="65" orientation="portrait" r:id="rId1"/>
  <colBreaks count="1" manualBreakCount="1">
    <brk id="18" max="1048575" man="1"/>
  </colBreaks>
  <extLst>
    <ext xmlns:x14="http://schemas.microsoft.com/office/spreadsheetml/2009/9/main" uri="{CCE6A557-97BC-4b89-ADB6-D9C93CAAB3DF}">
      <x14:dataValidations xmlns:xm="http://schemas.microsoft.com/office/excel/2006/main" count="1">
        <x14:dataValidation type="list" errorStyle="information" allowBlank="1" showInputMessage="1" showErrorMessage="1" error="iespējama kļūda" prompt="Izvēlieties no saraksta iestādi" xr:uid="{43CE8B08-63A3-429A-9006-DB78BFCF9E1A}">
          <x14:formula1>
            <xm:f>'\\vnozare.pri\vm\Redirect_profiles\VM_Sandra_Kasparenko\My Documents\Budzets_2019\Budzeta_projekts\Prioritarie_pasakumi_2019-2021\[VMvestp1_xx0818_PP_2019-2021 PROJ.xlsx]Šabloni'!#REF!</xm:f>
          </x14:formula1>
          <xm:sqref>D3:G3 K3:L3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80D4C-8B71-42EB-8AAE-3E53A94A8B83}">
  <sheetPr>
    <tabColor rgb="FFFFFF00"/>
  </sheetPr>
  <dimension ref="A1:AZ129"/>
  <sheetViews>
    <sheetView topLeftCell="A25" zoomScale="85" zoomScaleNormal="85" workbookViewId="0">
      <selection activeCell="A45" sqref="A45:M45"/>
    </sheetView>
  </sheetViews>
  <sheetFormatPr defaultRowHeight="15" x14ac:dyDescent="0.25"/>
  <cols>
    <col min="1" max="1" width="21.7109375" customWidth="1"/>
    <col min="2" max="2" width="13.140625" customWidth="1"/>
    <col min="3" max="3" width="16" customWidth="1"/>
    <col min="7" max="8" width="13" customWidth="1"/>
    <col min="9" max="9" width="12" customWidth="1"/>
    <col min="14" max="14" width="12.140625" customWidth="1"/>
    <col min="21" max="21" width="12.85546875" bestFit="1" customWidth="1"/>
    <col min="23" max="23" width="11.42578125" bestFit="1" customWidth="1"/>
    <col min="24" max="24" width="20" customWidth="1"/>
    <col min="25" max="25" width="18.7109375" customWidth="1"/>
    <col min="26" max="26" width="15.28515625" customWidth="1"/>
    <col min="27" max="27" width="52" customWidth="1"/>
    <col min="28" max="28" width="30" customWidth="1"/>
    <col min="31" max="31" width="11.28515625" customWidth="1"/>
    <col min="33" max="33" width="10.140625" customWidth="1"/>
    <col min="34" max="35" width="11.42578125" bestFit="1" customWidth="1"/>
    <col min="46" max="46" width="10" bestFit="1" customWidth="1"/>
    <col min="47" max="48" width="11.42578125" bestFit="1" customWidth="1"/>
  </cols>
  <sheetData>
    <row r="1" spans="1:52" x14ac:dyDescent="0.25">
      <c r="A1" s="12"/>
      <c r="B1" s="12"/>
      <c r="C1" s="12"/>
      <c r="D1" s="12"/>
      <c r="E1" s="12"/>
      <c r="F1" s="12"/>
      <c r="G1" s="12"/>
      <c r="H1" s="12"/>
      <c r="I1" s="12"/>
      <c r="J1" s="12"/>
      <c r="T1" s="926"/>
      <c r="U1" s="926" t="s">
        <v>977</v>
      </c>
    </row>
    <row r="2" spans="1:52" ht="15.75" x14ac:dyDescent="0.25">
      <c r="A2" s="12"/>
      <c r="B2" s="12"/>
      <c r="C2" s="12"/>
      <c r="D2" s="12"/>
      <c r="E2" s="12"/>
      <c r="F2" s="12"/>
      <c r="G2" s="12"/>
      <c r="H2" s="12"/>
      <c r="I2" s="12"/>
      <c r="J2" s="12"/>
      <c r="K2" s="33"/>
      <c r="L2" s="33"/>
      <c r="M2" s="33"/>
    </row>
    <row r="3" spans="1:52" x14ac:dyDescent="0.25">
      <c r="A3" s="1005" t="s">
        <v>451</v>
      </c>
      <c r="B3" s="1005"/>
      <c r="C3" s="1005"/>
      <c r="D3" s="1005"/>
      <c r="E3" s="1005"/>
      <c r="F3" s="1005"/>
      <c r="G3" s="1005"/>
      <c r="H3" s="1005"/>
      <c r="I3" s="1005"/>
      <c r="J3" s="1005"/>
      <c r="K3" s="1005"/>
      <c r="L3" s="1005"/>
      <c r="M3" s="1005"/>
      <c r="N3" s="1005"/>
      <c r="O3" s="1005"/>
      <c r="P3" s="1005"/>
      <c r="Q3" s="1005"/>
      <c r="R3" s="1005"/>
      <c r="S3" s="1005"/>
      <c r="T3" s="1005"/>
      <c r="U3" s="1005"/>
    </row>
    <row r="4" spans="1:52" x14ac:dyDescent="0.25">
      <c r="A4" s="1005"/>
      <c r="B4" s="1005"/>
      <c r="C4" s="1005"/>
      <c r="D4" s="1005"/>
      <c r="E4" s="1005"/>
      <c r="F4" s="1005"/>
      <c r="G4" s="1005"/>
      <c r="H4" s="1005"/>
      <c r="I4" s="1005"/>
      <c r="J4" s="1005"/>
      <c r="K4" s="1005"/>
      <c r="L4" s="1005"/>
      <c r="M4" s="1005"/>
      <c r="N4" s="1005"/>
      <c r="O4" s="1005"/>
      <c r="P4" s="1005"/>
      <c r="Q4" s="1005"/>
      <c r="R4" s="1005"/>
      <c r="S4" s="1005"/>
      <c r="T4" s="1005"/>
      <c r="U4" s="1005"/>
    </row>
    <row r="5" spans="1:52" x14ac:dyDescent="0.25">
      <c r="A5" s="34"/>
      <c r="B5" s="34"/>
      <c r="C5" s="34"/>
      <c r="D5" s="34"/>
      <c r="E5" s="34"/>
      <c r="F5" s="34"/>
      <c r="G5" s="34"/>
      <c r="H5" s="34"/>
      <c r="I5" s="34"/>
      <c r="J5" s="34"/>
      <c r="K5" s="34"/>
      <c r="L5" s="34"/>
      <c r="M5" s="34"/>
    </row>
    <row r="6" spans="1:52" ht="15.75" thickBot="1" x14ac:dyDescent="0.3">
      <c r="A6" s="1005" t="s">
        <v>0</v>
      </c>
      <c r="B6" s="1005"/>
      <c r="C6" s="1005"/>
      <c r="D6" s="1005"/>
      <c r="E6" s="1005"/>
      <c r="F6" s="1005"/>
      <c r="G6" s="1005"/>
      <c r="H6" s="1005"/>
      <c r="I6" s="1005"/>
      <c r="J6" s="1005"/>
      <c r="K6" s="1005"/>
      <c r="L6" s="1005"/>
      <c r="M6" s="1005"/>
      <c r="U6" s="201" t="s">
        <v>225</v>
      </c>
    </row>
    <row r="7" spans="1:52" ht="153.75" thickBot="1" x14ac:dyDescent="0.3">
      <c r="A7" s="35" t="s">
        <v>1</v>
      </c>
      <c r="B7" s="494" t="s">
        <v>461</v>
      </c>
      <c r="C7" s="494" t="s">
        <v>462</v>
      </c>
      <c r="D7" s="36" t="s">
        <v>2</v>
      </c>
      <c r="E7" s="36" t="s">
        <v>3</v>
      </c>
      <c r="F7" s="36" t="s">
        <v>4</v>
      </c>
      <c r="G7" s="400" t="s">
        <v>367</v>
      </c>
      <c r="H7" s="400" t="s">
        <v>368</v>
      </c>
      <c r="I7" s="400" t="s">
        <v>369</v>
      </c>
      <c r="J7" s="36" t="s">
        <v>5</v>
      </c>
      <c r="K7" s="353" t="s">
        <v>261</v>
      </c>
      <c r="L7" s="353" t="s">
        <v>263</v>
      </c>
      <c r="M7" s="127" t="s">
        <v>6</v>
      </c>
      <c r="N7" s="271" t="s">
        <v>849</v>
      </c>
      <c r="O7" s="148" t="s">
        <v>219</v>
      </c>
      <c r="P7" s="272" t="s">
        <v>220</v>
      </c>
      <c r="Q7" s="148" t="s">
        <v>221</v>
      </c>
      <c r="R7" s="148" t="s">
        <v>222</v>
      </c>
      <c r="S7" s="149" t="s">
        <v>223</v>
      </c>
      <c r="T7" s="149" t="s">
        <v>258</v>
      </c>
      <c r="U7" s="150" t="s">
        <v>224</v>
      </c>
      <c r="V7" s="14"/>
      <c r="W7" s="48"/>
      <c r="X7" s="555" t="s">
        <v>678</v>
      </c>
      <c r="Y7" s="555" t="s">
        <v>462</v>
      </c>
      <c r="Z7" s="555" t="s">
        <v>679</v>
      </c>
      <c r="AA7" s="556" t="s">
        <v>680</v>
      </c>
      <c r="AB7" s="14"/>
      <c r="AC7" s="134"/>
      <c r="AD7" s="14"/>
      <c r="AE7" s="14"/>
      <c r="AF7" s="14"/>
      <c r="AG7" s="14"/>
      <c r="AH7" s="138"/>
      <c r="AI7" s="138"/>
      <c r="AJ7" s="14"/>
      <c r="AK7" s="14"/>
      <c r="AL7" s="14"/>
      <c r="AM7" s="14"/>
      <c r="AN7" s="14"/>
      <c r="AO7" s="14"/>
      <c r="AP7" s="134"/>
      <c r="AQ7" s="14"/>
      <c r="AR7" s="14"/>
      <c r="AS7" s="14"/>
      <c r="AT7" s="14"/>
      <c r="AU7" s="138"/>
      <c r="AV7" s="138"/>
      <c r="AW7" s="14"/>
      <c r="AX7" s="14"/>
      <c r="AY7" s="48"/>
      <c r="AZ7" s="48"/>
    </row>
    <row r="8" spans="1:52" x14ac:dyDescent="0.25">
      <c r="A8" s="983" t="s">
        <v>116</v>
      </c>
      <c r="B8" s="984"/>
      <c r="C8" s="984"/>
      <c r="D8" s="985"/>
      <c r="E8" s="985"/>
      <c r="F8" s="985"/>
      <c r="G8" s="985"/>
      <c r="H8" s="985"/>
      <c r="I8" s="985"/>
      <c r="J8" s="985"/>
      <c r="K8" s="985"/>
      <c r="L8" s="986"/>
      <c r="M8" s="986"/>
      <c r="N8" s="167"/>
      <c r="O8" s="168"/>
      <c r="P8" s="168"/>
      <c r="Q8" s="168"/>
      <c r="R8" s="168"/>
      <c r="S8" s="168"/>
      <c r="T8" s="168"/>
      <c r="U8" s="169"/>
      <c r="X8" s="72"/>
      <c r="Y8" s="72"/>
      <c r="Z8" s="72"/>
      <c r="AA8" s="72"/>
    </row>
    <row r="9" spans="1:52" x14ac:dyDescent="0.25">
      <c r="A9" s="987" t="s">
        <v>338</v>
      </c>
      <c r="B9" s="988"/>
      <c r="C9" s="988"/>
      <c r="D9" s="989"/>
      <c r="E9" s="989"/>
      <c r="F9" s="989"/>
      <c r="G9" s="989"/>
      <c r="H9" s="989"/>
      <c r="I9" s="989"/>
      <c r="J9" s="989"/>
      <c r="K9" s="989"/>
      <c r="L9" s="990"/>
      <c r="M9" s="990"/>
      <c r="N9" s="156"/>
      <c r="O9" s="154"/>
      <c r="P9" s="154"/>
      <c r="Q9" s="154"/>
      <c r="R9" s="154"/>
      <c r="S9" s="154"/>
      <c r="T9" s="154"/>
      <c r="U9" s="269">
        <f>ROUND(U11+U12,2)</f>
        <v>2090.84</v>
      </c>
      <c r="X9" s="72"/>
      <c r="Y9" s="72"/>
      <c r="Z9" s="72"/>
      <c r="AA9" s="72"/>
    </row>
    <row r="10" spans="1:52" x14ac:dyDescent="0.25">
      <c r="A10" s="991" t="s">
        <v>8</v>
      </c>
      <c r="B10" s="992"/>
      <c r="C10" s="992"/>
      <c r="D10" s="993"/>
      <c r="E10" s="993"/>
      <c r="F10" s="993"/>
      <c r="G10" s="993"/>
      <c r="H10" s="993"/>
      <c r="I10" s="993"/>
      <c r="J10" s="993"/>
      <c r="K10" s="993"/>
      <c r="L10" s="994"/>
      <c r="M10" s="994"/>
      <c r="N10" s="157"/>
      <c r="O10" s="155"/>
      <c r="P10" s="155"/>
      <c r="Q10" s="155"/>
      <c r="R10" s="155"/>
      <c r="S10" s="155"/>
      <c r="T10" s="155"/>
      <c r="U10" s="158"/>
      <c r="X10" s="72"/>
      <c r="Y10" s="72"/>
      <c r="Z10" s="72"/>
      <c r="AA10" s="72"/>
    </row>
    <row r="11" spans="1:52" x14ac:dyDescent="0.25">
      <c r="A11" s="736" t="s">
        <v>370</v>
      </c>
      <c r="B11" s="737" t="s">
        <v>463</v>
      </c>
      <c r="C11" s="738" t="s">
        <v>662</v>
      </c>
      <c r="D11" s="739">
        <v>13</v>
      </c>
      <c r="E11" s="552" t="s">
        <v>13</v>
      </c>
      <c r="F11" s="552">
        <v>9</v>
      </c>
      <c r="G11" s="552"/>
      <c r="H11" s="552">
        <v>1537</v>
      </c>
      <c r="I11" s="552"/>
      <c r="J11" s="740">
        <v>1330</v>
      </c>
      <c r="K11" s="552">
        <v>0</v>
      </c>
      <c r="L11" s="552">
        <f>K11</f>
        <v>0</v>
      </c>
      <c r="M11" s="741">
        <v>0.5</v>
      </c>
      <c r="N11" s="151">
        <f>ROUND(J11*(1+kopsavilkums!$O$8),2)</f>
        <v>1470.98</v>
      </c>
      <c r="O11" s="61">
        <f>P11-L11</f>
        <v>0</v>
      </c>
      <c r="P11" s="61">
        <f>ROUND(L11*(1+kopsavilkums!$O$8),2)</f>
        <v>0</v>
      </c>
      <c r="Q11" s="61">
        <f>(N11+P11)-(J11+L11)</f>
        <v>140.98000000000002</v>
      </c>
      <c r="R11" s="61">
        <f>Q11*M11</f>
        <v>70.490000000000009</v>
      </c>
      <c r="S11" s="61">
        <f>R11*12</f>
        <v>845.88000000000011</v>
      </c>
      <c r="T11" s="61">
        <f>ROUND(S11*kopsavilkums!$O$23,2)</f>
        <v>199.54</v>
      </c>
      <c r="U11" s="152">
        <f>SUM(S11:T11)</f>
        <v>1045.42</v>
      </c>
      <c r="V11" s="75"/>
      <c r="W11" s="66"/>
      <c r="X11" s="72"/>
      <c r="Y11" s="72"/>
      <c r="Z11" s="557"/>
      <c r="AA11" s="557"/>
      <c r="AB11" s="57"/>
      <c r="AC11" s="57"/>
      <c r="AD11" s="57"/>
      <c r="AE11" s="57"/>
      <c r="AF11" s="57"/>
      <c r="AG11" s="57"/>
      <c r="AH11" s="57"/>
      <c r="AI11" s="57"/>
      <c r="AJ11" s="137"/>
      <c r="AM11" s="57"/>
      <c r="AN11" s="57"/>
      <c r="AO11" s="57"/>
      <c r="AP11" s="57"/>
      <c r="AQ11" s="57"/>
      <c r="AR11" s="57"/>
      <c r="AS11" s="57"/>
      <c r="AT11" s="57"/>
      <c r="AU11" s="57"/>
      <c r="AV11" s="57"/>
      <c r="AW11" s="137"/>
    </row>
    <row r="12" spans="1:52" x14ac:dyDescent="0.25">
      <c r="A12" s="736" t="s">
        <v>370</v>
      </c>
      <c r="B12" s="737" t="s">
        <v>463</v>
      </c>
      <c r="C12" s="738" t="s">
        <v>662</v>
      </c>
      <c r="D12" s="739">
        <v>13</v>
      </c>
      <c r="E12" s="552" t="s">
        <v>13</v>
      </c>
      <c r="F12" s="552">
        <v>9</v>
      </c>
      <c r="G12" s="552"/>
      <c r="H12" s="552">
        <v>1537</v>
      </c>
      <c r="I12" s="552"/>
      <c r="J12" s="740">
        <v>1330</v>
      </c>
      <c r="K12" s="552">
        <v>0</v>
      </c>
      <c r="L12" s="552">
        <f>K12</f>
        <v>0</v>
      </c>
      <c r="M12" s="741">
        <v>0.5</v>
      </c>
      <c r="N12" s="151">
        <f>ROUND(J12*(1+kopsavilkums!$O$8),2)</f>
        <v>1470.98</v>
      </c>
      <c r="O12" s="61">
        <f>P12-L12</f>
        <v>0</v>
      </c>
      <c r="P12" s="61">
        <f>ROUND(L12*(1+kopsavilkums!$O$8),2)</f>
        <v>0</v>
      </c>
      <c r="Q12" s="61">
        <f>(N12+P12)-(J12+L12)</f>
        <v>140.98000000000002</v>
      </c>
      <c r="R12" s="61">
        <f t="shared" ref="R12" si="0">Q12*M12</f>
        <v>70.490000000000009</v>
      </c>
      <c r="S12" s="61">
        <f t="shared" ref="S12" si="1">R12*12</f>
        <v>845.88000000000011</v>
      </c>
      <c r="T12" s="61">
        <f>ROUND(S12*kopsavilkums!$O$23,2)</f>
        <v>199.54</v>
      </c>
      <c r="U12" s="152">
        <f t="shared" ref="U12" si="2">SUM(S12:T12)</f>
        <v>1045.42</v>
      </c>
      <c r="V12" s="75"/>
      <c r="W12" s="66"/>
      <c r="X12" s="72"/>
      <c r="Y12" s="72"/>
      <c r="Z12" s="557"/>
      <c r="AA12" s="557"/>
      <c r="AB12" s="57"/>
      <c r="AC12" s="57"/>
      <c r="AD12" s="57"/>
      <c r="AE12" s="57"/>
      <c r="AF12" s="57"/>
      <c r="AG12" s="57"/>
      <c r="AH12" s="57"/>
      <c r="AI12" s="57"/>
      <c r="AJ12" s="137"/>
      <c r="AM12" s="57"/>
      <c r="AN12" s="57"/>
      <c r="AO12" s="57"/>
      <c r="AP12" s="57"/>
      <c r="AQ12" s="57"/>
      <c r="AR12" s="57"/>
      <c r="AS12" s="57"/>
      <c r="AT12" s="57"/>
      <c r="AU12" s="57"/>
      <c r="AV12" s="57"/>
      <c r="AW12" s="137"/>
    </row>
    <row r="13" spans="1:52" x14ac:dyDescent="0.25">
      <c r="A13" s="4" t="s">
        <v>32</v>
      </c>
      <c r="B13" s="487"/>
      <c r="C13" s="487"/>
      <c r="D13" s="2" t="s">
        <v>29</v>
      </c>
      <c r="E13" s="3" t="s">
        <v>29</v>
      </c>
      <c r="F13" s="3" t="s">
        <v>29</v>
      </c>
      <c r="G13" s="3"/>
      <c r="H13" s="3"/>
      <c r="I13" s="3" t="s">
        <v>29</v>
      </c>
      <c r="J13" s="3" t="s">
        <v>29</v>
      </c>
      <c r="K13" s="3" t="s">
        <v>29</v>
      </c>
      <c r="L13" s="117"/>
      <c r="M13" s="143">
        <f>SUM(M11:M12)</f>
        <v>1</v>
      </c>
      <c r="N13" s="151"/>
      <c r="O13" s="61"/>
      <c r="P13" s="61"/>
      <c r="Q13" s="61"/>
      <c r="R13" s="61"/>
      <c r="S13" s="61"/>
      <c r="T13" s="61"/>
      <c r="U13" s="152"/>
      <c r="V13" s="75"/>
      <c r="W13" s="66"/>
      <c r="X13" s="72"/>
      <c r="Y13" s="72"/>
      <c r="Z13" s="557"/>
      <c r="AA13" s="557"/>
      <c r="AB13" s="57"/>
      <c r="AC13" s="57"/>
      <c r="AD13" s="57"/>
      <c r="AE13" s="57"/>
      <c r="AF13" s="57"/>
      <c r="AG13" s="57"/>
      <c r="AH13" s="57"/>
      <c r="AI13" s="57"/>
      <c r="AJ13" s="137"/>
      <c r="AK13" s="137"/>
      <c r="AM13" s="57"/>
      <c r="AN13" s="57"/>
      <c r="AO13" s="57"/>
      <c r="AP13" s="57"/>
      <c r="AQ13" s="57"/>
      <c r="AR13" s="57"/>
      <c r="AS13" s="57"/>
      <c r="AT13" s="57"/>
      <c r="AU13" s="57"/>
      <c r="AV13" s="57"/>
      <c r="AW13" s="137"/>
    </row>
    <row r="14" spans="1:52" x14ac:dyDescent="0.25">
      <c r="A14" s="56" t="s">
        <v>341</v>
      </c>
      <c r="B14" s="488"/>
      <c r="C14" s="488"/>
      <c r="D14" s="55"/>
      <c r="E14" s="55"/>
      <c r="F14" s="55"/>
      <c r="G14" s="55"/>
      <c r="H14" s="55"/>
      <c r="I14" s="64"/>
      <c r="J14" s="64"/>
      <c r="K14" s="64"/>
      <c r="L14" s="144"/>
      <c r="M14" s="144">
        <f>M13</f>
        <v>1</v>
      </c>
      <c r="N14" s="171"/>
      <c r="O14" s="172"/>
      <c r="P14" s="172"/>
      <c r="Q14" s="172"/>
      <c r="R14" s="172"/>
      <c r="S14" s="172"/>
      <c r="T14" s="172"/>
      <c r="U14" s="173"/>
      <c r="X14" s="72"/>
      <c r="Y14" s="72"/>
      <c r="Z14" s="72"/>
      <c r="AA14" s="72"/>
    </row>
    <row r="15" spans="1:52" x14ac:dyDescent="0.25">
      <c r="A15" s="987" t="s">
        <v>137</v>
      </c>
      <c r="B15" s="988"/>
      <c r="C15" s="988"/>
      <c r="D15" s="989"/>
      <c r="E15" s="989"/>
      <c r="F15" s="989"/>
      <c r="G15" s="989"/>
      <c r="H15" s="989"/>
      <c r="I15" s="989"/>
      <c r="J15" s="989"/>
      <c r="K15" s="989"/>
      <c r="L15" s="990"/>
      <c r="M15" s="990"/>
      <c r="N15" s="156"/>
      <c r="O15" s="154"/>
      <c r="P15" s="154"/>
      <c r="Q15" s="154"/>
      <c r="R15" s="154"/>
      <c r="S15" s="154"/>
      <c r="T15" s="154"/>
      <c r="U15" s="269">
        <f>SUM(U17:U34)</f>
        <v>199718.29199999996</v>
      </c>
      <c r="X15" s="72"/>
      <c r="Y15" s="72"/>
      <c r="Z15" s="72"/>
      <c r="AA15" s="72"/>
    </row>
    <row r="16" spans="1:52" x14ac:dyDescent="0.25">
      <c r="A16" s="1006" t="s">
        <v>8</v>
      </c>
      <c r="B16" s="1007"/>
      <c r="C16" s="1007"/>
      <c r="D16" s="1008"/>
      <c r="E16" s="1008"/>
      <c r="F16" s="1008"/>
      <c r="G16" s="1008"/>
      <c r="H16" s="1008"/>
      <c r="I16" s="1008"/>
      <c r="J16" s="1008"/>
      <c r="K16" s="1008"/>
      <c r="L16" s="1009"/>
      <c r="M16" s="1009"/>
      <c r="N16" s="157"/>
      <c r="O16" s="155"/>
      <c r="P16" s="155"/>
      <c r="Q16" s="155"/>
      <c r="R16" s="155"/>
      <c r="S16" s="155"/>
      <c r="T16" s="155"/>
      <c r="U16" s="158"/>
      <c r="X16" s="72"/>
      <c r="Y16" s="72"/>
      <c r="Z16" s="72"/>
      <c r="AA16" s="72"/>
    </row>
    <row r="17" spans="1:49" ht="26.25" x14ac:dyDescent="0.25">
      <c r="A17" s="742" t="s">
        <v>371</v>
      </c>
      <c r="B17" s="738" t="s">
        <v>464</v>
      </c>
      <c r="C17" s="743" t="s">
        <v>662</v>
      </c>
      <c r="D17" s="744">
        <v>13</v>
      </c>
      <c r="E17" s="738" t="s">
        <v>9</v>
      </c>
      <c r="F17" s="738">
        <v>12</v>
      </c>
      <c r="G17" s="740">
        <v>2174</v>
      </c>
      <c r="H17" s="740"/>
      <c r="I17" s="740"/>
      <c r="J17" s="740">
        <v>2390</v>
      </c>
      <c r="K17" s="740">
        <v>0</v>
      </c>
      <c r="L17" s="740">
        <v>0</v>
      </c>
      <c r="M17" s="740">
        <v>1</v>
      </c>
      <c r="N17" s="151">
        <f>ROUND(J17*(1+kopsavilkums!$O$8),2)</f>
        <v>2643.34</v>
      </c>
      <c r="O17" s="61">
        <f t="shared" ref="O17" si="3">P17-L17</f>
        <v>0</v>
      </c>
      <c r="P17" s="61">
        <f>ROUND(L17*(1+kopsavilkums!$O$8),2)</f>
        <v>0</v>
      </c>
      <c r="Q17" s="61">
        <f>(N17+P17)-(J17+L17)</f>
        <v>253.34000000000015</v>
      </c>
      <c r="R17" s="61">
        <f t="shared" ref="R17:R33" si="4">Q17*M17</f>
        <v>253.34000000000015</v>
      </c>
      <c r="S17" s="61">
        <f t="shared" ref="S17:S33" si="5">R17*12</f>
        <v>3040.0800000000017</v>
      </c>
      <c r="T17" s="61">
        <f>ROUND(S17*kopsavilkums!$O$23,2)</f>
        <v>717.15</v>
      </c>
      <c r="U17" s="152">
        <f t="shared" ref="U17" si="6">SUM(S17:T17)</f>
        <v>3757.2300000000018</v>
      </c>
      <c r="V17" s="75"/>
      <c r="W17" s="66"/>
      <c r="X17" s="72"/>
      <c r="Y17" s="72"/>
      <c r="Z17" s="557"/>
      <c r="AA17" s="557"/>
      <c r="AB17" s="57"/>
      <c r="AC17" s="57"/>
      <c r="AD17" s="57"/>
      <c r="AE17" s="57"/>
      <c r="AF17" s="57"/>
      <c r="AG17" s="57"/>
      <c r="AH17" s="57"/>
      <c r="AI17" s="57"/>
      <c r="AJ17" s="137"/>
      <c r="AM17" s="57"/>
      <c r="AN17" s="57"/>
      <c r="AO17" s="57"/>
      <c r="AP17" s="57"/>
      <c r="AQ17" s="57"/>
      <c r="AR17" s="57"/>
      <c r="AS17" s="57"/>
      <c r="AT17" s="57"/>
      <c r="AU17" s="57"/>
      <c r="AV17" s="57"/>
      <c r="AW17" s="137"/>
    </row>
    <row r="18" spans="1:49" x14ac:dyDescent="0.25">
      <c r="A18" s="742" t="s">
        <v>372</v>
      </c>
      <c r="B18" s="738" t="s">
        <v>463</v>
      </c>
      <c r="C18" s="743" t="s">
        <v>662</v>
      </c>
      <c r="D18" s="744">
        <v>13</v>
      </c>
      <c r="E18" s="738" t="s">
        <v>11</v>
      </c>
      <c r="F18" s="738">
        <v>11</v>
      </c>
      <c r="G18" s="740"/>
      <c r="H18" s="740">
        <v>2496</v>
      </c>
      <c r="I18" s="740"/>
      <c r="J18" s="740">
        <v>2135</v>
      </c>
      <c r="K18" s="740">
        <v>0</v>
      </c>
      <c r="L18" s="740">
        <v>0</v>
      </c>
      <c r="M18" s="740">
        <v>6.5</v>
      </c>
      <c r="N18" s="151">
        <f>ROUND(J18*(1+kopsavilkums!$O$8),2)</f>
        <v>2361.31</v>
      </c>
      <c r="O18" s="61">
        <f t="shared" ref="O18:O34" si="7">P18-L18</f>
        <v>0</v>
      </c>
      <c r="P18" s="61">
        <f>ROUND(L18*(1+kopsavilkums!$O$8),2)</f>
        <v>0</v>
      </c>
      <c r="Q18" s="61">
        <f>(N18+P18)-(J18+L18)</f>
        <v>226.30999999999995</v>
      </c>
      <c r="R18" s="61">
        <f t="shared" si="4"/>
        <v>1471.0149999999996</v>
      </c>
      <c r="S18" s="61">
        <f t="shared" si="5"/>
        <v>17652.179999999997</v>
      </c>
      <c r="T18" s="61">
        <f>ROUND(S18*kopsavilkums!$O$23,2)</f>
        <v>4164.1499999999996</v>
      </c>
      <c r="U18" s="152">
        <f t="shared" ref="U18:U33" si="8">SUM(S18:T18)</f>
        <v>21816.329999999994</v>
      </c>
      <c r="V18" s="75"/>
      <c r="W18" s="66"/>
      <c r="X18" s="72"/>
      <c r="Y18" s="72"/>
      <c r="Z18" s="557"/>
      <c r="AA18" s="557"/>
      <c r="AB18" s="57"/>
      <c r="AC18" s="57"/>
      <c r="AD18" s="57"/>
      <c r="AE18" s="57"/>
      <c r="AF18" s="57"/>
      <c r="AG18" s="57"/>
      <c r="AH18" s="57"/>
      <c r="AI18" s="57"/>
      <c r="AJ18" s="137"/>
      <c r="AM18" s="57"/>
      <c r="AN18" s="57"/>
      <c r="AO18" s="57"/>
      <c r="AP18" s="57"/>
      <c r="AQ18" s="57"/>
      <c r="AR18" s="57"/>
      <c r="AS18" s="57"/>
      <c r="AT18" s="57"/>
      <c r="AU18" s="57"/>
      <c r="AV18" s="57"/>
      <c r="AW18" s="137"/>
    </row>
    <row r="19" spans="1:49" x14ac:dyDescent="0.25">
      <c r="A19" s="742" t="s">
        <v>372</v>
      </c>
      <c r="B19" s="738" t="s">
        <v>463</v>
      </c>
      <c r="C19" s="743" t="s">
        <v>668</v>
      </c>
      <c r="D19" s="744">
        <v>13</v>
      </c>
      <c r="E19" s="738" t="s">
        <v>11</v>
      </c>
      <c r="F19" s="738">
        <v>11</v>
      </c>
      <c r="G19" s="740"/>
      <c r="H19" s="740">
        <v>2496</v>
      </c>
      <c r="I19" s="740"/>
      <c r="J19" s="740">
        <v>2135</v>
      </c>
      <c r="K19" s="740">
        <v>0</v>
      </c>
      <c r="L19" s="740">
        <v>0</v>
      </c>
      <c r="M19" s="740">
        <v>4</v>
      </c>
      <c r="N19" s="151">
        <f>ROUND(J19*(1+kopsavilkums!$O$8),2)</f>
        <v>2361.31</v>
      </c>
      <c r="O19" s="61">
        <f t="shared" si="7"/>
        <v>0</v>
      </c>
      <c r="P19" s="61">
        <f>ROUND(L19*(1+kopsavilkums!$O$8),2)</f>
        <v>0</v>
      </c>
      <c r="Q19" s="61">
        <f>(N19+P19)-(J19+L19)</f>
        <v>226.30999999999995</v>
      </c>
      <c r="R19" s="61">
        <f t="shared" si="4"/>
        <v>905.23999999999978</v>
      </c>
      <c r="S19" s="61">
        <f t="shared" si="5"/>
        <v>10862.879999999997</v>
      </c>
      <c r="T19" s="61">
        <f>ROUND(S19*kopsavilkums!$O$23,2)</f>
        <v>2562.5500000000002</v>
      </c>
      <c r="U19" s="152">
        <f t="shared" si="8"/>
        <v>13425.429999999997</v>
      </c>
      <c r="V19" s="75"/>
      <c r="W19" s="66"/>
      <c r="X19" s="72"/>
      <c r="Y19" s="72"/>
      <c r="Z19" s="557"/>
      <c r="AA19" s="557"/>
      <c r="AB19" s="57"/>
      <c r="AC19" s="57"/>
      <c r="AD19" s="57"/>
      <c r="AE19" s="57"/>
      <c r="AF19" s="57"/>
      <c r="AG19" s="57"/>
      <c r="AH19" s="57"/>
      <c r="AI19" s="57"/>
      <c r="AJ19" s="137"/>
      <c r="AM19" s="57"/>
      <c r="AN19" s="57"/>
      <c r="AO19" s="57"/>
      <c r="AP19" s="57"/>
      <c r="AQ19" s="57"/>
      <c r="AR19" s="57"/>
      <c r="AS19" s="57"/>
      <c r="AT19" s="57"/>
      <c r="AU19" s="57"/>
      <c r="AV19" s="57"/>
      <c r="AW19" s="137"/>
    </row>
    <row r="20" spans="1:49" x14ac:dyDescent="0.25">
      <c r="A20" s="742" t="s">
        <v>372</v>
      </c>
      <c r="B20" s="738" t="s">
        <v>463</v>
      </c>
      <c r="C20" s="743" t="s">
        <v>668</v>
      </c>
      <c r="D20" s="744">
        <v>13</v>
      </c>
      <c r="E20" s="738" t="s">
        <v>11</v>
      </c>
      <c r="F20" s="738">
        <v>11</v>
      </c>
      <c r="G20" s="740">
        <v>1746</v>
      </c>
      <c r="H20" s="740"/>
      <c r="I20" s="740"/>
      <c r="J20" s="740">
        <v>2057</v>
      </c>
      <c r="K20" s="740">
        <v>0</v>
      </c>
      <c r="L20" s="740">
        <v>0</v>
      </c>
      <c r="M20" s="740">
        <v>2</v>
      </c>
      <c r="N20" s="151">
        <f>ROUND(J20*(1+kopsavilkums!$O$8),2)</f>
        <v>2275.04</v>
      </c>
      <c r="O20" s="61">
        <f t="shared" si="7"/>
        <v>0</v>
      </c>
      <c r="P20" s="61">
        <f>ROUND(L20*(1+kopsavilkums!$O$8),2)</f>
        <v>0</v>
      </c>
      <c r="Q20" s="61">
        <f>(N20+P20)-(J20+L20)</f>
        <v>218.03999999999996</v>
      </c>
      <c r="R20" s="61">
        <f t="shared" si="4"/>
        <v>436.07999999999993</v>
      </c>
      <c r="S20" s="61">
        <f t="shared" si="5"/>
        <v>5232.9599999999991</v>
      </c>
      <c r="T20" s="61">
        <f>ROUND(S20*kopsavilkums!$O$23,2)</f>
        <v>1234.46</v>
      </c>
      <c r="U20" s="152">
        <f t="shared" si="8"/>
        <v>6467.4199999999992</v>
      </c>
      <c r="V20" s="75"/>
      <c r="W20" s="66"/>
      <c r="X20" s="72"/>
      <c r="Y20" s="72"/>
      <c r="Z20" s="557"/>
      <c r="AA20" s="557"/>
      <c r="AB20" s="57"/>
      <c r="AC20" s="57"/>
      <c r="AD20" s="57"/>
      <c r="AE20" s="57"/>
      <c r="AF20" s="57"/>
      <c r="AG20" s="57"/>
      <c r="AH20" s="57"/>
      <c r="AI20" s="57"/>
      <c r="AJ20" s="137"/>
      <c r="AM20" s="57"/>
      <c r="AN20" s="57"/>
      <c r="AO20" s="57"/>
      <c r="AP20" s="57"/>
      <c r="AQ20" s="57"/>
      <c r="AR20" s="57"/>
      <c r="AS20" s="57"/>
      <c r="AT20" s="57"/>
      <c r="AU20" s="57"/>
      <c r="AV20" s="57"/>
      <c r="AW20" s="137"/>
    </row>
    <row r="21" spans="1:49" x14ac:dyDescent="0.25">
      <c r="A21" s="742" t="s">
        <v>36</v>
      </c>
      <c r="B21" s="738" t="s">
        <v>463</v>
      </c>
      <c r="C21" s="743" t="s">
        <v>662</v>
      </c>
      <c r="D21" s="744">
        <v>13</v>
      </c>
      <c r="E21" s="738" t="s">
        <v>11</v>
      </c>
      <c r="F21" s="738">
        <v>11</v>
      </c>
      <c r="G21" s="740">
        <v>1746</v>
      </c>
      <c r="H21" s="740"/>
      <c r="I21" s="740"/>
      <c r="J21" s="740">
        <v>1922</v>
      </c>
      <c r="K21" s="740">
        <v>0</v>
      </c>
      <c r="L21" s="740">
        <v>0</v>
      </c>
      <c r="M21" s="740">
        <v>2.5</v>
      </c>
      <c r="N21" s="151">
        <f>ROUND(J21*(1+kopsavilkums!$O$8),2)</f>
        <v>2125.73</v>
      </c>
      <c r="O21" s="61">
        <f t="shared" si="7"/>
        <v>0</v>
      </c>
      <c r="P21" s="61">
        <f>ROUND(L21*(1+kopsavilkums!$O$8),2)</f>
        <v>0</v>
      </c>
      <c r="Q21" s="61">
        <f>(N21+P21)-(J21+L21)</f>
        <v>203.73000000000002</v>
      </c>
      <c r="R21" s="61">
        <f t="shared" si="4"/>
        <v>509.32500000000005</v>
      </c>
      <c r="S21" s="61">
        <f t="shared" si="5"/>
        <v>6111.9000000000005</v>
      </c>
      <c r="T21" s="61">
        <f>ROUND(S21*kopsavilkums!$O$23,2)</f>
        <v>1441.8</v>
      </c>
      <c r="U21" s="152">
        <f t="shared" si="8"/>
        <v>7553.7000000000007</v>
      </c>
      <c r="V21" s="75"/>
      <c r="W21" s="66"/>
      <c r="X21" s="72"/>
      <c r="Y21" s="72"/>
      <c r="Z21" s="557"/>
      <c r="AA21" s="557"/>
      <c r="AB21" s="57"/>
      <c r="AC21" s="57"/>
      <c r="AD21" s="57"/>
      <c r="AE21" s="57"/>
      <c r="AF21" s="57"/>
      <c r="AG21" s="57"/>
      <c r="AH21" s="57"/>
      <c r="AI21" s="57"/>
      <c r="AJ21" s="137"/>
      <c r="AM21" s="57"/>
      <c r="AN21" s="57"/>
      <c r="AO21" s="57"/>
      <c r="AP21" s="57"/>
      <c r="AQ21" s="57"/>
      <c r="AR21" s="57"/>
      <c r="AS21" s="57"/>
      <c r="AT21" s="57"/>
      <c r="AU21" s="57"/>
      <c r="AV21" s="57"/>
      <c r="AW21" s="137"/>
    </row>
    <row r="22" spans="1:49" x14ac:dyDescent="0.25">
      <c r="A22" s="742" t="s">
        <v>36</v>
      </c>
      <c r="B22" s="738" t="s">
        <v>463</v>
      </c>
      <c r="C22" s="743" t="s">
        <v>668</v>
      </c>
      <c r="D22" s="744">
        <v>13</v>
      </c>
      <c r="E22" s="738" t="s">
        <v>11</v>
      </c>
      <c r="F22" s="738">
        <v>11</v>
      </c>
      <c r="G22" s="740">
        <v>1746</v>
      </c>
      <c r="H22" s="740"/>
      <c r="I22" s="740"/>
      <c r="J22" s="740">
        <v>1922</v>
      </c>
      <c r="K22" s="740">
        <v>0</v>
      </c>
      <c r="L22" s="740">
        <v>0</v>
      </c>
      <c r="M22" s="740">
        <v>1.75</v>
      </c>
      <c r="N22" s="151">
        <f>ROUND(J22*(1+kopsavilkums!$O$8),2)</f>
        <v>2125.73</v>
      </c>
      <c r="O22" s="61">
        <f t="shared" ref="O22:O32" si="9">P22-L22</f>
        <v>0</v>
      </c>
      <c r="P22" s="61">
        <f>ROUND(L22*(1+kopsavilkums!$O$8),2)</f>
        <v>0</v>
      </c>
      <c r="Q22" s="61">
        <f t="shared" ref="Q22:Q32" si="10">(N22+P22)-(J22+L22)</f>
        <v>203.73000000000002</v>
      </c>
      <c r="R22" s="61">
        <f t="shared" ref="R22:R32" si="11">Q22*M22</f>
        <v>356.52750000000003</v>
      </c>
      <c r="S22" s="61">
        <f t="shared" ref="S22:S32" si="12">R22*12</f>
        <v>4278.33</v>
      </c>
      <c r="T22" s="61">
        <f>ROUND(S22*kopsavilkums!$O$23,2)</f>
        <v>1009.26</v>
      </c>
      <c r="U22" s="152">
        <f t="shared" ref="U22:U32" si="13">SUM(S22:T22)</f>
        <v>5287.59</v>
      </c>
      <c r="V22" s="75"/>
      <c r="W22" s="66"/>
      <c r="X22" s="72"/>
      <c r="Y22" s="72"/>
      <c r="Z22" s="557"/>
      <c r="AA22" s="557"/>
      <c r="AB22" s="57"/>
      <c r="AC22" s="57"/>
      <c r="AD22" s="57"/>
      <c r="AE22" s="57"/>
      <c r="AF22" s="57"/>
      <c r="AG22" s="57"/>
      <c r="AH22" s="57"/>
      <c r="AI22" s="57"/>
      <c r="AJ22" s="137"/>
      <c r="AM22" s="57"/>
      <c r="AN22" s="57"/>
      <c r="AO22" s="57"/>
      <c r="AP22" s="57"/>
      <c r="AQ22" s="57"/>
      <c r="AR22" s="57"/>
      <c r="AS22" s="57"/>
      <c r="AT22" s="57"/>
      <c r="AU22" s="57"/>
      <c r="AV22" s="57"/>
      <c r="AW22" s="137"/>
    </row>
    <row r="23" spans="1:49" ht="26.25" x14ac:dyDescent="0.25">
      <c r="A23" s="742" t="s">
        <v>342</v>
      </c>
      <c r="B23" s="738" t="s">
        <v>463</v>
      </c>
      <c r="C23" s="743" t="s">
        <v>662</v>
      </c>
      <c r="D23" s="744">
        <v>13</v>
      </c>
      <c r="E23" s="738" t="s">
        <v>9</v>
      </c>
      <c r="F23" s="738">
        <v>12</v>
      </c>
      <c r="G23" s="740">
        <v>2174</v>
      </c>
      <c r="H23" s="740"/>
      <c r="I23" s="740"/>
      <c r="J23" s="740">
        <v>2326</v>
      </c>
      <c r="K23" s="740">
        <v>0</v>
      </c>
      <c r="L23" s="740">
        <v>0</v>
      </c>
      <c r="M23" s="740">
        <v>1</v>
      </c>
      <c r="N23" s="151">
        <f>ROUND(J23*(1+kopsavilkums!$O$8),2)</f>
        <v>2572.56</v>
      </c>
      <c r="O23" s="61">
        <f t="shared" ref="O23:O28" si="14">P23-L23</f>
        <v>0</v>
      </c>
      <c r="P23" s="61">
        <f>ROUND(L23*(1+kopsavilkums!$O$8),2)</f>
        <v>0</v>
      </c>
      <c r="Q23" s="61">
        <f t="shared" ref="Q23:Q28" si="15">(N23+P23)-(J23+L23)</f>
        <v>246.55999999999995</v>
      </c>
      <c r="R23" s="61">
        <f t="shared" ref="R23:R28" si="16">Q23*M23</f>
        <v>246.55999999999995</v>
      </c>
      <c r="S23" s="61">
        <f t="shared" ref="S23:S28" si="17">R23*12</f>
        <v>2958.7199999999993</v>
      </c>
      <c r="T23" s="61">
        <f>ROUND(S23*kopsavilkums!$O$23,2)</f>
        <v>697.96</v>
      </c>
      <c r="U23" s="152">
        <f t="shared" ref="U23:U28" si="18">SUM(S23:T23)</f>
        <v>3656.6799999999994</v>
      </c>
      <c r="V23" s="75"/>
      <c r="W23" s="66"/>
      <c r="X23" s="72"/>
      <c r="Y23" s="72"/>
      <c r="Z23" s="557"/>
      <c r="AA23" s="557"/>
      <c r="AB23" s="57"/>
      <c r="AC23" s="57"/>
      <c r="AD23" s="57"/>
      <c r="AE23" s="57"/>
      <c r="AF23" s="57"/>
      <c r="AG23" s="57"/>
      <c r="AH23" s="57"/>
      <c r="AI23" s="57"/>
      <c r="AJ23" s="137"/>
      <c r="AM23" s="57"/>
      <c r="AN23" s="57"/>
      <c r="AO23" s="57"/>
      <c r="AP23" s="57"/>
      <c r="AQ23" s="57"/>
      <c r="AR23" s="57"/>
      <c r="AS23" s="57"/>
      <c r="AT23" s="57"/>
      <c r="AU23" s="57"/>
      <c r="AV23" s="57"/>
      <c r="AW23" s="137"/>
    </row>
    <row r="24" spans="1:49" ht="26.25" x14ac:dyDescent="0.25">
      <c r="A24" s="742" t="s">
        <v>282</v>
      </c>
      <c r="B24" s="738" t="s">
        <v>463</v>
      </c>
      <c r="C24" s="743" t="s">
        <v>662</v>
      </c>
      <c r="D24" s="744">
        <v>13</v>
      </c>
      <c r="E24" s="738" t="s">
        <v>11</v>
      </c>
      <c r="F24" s="738">
        <v>11</v>
      </c>
      <c r="G24" s="740">
        <v>1746</v>
      </c>
      <c r="H24" s="740"/>
      <c r="I24" s="740"/>
      <c r="J24" s="740">
        <v>2200</v>
      </c>
      <c r="K24" s="740">
        <v>0</v>
      </c>
      <c r="L24" s="740">
        <v>0</v>
      </c>
      <c r="M24" s="740">
        <v>1</v>
      </c>
      <c r="N24" s="151">
        <f>ROUND(J24*(1+kopsavilkums!$O$8),2)</f>
        <v>2433.1999999999998</v>
      </c>
      <c r="O24" s="61">
        <f t="shared" si="14"/>
        <v>0</v>
      </c>
      <c r="P24" s="61">
        <f>ROUND(L24*(1+kopsavilkums!$O$8),2)</f>
        <v>0</v>
      </c>
      <c r="Q24" s="61">
        <f t="shared" si="15"/>
        <v>233.19999999999982</v>
      </c>
      <c r="R24" s="61">
        <f t="shared" si="16"/>
        <v>233.19999999999982</v>
      </c>
      <c r="S24" s="61">
        <f t="shared" si="17"/>
        <v>2798.3999999999978</v>
      </c>
      <c r="T24" s="61">
        <f>ROUND(S24*kopsavilkums!$O$23,2)</f>
        <v>660.14</v>
      </c>
      <c r="U24" s="152">
        <f t="shared" si="18"/>
        <v>3458.5399999999977</v>
      </c>
      <c r="V24" s="75"/>
      <c r="W24" s="66"/>
      <c r="X24" s="72"/>
      <c r="Y24" s="72"/>
      <c r="Z24" s="557"/>
      <c r="AA24" s="557"/>
      <c r="AB24" s="57"/>
      <c r="AC24" s="57"/>
      <c r="AD24" s="57"/>
      <c r="AE24" s="57"/>
      <c r="AF24" s="57"/>
      <c r="AG24" s="57"/>
      <c r="AH24" s="57"/>
      <c r="AI24" s="57"/>
      <c r="AJ24" s="137"/>
      <c r="AM24" s="57"/>
      <c r="AN24" s="57"/>
      <c r="AO24" s="57"/>
      <c r="AP24" s="57"/>
      <c r="AQ24" s="57"/>
      <c r="AR24" s="57"/>
      <c r="AS24" s="57"/>
      <c r="AT24" s="57"/>
      <c r="AU24" s="57"/>
      <c r="AV24" s="57"/>
      <c r="AW24" s="137"/>
    </row>
    <row r="25" spans="1:49" ht="26.25" x14ac:dyDescent="0.25">
      <c r="A25" s="742" t="s">
        <v>342</v>
      </c>
      <c r="B25" s="738" t="s">
        <v>463</v>
      </c>
      <c r="C25" s="743" t="s">
        <v>662</v>
      </c>
      <c r="D25" s="744">
        <v>13</v>
      </c>
      <c r="E25" s="738" t="s">
        <v>11</v>
      </c>
      <c r="F25" s="738">
        <v>12</v>
      </c>
      <c r="G25" s="740">
        <v>2174</v>
      </c>
      <c r="H25" s="740"/>
      <c r="I25" s="740"/>
      <c r="J25" s="740">
        <v>2304</v>
      </c>
      <c r="K25" s="740">
        <v>0</v>
      </c>
      <c r="L25" s="740">
        <v>0</v>
      </c>
      <c r="M25" s="740">
        <v>1</v>
      </c>
      <c r="N25" s="151">
        <f>ROUND(J25*(1+kopsavilkums!$O$8),2)</f>
        <v>2548.2199999999998</v>
      </c>
      <c r="O25" s="61">
        <f t="shared" si="14"/>
        <v>0</v>
      </c>
      <c r="P25" s="61">
        <f>ROUND(L25*(1+kopsavilkums!$O$8),2)</f>
        <v>0</v>
      </c>
      <c r="Q25" s="61">
        <f t="shared" si="15"/>
        <v>244.2199999999998</v>
      </c>
      <c r="R25" s="61">
        <f t="shared" si="16"/>
        <v>244.2199999999998</v>
      </c>
      <c r="S25" s="61">
        <f t="shared" si="17"/>
        <v>2930.6399999999976</v>
      </c>
      <c r="T25" s="61">
        <f>ROUND(S25*kopsavilkums!$O$23,2)</f>
        <v>691.34</v>
      </c>
      <c r="U25" s="152">
        <f t="shared" si="18"/>
        <v>3621.9799999999977</v>
      </c>
      <c r="V25" s="75"/>
      <c r="W25" s="66"/>
      <c r="X25" s="72"/>
      <c r="Y25" s="72"/>
      <c r="Z25" s="557"/>
      <c r="AA25" s="557"/>
      <c r="AB25" s="57"/>
      <c r="AC25" s="57"/>
      <c r="AD25" s="57"/>
      <c r="AE25" s="57"/>
      <c r="AF25" s="57"/>
      <c r="AG25" s="57"/>
      <c r="AH25" s="57"/>
      <c r="AI25" s="57"/>
      <c r="AJ25" s="137"/>
      <c r="AM25" s="57"/>
      <c r="AN25" s="57"/>
      <c r="AO25" s="57"/>
      <c r="AP25" s="57"/>
      <c r="AQ25" s="57"/>
      <c r="AR25" s="57"/>
      <c r="AS25" s="57"/>
      <c r="AT25" s="57"/>
      <c r="AU25" s="57"/>
      <c r="AV25" s="57"/>
      <c r="AW25" s="137"/>
    </row>
    <row r="26" spans="1:49" ht="26.25" x14ac:dyDescent="0.25">
      <c r="A26" s="742" t="s">
        <v>342</v>
      </c>
      <c r="B26" s="738" t="s">
        <v>463</v>
      </c>
      <c r="C26" s="743" t="s">
        <v>668</v>
      </c>
      <c r="D26" s="744">
        <v>13</v>
      </c>
      <c r="E26" s="738" t="s">
        <v>11</v>
      </c>
      <c r="F26" s="738">
        <v>12</v>
      </c>
      <c r="G26" s="740">
        <v>2174</v>
      </c>
      <c r="H26" s="740"/>
      <c r="I26" s="740"/>
      <c r="J26" s="740">
        <v>2304</v>
      </c>
      <c r="K26" s="740">
        <v>0</v>
      </c>
      <c r="L26" s="740">
        <v>0</v>
      </c>
      <c r="M26" s="740">
        <v>1</v>
      </c>
      <c r="N26" s="151">
        <f>ROUND(J26*(1+kopsavilkums!$O$8),2)</f>
        <v>2548.2199999999998</v>
      </c>
      <c r="O26" s="61">
        <f t="shared" si="14"/>
        <v>0</v>
      </c>
      <c r="P26" s="61">
        <f>ROUND(L26*(1+kopsavilkums!$O$8),2)</f>
        <v>0</v>
      </c>
      <c r="Q26" s="61">
        <f t="shared" si="15"/>
        <v>244.2199999999998</v>
      </c>
      <c r="R26" s="61">
        <f t="shared" si="16"/>
        <v>244.2199999999998</v>
      </c>
      <c r="S26" s="61">
        <f t="shared" si="17"/>
        <v>2930.6399999999976</v>
      </c>
      <c r="T26" s="61">
        <f>ROUND(S26*kopsavilkums!$O$23,2)</f>
        <v>691.34</v>
      </c>
      <c r="U26" s="152">
        <f t="shared" si="18"/>
        <v>3621.9799999999977</v>
      </c>
      <c r="V26" s="75"/>
      <c r="W26" s="66"/>
      <c r="X26" s="72"/>
      <c r="Y26" s="72"/>
      <c r="Z26" s="557"/>
      <c r="AA26" s="557"/>
      <c r="AB26" s="57"/>
      <c r="AC26" s="57"/>
      <c r="AD26" s="57"/>
      <c r="AE26" s="57"/>
      <c r="AF26" s="57"/>
      <c r="AG26" s="57"/>
      <c r="AH26" s="57"/>
      <c r="AI26" s="57"/>
      <c r="AJ26" s="137"/>
      <c r="AM26" s="57"/>
      <c r="AN26" s="57"/>
      <c r="AO26" s="57"/>
      <c r="AP26" s="57"/>
      <c r="AQ26" s="57"/>
      <c r="AR26" s="57"/>
      <c r="AS26" s="57"/>
      <c r="AT26" s="57"/>
      <c r="AU26" s="57"/>
      <c r="AV26" s="57"/>
      <c r="AW26" s="137"/>
    </row>
    <row r="27" spans="1:49" ht="26.25" x14ac:dyDescent="0.25">
      <c r="A27" s="742" t="s">
        <v>342</v>
      </c>
      <c r="B27" s="738" t="s">
        <v>463</v>
      </c>
      <c r="C27" s="743" t="s">
        <v>662</v>
      </c>
      <c r="D27" s="744">
        <v>13</v>
      </c>
      <c r="E27" s="738" t="s">
        <v>11</v>
      </c>
      <c r="F27" s="738">
        <v>12</v>
      </c>
      <c r="G27" s="740">
        <v>2174</v>
      </c>
      <c r="H27" s="740"/>
      <c r="I27" s="740"/>
      <c r="J27" s="740">
        <v>2304</v>
      </c>
      <c r="K27" s="740">
        <v>0</v>
      </c>
      <c r="L27" s="740">
        <v>0</v>
      </c>
      <c r="M27" s="740">
        <v>2</v>
      </c>
      <c r="N27" s="151">
        <f>ROUND(J27*(1+kopsavilkums!$O$8),2)</f>
        <v>2548.2199999999998</v>
      </c>
      <c r="O27" s="61">
        <f t="shared" si="14"/>
        <v>0</v>
      </c>
      <c r="P27" s="61">
        <f>ROUND(L27*(1+kopsavilkums!$O$8),2)</f>
        <v>0</v>
      </c>
      <c r="Q27" s="61">
        <f t="shared" si="15"/>
        <v>244.2199999999998</v>
      </c>
      <c r="R27" s="61">
        <f t="shared" si="16"/>
        <v>488.4399999999996</v>
      </c>
      <c r="S27" s="61">
        <f t="shared" si="17"/>
        <v>5861.2799999999952</v>
      </c>
      <c r="T27" s="61">
        <f>ROUND(S27*kopsavilkums!$O$23,2)</f>
        <v>1382.68</v>
      </c>
      <c r="U27" s="152">
        <f t="shared" si="18"/>
        <v>7243.9599999999955</v>
      </c>
      <c r="V27" s="75"/>
      <c r="W27" s="66"/>
      <c r="X27" s="72"/>
      <c r="Y27" s="72"/>
      <c r="Z27" s="557"/>
      <c r="AA27" s="557"/>
      <c r="AB27" s="57"/>
      <c r="AC27" s="57"/>
      <c r="AD27" s="57"/>
      <c r="AE27" s="57"/>
      <c r="AF27" s="57"/>
      <c r="AG27" s="57"/>
      <c r="AH27" s="57"/>
      <c r="AI27" s="57"/>
      <c r="AJ27" s="137"/>
      <c r="AM27" s="57"/>
      <c r="AN27" s="57"/>
      <c r="AO27" s="57"/>
      <c r="AP27" s="57"/>
      <c r="AQ27" s="57"/>
      <c r="AR27" s="57"/>
      <c r="AS27" s="57"/>
      <c r="AT27" s="57"/>
      <c r="AU27" s="57"/>
      <c r="AV27" s="57"/>
      <c r="AW27" s="137"/>
    </row>
    <row r="28" spans="1:49" ht="26.25" x14ac:dyDescent="0.25">
      <c r="A28" s="742" t="s">
        <v>342</v>
      </c>
      <c r="B28" s="738" t="s">
        <v>463</v>
      </c>
      <c r="C28" s="743" t="s">
        <v>668</v>
      </c>
      <c r="D28" s="744">
        <v>13</v>
      </c>
      <c r="E28" s="738" t="s">
        <v>11</v>
      </c>
      <c r="F28" s="738">
        <v>12</v>
      </c>
      <c r="G28" s="740">
        <v>2174</v>
      </c>
      <c r="H28" s="740"/>
      <c r="I28" s="740"/>
      <c r="J28" s="740">
        <v>2304</v>
      </c>
      <c r="K28" s="740">
        <v>0</v>
      </c>
      <c r="L28" s="740">
        <v>0</v>
      </c>
      <c r="M28" s="740">
        <v>1</v>
      </c>
      <c r="N28" s="151">
        <f>ROUND(J28*(1+kopsavilkums!$O$8),2)</f>
        <v>2548.2199999999998</v>
      </c>
      <c r="O28" s="61">
        <f t="shared" si="14"/>
        <v>0</v>
      </c>
      <c r="P28" s="61">
        <f>ROUND(L28*(1+kopsavilkums!$O$8),2)</f>
        <v>0</v>
      </c>
      <c r="Q28" s="61">
        <f t="shared" si="15"/>
        <v>244.2199999999998</v>
      </c>
      <c r="R28" s="61">
        <f t="shared" si="16"/>
        <v>244.2199999999998</v>
      </c>
      <c r="S28" s="61">
        <f t="shared" si="17"/>
        <v>2930.6399999999976</v>
      </c>
      <c r="T28" s="61">
        <f>ROUND(S28*kopsavilkums!$O$23,2)</f>
        <v>691.34</v>
      </c>
      <c r="U28" s="152">
        <f t="shared" si="18"/>
        <v>3621.9799999999977</v>
      </c>
      <c r="V28" s="75"/>
      <c r="W28" s="66"/>
      <c r="X28" s="72"/>
      <c r="Y28" s="72"/>
      <c r="Z28" s="557"/>
      <c r="AA28" s="557"/>
      <c r="AB28" s="57"/>
      <c r="AC28" s="57"/>
      <c r="AD28" s="57"/>
      <c r="AE28" s="57"/>
      <c r="AF28" s="57"/>
      <c r="AG28" s="57"/>
      <c r="AH28" s="57"/>
      <c r="AI28" s="57"/>
      <c r="AJ28" s="137"/>
      <c r="AM28" s="57"/>
      <c r="AN28" s="57"/>
      <c r="AO28" s="57"/>
      <c r="AP28" s="57"/>
      <c r="AQ28" s="57"/>
      <c r="AR28" s="57"/>
      <c r="AS28" s="57"/>
      <c r="AT28" s="57"/>
      <c r="AU28" s="57"/>
      <c r="AV28" s="57"/>
      <c r="AW28" s="137"/>
    </row>
    <row r="29" spans="1:49" x14ac:dyDescent="0.25">
      <c r="A29" s="742" t="s">
        <v>372</v>
      </c>
      <c r="B29" s="738" t="s">
        <v>463</v>
      </c>
      <c r="C29" s="743" t="s">
        <v>662</v>
      </c>
      <c r="D29" s="744">
        <v>13</v>
      </c>
      <c r="E29" s="738" t="s">
        <v>11</v>
      </c>
      <c r="F29" s="738">
        <v>11</v>
      </c>
      <c r="G29" s="740">
        <v>1746</v>
      </c>
      <c r="H29" s="740"/>
      <c r="I29" s="740"/>
      <c r="J29" s="740">
        <v>2057</v>
      </c>
      <c r="K29" s="740">
        <v>0</v>
      </c>
      <c r="L29" s="740">
        <v>0</v>
      </c>
      <c r="M29" s="740">
        <v>7.8</v>
      </c>
      <c r="N29" s="151">
        <f>ROUND(J29*(1+kopsavilkums!$O$8),2)</f>
        <v>2275.04</v>
      </c>
      <c r="O29" s="61">
        <f t="shared" ref="O29:O31" si="19">P29-L29</f>
        <v>0</v>
      </c>
      <c r="P29" s="61">
        <f>ROUND(L29*(1+kopsavilkums!$O$8),2)</f>
        <v>0</v>
      </c>
      <c r="Q29" s="61">
        <f t="shared" ref="Q29:Q31" si="20">(N29+P29)-(J29+L29)</f>
        <v>218.03999999999996</v>
      </c>
      <c r="R29" s="61">
        <f t="shared" ref="R29:R31" si="21">Q29*M29</f>
        <v>1700.7119999999998</v>
      </c>
      <c r="S29" s="61">
        <f t="shared" ref="S29:S31" si="22">R29*12</f>
        <v>20408.543999999998</v>
      </c>
      <c r="T29" s="61">
        <f>ROUND(S29*kopsavilkums!$O$23,2)</f>
        <v>4814.38</v>
      </c>
      <c r="U29" s="152">
        <f t="shared" ref="U29:U31" si="23">SUM(S29:T29)</f>
        <v>25222.923999999999</v>
      </c>
      <c r="V29" s="75"/>
      <c r="W29" s="66"/>
      <c r="X29" s="72"/>
      <c r="Y29" s="72"/>
      <c r="Z29" s="557"/>
      <c r="AA29" s="557"/>
      <c r="AB29" s="57"/>
      <c r="AC29" s="57"/>
      <c r="AD29" s="57"/>
      <c r="AE29" s="57"/>
      <c r="AF29" s="57"/>
      <c r="AG29" s="57"/>
      <c r="AH29" s="57"/>
      <c r="AI29" s="57"/>
      <c r="AJ29" s="137"/>
      <c r="AM29" s="57"/>
      <c r="AN29" s="57"/>
      <c r="AO29" s="57"/>
      <c r="AP29" s="57"/>
      <c r="AQ29" s="57"/>
      <c r="AR29" s="57"/>
      <c r="AS29" s="57"/>
      <c r="AT29" s="57"/>
      <c r="AU29" s="57"/>
      <c r="AV29" s="57"/>
      <c r="AW29" s="137"/>
    </row>
    <row r="30" spans="1:49" x14ac:dyDescent="0.25">
      <c r="A30" s="742" t="s">
        <v>372</v>
      </c>
      <c r="B30" s="738" t="s">
        <v>463</v>
      </c>
      <c r="C30" s="743" t="s">
        <v>668</v>
      </c>
      <c r="D30" s="744">
        <v>13</v>
      </c>
      <c r="E30" s="738" t="s">
        <v>11</v>
      </c>
      <c r="F30" s="738">
        <v>11</v>
      </c>
      <c r="G30" s="740">
        <v>1746</v>
      </c>
      <c r="H30" s="740"/>
      <c r="I30" s="740"/>
      <c r="J30" s="740">
        <v>2057</v>
      </c>
      <c r="K30" s="740">
        <v>0</v>
      </c>
      <c r="L30" s="740">
        <v>0</v>
      </c>
      <c r="M30" s="740">
        <v>2.75</v>
      </c>
      <c r="N30" s="151">
        <f>ROUND(J30*(1+kopsavilkums!$O$8),2)</f>
        <v>2275.04</v>
      </c>
      <c r="O30" s="61">
        <f t="shared" si="19"/>
        <v>0</v>
      </c>
      <c r="P30" s="61">
        <f>ROUND(L30*(1+kopsavilkums!$O$8),2)</f>
        <v>0</v>
      </c>
      <c r="Q30" s="61">
        <f t="shared" si="20"/>
        <v>218.03999999999996</v>
      </c>
      <c r="R30" s="61">
        <f t="shared" si="21"/>
        <v>599.6099999999999</v>
      </c>
      <c r="S30" s="61">
        <f t="shared" si="22"/>
        <v>7195.3199999999988</v>
      </c>
      <c r="T30" s="61">
        <f>ROUND(S30*kopsavilkums!$O$23,2)</f>
        <v>1697.38</v>
      </c>
      <c r="U30" s="152">
        <f t="shared" si="23"/>
        <v>8892.6999999999989</v>
      </c>
      <c r="V30" s="75"/>
      <c r="W30" s="66"/>
      <c r="X30" s="72"/>
      <c r="Y30" s="72"/>
      <c r="Z30" s="557"/>
      <c r="AA30" s="557"/>
      <c r="AB30" s="57"/>
      <c r="AC30" s="57"/>
      <c r="AD30" s="57"/>
      <c r="AE30" s="57"/>
      <c r="AF30" s="57"/>
      <c r="AG30" s="57"/>
      <c r="AH30" s="57"/>
      <c r="AI30" s="57"/>
      <c r="AJ30" s="137"/>
      <c r="AM30" s="57"/>
      <c r="AN30" s="57"/>
      <c r="AO30" s="57"/>
      <c r="AP30" s="57"/>
      <c r="AQ30" s="57"/>
      <c r="AR30" s="57"/>
      <c r="AS30" s="57"/>
      <c r="AT30" s="57"/>
      <c r="AU30" s="57"/>
      <c r="AV30" s="57"/>
      <c r="AW30" s="137"/>
    </row>
    <row r="31" spans="1:49" x14ac:dyDescent="0.25">
      <c r="A31" s="742" t="s">
        <v>36</v>
      </c>
      <c r="B31" s="738" t="s">
        <v>463</v>
      </c>
      <c r="C31" s="743" t="s">
        <v>662</v>
      </c>
      <c r="D31" s="744">
        <v>13</v>
      </c>
      <c r="E31" s="738" t="s">
        <v>13</v>
      </c>
      <c r="F31" s="738">
        <v>9</v>
      </c>
      <c r="G31" s="740"/>
      <c r="H31" s="740"/>
      <c r="I31" s="740">
        <v>2067</v>
      </c>
      <c r="J31" s="740">
        <v>1922</v>
      </c>
      <c r="K31" s="740">
        <v>0</v>
      </c>
      <c r="L31" s="740">
        <v>0</v>
      </c>
      <c r="M31" s="740">
        <v>2</v>
      </c>
      <c r="N31" s="151">
        <f>ROUND(J31*(1+kopsavilkums!$O$8),2)</f>
        <v>2125.73</v>
      </c>
      <c r="O31" s="61">
        <f t="shared" si="19"/>
        <v>0</v>
      </c>
      <c r="P31" s="61">
        <f>ROUND(L31*(1+kopsavilkums!$O$8),2)</f>
        <v>0</v>
      </c>
      <c r="Q31" s="61">
        <f t="shared" si="20"/>
        <v>203.73000000000002</v>
      </c>
      <c r="R31" s="61">
        <f t="shared" si="21"/>
        <v>407.46000000000004</v>
      </c>
      <c r="S31" s="61">
        <f t="shared" si="22"/>
        <v>4889.5200000000004</v>
      </c>
      <c r="T31" s="61">
        <f>ROUND(S31*kopsavilkums!$O$23,2)</f>
        <v>1153.44</v>
      </c>
      <c r="U31" s="152">
        <f t="shared" si="23"/>
        <v>6042.9600000000009</v>
      </c>
      <c r="V31" s="75"/>
      <c r="W31" s="66"/>
      <c r="X31" s="72"/>
      <c r="Y31" s="72"/>
      <c r="Z31" s="557"/>
      <c r="AA31" s="557"/>
      <c r="AB31" s="57"/>
      <c r="AC31" s="57"/>
      <c r="AD31" s="57"/>
      <c r="AE31" s="57"/>
      <c r="AF31" s="57"/>
      <c r="AG31" s="57"/>
      <c r="AH31" s="57"/>
      <c r="AI31" s="57"/>
      <c r="AJ31" s="137"/>
      <c r="AM31" s="57"/>
      <c r="AN31" s="57"/>
      <c r="AO31" s="57"/>
      <c r="AP31" s="57"/>
      <c r="AQ31" s="57"/>
      <c r="AR31" s="57"/>
      <c r="AS31" s="57"/>
      <c r="AT31" s="57"/>
      <c r="AU31" s="57"/>
      <c r="AV31" s="57"/>
      <c r="AW31" s="137"/>
    </row>
    <row r="32" spans="1:49" x14ac:dyDescent="0.25">
      <c r="A32" s="742" t="s">
        <v>36</v>
      </c>
      <c r="B32" s="738" t="s">
        <v>463</v>
      </c>
      <c r="C32" s="743" t="s">
        <v>668</v>
      </c>
      <c r="D32" s="744">
        <v>13</v>
      </c>
      <c r="E32" s="738" t="s">
        <v>13</v>
      </c>
      <c r="F32" s="738">
        <v>9</v>
      </c>
      <c r="G32" s="740"/>
      <c r="H32" s="740"/>
      <c r="I32" s="740">
        <v>2067</v>
      </c>
      <c r="J32" s="740">
        <v>1922</v>
      </c>
      <c r="K32" s="740">
        <v>0</v>
      </c>
      <c r="L32" s="740">
        <v>0</v>
      </c>
      <c r="M32" s="740">
        <v>1</v>
      </c>
      <c r="N32" s="151">
        <f>ROUND(J32*(1+kopsavilkums!$O$8),2)</f>
        <v>2125.73</v>
      </c>
      <c r="O32" s="61">
        <f t="shared" si="9"/>
        <v>0</v>
      </c>
      <c r="P32" s="61">
        <f>ROUND(L32*(1+kopsavilkums!$O$8),2)</f>
        <v>0</v>
      </c>
      <c r="Q32" s="61">
        <f t="shared" si="10"/>
        <v>203.73000000000002</v>
      </c>
      <c r="R32" s="61">
        <f t="shared" si="11"/>
        <v>203.73000000000002</v>
      </c>
      <c r="S32" s="61">
        <f t="shared" si="12"/>
        <v>2444.7600000000002</v>
      </c>
      <c r="T32" s="61">
        <f>ROUND(S32*kopsavilkums!$O$23,2)</f>
        <v>576.72</v>
      </c>
      <c r="U32" s="152">
        <f t="shared" si="13"/>
        <v>3021.4800000000005</v>
      </c>
      <c r="V32" s="75"/>
      <c r="W32" s="66"/>
      <c r="X32" s="72"/>
      <c r="Y32" s="72"/>
      <c r="Z32" s="557"/>
      <c r="AA32" s="557"/>
      <c r="AB32" s="57"/>
      <c r="AC32" s="57"/>
      <c r="AD32" s="57"/>
      <c r="AE32" s="57"/>
      <c r="AF32" s="57"/>
      <c r="AG32" s="57"/>
      <c r="AH32" s="57"/>
      <c r="AI32" s="57"/>
      <c r="AJ32" s="137"/>
      <c r="AM32" s="57"/>
      <c r="AN32" s="57"/>
      <c r="AO32" s="57"/>
      <c r="AP32" s="57"/>
      <c r="AQ32" s="57"/>
      <c r="AR32" s="57"/>
      <c r="AS32" s="57"/>
      <c r="AT32" s="57"/>
      <c r="AU32" s="57"/>
      <c r="AV32" s="57"/>
      <c r="AW32" s="137"/>
    </row>
    <row r="33" spans="1:49" x14ac:dyDescent="0.25">
      <c r="A33" s="742" t="s">
        <v>36</v>
      </c>
      <c r="B33" s="738" t="s">
        <v>463</v>
      </c>
      <c r="C33" s="743" t="s">
        <v>662</v>
      </c>
      <c r="D33" s="744">
        <v>13</v>
      </c>
      <c r="E33" s="738" t="s">
        <v>13</v>
      </c>
      <c r="F33" s="738">
        <v>9</v>
      </c>
      <c r="G33" s="740" t="s">
        <v>850</v>
      </c>
      <c r="H33" s="740"/>
      <c r="I33" s="740">
        <v>2067</v>
      </c>
      <c r="J33" s="740">
        <v>1793</v>
      </c>
      <c r="K33" s="740">
        <v>0</v>
      </c>
      <c r="L33" s="740">
        <v>0</v>
      </c>
      <c r="M33" s="740">
        <v>11.6</v>
      </c>
      <c r="N33" s="151">
        <f>ROUND(J33*(1+kopsavilkums!$O$8),2)</f>
        <v>1983.06</v>
      </c>
      <c r="O33" s="61">
        <f t="shared" si="7"/>
        <v>0</v>
      </c>
      <c r="P33" s="61">
        <f>ROUND(L33*(1+kopsavilkums!$O$8),2)</f>
        <v>0</v>
      </c>
      <c r="Q33" s="61">
        <f>(N33+P33)-(J33+L33)</f>
        <v>190.05999999999995</v>
      </c>
      <c r="R33" s="61">
        <f t="shared" si="4"/>
        <v>2204.6959999999995</v>
      </c>
      <c r="S33" s="61">
        <f t="shared" si="5"/>
        <v>26456.351999999992</v>
      </c>
      <c r="T33" s="61">
        <f>ROUND(S33*kopsavilkums!$O$23,2)</f>
        <v>6241.05</v>
      </c>
      <c r="U33" s="152">
        <f t="shared" si="8"/>
        <v>32697.401999999991</v>
      </c>
      <c r="V33" s="75"/>
      <c r="W33" s="66"/>
      <c r="X33" s="72"/>
      <c r="Y33" s="72"/>
      <c r="Z33" s="557"/>
      <c r="AA33" s="557"/>
      <c r="AB33" s="57"/>
      <c r="AC33" s="57"/>
      <c r="AD33" s="57"/>
      <c r="AE33" s="57"/>
      <c r="AF33" s="57"/>
      <c r="AG33" s="57"/>
      <c r="AH33" s="57"/>
      <c r="AI33" s="57"/>
      <c r="AJ33" s="137"/>
      <c r="AM33" s="57"/>
      <c r="AN33" s="57"/>
      <c r="AO33" s="57"/>
      <c r="AP33" s="57"/>
      <c r="AQ33" s="57"/>
      <c r="AR33" s="57"/>
      <c r="AS33" s="57"/>
      <c r="AT33" s="57"/>
      <c r="AU33" s="57"/>
      <c r="AV33" s="57"/>
      <c r="AW33" s="137"/>
    </row>
    <row r="34" spans="1:49" x14ac:dyDescent="0.25">
      <c r="A34" s="742" t="s">
        <v>36</v>
      </c>
      <c r="B34" s="738" t="s">
        <v>463</v>
      </c>
      <c r="C34" s="743" t="s">
        <v>668</v>
      </c>
      <c r="D34" s="744">
        <v>13</v>
      </c>
      <c r="E34" s="738" t="s">
        <v>13</v>
      </c>
      <c r="F34" s="738">
        <v>9</v>
      </c>
      <c r="G34" s="740"/>
      <c r="H34" s="740"/>
      <c r="I34" s="740">
        <v>2067</v>
      </c>
      <c r="J34" s="740">
        <v>1793</v>
      </c>
      <c r="K34" s="740">
        <v>0</v>
      </c>
      <c r="L34" s="740">
        <v>0</v>
      </c>
      <c r="M34" s="740">
        <v>14.3</v>
      </c>
      <c r="N34" s="151">
        <f>ROUND(J34*(1+kopsavilkums!$O$8),2)</f>
        <v>1983.06</v>
      </c>
      <c r="O34" s="61">
        <f t="shared" si="7"/>
        <v>0</v>
      </c>
      <c r="P34" s="61">
        <f>ROUND(L34*(1+kopsavilkums!$O$8),2)</f>
        <v>0</v>
      </c>
      <c r="Q34" s="61">
        <f>(N34+P34)-(J34+L34)</f>
        <v>190.05999999999995</v>
      </c>
      <c r="R34" s="61">
        <f t="shared" ref="R34" si="24">Q34*M34</f>
        <v>2717.8579999999993</v>
      </c>
      <c r="S34" s="61">
        <f t="shared" ref="S34" si="25">R34*12</f>
        <v>32614.295999999991</v>
      </c>
      <c r="T34" s="61">
        <f>ROUND(S34*kopsavilkums!$O$23,2)</f>
        <v>7693.71</v>
      </c>
      <c r="U34" s="152">
        <f t="shared" ref="U34" si="26">SUM(S34:T34)</f>
        <v>40308.005999999994</v>
      </c>
      <c r="V34" s="75"/>
      <c r="W34" s="66"/>
      <c r="X34" s="72"/>
      <c r="Y34" s="72"/>
      <c r="Z34" s="557"/>
      <c r="AA34" s="557"/>
      <c r="AB34" s="57"/>
      <c r="AC34" s="57"/>
      <c r="AD34" s="57"/>
      <c r="AE34" s="57"/>
      <c r="AF34" s="57"/>
      <c r="AG34" s="57"/>
      <c r="AH34" s="57"/>
      <c r="AI34" s="57"/>
      <c r="AJ34" s="137"/>
      <c r="AM34" s="57"/>
      <c r="AN34" s="57"/>
      <c r="AO34" s="57"/>
      <c r="AP34" s="57"/>
      <c r="AQ34" s="57"/>
      <c r="AR34" s="57"/>
      <c r="AS34" s="57"/>
      <c r="AT34" s="57"/>
      <c r="AU34" s="57"/>
      <c r="AV34" s="57"/>
      <c r="AW34" s="137"/>
    </row>
    <row r="35" spans="1:49" ht="15.75" thickBot="1" x14ac:dyDescent="0.3">
      <c r="A35" s="5" t="s">
        <v>32</v>
      </c>
      <c r="B35" s="490"/>
      <c r="C35" s="490"/>
      <c r="D35" s="6" t="s">
        <v>29</v>
      </c>
      <c r="E35" s="7" t="s">
        <v>29</v>
      </c>
      <c r="F35" s="7" t="s">
        <v>29</v>
      </c>
      <c r="G35" s="7"/>
      <c r="H35" s="7"/>
      <c r="I35" s="7" t="s">
        <v>29</v>
      </c>
      <c r="J35" s="7" t="s">
        <v>29</v>
      </c>
      <c r="K35" s="7" t="s">
        <v>29</v>
      </c>
      <c r="L35" s="350"/>
      <c r="M35" s="145">
        <f>SUM(M17:M34)</f>
        <v>64.2</v>
      </c>
      <c r="N35" s="164"/>
      <c r="O35" s="165"/>
      <c r="P35" s="165"/>
      <c r="Q35" s="165"/>
      <c r="R35" s="165"/>
      <c r="S35" s="165"/>
      <c r="T35" s="165"/>
      <c r="U35" s="170"/>
      <c r="X35" s="72"/>
      <c r="Y35" s="72"/>
      <c r="Z35" s="72"/>
      <c r="AA35" s="72"/>
      <c r="AG35" s="57"/>
      <c r="AT35" s="57"/>
    </row>
    <row r="36" spans="1:49" x14ac:dyDescent="0.25">
      <c r="A36" s="54" t="s">
        <v>138</v>
      </c>
      <c r="B36" s="491"/>
      <c r="C36" s="491"/>
      <c r="D36" s="53"/>
      <c r="E36" s="53"/>
      <c r="F36" s="53"/>
      <c r="G36" s="53"/>
      <c r="H36" s="53"/>
      <c r="I36" s="52"/>
      <c r="J36" s="52"/>
      <c r="K36" s="52"/>
      <c r="L36" s="351"/>
      <c r="M36" s="146">
        <f>M35</f>
        <v>64.2</v>
      </c>
      <c r="N36" s="171"/>
      <c r="O36" s="172"/>
      <c r="P36" s="172"/>
      <c r="Q36" s="172"/>
      <c r="R36" s="172"/>
      <c r="S36" s="172"/>
      <c r="T36" s="172"/>
      <c r="U36" s="174"/>
      <c r="W36" s="65"/>
      <c r="X36" s="72"/>
      <c r="Y36" s="72"/>
      <c r="Z36" s="72"/>
      <c r="AA36" s="72"/>
      <c r="AG36" s="65"/>
      <c r="AH36" s="65"/>
      <c r="AI36" s="65"/>
      <c r="AT36" s="65"/>
      <c r="AU36" s="65"/>
      <c r="AV36" s="65"/>
    </row>
    <row r="37" spans="1:49" ht="15.75" thickBot="1" x14ac:dyDescent="0.3">
      <c r="N37" s="103"/>
      <c r="O37" s="163"/>
      <c r="P37" s="163"/>
      <c r="Q37" s="163"/>
      <c r="R37" s="163"/>
      <c r="S37" s="163"/>
      <c r="T37" s="163"/>
      <c r="U37" s="104"/>
      <c r="X37" s="72"/>
      <c r="Y37" s="72"/>
      <c r="Z37" s="72"/>
      <c r="AA37" s="72"/>
    </row>
    <row r="38" spans="1:49" x14ac:dyDescent="0.25">
      <c r="A38" s="983" t="s">
        <v>139</v>
      </c>
      <c r="B38" s="984"/>
      <c r="C38" s="984"/>
      <c r="D38" s="985"/>
      <c r="E38" s="985"/>
      <c r="F38" s="985"/>
      <c r="G38" s="985"/>
      <c r="H38" s="985"/>
      <c r="I38" s="985"/>
      <c r="J38" s="985"/>
      <c r="K38" s="985"/>
      <c r="L38" s="986"/>
      <c r="M38" s="986"/>
      <c r="N38" s="167"/>
      <c r="O38" s="168"/>
      <c r="P38" s="168"/>
      <c r="Q38" s="168"/>
      <c r="R38" s="168"/>
      <c r="S38" s="168"/>
      <c r="T38" s="168"/>
      <c r="U38" s="169"/>
      <c r="X38" s="72"/>
      <c r="Y38" s="72"/>
      <c r="Z38" s="72"/>
      <c r="AA38" s="72"/>
    </row>
    <row r="39" spans="1:49" x14ac:dyDescent="0.25">
      <c r="A39" s="1010" t="s">
        <v>140</v>
      </c>
      <c r="B39" s="1011"/>
      <c r="C39" s="1011"/>
      <c r="D39" s="1011"/>
      <c r="E39" s="1011"/>
      <c r="F39" s="1011"/>
      <c r="G39" s="1011"/>
      <c r="H39" s="1011"/>
      <c r="I39" s="1011"/>
      <c r="J39" s="1011"/>
      <c r="K39" s="1011"/>
      <c r="L39" s="1011"/>
      <c r="M39" s="1011"/>
      <c r="N39" s="156"/>
      <c r="O39" s="154"/>
      <c r="P39" s="154"/>
      <c r="Q39" s="154"/>
      <c r="R39" s="154"/>
      <c r="S39" s="154"/>
      <c r="T39" s="154"/>
      <c r="U39" s="269">
        <f>SUM(U41,U43:U44)</f>
        <v>8802.08</v>
      </c>
      <c r="X39" s="72"/>
      <c r="Y39" s="72"/>
      <c r="Z39" s="72"/>
      <c r="AA39" s="72"/>
    </row>
    <row r="40" spans="1:49" x14ac:dyDescent="0.25">
      <c r="A40" s="1014" t="s">
        <v>8</v>
      </c>
      <c r="B40" s="1015"/>
      <c r="C40" s="1015"/>
      <c r="D40" s="1015"/>
      <c r="E40" s="1015"/>
      <c r="F40" s="1015"/>
      <c r="G40" s="1015"/>
      <c r="H40" s="1015"/>
      <c r="I40" s="1015"/>
      <c r="J40" s="1015"/>
      <c r="K40" s="1015"/>
      <c r="L40" s="1015"/>
      <c r="M40" s="1015"/>
      <c r="N40" s="157"/>
      <c r="O40" s="155"/>
      <c r="P40" s="155"/>
      <c r="Q40" s="155"/>
      <c r="R40" s="155"/>
      <c r="S40" s="155"/>
      <c r="T40" s="155"/>
      <c r="U40" s="158"/>
      <c r="X40" s="72"/>
      <c r="Y40" s="72"/>
      <c r="Z40" s="72"/>
      <c r="AA40" s="72"/>
    </row>
    <row r="41" spans="1:49" x14ac:dyDescent="0.25">
      <c r="A41" s="627" t="s">
        <v>12</v>
      </c>
      <c r="B41" s="628" t="s">
        <v>465</v>
      </c>
      <c r="C41" s="629" t="s">
        <v>660</v>
      </c>
      <c r="D41" s="551" t="s">
        <v>397</v>
      </c>
      <c r="E41" s="552" t="s">
        <v>13</v>
      </c>
      <c r="F41" s="552">
        <v>9</v>
      </c>
      <c r="G41" s="552">
        <v>1157</v>
      </c>
      <c r="H41" s="552">
        <v>1653</v>
      </c>
      <c r="I41" s="552">
        <v>2067</v>
      </c>
      <c r="J41" s="585">
        <v>1461</v>
      </c>
      <c r="K41" s="586">
        <v>365.25</v>
      </c>
      <c r="L41" s="590">
        <v>365.25</v>
      </c>
      <c r="M41" s="615">
        <v>1</v>
      </c>
      <c r="N41" s="151">
        <f>ROUND(J41*(1+kopsavilkums!$O$8),2)</f>
        <v>1615.87</v>
      </c>
      <c r="O41" s="61">
        <f>P41-L41</f>
        <v>38.720000000000027</v>
      </c>
      <c r="P41" s="61">
        <f>ROUND(L41*(1+kopsavilkums!$O$8),2)</f>
        <v>403.97</v>
      </c>
      <c r="Q41" s="61">
        <f>(N41+P41)-(J41+L41)</f>
        <v>193.58999999999992</v>
      </c>
      <c r="R41" s="61">
        <f>Q41*M41</f>
        <v>193.58999999999992</v>
      </c>
      <c r="S41" s="61">
        <f t="shared" ref="S41:S44" si="27">R41*12</f>
        <v>2323.079999999999</v>
      </c>
      <c r="T41" s="61">
        <f>ROUND(S41*kopsavilkums!$O$23,2)</f>
        <v>548.01</v>
      </c>
      <c r="U41" s="152">
        <f t="shared" ref="U41" si="28">SUM(S41:T41)</f>
        <v>2871.0899999999992</v>
      </c>
      <c r="V41" s="75"/>
      <c r="W41" s="66"/>
      <c r="X41" s="72" t="s">
        <v>832</v>
      </c>
      <c r="Y41" s="72" t="s">
        <v>660</v>
      </c>
      <c r="Z41" s="557" t="s">
        <v>833</v>
      </c>
      <c r="AA41" s="557"/>
      <c r="AB41" s="57"/>
      <c r="AC41" s="57"/>
      <c r="AD41" s="57"/>
      <c r="AE41" s="57"/>
      <c r="AF41" s="57"/>
      <c r="AG41" s="57"/>
      <c r="AH41" s="57"/>
      <c r="AI41" s="57"/>
      <c r="AJ41" s="137"/>
      <c r="AM41" s="57"/>
      <c r="AN41" s="57"/>
      <c r="AO41" s="57"/>
      <c r="AP41" s="57"/>
      <c r="AQ41" s="57"/>
      <c r="AR41" s="57"/>
      <c r="AS41" s="57"/>
      <c r="AT41" s="57"/>
      <c r="AU41" s="57"/>
      <c r="AV41" s="57"/>
      <c r="AW41" s="137"/>
    </row>
    <row r="42" spans="1:49" x14ac:dyDescent="0.25">
      <c r="A42" s="981" t="s">
        <v>14</v>
      </c>
      <c r="B42" s="982"/>
      <c r="C42" s="982"/>
      <c r="D42" s="982"/>
      <c r="E42" s="982"/>
      <c r="F42" s="982"/>
      <c r="G42" s="982"/>
      <c r="H42" s="982"/>
      <c r="I42" s="982"/>
      <c r="J42" s="982"/>
      <c r="K42" s="982"/>
      <c r="L42" s="982"/>
      <c r="M42" s="982"/>
      <c r="N42" s="157"/>
      <c r="O42" s="155"/>
      <c r="P42" s="155"/>
      <c r="Q42" s="155"/>
      <c r="R42" s="155"/>
      <c r="S42" s="155"/>
      <c r="T42" s="155"/>
      <c r="U42" s="158"/>
      <c r="X42" s="72"/>
      <c r="Y42" s="72"/>
      <c r="Z42" s="72"/>
      <c r="AA42" s="72"/>
    </row>
    <row r="43" spans="1:49" x14ac:dyDescent="0.25">
      <c r="A43" s="627" t="s">
        <v>107</v>
      </c>
      <c r="B43" s="629" t="s">
        <v>486</v>
      </c>
      <c r="C43" s="629" t="s">
        <v>661</v>
      </c>
      <c r="D43" s="551" t="s">
        <v>397</v>
      </c>
      <c r="E43" s="552" t="s">
        <v>21</v>
      </c>
      <c r="F43" s="552">
        <v>7</v>
      </c>
      <c r="G43" s="552">
        <v>905</v>
      </c>
      <c r="H43" s="552">
        <v>1293</v>
      </c>
      <c r="I43" s="552">
        <v>1682</v>
      </c>
      <c r="J43" s="585">
        <v>1240</v>
      </c>
      <c r="K43" s="586">
        <v>310</v>
      </c>
      <c r="L43" s="590">
        <v>310</v>
      </c>
      <c r="M43" s="615">
        <v>3</v>
      </c>
      <c r="N43" s="151">
        <f>ROUND(J43*(1+kopsavilkums!$O$12),2)</f>
        <v>1320.6</v>
      </c>
      <c r="O43" s="61">
        <f>P43-L43</f>
        <v>20.149999999999977</v>
      </c>
      <c r="P43" s="61">
        <f>ROUND(L43*(1+kopsavilkums!$O$12),2)</f>
        <v>330.15</v>
      </c>
      <c r="Q43" s="61">
        <f>(N43+P43)-(J43+L43)</f>
        <v>100.75</v>
      </c>
      <c r="R43" s="61">
        <f>Q43*M43</f>
        <v>302.25</v>
      </c>
      <c r="S43" s="61">
        <f t="shared" si="27"/>
        <v>3627</v>
      </c>
      <c r="T43" s="61">
        <f>ROUND(S43*kopsavilkums!$O$23,2)</f>
        <v>855.61</v>
      </c>
      <c r="U43" s="152">
        <f t="shared" ref="U43" si="29">SUM(S43:T43)</f>
        <v>4482.6099999999997</v>
      </c>
      <c r="V43" s="75"/>
      <c r="W43" s="66"/>
      <c r="X43" s="72" t="s">
        <v>832</v>
      </c>
      <c r="Y43" s="72" t="s">
        <v>661</v>
      </c>
      <c r="Z43" s="557" t="s">
        <v>833</v>
      </c>
      <c r="AA43" s="557"/>
      <c r="AB43" s="57"/>
      <c r="AC43" s="57"/>
      <c r="AD43" s="57"/>
      <c r="AE43" s="57"/>
      <c r="AF43" s="57"/>
      <c r="AG43" s="57"/>
      <c r="AH43" s="57"/>
      <c r="AI43" s="57"/>
      <c r="AJ43" s="137"/>
      <c r="AM43" s="57"/>
      <c r="AN43" s="57"/>
      <c r="AO43" s="57"/>
      <c r="AP43" s="57"/>
      <c r="AQ43" s="57"/>
      <c r="AR43" s="57"/>
      <c r="AS43" s="57"/>
      <c r="AT43" s="57"/>
      <c r="AU43" s="57"/>
      <c r="AV43" s="57"/>
      <c r="AW43" s="137"/>
    </row>
    <row r="44" spans="1:49" x14ac:dyDescent="0.25">
      <c r="A44" s="627" t="s">
        <v>107</v>
      </c>
      <c r="B44" s="629" t="s">
        <v>486</v>
      </c>
      <c r="C44" s="629" t="s">
        <v>661</v>
      </c>
      <c r="D44" s="551" t="s">
        <v>397</v>
      </c>
      <c r="E44" s="552" t="s">
        <v>21</v>
      </c>
      <c r="F44" s="552">
        <v>7</v>
      </c>
      <c r="G44" s="552">
        <v>905</v>
      </c>
      <c r="H44" s="552">
        <v>1293</v>
      </c>
      <c r="I44" s="552">
        <v>1682</v>
      </c>
      <c r="J44" s="585">
        <v>1202</v>
      </c>
      <c r="K44" s="586">
        <v>300.5</v>
      </c>
      <c r="L44" s="590">
        <v>300.5</v>
      </c>
      <c r="M44" s="615">
        <v>1</v>
      </c>
      <c r="N44" s="151">
        <f>ROUND(J44*(1+kopsavilkums!$O$12),2)</f>
        <v>1280.1300000000001</v>
      </c>
      <c r="O44" s="61">
        <f t="shared" ref="O44" si="30">P44-L44</f>
        <v>19.529999999999973</v>
      </c>
      <c r="P44" s="61">
        <f>ROUND(L44*(1+kopsavilkums!$O$12),2)</f>
        <v>320.02999999999997</v>
      </c>
      <c r="Q44" s="61">
        <f>(N44+P44)-(J44+L44)</f>
        <v>97.660000000000082</v>
      </c>
      <c r="R44" s="61">
        <f>Q44*M44</f>
        <v>97.660000000000082</v>
      </c>
      <c r="S44" s="61">
        <f t="shared" si="27"/>
        <v>1171.920000000001</v>
      </c>
      <c r="T44" s="61">
        <f>ROUND(S44*kopsavilkums!$O$23,2)</f>
        <v>276.45999999999998</v>
      </c>
      <c r="U44" s="152">
        <f t="shared" ref="U44" si="31">SUM(S44:T44)</f>
        <v>1448.380000000001</v>
      </c>
      <c r="V44" s="75"/>
      <c r="W44" s="66"/>
      <c r="X44" s="72" t="s">
        <v>832</v>
      </c>
      <c r="Y44" s="72" t="s">
        <v>661</v>
      </c>
      <c r="Z44" s="557" t="s">
        <v>833</v>
      </c>
      <c r="AA44" s="557"/>
      <c r="AB44" s="57"/>
      <c r="AC44" s="57"/>
      <c r="AD44" s="57"/>
      <c r="AE44" s="57"/>
      <c r="AF44" s="57"/>
      <c r="AG44" s="57"/>
      <c r="AH44" s="57"/>
      <c r="AI44" s="57"/>
      <c r="AJ44" s="137"/>
      <c r="AM44" s="57"/>
      <c r="AN44" s="57"/>
      <c r="AO44" s="57"/>
      <c r="AP44" s="57"/>
      <c r="AQ44" s="57"/>
      <c r="AR44" s="57"/>
      <c r="AS44" s="57"/>
      <c r="AT44" s="57"/>
      <c r="AU44" s="57"/>
      <c r="AV44" s="57"/>
      <c r="AW44" s="137"/>
    </row>
    <row r="45" spans="1:49" x14ac:dyDescent="0.25">
      <c r="A45" s="1010" t="s">
        <v>142</v>
      </c>
      <c r="B45" s="1011"/>
      <c r="C45" s="1011"/>
      <c r="D45" s="1011"/>
      <c r="E45" s="1011"/>
      <c r="F45" s="1011"/>
      <c r="G45" s="1011"/>
      <c r="H45" s="1011"/>
      <c r="I45" s="1011"/>
      <c r="J45" s="1011"/>
      <c r="K45" s="1011"/>
      <c r="L45" s="1011"/>
      <c r="M45" s="1011"/>
      <c r="N45" s="156"/>
      <c r="O45" s="154"/>
      <c r="P45" s="154"/>
      <c r="Q45" s="154"/>
      <c r="R45" s="154"/>
      <c r="S45" s="154"/>
      <c r="T45" s="154"/>
      <c r="U45" s="354">
        <f>SUM(U47:U50,U52:U70)</f>
        <v>38275.901999999973</v>
      </c>
      <c r="X45" s="72"/>
      <c r="Y45" s="72"/>
      <c r="Z45" s="72"/>
      <c r="AA45" s="72"/>
    </row>
    <row r="46" spans="1:49" x14ac:dyDescent="0.25">
      <c r="A46" s="1012" t="s">
        <v>8</v>
      </c>
      <c r="B46" s="1013"/>
      <c r="C46" s="1013"/>
      <c r="D46" s="1013"/>
      <c r="E46" s="1013"/>
      <c r="F46" s="1013"/>
      <c r="G46" s="1013"/>
      <c r="H46" s="1013"/>
      <c r="I46" s="1013"/>
      <c r="J46" s="1013"/>
      <c r="K46" s="1013"/>
      <c r="L46" s="1013"/>
      <c r="M46" s="1013"/>
      <c r="N46" s="157"/>
      <c r="O46" s="155"/>
      <c r="P46" s="155"/>
      <c r="Q46" s="155"/>
      <c r="R46" s="155"/>
      <c r="S46" s="155"/>
      <c r="T46" s="155"/>
      <c r="U46" s="355"/>
      <c r="X46" s="72"/>
      <c r="Y46" s="72"/>
      <c r="Z46" s="72"/>
      <c r="AA46" s="72"/>
    </row>
    <row r="47" spans="1:49" x14ac:dyDescent="0.25">
      <c r="A47" s="582" t="s">
        <v>308</v>
      </c>
      <c r="B47" s="583" t="s">
        <v>703</v>
      </c>
      <c r="C47" s="582" t="s">
        <v>834</v>
      </c>
      <c r="D47" s="584">
        <v>13</v>
      </c>
      <c r="E47" s="552" t="s">
        <v>11</v>
      </c>
      <c r="F47" s="552">
        <v>11</v>
      </c>
      <c r="G47" s="552">
        <v>1746</v>
      </c>
      <c r="H47" s="552">
        <v>2496</v>
      </c>
      <c r="I47" s="552">
        <v>3120</v>
      </c>
      <c r="J47" s="585">
        <v>1746</v>
      </c>
      <c r="K47" s="586">
        <v>10</v>
      </c>
      <c r="L47" s="586">
        <v>10</v>
      </c>
      <c r="M47" s="586">
        <v>1</v>
      </c>
      <c r="N47" s="732">
        <f>ROUND(J47*(1+kopsavilkums!$O$8),2)</f>
        <v>1931.08</v>
      </c>
      <c r="O47" s="61">
        <f>P47-L47</f>
        <v>1.0600000000000005</v>
      </c>
      <c r="P47" s="61">
        <f>ROUND(L47*(1+kopsavilkums!$O$8),2)</f>
        <v>11.06</v>
      </c>
      <c r="Q47" s="61">
        <f>(N47+P47)-(J47+L47)</f>
        <v>186.13999999999987</v>
      </c>
      <c r="R47" s="61">
        <f>Q47*M47</f>
        <v>186.13999999999987</v>
      </c>
      <c r="S47" s="61">
        <f>R47*12</f>
        <v>2233.6799999999985</v>
      </c>
      <c r="T47" s="61">
        <f>ROUND(S47*kopsavilkums!$O$23,2)</f>
        <v>526.92999999999995</v>
      </c>
      <c r="U47" s="152">
        <f>SUM(S47:T47)</f>
        <v>2760.6099999999983</v>
      </c>
      <c r="V47" s="75"/>
      <c r="W47" s="66"/>
      <c r="X47" s="72" t="s">
        <v>838</v>
      </c>
      <c r="Y47" s="72" t="s">
        <v>834</v>
      </c>
      <c r="Z47" s="557" t="s">
        <v>705</v>
      </c>
      <c r="AA47" s="935" t="s">
        <v>706</v>
      </c>
      <c r="AB47" s="57"/>
      <c r="AC47" s="57"/>
      <c r="AD47" s="57"/>
      <c r="AE47" s="57"/>
      <c r="AF47" s="57"/>
      <c r="AG47" s="57"/>
      <c r="AH47" s="57"/>
      <c r="AI47" s="57"/>
      <c r="AJ47" s="137"/>
      <c r="AK47" s="137"/>
      <c r="AM47" s="57"/>
      <c r="AN47" s="57"/>
      <c r="AO47" s="57"/>
      <c r="AP47" s="57"/>
      <c r="AQ47" s="57"/>
      <c r="AR47" s="57"/>
      <c r="AS47" s="57"/>
      <c r="AT47" s="57"/>
      <c r="AU47" s="57"/>
      <c r="AV47" s="57"/>
      <c r="AW47" s="137"/>
    </row>
    <row r="48" spans="1:49" x14ac:dyDescent="0.25">
      <c r="A48" s="582" t="s">
        <v>308</v>
      </c>
      <c r="B48" s="583" t="s">
        <v>703</v>
      </c>
      <c r="C48" s="582" t="s">
        <v>835</v>
      </c>
      <c r="D48" s="584">
        <v>13</v>
      </c>
      <c r="E48" s="552" t="s">
        <v>11</v>
      </c>
      <c r="F48" s="552">
        <v>11</v>
      </c>
      <c r="G48" s="552">
        <v>1746</v>
      </c>
      <c r="H48" s="552">
        <v>2496</v>
      </c>
      <c r="I48" s="552">
        <v>3120</v>
      </c>
      <c r="J48" s="585">
        <v>1746</v>
      </c>
      <c r="K48" s="586">
        <v>10</v>
      </c>
      <c r="L48" s="586">
        <v>10</v>
      </c>
      <c r="M48" s="586">
        <v>1</v>
      </c>
      <c r="N48" s="732">
        <f>ROUND(J48*(1+kopsavilkums!$O$8),2)</f>
        <v>1931.08</v>
      </c>
      <c r="O48" s="61">
        <f t="shared" ref="O48:O50" si="32">P48-L48</f>
        <v>1.0600000000000005</v>
      </c>
      <c r="P48" s="61">
        <f>ROUND(L48*(1+kopsavilkums!$O$8),2)</f>
        <v>11.06</v>
      </c>
      <c r="Q48" s="61">
        <f t="shared" ref="Q48:Q50" si="33">(N48+P48)-(J48+L48)</f>
        <v>186.13999999999987</v>
      </c>
      <c r="R48" s="61">
        <f t="shared" ref="R48:R50" si="34">Q48*M48</f>
        <v>186.13999999999987</v>
      </c>
      <c r="S48" s="61">
        <f t="shared" ref="S48:S50" si="35">R48*12</f>
        <v>2233.6799999999985</v>
      </c>
      <c r="T48" s="61">
        <f>ROUND(S48*kopsavilkums!$O$23,2)</f>
        <v>526.92999999999995</v>
      </c>
      <c r="U48" s="152">
        <f t="shared" ref="U48:U50" si="36">SUM(S48:T48)</f>
        <v>2760.6099999999983</v>
      </c>
      <c r="V48" s="75"/>
      <c r="W48" s="66"/>
      <c r="X48" s="72" t="s">
        <v>838</v>
      </c>
      <c r="Y48" s="72" t="s">
        <v>835</v>
      </c>
      <c r="Z48" s="557" t="s">
        <v>705</v>
      </c>
      <c r="AA48" s="935" t="s">
        <v>706</v>
      </c>
      <c r="AB48" s="57"/>
      <c r="AC48" s="57"/>
      <c r="AD48" s="57"/>
      <c r="AE48" s="57"/>
      <c r="AF48" s="57"/>
      <c r="AG48" s="57"/>
      <c r="AH48" s="57"/>
      <c r="AI48" s="57"/>
      <c r="AJ48" s="137"/>
      <c r="AK48" s="137"/>
      <c r="AM48" s="57"/>
      <c r="AN48" s="57"/>
      <c r="AO48" s="57"/>
      <c r="AP48" s="57"/>
      <c r="AQ48" s="57"/>
      <c r="AR48" s="57"/>
      <c r="AS48" s="57"/>
      <c r="AT48" s="57"/>
      <c r="AU48" s="57"/>
      <c r="AV48" s="57"/>
      <c r="AW48" s="137"/>
    </row>
    <row r="49" spans="1:49" x14ac:dyDescent="0.25">
      <c r="A49" s="582" t="s">
        <v>308</v>
      </c>
      <c r="B49" s="583" t="s">
        <v>703</v>
      </c>
      <c r="C49" s="582" t="s">
        <v>836</v>
      </c>
      <c r="D49" s="584">
        <v>13</v>
      </c>
      <c r="E49" s="552" t="s">
        <v>11</v>
      </c>
      <c r="F49" s="552">
        <v>11</v>
      </c>
      <c r="G49" s="552">
        <v>1746</v>
      </c>
      <c r="H49" s="552">
        <v>2496</v>
      </c>
      <c r="I49" s="552">
        <v>3120</v>
      </c>
      <c r="J49" s="585">
        <v>1746</v>
      </c>
      <c r="K49" s="586">
        <v>10</v>
      </c>
      <c r="L49" s="586">
        <v>10</v>
      </c>
      <c r="M49" s="586">
        <v>1</v>
      </c>
      <c r="N49" s="732">
        <f>ROUND(J49*(1+kopsavilkums!$O$8),2)</f>
        <v>1931.08</v>
      </c>
      <c r="O49" s="61">
        <f t="shared" si="32"/>
        <v>1.0600000000000005</v>
      </c>
      <c r="P49" s="61">
        <f>ROUND(L49*(1+kopsavilkums!$O$8),2)</f>
        <v>11.06</v>
      </c>
      <c r="Q49" s="61">
        <f t="shared" si="33"/>
        <v>186.13999999999987</v>
      </c>
      <c r="R49" s="61">
        <f t="shared" si="34"/>
        <v>186.13999999999987</v>
      </c>
      <c r="S49" s="61">
        <f t="shared" si="35"/>
        <v>2233.6799999999985</v>
      </c>
      <c r="T49" s="61">
        <f>ROUND(S49*kopsavilkums!$O$23,2)</f>
        <v>526.92999999999995</v>
      </c>
      <c r="U49" s="152">
        <f t="shared" si="36"/>
        <v>2760.6099999999983</v>
      </c>
      <c r="V49" s="75"/>
      <c r="W49" s="66"/>
      <c r="X49" s="72" t="s">
        <v>838</v>
      </c>
      <c r="Y49" s="72" t="s">
        <v>836</v>
      </c>
      <c r="Z49" s="557" t="s">
        <v>705</v>
      </c>
      <c r="AA49" s="935" t="s">
        <v>706</v>
      </c>
      <c r="AB49" s="57"/>
      <c r="AC49" s="57"/>
      <c r="AD49" s="57"/>
      <c r="AE49" s="57"/>
      <c r="AF49" s="57"/>
      <c r="AG49" s="57"/>
      <c r="AH49" s="57"/>
      <c r="AI49" s="57"/>
      <c r="AJ49" s="137"/>
      <c r="AK49" s="137"/>
      <c r="AM49" s="57"/>
      <c r="AN49" s="57"/>
      <c r="AO49" s="57"/>
      <c r="AP49" s="57"/>
      <c r="AQ49" s="57"/>
      <c r="AR49" s="57"/>
      <c r="AS49" s="57"/>
      <c r="AT49" s="57"/>
      <c r="AU49" s="57"/>
      <c r="AV49" s="57"/>
      <c r="AW49" s="137"/>
    </row>
    <row r="50" spans="1:49" x14ac:dyDescent="0.25">
      <c r="A50" s="582" t="s">
        <v>308</v>
      </c>
      <c r="B50" s="583" t="s">
        <v>703</v>
      </c>
      <c r="C50" s="582" t="s">
        <v>837</v>
      </c>
      <c r="D50" s="584">
        <v>13</v>
      </c>
      <c r="E50" s="552" t="s">
        <v>11</v>
      </c>
      <c r="F50" s="552">
        <v>11</v>
      </c>
      <c r="G50" s="552">
        <v>1746</v>
      </c>
      <c r="H50" s="552">
        <v>2496</v>
      </c>
      <c r="I50" s="552">
        <v>3120</v>
      </c>
      <c r="J50" s="585">
        <v>1746</v>
      </c>
      <c r="K50" s="586">
        <v>10</v>
      </c>
      <c r="L50" s="586">
        <v>10</v>
      </c>
      <c r="M50" s="586">
        <v>1</v>
      </c>
      <c r="N50" s="732">
        <f>ROUND(J50*(1+kopsavilkums!$O$8),2)</f>
        <v>1931.08</v>
      </c>
      <c r="O50" s="61">
        <f t="shared" si="32"/>
        <v>1.0600000000000005</v>
      </c>
      <c r="P50" s="61">
        <f>ROUND(L50*(1+kopsavilkums!$O$8),2)</f>
        <v>11.06</v>
      </c>
      <c r="Q50" s="61">
        <f t="shared" si="33"/>
        <v>186.13999999999987</v>
      </c>
      <c r="R50" s="61">
        <f t="shared" si="34"/>
        <v>186.13999999999987</v>
      </c>
      <c r="S50" s="61">
        <f t="shared" si="35"/>
        <v>2233.6799999999985</v>
      </c>
      <c r="T50" s="61">
        <f>ROUND(S50*kopsavilkums!$O$23,2)</f>
        <v>526.92999999999995</v>
      </c>
      <c r="U50" s="152">
        <f t="shared" si="36"/>
        <v>2760.6099999999983</v>
      </c>
      <c r="V50" s="75"/>
      <c r="W50" s="66"/>
      <c r="X50" s="72" t="s">
        <v>838</v>
      </c>
      <c r="Y50" s="72" t="s">
        <v>837</v>
      </c>
      <c r="Z50" s="557" t="s">
        <v>705</v>
      </c>
      <c r="AA50" s="935" t="s">
        <v>706</v>
      </c>
      <c r="AB50" s="57"/>
      <c r="AC50" s="57"/>
      <c r="AD50" s="57"/>
      <c r="AE50" s="57"/>
      <c r="AF50" s="57"/>
      <c r="AG50" s="57"/>
      <c r="AH50" s="57"/>
      <c r="AI50" s="57"/>
      <c r="AJ50" s="137"/>
      <c r="AK50" s="137"/>
      <c r="AM50" s="57"/>
      <c r="AN50" s="57"/>
      <c r="AO50" s="57"/>
      <c r="AP50" s="57"/>
      <c r="AQ50" s="57"/>
      <c r="AR50" s="57"/>
      <c r="AS50" s="57"/>
      <c r="AT50" s="57"/>
      <c r="AU50" s="57"/>
      <c r="AV50" s="57"/>
      <c r="AW50" s="137"/>
    </row>
    <row r="51" spans="1:49" x14ac:dyDescent="0.25">
      <c r="A51" s="981" t="s">
        <v>25</v>
      </c>
      <c r="B51" s="982"/>
      <c r="C51" s="982"/>
      <c r="D51" s="982"/>
      <c r="E51" s="982"/>
      <c r="F51" s="982"/>
      <c r="G51" s="982"/>
      <c r="H51" s="982"/>
      <c r="I51" s="982"/>
      <c r="J51" s="982"/>
      <c r="K51" s="982"/>
      <c r="L51" s="982"/>
      <c r="M51" s="982"/>
      <c r="N51" s="161"/>
      <c r="O51" s="162"/>
      <c r="P51" s="162"/>
      <c r="Q51" s="162"/>
      <c r="R51" s="162"/>
      <c r="S51" s="162"/>
      <c r="T51" s="162"/>
      <c r="U51" s="356"/>
      <c r="W51" s="65"/>
      <c r="X51" s="72"/>
      <c r="Y51" s="72"/>
      <c r="Z51" s="72"/>
      <c r="AA51" s="935"/>
      <c r="AG51" s="65"/>
      <c r="AH51" s="65"/>
      <c r="AI51" s="65"/>
      <c r="AT51" s="65"/>
      <c r="AU51" s="65"/>
      <c r="AV51" s="65"/>
    </row>
    <row r="52" spans="1:49" x14ac:dyDescent="0.25">
      <c r="A52" s="562" t="s">
        <v>699</v>
      </c>
      <c r="B52" s="563" t="s">
        <v>589</v>
      </c>
      <c r="C52" s="564" t="s">
        <v>547</v>
      </c>
      <c r="D52" s="565">
        <v>13</v>
      </c>
      <c r="E52" s="565" t="s">
        <v>11</v>
      </c>
      <c r="F52" s="565">
        <v>11</v>
      </c>
      <c r="G52" s="566">
        <v>1746</v>
      </c>
      <c r="H52" s="566">
        <v>2496</v>
      </c>
      <c r="I52" s="567">
        <v>3120</v>
      </c>
      <c r="J52" s="567">
        <v>2200</v>
      </c>
      <c r="K52" s="567"/>
      <c r="L52" s="568">
        <v>220</v>
      </c>
      <c r="M52" s="569">
        <v>0.7</v>
      </c>
      <c r="N52" s="151">
        <f>ROUND(J52*(1+kopsavilkums!$O$15),2)</f>
        <v>2351.8000000000002</v>
      </c>
      <c r="O52" s="61">
        <f>P52-L52</f>
        <v>15.180000000000007</v>
      </c>
      <c r="P52" s="61">
        <f>ROUND(L52*(1+kopsavilkums!$O$15),2)</f>
        <v>235.18</v>
      </c>
      <c r="Q52" s="61">
        <f t="shared" ref="Q52:Q70" si="37">(N52+P52)-(J52+L52)</f>
        <v>166.98000000000002</v>
      </c>
      <c r="R52" s="61">
        <f>Q52*M52</f>
        <v>116.88600000000001</v>
      </c>
      <c r="S52" s="61">
        <f t="shared" ref="S52:S70" si="38">R52*12</f>
        <v>1402.6320000000001</v>
      </c>
      <c r="T52" s="61">
        <f>ROUND(S52*kopsavilkums!$O$23,2)</f>
        <v>330.88</v>
      </c>
      <c r="U52" s="909">
        <f t="shared" ref="U52:U70" si="39">SUM(S52:T52)</f>
        <v>1733.5120000000002</v>
      </c>
      <c r="V52" s="1004" t="s">
        <v>973</v>
      </c>
      <c r="W52" s="66"/>
      <c r="X52" s="72"/>
      <c r="Y52" s="575" t="s">
        <v>547</v>
      </c>
      <c r="Z52" s="575" t="s">
        <v>698</v>
      </c>
      <c r="AA52" s="935" t="s">
        <v>707</v>
      </c>
      <c r="AB52" s="57"/>
      <c r="AC52" s="57"/>
      <c r="AD52" s="57"/>
      <c r="AE52" s="57"/>
      <c r="AF52" s="57"/>
      <c r="AG52" s="57"/>
      <c r="AH52" s="57"/>
      <c r="AI52" s="57"/>
      <c r="AJ52" s="137"/>
      <c r="AM52" s="57"/>
      <c r="AN52" s="57"/>
      <c r="AO52" s="57"/>
      <c r="AP52" s="57"/>
      <c r="AQ52" s="57"/>
      <c r="AR52" s="57"/>
      <c r="AS52" s="57"/>
      <c r="AT52" s="57"/>
      <c r="AU52" s="57"/>
      <c r="AV52" s="57"/>
      <c r="AW52" s="137"/>
    </row>
    <row r="53" spans="1:49" x14ac:dyDescent="0.25">
      <c r="A53" s="562" t="s">
        <v>700</v>
      </c>
      <c r="B53" s="563" t="s">
        <v>560</v>
      </c>
      <c r="C53" s="564" t="s">
        <v>547</v>
      </c>
      <c r="D53" s="565">
        <v>13</v>
      </c>
      <c r="E53" s="565" t="s">
        <v>13</v>
      </c>
      <c r="F53" s="565">
        <v>9</v>
      </c>
      <c r="G53" s="566">
        <v>1157</v>
      </c>
      <c r="H53" s="566">
        <v>1653</v>
      </c>
      <c r="I53" s="567">
        <v>2067</v>
      </c>
      <c r="J53" s="567">
        <v>1800</v>
      </c>
      <c r="K53" s="567"/>
      <c r="L53" s="568">
        <v>180</v>
      </c>
      <c r="M53" s="569">
        <v>0.3</v>
      </c>
      <c r="N53" s="151">
        <f>ROUND(J53*(1+kopsavilkums!$O$15),2)</f>
        <v>1924.2</v>
      </c>
      <c r="O53" s="61">
        <f t="shared" ref="O53:O70" si="40">P53-L53</f>
        <v>12.419999999999987</v>
      </c>
      <c r="P53" s="61">
        <f>ROUND(L53*(1+kopsavilkums!$O$15),2)</f>
        <v>192.42</v>
      </c>
      <c r="Q53" s="61">
        <f t="shared" si="37"/>
        <v>136.61999999999989</v>
      </c>
      <c r="R53" s="61">
        <f t="shared" ref="R53:R70" si="41">Q53*M53</f>
        <v>40.985999999999969</v>
      </c>
      <c r="S53" s="61">
        <f t="shared" si="38"/>
        <v>491.83199999999965</v>
      </c>
      <c r="T53" s="61">
        <f>ROUND(S53*kopsavilkums!$O$23,2)</f>
        <v>116.02</v>
      </c>
      <c r="U53" s="909">
        <f t="shared" si="39"/>
        <v>607.85199999999963</v>
      </c>
      <c r="V53" s="1004"/>
      <c r="W53" s="66"/>
      <c r="X53" s="72"/>
      <c r="Y53" s="575" t="s">
        <v>547</v>
      </c>
      <c r="Z53" s="575" t="s">
        <v>698</v>
      </c>
      <c r="AA53" s="935" t="s">
        <v>707</v>
      </c>
      <c r="AB53" s="57"/>
      <c r="AC53" s="57"/>
      <c r="AD53" s="57"/>
      <c r="AE53" s="57"/>
      <c r="AF53" s="57"/>
      <c r="AG53" s="57"/>
      <c r="AH53" s="57"/>
      <c r="AI53" s="57"/>
      <c r="AJ53" s="137"/>
      <c r="AM53" s="57"/>
      <c r="AN53" s="57"/>
      <c r="AO53" s="57"/>
      <c r="AP53" s="57"/>
      <c r="AQ53" s="57"/>
      <c r="AR53" s="57"/>
      <c r="AS53" s="57"/>
      <c r="AT53" s="57"/>
      <c r="AU53" s="57"/>
      <c r="AV53" s="57"/>
      <c r="AW53" s="137"/>
    </row>
    <row r="54" spans="1:49" x14ac:dyDescent="0.25">
      <c r="A54" s="562" t="s">
        <v>135</v>
      </c>
      <c r="B54" s="563" t="s">
        <v>565</v>
      </c>
      <c r="C54" s="564"/>
      <c r="D54" s="565" t="s">
        <v>392</v>
      </c>
      <c r="E54" s="565" t="s">
        <v>702</v>
      </c>
      <c r="F54" s="565">
        <v>8</v>
      </c>
      <c r="G54" s="566">
        <v>967</v>
      </c>
      <c r="H54" s="566">
        <v>1388</v>
      </c>
      <c r="I54" s="567">
        <v>1796</v>
      </c>
      <c r="J54" s="567">
        <v>1800</v>
      </c>
      <c r="K54" s="567"/>
      <c r="L54" s="568">
        <v>180</v>
      </c>
      <c r="M54" s="569">
        <v>0.6</v>
      </c>
      <c r="N54" s="151">
        <f>ROUND(J54*(1+kopsavilkums!$O$15),2)</f>
        <v>1924.2</v>
      </c>
      <c r="O54" s="61">
        <f t="shared" si="40"/>
        <v>12.419999999999987</v>
      </c>
      <c r="P54" s="61">
        <f>ROUND(L54*(1+kopsavilkums!$O$15),2)</f>
        <v>192.42</v>
      </c>
      <c r="Q54" s="61">
        <f t="shared" si="37"/>
        <v>136.61999999999989</v>
      </c>
      <c r="R54" s="61">
        <f t="shared" si="41"/>
        <v>81.971999999999937</v>
      </c>
      <c r="S54" s="61">
        <f t="shared" si="38"/>
        <v>983.66399999999931</v>
      </c>
      <c r="T54" s="61">
        <f>ROUND(S54*kopsavilkums!$O$23,2)</f>
        <v>232.05</v>
      </c>
      <c r="U54" s="909">
        <f t="shared" si="39"/>
        <v>1215.7139999999993</v>
      </c>
      <c r="V54" s="1004"/>
      <c r="W54" s="66"/>
      <c r="X54" s="72"/>
      <c r="Y54" s="575"/>
      <c r="Z54" s="575" t="s">
        <v>698</v>
      </c>
      <c r="AA54" s="935" t="s">
        <v>707</v>
      </c>
      <c r="AB54" s="57"/>
      <c r="AC54" s="57"/>
      <c r="AD54" s="57"/>
      <c r="AE54" s="57"/>
      <c r="AF54" s="57"/>
      <c r="AG54" s="57"/>
      <c r="AH54" s="57"/>
      <c r="AI54" s="57"/>
      <c r="AJ54" s="137"/>
      <c r="AM54" s="57"/>
      <c r="AN54" s="57"/>
      <c r="AO54" s="57"/>
      <c r="AP54" s="57"/>
      <c r="AQ54" s="57"/>
      <c r="AR54" s="57"/>
      <c r="AS54" s="57"/>
      <c r="AT54" s="57"/>
      <c r="AU54" s="57"/>
      <c r="AV54" s="57"/>
      <c r="AW54" s="137"/>
    </row>
    <row r="55" spans="1:49" x14ac:dyDescent="0.25">
      <c r="A55" s="562" t="s">
        <v>135</v>
      </c>
      <c r="B55" s="570" t="s">
        <v>565</v>
      </c>
      <c r="C55" s="564"/>
      <c r="D55" s="565" t="s">
        <v>392</v>
      </c>
      <c r="E55" s="565" t="s">
        <v>702</v>
      </c>
      <c r="F55" s="565">
        <v>8</v>
      </c>
      <c r="G55" s="566">
        <v>967</v>
      </c>
      <c r="H55" s="566">
        <v>1388</v>
      </c>
      <c r="I55" s="567">
        <v>1796</v>
      </c>
      <c r="J55" s="567">
        <v>1800</v>
      </c>
      <c r="K55" s="567"/>
      <c r="L55" s="568">
        <v>180</v>
      </c>
      <c r="M55" s="569">
        <v>0.2</v>
      </c>
      <c r="N55" s="151">
        <f>ROUND(J55*(1+kopsavilkums!$O$15),2)</f>
        <v>1924.2</v>
      </c>
      <c r="O55" s="61">
        <f t="shared" si="40"/>
        <v>12.419999999999987</v>
      </c>
      <c r="P55" s="61">
        <f>ROUND(L55*(1+kopsavilkums!$O$15),2)</f>
        <v>192.42</v>
      </c>
      <c r="Q55" s="61">
        <f t="shared" si="37"/>
        <v>136.61999999999989</v>
      </c>
      <c r="R55" s="61">
        <f t="shared" si="41"/>
        <v>27.32399999999998</v>
      </c>
      <c r="S55" s="61">
        <f t="shared" si="38"/>
        <v>327.88799999999975</v>
      </c>
      <c r="T55" s="61">
        <f>ROUND(S55*kopsavilkums!$O$23,2)</f>
        <v>77.349999999999994</v>
      </c>
      <c r="U55" s="909">
        <f t="shared" si="39"/>
        <v>405.23799999999972</v>
      </c>
      <c r="V55" s="1004"/>
      <c r="W55" s="66"/>
      <c r="X55" s="72"/>
      <c r="Y55" s="575"/>
      <c r="Z55" s="575" t="s">
        <v>698</v>
      </c>
      <c r="AA55" s="935" t="s">
        <v>707</v>
      </c>
      <c r="AB55" s="57"/>
      <c r="AC55" s="57"/>
      <c r="AD55" s="57"/>
      <c r="AE55" s="57"/>
      <c r="AF55" s="57"/>
      <c r="AG55" s="57"/>
      <c r="AH55" s="57"/>
      <c r="AI55" s="57"/>
      <c r="AJ55" s="137"/>
      <c r="AM55" s="57"/>
      <c r="AN55" s="57"/>
      <c r="AO55" s="57"/>
      <c r="AP55" s="57"/>
      <c r="AQ55" s="57"/>
      <c r="AR55" s="57"/>
      <c r="AS55" s="57"/>
      <c r="AT55" s="57"/>
      <c r="AU55" s="57"/>
      <c r="AV55" s="57"/>
      <c r="AW55" s="137"/>
    </row>
    <row r="56" spans="1:49" x14ac:dyDescent="0.25">
      <c r="A56" s="562" t="s">
        <v>135</v>
      </c>
      <c r="B56" s="571" t="s">
        <v>565</v>
      </c>
      <c r="C56" s="571"/>
      <c r="D56" s="565" t="s">
        <v>392</v>
      </c>
      <c r="E56" s="565" t="s">
        <v>702</v>
      </c>
      <c r="F56" s="565">
        <v>8</v>
      </c>
      <c r="G56" s="566">
        <v>967</v>
      </c>
      <c r="H56" s="566">
        <v>1388</v>
      </c>
      <c r="I56" s="567">
        <v>1796</v>
      </c>
      <c r="J56" s="567">
        <v>1800</v>
      </c>
      <c r="K56" s="568"/>
      <c r="L56" s="568">
        <v>180</v>
      </c>
      <c r="M56" s="569">
        <v>0.2</v>
      </c>
      <c r="N56" s="151">
        <f>ROUND(J56*(1+kopsavilkums!$O$15),2)</f>
        <v>1924.2</v>
      </c>
      <c r="O56" s="61">
        <f t="shared" si="40"/>
        <v>12.419999999999987</v>
      </c>
      <c r="P56" s="61">
        <f>ROUND(L56*(1+kopsavilkums!$O$15),2)</f>
        <v>192.42</v>
      </c>
      <c r="Q56" s="61">
        <f t="shared" si="37"/>
        <v>136.61999999999989</v>
      </c>
      <c r="R56" s="61">
        <f t="shared" si="41"/>
        <v>27.32399999999998</v>
      </c>
      <c r="S56" s="61">
        <f t="shared" si="38"/>
        <v>327.88799999999975</v>
      </c>
      <c r="T56" s="61">
        <f>ROUND(S56*kopsavilkums!$O$23,2)</f>
        <v>77.349999999999994</v>
      </c>
      <c r="U56" s="909">
        <f t="shared" si="39"/>
        <v>405.23799999999972</v>
      </c>
      <c r="V56" s="1004"/>
      <c r="W56" s="66"/>
      <c r="X56" s="72"/>
      <c r="Y56" s="575"/>
      <c r="Z56" s="575" t="s">
        <v>698</v>
      </c>
      <c r="AA56" s="935" t="s">
        <v>707</v>
      </c>
      <c r="AB56" s="57"/>
      <c r="AC56" s="57"/>
      <c r="AD56" s="57"/>
      <c r="AE56" s="57"/>
      <c r="AF56" s="57"/>
      <c r="AG56" s="57"/>
      <c r="AH56" s="57"/>
      <c r="AI56" s="57"/>
      <c r="AJ56" s="137"/>
      <c r="AM56" s="57"/>
      <c r="AN56" s="57"/>
      <c r="AO56" s="57"/>
      <c r="AP56" s="57"/>
      <c r="AQ56" s="57"/>
      <c r="AR56" s="57"/>
      <c r="AS56" s="57"/>
      <c r="AT56" s="57"/>
      <c r="AU56" s="57"/>
      <c r="AV56" s="57"/>
      <c r="AW56" s="137"/>
    </row>
    <row r="57" spans="1:49" x14ac:dyDescent="0.25">
      <c r="A57" s="562" t="s">
        <v>135</v>
      </c>
      <c r="B57" s="571" t="s">
        <v>565</v>
      </c>
      <c r="C57" s="571"/>
      <c r="D57" s="565" t="s">
        <v>392</v>
      </c>
      <c r="E57" s="565" t="s">
        <v>702</v>
      </c>
      <c r="F57" s="565">
        <v>8</v>
      </c>
      <c r="G57" s="566">
        <v>967</v>
      </c>
      <c r="H57" s="566">
        <v>1388</v>
      </c>
      <c r="I57" s="567">
        <v>1796</v>
      </c>
      <c r="J57" s="567">
        <v>1700</v>
      </c>
      <c r="K57" s="568"/>
      <c r="L57" s="568">
        <v>170</v>
      </c>
      <c r="M57" s="569">
        <v>0.6</v>
      </c>
      <c r="N57" s="151">
        <f>ROUND(J57*(1+kopsavilkums!$O$15),2)</f>
        <v>1817.3</v>
      </c>
      <c r="O57" s="61">
        <f t="shared" si="40"/>
        <v>11.72999999999999</v>
      </c>
      <c r="P57" s="61">
        <f>ROUND(L57*(1+kopsavilkums!$O$15),2)</f>
        <v>181.73</v>
      </c>
      <c r="Q57" s="61">
        <f t="shared" si="37"/>
        <v>129.02999999999997</v>
      </c>
      <c r="R57" s="61">
        <f t="shared" si="41"/>
        <v>77.417999999999978</v>
      </c>
      <c r="S57" s="61">
        <f t="shared" si="38"/>
        <v>929.01599999999974</v>
      </c>
      <c r="T57" s="61">
        <f>ROUND(S57*kopsavilkums!$O$23,2)</f>
        <v>219.15</v>
      </c>
      <c r="U57" s="909">
        <f t="shared" si="39"/>
        <v>1148.1659999999997</v>
      </c>
      <c r="V57" s="1004"/>
      <c r="W57" s="66"/>
      <c r="X57" s="72"/>
      <c r="Y57" s="575"/>
      <c r="Z57" s="575" t="s">
        <v>698</v>
      </c>
      <c r="AA57" s="935" t="s">
        <v>707</v>
      </c>
      <c r="AB57" s="57"/>
      <c r="AC57" s="57"/>
      <c r="AD57" s="57"/>
      <c r="AE57" s="57"/>
      <c r="AF57" s="57"/>
      <c r="AG57" s="57"/>
      <c r="AH57" s="57"/>
      <c r="AI57" s="57"/>
      <c r="AJ57" s="137"/>
      <c r="AM57" s="57"/>
      <c r="AN57" s="57"/>
      <c r="AO57" s="57"/>
      <c r="AP57" s="57"/>
      <c r="AQ57" s="57"/>
      <c r="AR57" s="57"/>
      <c r="AS57" s="57"/>
      <c r="AT57" s="57"/>
      <c r="AU57" s="57"/>
      <c r="AV57" s="57"/>
      <c r="AW57" s="137"/>
    </row>
    <row r="58" spans="1:49" x14ac:dyDescent="0.25">
      <c r="A58" s="562" t="s">
        <v>267</v>
      </c>
      <c r="B58" s="571" t="s">
        <v>566</v>
      </c>
      <c r="C58" s="571"/>
      <c r="D58" s="565" t="s">
        <v>392</v>
      </c>
      <c r="E58" s="565" t="s">
        <v>21</v>
      </c>
      <c r="F58" s="565">
        <v>8</v>
      </c>
      <c r="G58" s="566">
        <v>967</v>
      </c>
      <c r="H58" s="566">
        <v>1388</v>
      </c>
      <c r="I58" s="567">
        <v>1796</v>
      </c>
      <c r="J58" s="567">
        <v>1150</v>
      </c>
      <c r="K58" s="568"/>
      <c r="L58" s="568">
        <v>115</v>
      </c>
      <c r="M58" s="569">
        <v>0.4</v>
      </c>
      <c r="N58" s="151">
        <f>ROUND(J58*(1+kopsavilkums!$O$15),2)</f>
        <v>1229.3499999999999</v>
      </c>
      <c r="O58" s="61">
        <f t="shared" si="40"/>
        <v>7.9399999999999977</v>
      </c>
      <c r="P58" s="61">
        <f>ROUND(L58*(1+kopsavilkums!$O$15),2)</f>
        <v>122.94</v>
      </c>
      <c r="Q58" s="61">
        <f t="shared" si="37"/>
        <v>87.289999999999964</v>
      </c>
      <c r="R58" s="61">
        <f t="shared" si="41"/>
        <v>34.91599999999999</v>
      </c>
      <c r="S58" s="61">
        <f t="shared" si="38"/>
        <v>418.99199999999985</v>
      </c>
      <c r="T58" s="61">
        <f>ROUND(S58*kopsavilkums!$O$23,2)</f>
        <v>98.84</v>
      </c>
      <c r="U58" s="909">
        <f t="shared" si="39"/>
        <v>517.83199999999988</v>
      </c>
      <c r="V58" s="1004"/>
      <c r="W58" s="66"/>
      <c r="X58" s="72"/>
      <c r="Y58" s="575"/>
      <c r="Z58" s="575" t="s">
        <v>698</v>
      </c>
      <c r="AA58" s="935" t="s">
        <v>707</v>
      </c>
      <c r="AB58" s="57"/>
      <c r="AC58" s="57"/>
      <c r="AD58" s="57"/>
      <c r="AE58" s="57"/>
      <c r="AF58" s="57"/>
      <c r="AG58" s="57"/>
      <c r="AH58" s="57"/>
      <c r="AI58" s="57"/>
      <c r="AJ58" s="137"/>
      <c r="AM58" s="57"/>
      <c r="AN58" s="57"/>
      <c r="AO58" s="57"/>
      <c r="AP58" s="57"/>
      <c r="AQ58" s="57"/>
      <c r="AR58" s="57"/>
      <c r="AS58" s="57"/>
      <c r="AT58" s="57"/>
      <c r="AU58" s="57"/>
      <c r="AV58" s="57"/>
      <c r="AW58" s="137"/>
    </row>
    <row r="59" spans="1:49" x14ac:dyDescent="0.25">
      <c r="A59" s="562" t="s">
        <v>701</v>
      </c>
      <c r="B59" s="571" t="s">
        <v>567</v>
      </c>
      <c r="C59" s="571" t="s">
        <v>568</v>
      </c>
      <c r="D59" s="565" t="s">
        <v>393</v>
      </c>
      <c r="E59" s="565" t="s">
        <v>20</v>
      </c>
      <c r="F59" s="565">
        <v>4</v>
      </c>
      <c r="G59" s="566">
        <v>662</v>
      </c>
      <c r="H59" s="566">
        <v>946</v>
      </c>
      <c r="I59" s="567">
        <v>1228</v>
      </c>
      <c r="J59" s="567">
        <v>940</v>
      </c>
      <c r="K59" s="568"/>
      <c r="L59" s="568">
        <v>94</v>
      </c>
      <c r="M59" s="569">
        <v>1</v>
      </c>
      <c r="N59" s="151">
        <f>ROUND(J59*(1+kopsavilkums!$O$15),2)</f>
        <v>1004.86</v>
      </c>
      <c r="O59" s="61">
        <f t="shared" si="40"/>
        <v>6.4899999999999949</v>
      </c>
      <c r="P59" s="61">
        <f>ROUND(L59*(1+kopsavilkums!$O$15),2)</f>
        <v>100.49</v>
      </c>
      <c r="Q59" s="61">
        <f t="shared" si="37"/>
        <v>71.349999999999909</v>
      </c>
      <c r="R59" s="61">
        <f t="shared" si="41"/>
        <v>71.349999999999909</v>
      </c>
      <c r="S59" s="61">
        <f t="shared" si="38"/>
        <v>856.19999999999891</v>
      </c>
      <c r="T59" s="61">
        <f>ROUND(S59*kopsavilkums!$O$23,2)</f>
        <v>201.98</v>
      </c>
      <c r="U59" s="909">
        <f t="shared" si="39"/>
        <v>1058.1799999999989</v>
      </c>
      <c r="V59" s="1004"/>
      <c r="W59" s="66"/>
      <c r="X59" s="72"/>
      <c r="Y59" s="575" t="s">
        <v>568</v>
      </c>
      <c r="Z59" s="575" t="s">
        <v>698</v>
      </c>
      <c r="AA59" s="935" t="s">
        <v>707</v>
      </c>
      <c r="AB59" s="57"/>
      <c r="AC59" s="57"/>
      <c r="AD59" s="57"/>
      <c r="AE59" s="57"/>
      <c r="AF59" s="57"/>
      <c r="AG59" s="57"/>
      <c r="AH59" s="57"/>
      <c r="AI59" s="57"/>
      <c r="AJ59" s="137"/>
      <c r="AM59" s="57"/>
      <c r="AN59" s="57"/>
      <c r="AO59" s="57"/>
      <c r="AP59" s="57"/>
      <c r="AQ59" s="57"/>
      <c r="AR59" s="57"/>
      <c r="AS59" s="57"/>
      <c r="AT59" s="57"/>
      <c r="AU59" s="57"/>
      <c r="AV59" s="57"/>
      <c r="AW59" s="137"/>
    </row>
    <row r="60" spans="1:49" x14ac:dyDescent="0.25">
      <c r="A60" s="572" t="s">
        <v>701</v>
      </c>
      <c r="B60" s="571" t="s">
        <v>567</v>
      </c>
      <c r="C60" s="571" t="s">
        <v>568</v>
      </c>
      <c r="D60" s="573" t="s">
        <v>393</v>
      </c>
      <c r="E60" s="552" t="s">
        <v>20</v>
      </c>
      <c r="F60" s="552">
        <v>4</v>
      </c>
      <c r="G60" s="552">
        <v>662</v>
      </c>
      <c r="H60" s="552">
        <v>946</v>
      </c>
      <c r="I60" s="567">
        <v>1228</v>
      </c>
      <c r="J60" s="567">
        <v>940</v>
      </c>
      <c r="K60" s="568"/>
      <c r="L60" s="568">
        <v>94</v>
      </c>
      <c r="M60" s="569">
        <v>0.6</v>
      </c>
      <c r="N60" s="151">
        <f>ROUND(J60*(1+kopsavilkums!$O$15),2)</f>
        <v>1004.86</v>
      </c>
      <c r="O60" s="61">
        <f t="shared" si="40"/>
        <v>6.4899999999999949</v>
      </c>
      <c r="P60" s="61">
        <f>ROUND(L60*(1+kopsavilkums!$O$15),2)</f>
        <v>100.49</v>
      </c>
      <c r="Q60" s="61">
        <f t="shared" si="37"/>
        <v>71.349999999999909</v>
      </c>
      <c r="R60" s="61">
        <f t="shared" si="41"/>
        <v>42.809999999999945</v>
      </c>
      <c r="S60" s="61">
        <f t="shared" si="38"/>
        <v>513.71999999999935</v>
      </c>
      <c r="T60" s="61">
        <f>ROUND(S60*kopsavilkums!$O$23,2)</f>
        <v>121.19</v>
      </c>
      <c r="U60" s="909">
        <f t="shared" si="39"/>
        <v>634.9099999999994</v>
      </c>
      <c r="V60" s="1004"/>
      <c r="W60" s="66"/>
      <c r="X60" s="72"/>
      <c r="Y60" s="575" t="s">
        <v>568</v>
      </c>
      <c r="Z60" s="575" t="s">
        <v>698</v>
      </c>
      <c r="AA60" s="935" t="s">
        <v>707</v>
      </c>
      <c r="AB60" s="57"/>
      <c r="AC60" s="57"/>
      <c r="AD60" s="57"/>
      <c r="AE60" s="57"/>
      <c r="AF60" s="57"/>
      <c r="AG60" s="57"/>
      <c r="AH60" s="57"/>
      <c r="AI60" s="57"/>
      <c r="AJ60" s="137"/>
      <c r="AM60" s="57"/>
      <c r="AN60" s="57"/>
      <c r="AO60" s="57"/>
      <c r="AP60" s="57"/>
      <c r="AQ60" s="57"/>
      <c r="AR60" s="57"/>
      <c r="AS60" s="57"/>
      <c r="AT60" s="57"/>
      <c r="AU60" s="57"/>
      <c r="AV60" s="57"/>
      <c r="AW60" s="137"/>
    </row>
    <row r="61" spans="1:49" x14ac:dyDescent="0.25">
      <c r="A61" s="572" t="s">
        <v>701</v>
      </c>
      <c r="B61" s="574" t="s">
        <v>567</v>
      </c>
      <c r="C61" s="574" t="s">
        <v>568</v>
      </c>
      <c r="D61" s="565" t="s">
        <v>393</v>
      </c>
      <c r="E61" s="552" t="s">
        <v>20</v>
      </c>
      <c r="F61" s="552">
        <v>4</v>
      </c>
      <c r="G61" s="552">
        <v>662</v>
      </c>
      <c r="H61" s="552">
        <v>946</v>
      </c>
      <c r="I61" s="567">
        <v>1228</v>
      </c>
      <c r="J61" s="567">
        <v>800</v>
      </c>
      <c r="K61" s="568"/>
      <c r="L61" s="568">
        <v>80</v>
      </c>
      <c r="M61" s="569">
        <v>1</v>
      </c>
      <c r="N61" s="151">
        <f>ROUND(J61*(1+kopsavilkums!$O$15),2)</f>
        <v>855.2</v>
      </c>
      <c r="O61" s="61">
        <f t="shared" si="40"/>
        <v>5.519999999999996</v>
      </c>
      <c r="P61" s="61">
        <f>ROUND(L61*(1+kopsavilkums!$O$15),2)</f>
        <v>85.52</v>
      </c>
      <c r="Q61" s="61">
        <f t="shared" si="37"/>
        <v>60.720000000000027</v>
      </c>
      <c r="R61" s="61">
        <f t="shared" si="41"/>
        <v>60.720000000000027</v>
      </c>
      <c r="S61" s="61">
        <f t="shared" si="38"/>
        <v>728.64000000000033</v>
      </c>
      <c r="T61" s="61">
        <f>ROUND(S61*kopsavilkums!$O$23,2)</f>
        <v>171.89</v>
      </c>
      <c r="U61" s="909">
        <f t="shared" si="39"/>
        <v>900.53000000000031</v>
      </c>
      <c r="V61" s="1004"/>
      <c r="W61" s="66"/>
      <c r="X61" s="72"/>
      <c r="Y61" s="575" t="s">
        <v>568</v>
      </c>
      <c r="Z61" s="575" t="s">
        <v>698</v>
      </c>
      <c r="AA61" s="935" t="s">
        <v>707</v>
      </c>
      <c r="AB61" s="57"/>
      <c r="AC61" s="57"/>
      <c r="AD61" s="57"/>
      <c r="AE61" s="57"/>
      <c r="AF61" s="57"/>
      <c r="AG61" s="57"/>
      <c r="AH61" s="57"/>
      <c r="AI61" s="57"/>
      <c r="AJ61" s="137"/>
      <c r="AM61" s="57"/>
      <c r="AN61" s="57"/>
      <c r="AO61" s="57"/>
      <c r="AP61" s="57"/>
      <c r="AQ61" s="57"/>
      <c r="AR61" s="57"/>
      <c r="AS61" s="57"/>
      <c r="AT61" s="57"/>
      <c r="AU61" s="57"/>
      <c r="AV61" s="57"/>
      <c r="AW61" s="137"/>
    </row>
    <row r="62" spans="1:49" x14ac:dyDescent="0.25">
      <c r="A62" s="572" t="s">
        <v>701</v>
      </c>
      <c r="B62" s="574" t="s">
        <v>567</v>
      </c>
      <c r="C62" s="574" t="s">
        <v>568</v>
      </c>
      <c r="D62" s="573" t="s">
        <v>393</v>
      </c>
      <c r="E62" s="552" t="s">
        <v>20</v>
      </c>
      <c r="F62" s="552">
        <v>4</v>
      </c>
      <c r="G62" s="552">
        <v>662</v>
      </c>
      <c r="H62" s="552">
        <v>946</v>
      </c>
      <c r="I62" s="567">
        <v>1228</v>
      </c>
      <c r="J62" s="567">
        <v>800</v>
      </c>
      <c r="K62" s="568"/>
      <c r="L62" s="568">
        <v>80</v>
      </c>
      <c r="M62" s="569">
        <v>1</v>
      </c>
      <c r="N62" s="151">
        <f>ROUND(J62*(1+kopsavilkums!$O$15),2)</f>
        <v>855.2</v>
      </c>
      <c r="O62" s="61">
        <f t="shared" si="40"/>
        <v>5.519999999999996</v>
      </c>
      <c r="P62" s="61">
        <f>ROUND(L62*(1+kopsavilkums!$O$15),2)</f>
        <v>85.52</v>
      </c>
      <c r="Q62" s="61">
        <f t="shared" si="37"/>
        <v>60.720000000000027</v>
      </c>
      <c r="R62" s="61">
        <f t="shared" si="41"/>
        <v>60.720000000000027</v>
      </c>
      <c r="S62" s="61">
        <f t="shared" si="38"/>
        <v>728.64000000000033</v>
      </c>
      <c r="T62" s="61">
        <f>ROUND(S62*kopsavilkums!$O$23,2)</f>
        <v>171.89</v>
      </c>
      <c r="U62" s="909">
        <f t="shared" si="39"/>
        <v>900.53000000000031</v>
      </c>
      <c r="V62" s="1004"/>
      <c r="W62" s="66"/>
      <c r="X62" s="72"/>
      <c r="Y62" s="575" t="s">
        <v>568</v>
      </c>
      <c r="Z62" s="575" t="s">
        <v>698</v>
      </c>
      <c r="AA62" s="935" t="s">
        <v>707</v>
      </c>
      <c r="AB62" s="57"/>
      <c r="AC62" s="57"/>
      <c r="AD62" s="57"/>
      <c r="AE62" s="57"/>
      <c r="AF62" s="57"/>
      <c r="AG62" s="57"/>
      <c r="AH62" s="57"/>
      <c r="AI62" s="57"/>
      <c r="AJ62" s="137"/>
      <c r="AM62" s="57"/>
      <c r="AN62" s="57"/>
      <c r="AO62" s="57"/>
      <c r="AP62" s="57"/>
      <c r="AQ62" s="57"/>
      <c r="AR62" s="57"/>
      <c r="AS62" s="57"/>
      <c r="AT62" s="57"/>
      <c r="AU62" s="57"/>
      <c r="AV62" s="57"/>
      <c r="AW62" s="137"/>
    </row>
    <row r="63" spans="1:49" x14ac:dyDescent="0.25">
      <c r="A63" s="572" t="s">
        <v>144</v>
      </c>
      <c r="B63" s="574" t="s">
        <v>570</v>
      </c>
      <c r="C63" s="574"/>
      <c r="D63" s="573" t="s">
        <v>395</v>
      </c>
      <c r="E63" s="552" t="s">
        <v>22</v>
      </c>
      <c r="F63" s="552">
        <v>2</v>
      </c>
      <c r="G63" s="552">
        <v>584</v>
      </c>
      <c r="H63" s="552">
        <v>673</v>
      </c>
      <c r="I63" s="567">
        <v>875</v>
      </c>
      <c r="J63" s="567">
        <v>650</v>
      </c>
      <c r="K63" s="568"/>
      <c r="L63" s="568">
        <v>65</v>
      </c>
      <c r="M63" s="569">
        <v>0.5</v>
      </c>
      <c r="N63" s="151">
        <f>ROUND(J63*(1+kopsavilkums!$O$15),2)</f>
        <v>694.85</v>
      </c>
      <c r="O63" s="61">
        <f t="shared" si="40"/>
        <v>4.4899999999999949</v>
      </c>
      <c r="P63" s="61">
        <f>ROUND(L63*(1+kopsavilkums!$O$15),2)</f>
        <v>69.489999999999995</v>
      </c>
      <c r="Q63" s="61">
        <f t="shared" si="37"/>
        <v>49.340000000000032</v>
      </c>
      <c r="R63" s="61">
        <f t="shared" si="41"/>
        <v>24.670000000000016</v>
      </c>
      <c r="S63" s="61">
        <f t="shared" si="38"/>
        <v>296.04000000000019</v>
      </c>
      <c r="T63" s="61">
        <f>ROUND(S63*kopsavilkums!$O$23,2)</f>
        <v>69.84</v>
      </c>
      <c r="U63" s="909">
        <f t="shared" si="39"/>
        <v>365.88000000000022</v>
      </c>
      <c r="V63" s="1004"/>
      <c r="W63" s="66"/>
      <c r="X63" s="72"/>
      <c r="Y63" s="978" t="s">
        <v>839</v>
      </c>
      <c r="Z63" s="557"/>
      <c r="AA63" s="935"/>
      <c r="AB63" s="57"/>
      <c r="AC63" s="57"/>
      <c r="AD63" s="57"/>
      <c r="AE63" s="57"/>
      <c r="AF63" s="57"/>
      <c r="AG63" s="57"/>
      <c r="AH63" s="57"/>
      <c r="AI63" s="57"/>
      <c r="AJ63" s="137"/>
      <c r="AM63" s="57"/>
      <c r="AN63" s="57"/>
      <c r="AO63" s="57"/>
      <c r="AP63" s="57"/>
      <c r="AQ63" s="57"/>
      <c r="AR63" s="57"/>
      <c r="AS63" s="57"/>
      <c r="AT63" s="57"/>
      <c r="AU63" s="57"/>
      <c r="AV63" s="57"/>
      <c r="AW63" s="137"/>
    </row>
    <row r="64" spans="1:49" x14ac:dyDescent="0.25">
      <c r="A64" s="576" t="s">
        <v>135</v>
      </c>
      <c r="B64" s="574">
        <v>263402</v>
      </c>
      <c r="C64" s="574" t="s">
        <v>568</v>
      </c>
      <c r="D64" s="573">
        <v>43.2</v>
      </c>
      <c r="E64" s="552" t="s">
        <v>22</v>
      </c>
      <c r="F64" s="552">
        <v>9</v>
      </c>
      <c r="G64" s="577">
        <v>1156.79682</v>
      </c>
      <c r="H64" s="577">
        <v>1652.7293800000002</v>
      </c>
      <c r="I64" s="577">
        <v>2066.7648199999999</v>
      </c>
      <c r="J64" s="567">
        <v>1157</v>
      </c>
      <c r="K64" s="567">
        <v>0</v>
      </c>
      <c r="L64" s="567">
        <v>0</v>
      </c>
      <c r="M64" s="578">
        <v>5</v>
      </c>
      <c r="N64" s="151">
        <f>ROUND(J64*(1+kopsavilkums!$O$15),2)</f>
        <v>1236.83</v>
      </c>
      <c r="O64" s="61">
        <f t="shared" si="40"/>
        <v>0</v>
      </c>
      <c r="P64" s="61">
        <f>ROUND(L64*(1+kopsavilkums!$O$15),2)</f>
        <v>0</v>
      </c>
      <c r="Q64" s="61">
        <f t="shared" si="37"/>
        <v>79.829999999999927</v>
      </c>
      <c r="R64" s="61">
        <f t="shared" si="41"/>
        <v>399.14999999999964</v>
      </c>
      <c r="S64" s="61">
        <f t="shared" si="38"/>
        <v>4789.7999999999956</v>
      </c>
      <c r="T64" s="61">
        <f>ROUND(S64*kopsavilkums!$O$23,2)</f>
        <v>1129.9100000000001</v>
      </c>
      <c r="U64" s="152">
        <f t="shared" si="39"/>
        <v>5919.7099999999955</v>
      </c>
      <c r="V64" s="75"/>
      <c r="W64" s="66"/>
      <c r="X64" s="72"/>
      <c r="Y64" s="979"/>
      <c r="Z64" s="557"/>
      <c r="AA64" s="557"/>
      <c r="AB64" s="57"/>
      <c r="AC64" s="57"/>
      <c r="AD64" s="57"/>
      <c r="AE64" s="57"/>
      <c r="AF64" s="57"/>
      <c r="AG64" s="57"/>
      <c r="AH64" s="57"/>
      <c r="AI64" s="57"/>
      <c r="AJ64" s="137"/>
      <c r="AM64" s="57"/>
      <c r="AN64" s="57"/>
      <c r="AO64" s="57"/>
      <c r="AP64" s="57"/>
      <c r="AQ64" s="57"/>
      <c r="AR64" s="57"/>
      <c r="AS64" s="57"/>
      <c r="AT64" s="57"/>
      <c r="AU64" s="57"/>
      <c r="AV64" s="57"/>
      <c r="AW64" s="137"/>
    </row>
    <row r="65" spans="1:49" x14ac:dyDescent="0.25">
      <c r="A65" s="576" t="s">
        <v>135</v>
      </c>
      <c r="B65" s="579">
        <v>263401</v>
      </c>
      <c r="C65" s="580"/>
      <c r="D65" s="573">
        <v>43.2</v>
      </c>
      <c r="E65" s="552" t="s">
        <v>22</v>
      </c>
      <c r="F65" s="552">
        <v>9</v>
      </c>
      <c r="G65" s="577">
        <v>1156.79682</v>
      </c>
      <c r="H65" s="577">
        <v>1652.7293800000002</v>
      </c>
      <c r="I65" s="577">
        <v>2066.7648199999999</v>
      </c>
      <c r="J65" s="567">
        <v>1157</v>
      </c>
      <c r="K65" s="567">
        <v>0</v>
      </c>
      <c r="L65" s="567">
        <v>0</v>
      </c>
      <c r="M65" s="578">
        <v>2</v>
      </c>
      <c r="N65" s="151">
        <f>ROUND(J65*(1+kopsavilkums!$O$15),2)</f>
        <v>1236.83</v>
      </c>
      <c r="O65" s="61">
        <f t="shared" si="40"/>
        <v>0</v>
      </c>
      <c r="P65" s="61">
        <f>ROUND(L65*(1+kopsavilkums!$O$15),2)</f>
        <v>0</v>
      </c>
      <c r="Q65" s="61">
        <f t="shared" si="37"/>
        <v>79.829999999999927</v>
      </c>
      <c r="R65" s="61">
        <f t="shared" si="41"/>
        <v>159.65999999999985</v>
      </c>
      <c r="S65" s="61">
        <f t="shared" si="38"/>
        <v>1915.9199999999983</v>
      </c>
      <c r="T65" s="61">
        <f>ROUND(S65*kopsavilkums!$O$23,2)</f>
        <v>451.97</v>
      </c>
      <c r="U65" s="152">
        <f t="shared" si="39"/>
        <v>2367.8899999999985</v>
      </c>
      <c r="V65" s="75"/>
      <c r="W65" s="66"/>
      <c r="X65" s="72"/>
      <c r="Y65" s="979"/>
      <c r="Z65" s="557"/>
      <c r="AA65" s="557"/>
      <c r="AB65" s="57"/>
      <c r="AC65" s="57"/>
      <c r="AD65" s="57"/>
      <c r="AE65" s="57"/>
      <c r="AF65" s="57"/>
      <c r="AG65" s="57"/>
      <c r="AH65" s="57"/>
      <c r="AI65" s="57"/>
      <c r="AJ65" s="137"/>
      <c r="AM65" s="57"/>
      <c r="AN65" s="57"/>
      <c r="AO65" s="57"/>
      <c r="AP65" s="57"/>
      <c r="AQ65" s="57"/>
      <c r="AR65" s="57"/>
      <c r="AS65" s="57"/>
      <c r="AT65" s="57"/>
      <c r="AU65" s="57"/>
      <c r="AV65" s="57"/>
      <c r="AW65" s="137"/>
    </row>
    <row r="66" spans="1:49" x14ac:dyDescent="0.25">
      <c r="A66" s="576" t="s">
        <v>135</v>
      </c>
      <c r="B66" s="579">
        <v>263402</v>
      </c>
      <c r="C66" s="580"/>
      <c r="D66" s="573">
        <v>43.2</v>
      </c>
      <c r="E66" s="552" t="s">
        <v>22</v>
      </c>
      <c r="F66" s="552">
        <v>9</v>
      </c>
      <c r="G66" s="577">
        <v>1156.79682</v>
      </c>
      <c r="H66" s="577">
        <v>1652.7293800000002</v>
      </c>
      <c r="I66" s="577">
        <v>2066.7648199999999</v>
      </c>
      <c r="J66" s="567">
        <v>1200</v>
      </c>
      <c r="K66" s="567">
        <v>0</v>
      </c>
      <c r="L66" s="567">
        <v>0</v>
      </c>
      <c r="M66" s="578">
        <v>1</v>
      </c>
      <c r="N66" s="151">
        <f>ROUND(J66*(1+kopsavilkums!$O$15),2)</f>
        <v>1282.8</v>
      </c>
      <c r="O66" s="61">
        <f t="shared" ref="O66:O68" si="42">P66-L66</f>
        <v>0</v>
      </c>
      <c r="P66" s="61">
        <f>ROUND(L66*(1+kopsavilkums!$O$15),2)</f>
        <v>0</v>
      </c>
      <c r="Q66" s="61">
        <f t="shared" ref="Q66:Q68" si="43">(N66+P66)-(J66+L66)</f>
        <v>82.799999999999955</v>
      </c>
      <c r="R66" s="61">
        <f t="shared" ref="R66:R68" si="44">Q66*M66</f>
        <v>82.799999999999955</v>
      </c>
      <c r="S66" s="61">
        <f t="shared" ref="S66:S68" si="45">R66*12</f>
        <v>993.59999999999945</v>
      </c>
      <c r="T66" s="61">
        <f>ROUND(S66*kopsavilkums!$O$23,2)</f>
        <v>234.39</v>
      </c>
      <c r="U66" s="152">
        <f t="shared" ref="U66:U68" si="46">SUM(S66:T66)</f>
        <v>1227.9899999999993</v>
      </c>
      <c r="V66" s="75"/>
      <c r="W66" s="66"/>
      <c r="X66" s="72"/>
      <c r="Y66" s="979"/>
      <c r="Z66" s="557"/>
      <c r="AA66" s="557"/>
      <c r="AB66" s="57"/>
      <c r="AC66" s="57"/>
      <c r="AD66" s="57"/>
      <c r="AE66" s="57"/>
      <c r="AF66" s="57"/>
      <c r="AG66" s="57"/>
      <c r="AH66" s="57"/>
      <c r="AI66" s="57"/>
      <c r="AJ66" s="137"/>
      <c r="AM66" s="57"/>
      <c r="AN66" s="57"/>
      <c r="AO66" s="57"/>
      <c r="AP66" s="57"/>
      <c r="AQ66" s="57"/>
      <c r="AR66" s="57"/>
      <c r="AS66" s="57"/>
      <c r="AT66" s="57"/>
      <c r="AU66" s="57"/>
      <c r="AV66" s="57"/>
      <c r="AW66" s="137"/>
    </row>
    <row r="67" spans="1:49" x14ac:dyDescent="0.25">
      <c r="A67" s="576" t="s">
        <v>135</v>
      </c>
      <c r="B67" s="579">
        <v>263401</v>
      </c>
      <c r="C67" s="580"/>
      <c r="D67" s="573">
        <v>43.2</v>
      </c>
      <c r="E67" s="552" t="s">
        <v>22</v>
      </c>
      <c r="F67" s="552">
        <v>9</v>
      </c>
      <c r="G67" s="577">
        <v>1156.79682</v>
      </c>
      <c r="H67" s="577">
        <v>1652.7293800000002</v>
      </c>
      <c r="I67" s="577">
        <v>2066.7648199999999</v>
      </c>
      <c r="J67" s="567">
        <v>1200</v>
      </c>
      <c r="K67" s="567">
        <v>0</v>
      </c>
      <c r="L67" s="567">
        <v>0</v>
      </c>
      <c r="M67" s="578">
        <v>1</v>
      </c>
      <c r="N67" s="151">
        <f>ROUND(J67*(1+kopsavilkums!$O$15),2)</f>
        <v>1282.8</v>
      </c>
      <c r="O67" s="61">
        <f t="shared" si="42"/>
        <v>0</v>
      </c>
      <c r="P67" s="61">
        <f>ROUND(L67*(1+kopsavilkums!$O$15),2)</f>
        <v>0</v>
      </c>
      <c r="Q67" s="61">
        <f t="shared" si="43"/>
        <v>82.799999999999955</v>
      </c>
      <c r="R67" s="61">
        <f t="shared" si="44"/>
        <v>82.799999999999955</v>
      </c>
      <c r="S67" s="61">
        <f t="shared" si="45"/>
        <v>993.59999999999945</v>
      </c>
      <c r="T67" s="61">
        <f>ROUND(S67*kopsavilkums!$O$23,2)</f>
        <v>234.39</v>
      </c>
      <c r="U67" s="152">
        <f t="shared" si="46"/>
        <v>1227.9899999999993</v>
      </c>
      <c r="V67" s="75"/>
      <c r="W67" s="66"/>
      <c r="X67" s="72"/>
      <c r="Y67" s="979"/>
      <c r="Z67" s="557"/>
      <c r="AA67" s="557"/>
      <c r="AB67" s="57"/>
      <c r="AC67" s="57"/>
      <c r="AD67" s="57"/>
      <c r="AE67" s="57"/>
      <c r="AF67" s="57"/>
      <c r="AG67" s="57"/>
      <c r="AH67" s="57"/>
      <c r="AI67" s="57"/>
      <c r="AJ67" s="137"/>
      <c r="AM67" s="57"/>
      <c r="AN67" s="57"/>
      <c r="AO67" s="57"/>
      <c r="AP67" s="57"/>
      <c r="AQ67" s="57"/>
      <c r="AR67" s="57"/>
      <c r="AS67" s="57"/>
      <c r="AT67" s="57"/>
      <c r="AU67" s="57"/>
      <c r="AV67" s="57"/>
      <c r="AW67" s="137"/>
    </row>
    <row r="68" spans="1:49" x14ac:dyDescent="0.25">
      <c r="A68" s="576" t="s">
        <v>135</v>
      </c>
      <c r="B68" s="579">
        <v>263402</v>
      </c>
      <c r="C68" s="580"/>
      <c r="D68" s="573">
        <v>43.2</v>
      </c>
      <c r="E68" s="552" t="s">
        <v>13</v>
      </c>
      <c r="F68" s="552">
        <v>10</v>
      </c>
      <c r="G68" s="577">
        <v>1399.0758000000001</v>
      </c>
      <c r="H68" s="577">
        <v>1998.51722</v>
      </c>
      <c r="I68" s="577">
        <v>2498.99962</v>
      </c>
      <c r="J68" s="567">
        <v>1450</v>
      </c>
      <c r="K68" s="567">
        <v>0</v>
      </c>
      <c r="L68" s="567">
        <v>0</v>
      </c>
      <c r="M68" s="578">
        <v>2</v>
      </c>
      <c r="N68" s="151">
        <f>ROUND(J68*(1+kopsavilkums!$O$15),2)</f>
        <v>1550.05</v>
      </c>
      <c r="O68" s="61">
        <f t="shared" si="42"/>
        <v>0</v>
      </c>
      <c r="P68" s="61">
        <f>ROUND(L68*(1+kopsavilkums!$O$15),2)</f>
        <v>0</v>
      </c>
      <c r="Q68" s="61">
        <f t="shared" si="43"/>
        <v>100.04999999999995</v>
      </c>
      <c r="R68" s="61">
        <f t="shared" si="44"/>
        <v>200.09999999999991</v>
      </c>
      <c r="S68" s="61">
        <f t="shared" si="45"/>
        <v>2401.1999999999989</v>
      </c>
      <c r="T68" s="61">
        <f>ROUND(S68*kopsavilkums!$O$23,2)</f>
        <v>566.44000000000005</v>
      </c>
      <c r="U68" s="152">
        <f t="shared" si="46"/>
        <v>2967.639999999999</v>
      </c>
      <c r="V68" s="75"/>
      <c r="W68" s="66"/>
      <c r="X68" s="72"/>
      <c r="Y68" s="979"/>
      <c r="Z68" s="557"/>
      <c r="AA68" s="557"/>
      <c r="AB68" s="57"/>
      <c r="AC68" s="57"/>
      <c r="AD68" s="57"/>
      <c r="AE68" s="57"/>
      <c r="AF68" s="57"/>
      <c r="AG68" s="57"/>
      <c r="AH68" s="57"/>
      <c r="AI68" s="57"/>
      <c r="AJ68" s="137"/>
      <c r="AM68" s="57"/>
      <c r="AN68" s="57"/>
      <c r="AO68" s="57"/>
      <c r="AP68" s="57"/>
      <c r="AQ68" s="57"/>
      <c r="AR68" s="57"/>
      <c r="AS68" s="57"/>
      <c r="AT68" s="57"/>
      <c r="AU68" s="57"/>
      <c r="AV68" s="57"/>
      <c r="AW68" s="137"/>
    </row>
    <row r="69" spans="1:49" x14ac:dyDescent="0.25">
      <c r="A69" s="576" t="s">
        <v>704</v>
      </c>
      <c r="B69" s="579">
        <v>121305</v>
      </c>
      <c r="C69" s="580"/>
      <c r="D69" s="573">
        <v>36</v>
      </c>
      <c r="E69" s="552" t="s">
        <v>9</v>
      </c>
      <c r="F69" s="552">
        <v>11</v>
      </c>
      <c r="G69" s="552">
        <v>1746</v>
      </c>
      <c r="H69" s="552">
        <v>2496</v>
      </c>
      <c r="I69" s="581">
        <v>3120</v>
      </c>
      <c r="J69" s="567">
        <v>1746</v>
      </c>
      <c r="K69" s="567">
        <v>0</v>
      </c>
      <c r="L69" s="567">
        <v>0</v>
      </c>
      <c r="M69" s="578">
        <v>1</v>
      </c>
      <c r="N69" s="151">
        <f>ROUND(J69*(1+kopsavilkums!$O$15),2)</f>
        <v>1866.47</v>
      </c>
      <c r="O69" s="61">
        <f t="shared" si="40"/>
        <v>0</v>
      </c>
      <c r="P69" s="61">
        <f>ROUND(L69*(1+kopsavilkums!$O$15),2)</f>
        <v>0</v>
      </c>
      <c r="Q69" s="61">
        <f t="shared" si="37"/>
        <v>120.47000000000003</v>
      </c>
      <c r="R69" s="61">
        <f t="shared" si="41"/>
        <v>120.47000000000003</v>
      </c>
      <c r="S69" s="61">
        <f t="shared" si="38"/>
        <v>1445.6400000000003</v>
      </c>
      <c r="T69" s="61">
        <f>ROUND(S69*kopsavilkums!$O$23,2)</f>
        <v>341.03</v>
      </c>
      <c r="U69" s="152">
        <f t="shared" si="39"/>
        <v>1786.6700000000003</v>
      </c>
      <c r="V69" s="75"/>
      <c r="W69" s="66"/>
      <c r="X69" s="72"/>
      <c r="Y69" s="979"/>
      <c r="Z69" s="557"/>
      <c r="AA69" s="557"/>
      <c r="AB69" s="57"/>
      <c r="AC69" s="57"/>
      <c r="AD69" s="57"/>
      <c r="AE69" s="57"/>
      <c r="AF69" s="57"/>
      <c r="AG69" s="57"/>
      <c r="AH69" s="57"/>
      <c r="AI69" s="57"/>
      <c r="AJ69" s="137"/>
      <c r="AM69" s="57"/>
      <c r="AN69" s="57"/>
      <c r="AO69" s="57"/>
      <c r="AP69" s="57"/>
      <c r="AQ69" s="57"/>
      <c r="AR69" s="57"/>
      <c r="AS69" s="57"/>
      <c r="AT69" s="57"/>
      <c r="AU69" s="57"/>
      <c r="AV69" s="57"/>
      <c r="AW69" s="137"/>
    </row>
    <row r="70" spans="1:49" ht="15.75" thickBot="1" x14ac:dyDescent="0.3">
      <c r="A70" s="576" t="s">
        <v>704</v>
      </c>
      <c r="B70" s="579">
        <v>121305</v>
      </c>
      <c r="C70" s="580"/>
      <c r="D70" s="573">
        <v>36</v>
      </c>
      <c r="E70" s="552" t="s">
        <v>9</v>
      </c>
      <c r="F70" s="552">
        <v>11</v>
      </c>
      <c r="G70" s="552">
        <v>1746</v>
      </c>
      <c r="H70" s="552">
        <v>2496</v>
      </c>
      <c r="I70" s="581">
        <v>3120</v>
      </c>
      <c r="J70" s="567">
        <v>1800</v>
      </c>
      <c r="K70" s="567">
        <v>0</v>
      </c>
      <c r="L70" s="567">
        <v>0</v>
      </c>
      <c r="M70" s="578">
        <v>1</v>
      </c>
      <c r="N70" s="151">
        <f>ROUND(J70*(1+kopsavilkums!$O$15),2)</f>
        <v>1924.2</v>
      </c>
      <c r="O70" s="61">
        <f t="shared" si="40"/>
        <v>0</v>
      </c>
      <c r="P70" s="61">
        <f>ROUND(L70*(1+kopsavilkums!$O$15),2)</f>
        <v>0</v>
      </c>
      <c r="Q70" s="61">
        <f t="shared" si="37"/>
        <v>124.20000000000005</v>
      </c>
      <c r="R70" s="61">
        <f t="shared" si="41"/>
        <v>124.20000000000005</v>
      </c>
      <c r="S70" s="61">
        <f t="shared" si="38"/>
        <v>1490.4000000000005</v>
      </c>
      <c r="T70" s="61">
        <f>ROUND(S70*kopsavilkums!$O$23,2)</f>
        <v>351.59</v>
      </c>
      <c r="U70" s="152">
        <f t="shared" si="39"/>
        <v>1841.9900000000005</v>
      </c>
      <c r="V70" s="75"/>
      <c r="W70" s="66"/>
      <c r="X70" s="72"/>
      <c r="Y70" s="980"/>
      <c r="Z70" s="557"/>
      <c r="AA70" s="557"/>
      <c r="AB70" s="57"/>
      <c r="AC70" s="57"/>
      <c r="AD70" s="57"/>
      <c r="AE70" s="57"/>
      <c r="AF70" s="57"/>
      <c r="AG70" s="57"/>
      <c r="AH70" s="57"/>
      <c r="AI70" s="57"/>
      <c r="AJ70" s="137"/>
      <c r="AM70" s="57"/>
      <c r="AN70" s="57"/>
      <c r="AO70" s="57"/>
      <c r="AP70" s="57"/>
      <c r="AQ70" s="57"/>
      <c r="AR70" s="57"/>
      <c r="AS70" s="57"/>
      <c r="AT70" s="57"/>
      <c r="AU70" s="57"/>
      <c r="AV70" s="57"/>
      <c r="AW70" s="137"/>
    </row>
    <row r="71" spans="1:49" ht="15.75" thickBot="1" x14ac:dyDescent="0.3">
      <c r="A71" s="394" t="s">
        <v>32</v>
      </c>
      <c r="B71" s="492"/>
      <c r="C71" s="492"/>
      <c r="D71" s="395" t="s">
        <v>29</v>
      </c>
      <c r="E71" s="395"/>
      <c r="F71" s="395" t="s">
        <v>29</v>
      </c>
      <c r="G71" s="395"/>
      <c r="H71" s="395"/>
      <c r="I71" s="395" t="s">
        <v>29</v>
      </c>
      <c r="J71" s="395" t="s">
        <v>29</v>
      </c>
      <c r="K71" s="395" t="s">
        <v>29</v>
      </c>
      <c r="L71" s="396"/>
      <c r="M71" s="397">
        <f>SUM(M41,M43:M44,M47:M50,M52:M70)</f>
        <v>29.099999999999998</v>
      </c>
      <c r="N71" s="266"/>
      <c r="O71" s="267"/>
      <c r="P71" s="267"/>
      <c r="Q71" s="267"/>
      <c r="R71" s="267"/>
      <c r="S71" s="267"/>
      <c r="T71" s="267"/>
      <c r="U71" s="268">
        <f>U45+U39</f>
        <v>47077.981999999975</v>
      </c>
      <c r="W71" s="135"/>
      <c r="X71" s="72"/>
      <c r="Y71" s="72"/>
      <c r="Z71" s="72"/>
      <c r="AA71" s="72"/>
      <c r="AH71" s="67"/>
      <c r="AI71" s="135"/>
      <c r="AU71" s="67"/>
      <c r="AV71" s="135"/>
    </row>
    <row r="72" spans="1:49" ht="15.75" thickBot="1" x14ac:dyDescent="0.3">
      <c r="N72" s="103"/>
      <c r="O72" s="163"/>
      <c r="P72" s="163"/>
      <c r="Q72" s="163"/>
      <c r="R72" s="163"/>
      <c r="S72" s="163"/>
      <c r="T72" s="163"/>
      <c r="U72" s="104"/>
      <c r="X72" s="72"/>
      <c r="Y72" s="72"/>
      <c r="Z72" s="72"/>
      <c r="AA72" s="72"/>
    </row>
    <row r="73" spans="1:49" ht="15.75" thickBot="1" x14ac:dyDescent="0.3">
      <c r="A73" s="999" t="s">
        <v>155</v>
      </c>
      <c r="B73" s="1000"/>
      <c r="C73" s="1000"/>
      <c r="D73" s="1000"/>
      <c r="E73" s="1000"/>
      <c r="F73" s="1000"/>
      <c r="G73" s="1000"/>
      <c r="H73" s="1000"/>
      <c r="I73" s="1000"/>
      <c r="J73" s="1000"/>
      <c r="K73" s="1000"/>
      <c r="L73" s="1000"/>
      <c r="M73" s="1001"/>
      <c r="N73" s="167"/>
      <c r="O73" s="168"/>
      <c r="P73" s="168"/>
      <c r="Q73" s="168"/>
      <c r="R73" s="168"/>
      <c r="S73" s="168"/>
      <c r="T73" s="168"/>
      <c r="U73" s="169"/>
      <c r="X73" s="72"/>
      <c r="Y73" s="72"/>
      <c r="Z73" s="72"/>
      <c r="AA73" s="72"/>
    </row>
    <row r="74" spans="1:49" x14ac:dyDescent="0.25">
      <c r="A74" s="995" t="s">
        <v>156</v>
      </c>
      <c r="B74" s="996"/>
      <c r="C74" s="996"/>
      <c r="D74" s="996"/>
      <c r="E74" s="996"/>
      <c r="F74" s="996"/>
      <c r="G74" s="996"/>
      <c r="H74" s="996"/>
      <c r="I74" s="996"/>
      <c r="J74" s="996"/>
      <c r="K74" s="996"/>
      <c r="L74" s="996"/>
      <c r="M74" s="1002"/>
      <c r="N74" s="156"/>
      <c r="O74" s="154"/>
      <c r="P74" s="154"/>
      <c r="Q74" s="154"/>
      <c r="R74" s="154"/>
      <c r="S74" s="154"/>
      <c r="T74" s="154"/>
      <c r="U74" s="269">
        <f>SUM(U76:U77,U79:U101)</f>
        <v>23323.655999999992</v>
      </c>
      <c r="X74" s="72"/>
      <c r="Y74" s="72"/>
      <c r="Z74" s="72"/>
      <c r="AA74" s="72"/>
    </row>
    <row r="75" spans="1:49" x14ac:dyDescent="0.25">
      <c r="A75" s="997" t="s">
        <v>8</v>
      </c>
      <c r="B75" s="998"/>
      <c r="C75" s="998"/>
      <c r="D75" s="998"/>
      <c r="E75" s="998"/>
      <c r="F75" s="998"/>
      <c r="G75" s="998"/>
      <c r="H75" s="998"/>
      <c r="I75" s="998"/>
      <c r="J75" s="998"/>
      <c r="K75" s="998"/>
      <c r="L75" s="998"/>
      <c r="M75" s="1003"/>
      <c r="N75" s="157"/>
      <c r="O75" s="155"/>
      <c r="P75" s="155"/>
      <c r="Q75" s="155"/>
      <c r="R75" s="155"/>
      <c r="S75" s="155"/>
      <c r="T75" s="155"/>
      <c r="U75" s="158"/>
      <c r="X75" s="72"/>
      <c r="Y75" s="72"/>
      <c r="Z75" s="72"/>
      <c r="AA75" s="72"/>
    </row>
    <row r="76" spans="1:49" x14ac:dyDescent="0.25">
      <c r="A76" s="572" t="s">
        <v>12</v>
      </c>
      <c r="B76" s="592" t="s">
        <v>465</v>
      </c>
      <c r="C76" s="592" t="s">
        <v>606</v>
      </c>
      <c r="D76" s="551" t="s">
        <v>397</v>
      </c>
      <c r="E76" s="552" t="s">
        <v>13</v>
      </c>
      <c r="F76" s="552">
        <v>9</v>
      </c>
      <c r="G76" s="581">
        <v>1157</v>
      </c>
      <c r="H76" s="581">
        <v>1653</v>
      </c>
      <c r="I76" s="581">
        <v>2067</v>
      </c>
      <c r="J76" s="585">
        <v>1487</v>
      </c>
      <c r="K76" s="585">
        <v>22</v>
      </c>
      <c r="L76" s="589">
        <v>22</v>
      </c>
      <c r="M76" s="590">
        <v>0.15</v>
      </c>
      <c r="N76" s="151">
        <f>ROUND(J76*(1+kopsavilkums!$O$8),2)</f>
        <v>1644.62</v>
      </c>
      <c r="O76" s="61">
        <f>P76-L76</f>
        <v>2.3299999999999983</v>
      </c>
      <c r="P76" s="61">
        <f>ROUND(L76*(1+kopsavilkums!$O$8),2)</f>
        <v>24.33</v>
      </c>
      <c r="Q76" s="61">
        <f>(N76+P76)-(J76+L76)</f>
        <v>159.94999999999982</v>
      </c>
      <c r="R76" s="61">
        <f>Q76*M76</f>
        <v>23.992499999999971</v>
      </c>
      <c r="S76" s="61">
        <f t="shared" ref="S76:S98" si="47">R76*12</f>
        <v>287.90999999999963</v>
      </c>
      <c r="T76" s="61">
        <f>ROUND(S76*kopsavilkums!$O$23,2)</f>
        <v>67.92</v>
      </c>
      <c r="U76" s="152">
        <f t="shared" ref="U76" si="48">SUM(S76:T76)</f>
        <v>355.82999999999964</v>
      </c>
      <c r="V76" s="75"/>
      <c r="W76" s="66"/>
      <c r="X76" s="72"/>
      <c r="Y76" s="72"/>
      <c r="Z76" s="557" t="s">
        <v>845</v>
      </c>
      <c r="AA76" s="557"/>
      <c r="AB76" s="57"/>
      <c r="AC76" s="57"/>
      <c r="AD76" s="57"/>
      <c r="AE76" s="57"/>
      <c r="AF76" s="57"/>
      <c r="AG76" s="57"/>
      <c r="AH76" s="57"/>
      <c r="AI76" s="57"/>
      <c r="AJ76" s="137"/>
      <c r="AM76" s="57"/>
      <c r="AN76" s="57"/>
      <c r="AO76" s="57"/>
      <c r="AP76" s="57"/>
      <c r="AQ76" s="57"/>
      <c r="AR76" s="57"/>
      <c r="AS76" s="57"/>
      <c r="AT76" s="57"/>
      <c r="AU76" s="57"/>
      <c r="AV76" s="57"/>
      <c r="AW76" s="137"/>
    </row>
    <row r="77" spans="1:49" x14ac:dyDescent="0.25">
      <c r="A77" s="572" t="s">
        <v>12</v>
      </c>
      <c r="B77" s="592" t="s">
        <v>465</v>
      </c>
      <c r="C77" s="592" t="s">
        <v>606</v>
      </c>
      <c r="D77" s="551" t="s">
        <v>397</v>
      </c>
      <c r="E77" s="552" t="s">
        <v>13</v>
      </c>
      <c r="F77" s="552">
        <v>9</v>
      </c>
      <c r="G77" s="581">
        <v>1157</v>
      </c>
      <c r="H77" s="581">
        <v>1653</v>
      </c>
      <c r="I77" s="581">
        <v>2067</v>
      </c>
      <c r="J77" s="585">
        <v>1483</v>
      </c>
      <c r="K77" s="585">
        <v>0</v>
      </c>
      <c r="L77" s="589">
        <v>0</v>
      </c>
      <c r="M77" s="590">
        <v>1</v>
      </c>
      <c r="N77" s="151">
        <f>ROUND(J77*(1+kopsavilkums!$O$8),2)</f>
        <v>1640.2</v>
      </c>
      <c r="O77" s="61">
        <f>P77-L77</f>
        <v>0</v>
      </c>
      <c r="P77" s="61">
        <f>ROUND(L77*(1+kopsavilkums!$O$8),2)</f>
        <v>0</v>
      </c>
      <c r="Q77" s="61">
        <f>(N77+P77)-(J77+L77)</f>
        <v>157.20000000000005</v>
      </c>
      <c r="R77" s="61">
        <f>Q77*M77</f>
        <v>157.20000000000005</v>
      </c>
      <c r="S77" s="61">
        <f t="shared" si="47"/>
        <v>1886.4000000000005</v>
      </c>
      <c r="T77" s="61">
        <f>ROUND(S77*kopsavilkums!$O$23,2)</f>
        <v>445</v>
      </c>
      <c r="U77" s="152">
        <f t="shared" ref="U77" si="49">SUM(S77:T77)</f>
        <v>2331.4000000000005</v>
      </c>
      <c r="V77" s="75"/>
      <c r="W77" s="66"/>
      <c r="X77" s="72"/>
      <c r="Y77" s="72"/>
      <c r="Z77" s="557" t="s">
        <v>845</v>
      </c>
      <c r="AA77" s="557"/>
      <c r="AB77" s="57"/>
      <c r="AC77" s="57"/>
      <c r="AD77" s="57"/>
      <c r="AE77" s="57"/>
      <c r="AF77" s="57"/>
      <c r="AG77" s="57"/>
      <c r="AH77" s="57"/>
      <c r="AI77" s="57"/>
      <c r="AJ77" s="137"/>
      <c r="AM77" s="57"/>
      <c r="AN77" s="57"/>
      <c r="AO77" s="57"/>
      <c r="AP77" s="57"/>
      <c r="AQ77" s="57"/>
      <c r="AR77" s="57"/>
      <c r="AS77" s="57"/>
      <c r="AT77" s="57"/>
      <c r="AU77" s="57"/>
      <c r="AV77" s="57"/>
      <c r="AW77" s="137"/>
    </row>
    <row r="78" spans="1:49" x14ac:dyDescent="0.25">
      <c r="A78" s="981" t="s">
        <v>14</v>
      </c>
      <c r="B78" s="982"/>
      <c r="C78" s="982"/>
      <c r="D78" s="982"/>
      <c r="E78" s="982"/>
      <c r="F78" s="982"/>
      <c r="G78" s="982"/>
      <c r="H78" s="982"/>
      <c r="I78" s="982"/>
      <c r="J78" s="982"/>
      <c r="K78" s="982"/>
      <c r="L78" s="982"/>
      <c r="M78" s="982"/>
      <c r="N78" s="157"/>
      <c r="O78" s="155"/>
      <c r="P78" s="155"/>
      <c r="Q78" s="155"/>
      <c r="R78" s="155"/>
      <c r="S78" s="155"/>
      <c r="T78" s="155"/>
      <c r="U78" s="158"/>
      <c r="X78" s="72"/>
      <c r="Y78" s="72"/>
      <c r="Z78" s="557"/>
      <c r="AA78" s="72"/>
    </row>
    <row r="79" spans="1:49" x14ac:dyDescent="0.25">
      <c r="A79" s="572" t="s">
        <v>112</v>
      </c>
      <c r="B79" s="592">
        <v>222146</v>
      </c>
      <c r="C79" s="592" t="s">
        <v>488</v>
      </c>
      <c r="D79" s="573" t="s">
        <v>394</v>
      </c>
      <c r="E79" s="552" t="s">
        <v>391</v>
      </c>
      <c r="F79" s="552">
        <v>6</v>
      </c>
      <c r="G79" s="552">
        <v>758</v>
      </c>
      <c r="H79" s="552">
        <v>1081</v>
      </c>
      <c r="I79" s="552">
        <v>1406</v>
      </c>
      <c r="J79" s="585">
        <v>996</v>
      </c>
      <c r="K79" s="585">
        <v>120</v>
      </c>
      <c r="L79" s="589">
        <v>120</v>
      </c>
      <c r="M79" s="590">
        <v>1</v>
      </c>
      <c r="N79" s="151">
        <f>ROUND(J79*(1+kopsavilkums!$O$12),2)</f>
        <v>1060.74</v>
      </c>
      <c r="O79" s="61">
        <f>P79-L79</f>
        <v>7.7999999999999972</v>
      </c>
      <c r="P79" s="61">
        <f>ROUND(L79*(1+kopsavilkums!$O$12),2)</f>
        <v>127.8</v>
      </c>
      <c r="Q79" s="61">
        <f t="shared" ref="Q79:Q101" si="50">(N79+P79)-(J79+L79)</f>
        <v>72.539999999999964</v>
      </c>
      <c r="R79" s="61">
        <f t="shared" ref="R79:R98" si="51">Q79*M79</f>
        <v>72.539999999999964</v>
      </c>
      <c r="S79" s="61">
        <f t="shared" si="47"/>
        <v>870.47999999999956</v>
      </c>
      <c r="T79" s="61">
        <f>ROUND(S79*kopsavilkums!$O$23,2)</f>
        <v>205.35</v>
      </c>
      <c r="U79" s="152">
        <f t="shared" ref="U79" si="52">SUM(S79:T79)</f>
        <v>1075.8299999999995</v>
      </c>
      <c r="V79" s="75"/>
      <c r="W79" s="66"/>
      <c r="X79" s="72"/>
      <c r="Y79" s="72"/>
      <c r="Z79" s="557" t="s">
        <v>845</v>
      </c>
      <c r="AA79" s="557"/>
      <c r="AB79" s="57"/>
      <c r="AC79" s="57"/>
      <c r="AD79" s="57"/>
      <c r="AE79" s="57"/>
      <c r="AF79" s="57"/>
      <c r="AG79" s="57"/>
      <c r="AH79" s="57"/>
      <c r="AI79" s="57"/>
      <c r="AJ79" s="137"/>
      <c r="AM79" s="57"/>
      <c r="AN79" s="57"/>
      <c r="AO79" s="57"/>
      <c r="AP79" s="57"/>
      <c r="AQ79" s="57"/>
      <c r="AR79" s="57"/>
      <c r="AS79" s="57"/>
      <c r="AT79" s="57"/>
      <c r="AU79" s="57"/>
      <c r="AV79" s="57"/>
      <c r="AW79" s="137"/>
    </row>
    <row r="80" spans="1:49" x14ac:dyDescent="0.25">
      <c r="A80" s="572" t="s">
        <v>112</v>
      </c>
      <c r="B80" s="592">
        <v>222146</v>
      </c>
      <c r="C80" s="592" t="s">
        <v>488</v>
      </c>
      <c r="D80" s="573" t="s">
        <v>394</v>
      </c>
      <c r="E80" s="552" t="s">
        <v>391</v>
      </c>
      <c r="F80" s="552">
        <v>6</v>
      </c>
      <c r="G80" s="552">
        <v>758</v>
      </c>
      <c r="H80" s="552">
        <v>1081</v>
      </c>
      <c r="I80" s="552">
        <v>1406</v>
      </c>
      <c r="J80" s="585">
        <v>965</v>
      </c>
      <c r="K80" s="585">
        <v>120</v>
      </c>
      <c r="L80" s="589">
        <v>120</v>
      </c>
      <c r="M80" s="590">
        <v>1</v>
      </c>
      <c r="N80" s="151">
        <f>ROUND(J80*(1+kopsavilkums!$O$12),2)</f>
        <v>1027.73</v>
      </c>
      <c r="O80" s="61">
        <f t="shared" ref="O80:O101" si="53">P80-L80</f>
        <v>7.7999999999999972</v>
      </c>
      <c r="P80" s="61">
        <f>ROUND(L80*(1+kopsavilkums!$O$12),2)</f>
        <v>127.8</v>
      </c>
      <c r="Q80" s="61">
        <f t="shared" si="50"/>
        <v>70.529999999999973</v>
      </c>
      <c r="R80" s="61">
        <f t="shared" si="51"/>
        <v>70.529999999999973</v>
      </c>
      <c r="S80" s="61">
        <f t="shared" si="47"/>
        <v>846.35999999999967</v>
      </c>
      <c r="T80" s="61">
        <f>ROUND(S80*kopsavilkums!$O$23,2)</f>
        <v>199.66</v>
      </c>
      <c r="U80" s="152">
        <f t="shared" ref="U80:U98" si="54">SUM(S80:T80)</f>
        <v>1046.0199999999998</v>
      </c>
      <c r="V80" s="75"/>
      <c r="W80" s="66"/>
      <c r="X80" s="72"/>
      <c r="Y80" s="72"/>
      <c r="Z80" s="557" t="s">
        <v>845</v>
      </c>
      <c r="AA80" s="557"/>
      <c r="AB80" s="57"/>
      <c r="AC80" s="57"/>
      <c r="AD80" s="57"/>
      <c r="AE80" s="57"/>
      <c r="AF80" s="57"/>
      <c r="AG80" s="57"/>
      <c r="AH80" s="57"/>
      <c r="AI80" s="57"/>
      <c r="AJ80" s="137"/>
      <c r="AM80" s="57"/>
      <c r="AN80" s="57"/>
      <c r="AO80" s="57"/>
      <c r="AP80" s="57"/>
      <c r="AQ80" s="57"/>
      <c r="AR80" s="57"/>
      <c r="AS80" s="57"/>
      <c r="AT80" s="57"/>
      <c r="AU80" s="57"/>
      <c r="AV80" s="57"/>
      <c r="AW80" s="137"/>
    </row>
    <row r="81" spans="1:49" x14ac:dyDescent="0.25">
      <c r="A81" s="572" t="s">
        <v>112</v>
      </c>
      <c r="B81" s="592">
        <v>222146</v>
      </c>
      <c r="C81" s="592" t="s">
        <v>488</v>
      </c>
      <c r="D81" s="573" t="s">
        <v>394</v>
      </c>
      <c r="E81" s="552" t="s">
        <v>10</v>
      </c>
      <c r="F81" s="552">
        <v>6</v>
      </c>
      <c r="G81" s="552">
        <v>758</v>
      </c>
      <c r="H81" s="552">
        <v>1081</v>
      </c>
      <c r="I81" s="552">
        <v>1406</v>
      </c>
      <c r="J81" s="585">
        <v>886</v>
      </c>
      <c r="K81" s="585">
        <v>0</v>
      </c>
      <c r="L81" s="589">
        <v>0</v>
      </c>
      <c r="M81" s="590">
        <v>1</v>
      </c>
      <c r="N81" s="151">
        <f>ROUND(J81*(1+kopsavilkums!$O$12),2)</f>
        <v>943.59</v>
      </c>
      <c r="O81" s="61">
        <f t="shared" si="53"/>
        <v>0</v>
      </c>
      <c r="P81" s="61">
        <f>ROUND(L81*(1+kopsavilkums!$O$12),2)</f>
        <v>0</v>
      </c>
      <c r="Q81" s="61">
        <f t="shared" si="50"/>
        <v>57.590000000000032</v>
      </c>
      <c r="R81" s="61">
        <f t="shared" si="51"/>
        <v>57.590000000000032</v>
      </c>
      <c r="S81" s="61">
        <f t="shared" si="47"/>
        <v>691.08000000000038</v>
      </c>
      <c r="T81" s="61">
        <f>ROUND(S81*kopsavilkums!$O$23,2)</f>
        <v>163.03</v>
      </c>
      <c r="U81" s="152">
        <f t="shared" si="54"/>
        <v>854.11000000000035</v>
      </c>
      <c r="V81" s="75"/>
      <c r="W81" s="66"/>
      <c r="X81" s="72"/>
      <c r="Y81" s="72"/>
      <c r="Z81" s="557" t="s">
        <v>845</v>
      </c>
      <c r="AA81" s="557"/>
      <c r="AB81" s="57"/>
      <c r="AC81" s="57"/>
      <c r="AD81" s="57"/>
      <c r="AE81" s="57"/>
      <c r="AF81" s="57"/>
      <c r="AG81" s="57"/>
      <c r="AH81" s="57"/>
      <c r="AI81" s="57"/>
      <c r="AJ81" s="137"/>
      <c r="AM81" s="57"/>
      <c r="AN81" s="57"/>
      <c r="AO81" s="57"/>
      <c r="AP81" s="57"/>
      <c r="AQ81" s="57"/>
      <c r="AR81" s="57"/>
      <c r="AS81" s="57"/>
      <c r="AT81" s="57"/>
      <c r="AU81" s="57"/>
      <c r="AV81" s="57"/>
      <c r="AW81" s="137"/>
    </row>
    <row r="82" spans="1:49" x14ac:dyDescent="0.25">
      <c r="A82" s="572" t="s">
        <v>112</v>
      </c>
      <c r="B82" s="592">
        <v>222146</v>
      </c>
      <c r="C82" s="592" t="s">
        <v>488</v>
      </c>
      <c r="D82" s="573" t="s">
        <v>394</v>
      </c>
      <c r="E82" s="552" t="s">
        <v>391</v>
      </c>
      <c r="F82" s="552">
        <v>6</v>
      </c>
      <c r="G82" s="552">
        <v>758</v>
      </c>
      <c r="H82" s="552">
        <v>1081</v>
      </c>
      <c r="I82" s="552">
        <v>1406</v>
      </c>
      <c r="J82" s="585">
        <v>927</v>
      </c>
      <c r="K82" s="585">
        <v>148</v>
      </c>
      <c r="L82" s="589">
        <v>148</v>
      </c>
      <c r="M82" s="590">
        <v>1</v>
      </c>
      <c r="N82" s="151">
        <f>ROUND(J82*(1+kopsavilkums!$O$12),2)</f>
        <v>987.26</v>
      </c>
      <c r="O82" s="61">
        <f t="shared" si="53"/>
        <v>9.6200000000000045</v>
      </c>
      <c r="P82" s="61">
        <f>ROUND(L82*(1+kopsavilkums!$O$12),2)</f>
        <v>157.62</v>
      </c>
      <c r="Q82" s="61">
        <f t="shared" si="50"/>
        <v>69.880000000000109</v>
      </c>
      <c r="R82" s="61">
        <f t="shared" si="51"/>
        <v>69.880000000000109</v>
      </c>
      <c r="S82" s="61">
        <f t="shared" si="47"/>
        <v>838.56000000000131</v>
      </c>
      <c r="T82" s="61">
        <f>ROUND(S82*kopsavilkums!$O$23,2)</f>
        <v>197.82</v>
      </c>
      <c r="U82" s="152">
        <f t="shared" si="54"/>
        <v>1036.3800000000012</v>
      </c>
      <c r="V82" s="75"/>
      <c r="W82" s="66"/>
      <c r="X82" s="72"/>
      <c r="Y82" s="72"/>
      <c r="Z82" s="557" t="s">
        <v>845</v>
      </c>
      <c r="AA82" s="557"/>
      <c r="AB82" s="57"/>
      <c r="AC82" s="57"/>
      <c r="AD82" s="57"/>
      <c r="AE82" s="57"/>
      <c r="AF82" s="57"/>
      <c r="AG82" s="57"/>
      <c r="AH82" s="57"/>
      <c r="AI82" s="57"/>
      <c r="AJ82" s="137"/>
      <c r="AM82" s="57"/>
      <c r="AN82" s="57"/>
      <c r="AO82" s="57"/>
      <c r="AP82" s="57"/>
      <c r="AQ82" s="57"/>
      <c r="AR82" s="57"/>
      <c r="AS82" s="57"/>
      <c r="AT82" s="57"/>
      <c r="AU82" s="57"/>
      <c r="AV82" s="57"/>
      <c r="AW82" s="137"/>
    </row>
    <row r="83" spans="1:49" x14ac:dyDescent="0.25">
      <c r="A83" s="572" t="s">
        <v>112</v>
      </c>
      <c r="B83" s="592">
        <v>222146</v>
      </c>
      <c r="C83" s="592" t="s">
        <v>488</v>
      </c>
      <c r="D83" s="573" t="s">
        <v>394</v>
      </c>
      <c r="E83" s="552" t="s">
        <v>391</v>
      </c>
      <c r="F83" s="552">
        <v>6</v>
      </c>
      <c r="G83" s="552">
        <v>758</v>
      </c>
      <c r="H83" s="552">
        <v>1081</v>
      </c>
      <c r="I83" s="552">
        <v>1406</v>
      </c>
      <c r="J83" s="585">
        <v>1081</v>
      </c>
      <c r="K83" s="585">
        <v>32</v>
      </c>
      <c r="L83" s="589">
        <v>32</v>
      </c>
      <c r="M83" s="590">
        <v>2</v>
      </c>
      <c r="N83" s="151">
        <f>ROUND(J83*(1+kopsavilkums!$O$12),2)</f>
        <v>1151.27</v>
      </c>
      <c r="O83" s="61">
        <f t="shared" si="53"/>
        <v>2.0799999999999983</v>
      </c>
      <c r="P83" s="61">
        <f>ROUND(L83*(1+kopsavilkums!$O$12),2)</f>
        <v>34.08</v>
      </c>
      <c r="Q83" s="61">
        <f t="shared" si="50"/>
        <v>72.349999999999909</v>
      </c>
      <c r="R83" s="61">
        <f t="shared" si="51"/>
        <v>144.69999999999982</v>
      </c>
      <c r="S83" s="61">
        <f t="shared" si="47"/>
        <v>1736.3999999999978</v>
      </c>
      <c r="T83" s="61">
        <f>ROUND(S83*kopsavilkums!$O$23,2)</f>
        <v>409.62</v>
      </c>
      <c r="U83" s="152">
        <f t="shared" si="54"/>
        <v>2146.0199999999977</v>
      </c>
      <c r="V83" s="75"/>
      <c r="W83" s="66"/>
      <c r="X83" s="72"/>
      <c r="Y83" s="72"/>
      <c r="Z83" s="557" t="s">
        <v>845</v>
      </c>
      <c r="AA83" s="557"/>
      <c r="AB83" s="57"/>
      <c r="AC83" s="57"/>
      <c r="AD83" s="57"/>
      <c r="AE83" s="57"/>
      <c r="AF83" s="57"/>
      <c r="AG83" s="57"/>
      <c r="AH83" s="57"/>
      <c r="AI83" s="57"/>
      <c r="AJ83" s="137"/>
      <c r="AM83" s="57"/>
      <c r="AN83" s="57"/>
      <c r="AO83" s="57"/>
      <c r="AP83" s="57"/>
      <c r="AQ83" s="57"/>
      <c r="AR83" s="57"/>
      <c r="AS83" s="57"/>
      <c r="AT83" s="57"/>
      <c r="AU83" s="57"/>
      <c r="AV83" s="57"/>
      <c r="AW83" s="137"/>
    </row>
    <row r="84" spans="1:49" x14ac:dyDescent="0.25">
      <c r="A84" s="572" t="s">
        <v>112</v>
      </c>
      <c r="B84" s="592">
        <v>222146</v>
      </c>
      <c r="C84" s="592" t="s">
        <v>488</v>
      </c>
      <c r="D84" s="573" t="s">
        <v>394</v>
      </c>
      <c r="E84" s="552" t="s">
        <v>391</v>
      </c>
      <c r="F84" s="552">
        <v>6</v>
      </c>
      <c r="G84" s="552">
        <v>758</v>
      </c>
      <c r="H84" s="552">
        <v>1081</v>
      </c>
      <c r="I84" s="552">
        <v>1406</v>
      </c>
      <c r="J84" s="585">
        <v>1040</v>
      </c>
      <c r="K84" s="585">
        <v>211</v>
      </c>
      <c r="L84" s="589">
        <v>211</v>
      </c>
      <c r="M84" s="590">
        <v>1</v>
      </c>
      <c r="N84" s="151">
        <f>ROUND(J84*(1+kopsavilkums!$O$12),2)</f>
        <v>1107.5999999999999</v>
      </c>
      <c r="O84" s="61">
        <f t="shared" si="53"/>
        <v>13.719999999999999</v>
      </c>
      <c r="P84" s="61">
        <f>ROUND(L84*(1+kopsavilkums!$O$12),2)</f>
        <v>224.72</v>
      </c>
      <c r="Q84" s="61">
        <f t="shared" si="50"/>
        <v>81.319999999999936</v>
      </c>
      <c r="R84" s="61">
        <f t="shared" si="51"/>
        <v>81.319999999999936</v>
      </c>
      <c r="S84" s="61">
        <f t="shared" si="47"/>
        <v>975.83999999999924</v>
      </c>
      <c r="T84" s="61">
        <f>ROUND(S84*kopsavilkums!$O$23,2)</f>
        <v>230.2</v>
      </c>
      <c r="U84" s="152">
        <f t="shared" si="54"/>
        <v>1206.0399999999993</v>
      </c>
      <c r="V84" s="75"/>
      <c r="W84" s="66"/>
      <c r="X84" s="72"/>
      <c r="Y84" s="72"/>
      <c r="Z84" s="557" t="s">
        <v>845</v>
      </c>
      <c r="AA84" s="557"/>
      <c r="AB84" s="57"/>
      <c r="AC84" s="57"/>
      <c r="AD84" s="57"/>
      <c r="AE84" s="57"/>
      <c r="AF84" s="57"/>
      <c r="AG84" s="57"/>
      <c r="AH84" s="57"/>
      <c r="AI84" s="57"/>
      <c r="AJ84" s="137"/>
      <c r="AM84" s="57"/>
      <c r="AN84" s="57"/>
      <c r="AO84" s="57"/>
      <c r="AP84" s="57"/>
      <c r="AQ84" s="57"/>
      <c r="AR84" s="57"/>
      <c r="AS84" s="57"/>
      <c r="AT84" s="57"/>
      <c r="AU84" s="57"/>
      <c r="AV84" s="57"/>
      <c r="AW84" s="137"/>
    </row>
    <row r="85" spans="1:49" x14ac:dyDescent="0.25">
      <c r="A85" s="572" t="s">
        <v>112</v>
      </c>
      <c r="B85" s="592">
        <v>222146</v>
      </c>
      <c r="C85" s="592" t="s">
        <v>488</v>
      </c>
      <c r="D85" s="573" t="s">
        <v>394</v>
      </c>
      <c r="E85" s="552" t="s">
        <v>391</v>
      </c>
      <c r="F85" s="552">
        <v>6</v>
      </c>
      <c r="G85" s="552">
        <v>758</v>
      </c>
      <c r="H85" s="552">
        <v>1081</v>
      </c>
      <c r="I85" s="552">
        <v>1406</v>
      </c>
      <c r="J85" s="585">
        <v>1081</v>
      </c>
      <c r="K85" s="585">
        <v>0</v>
      </c>
      <c r="L85" s="589">
        <v>0</v>
      </c>
      <c r="M85" s="590">
        <v>0.5</v>
      </c>
      <c r="N85" s="151">
        <f>ROUND(J85*(1+kopsavilkums!$O$12),2)</f>
        <v>1151.27</v>
      </c>
      <c r="O85" s="61">
        <f t="shared" si="53"/>
        <v>0</v>
      </c>
      <c r="P85" s="61">
        <f>ROUND(L85*(1+kopsavilkums!$O$12),2)</f>
        <v>0</v>
      </c>
      <c r="Q85" s="61">
        <f t="shared" si="50"/>
        <v>70.269999999999982</v>
      </c>
      <c r="R85" s="61">
        <f t="shared" si="51"/>
        <v>35.134999999999991</v>
      </c>
      <c r="S85" s="61">
        <f t="shared" si="47"/>
        <v>421.61999999999989</v>
      </c>
      <c r="T85" s="61">
        <f>ROUND(S85*kopsavilkums!$O$23,2)</f>
        <v>99.46</v>
      </c>
      <c r="U85" s="152">
        <f t="shared" si="54"/>
        <v>521.07999999999993</v>
      </c>
      <c r="V85" s="75"/>
      <c r="W85" s="66"/>
      <c r="X85" s="72"/>
      <c r="Y85" s="72"/>
      <c r="Z85" s="557" t="s">
        <v>845</v>
      </c>
      <c r="AA85" s="557"/>
      <c r="AB85" s="57"/>
      <c r="AC85" s="57"/>
      <c r="AD85" s="57"/>
      <c r="AE85" s="57"/>
      <c r="AF85" s="57"/>
      <c r="AG85" s="57"/>
      <c r="AH85" s="57"/>
      <c r="AI85" s="57"/>
      <c r="AJ85" s="137"/>
      <c r="AM85" s="57"/>
      <c r="AN85" s="57"/>
      <c r="AO85" s="57"/>
      <c r="AP85" s="57"/>
      <c r="AQ85" s="57"/>
      <c r="AR85" s="57"/>
      <c r="AS85" s="57"/>
      <c r="AT85" s="57"/>
      <c r="AU85" s="57"/>
      <c r="AV85" s="57"/>
      <c r="AW85" s="137"/>
    </row>
    <row r="86" spans="1:49" x14ac:dyDescent="0.25">
      <c r="A86" s="572" t="s">
        <v>112</v>
      </c>
      <c r="B86" s="592">
        <v>222146</v>
      </c>
      <c r="C86" s="592" t="s">
        <v>488</v>
      </c>
      <c r="D86" s="573" t="s">
        <v>394</v>
      </c>
      <c r="E86" s="552" t="s">
        <v>391</v>
      </c>
      <c r="F86" s="552">
        <v>6</v>
      </c>
      <c r="G86" s="552">
        <v>758</v>
      </c>
      <c r="H86" s="552">
        <v>1081</v>
      </c>
      <c r="I86" s="552">
        <v>1406</v>
      </c>
      <c r="J86" s="585">
        <v>1032</v>
      </c>
      <c r="K86" s="585">
        <v>120</v>
      </c>
      <c r="L86" s="589">
        <v>120</v>
      </c>
      <c r="M86" s="590">
        <v>1</v>
      </c>
      <c r="N86" s="151">
        <f>ROUND(J86*(1+kopsavilkums!$O$12),2)</f>
        <v>1099.08</v>
      </c>
      <c r="O86" s="61">
        <f t="shared" si="53"/>
        <v>7.7999999999999972</v>
      </c>
      <c r="P86" s="61">
        <f>ROUND(L86*(1+kopsavilkums!$O$12),2)</f>
        <v>127.8</v>
      </c>
      <c r="Q86" s="61">
        <f t="shared" si="50"/>
        <v>74.879999999999882</v>
      </c>
      <c r="R86" s="61">
        <f t="shared" si="51"/>
        <v>74.879999999999882</v>
      </c>
      <c r="S86" s="61">
        <f t="shared" si="47"/>
        <v>898.55999999999858</v>
      </c>
      <c r="T86" s="61">
        <f>ROUND(S86*kopsavilkums!$O$23,2)</f>
        <v>211.97</v>
      </c>
      <c r="U86" s="152">
        <f t="shared" si="54"/>
        <v>1110.5299999999986</v>
      </c>
      <c r="V86" s="75"/>
      <c r="W86" s="66"/>
      <c r="X86" s="72"/>
      <c r="Y86" s="72"/>
      <c r="Z86" s="557" t="s">
        <v>845</v>
      </c>
      <c r="AA86" s="557"/>
      <c r="AB86" s="57"/>
      <c r="AC86" s="57"/>
      <c r="AD86" s="57"/>
      <c r="AE86" s="57"/>
      <c r="AF86" s="57"/>
      <c r="AG86" s="57"/>
      <c r="AH86" s="57"/>
      <c r="AI86" s="57"/>
      <c r="AJ86" s="137"/>
      <c r="AM86" s="57"/>
      <c r="AN86" s="57"/>
      <c r="AO86" s="57"/>
      <c r="AP86" s="57"/>
      <c r="AQ86" s="57"/>
      <c r="AR86" s="57"/>
      <c r="AS86" s="57"/>
      <c r="AT86" s="57"/>
      <c r="AU86" s="57"/>
      <c r="AV86" s="57"/>
      <c r="AW86" s="137"/>
    </row>
    <row r="87" spans="1:49" x14ac:dyDescent="0.25">
      <c r="A87" s="572" t="s">
        <v>112</v>
      </c>
      <c r="B87" s="592">
        <v>222146</v>
      </c>
      <c r="C87" s="592" t="s">
        <v>488</v>
      </c>
      <c r="D87" s="573" t="s">
        <v>394</v>
      </c>
      <c r="E87" s="552" t="s">
        <v>391</v>
      </c>
      <c r="F87" s="552">
        <v>6</v>
      </c>
      <c r="G87" s="552">
        <v>758</v>
      </c>
      <c r="H87" s="552">
        <v>1081</v>
      </c>
      <c r="I87" s="552">
        <v>1406</v>
      </c>
      <c r="J87" s="585">
        <v>1032</v>
      </c>
      <c r="K87" s="585">
        <v>120</v>
      </c>
      <c r="L87" s="589">
        <v>120</v>
      </c>
      <c r="M87" s="590">
        <v>0.5</v>
      </c>
      <c r="N87" s="151">
        <f>ROUND(J87*(1+kopsavilkums!$O$12),2)</f>
        <v>1099.08</v>
      </c>
      <c r="O87" s="61">
        <f t="shared" si="53"/>
        <v>7.7999999999999972</v>
      </c>
      <c r="P87" s="61">
        <f>ROUND(L87*(1+kopsavilkums!$O$12),2)</f>
        <v>127.8</v>
      </c>
      <c r="Q87" s="61">
        <f t="shared" si="50"/>
        <v>74.879999999999882</v>
      </c>
      <c r="R87" s="61">
        <f t="shared" si="51"/>
        <v>37.439999999999941</v>
      </c>
      <c r="S87" s="61">
        <f t="shared" si="47"/>
        <v>449.27999999999929</v>
      </c>
      <c r="T87" s="61">
        <f>ROUND(S87*kopsavilkums!$O$23,2)</f>
        <v>105.99</v>
      </c>
      <c r="U87" s="152">
        <f t="shared" si="54"/>
        <v>555.2699999999993</v>
      </c>
      <c r="V87" s="75"/>
      <c r="W87" s="66"/>
      <c r="X87" s="72"/>
      <c r="Y87" s="72"/>
      <c r="Z87" s="557" t="s">
        <v>845</v>
      </c>
      <c r="AA87" s="557"/>
      <c r="AB87" s="57"/>
      <c r="AC87" s="57"/>
      <c r="AD87" s="57"/>
      <c r="AE87" s="57"/>
      <c r="AF87" s="57"/>
      <c r="AG87" s="57"/>
      <c r="AH87" s="57"/>
      <c r="AI87" s="57"/>
      <c r="AJ87" s="137"/>
      <c r="AM87" s="57"/>
      <c r="AN87" s="57"/>
      <c r="AO87" s="57"/>
      <c r="AP87" s="57"/>
      <c r="AQ87" s="57"/>
      <c r="AR87" s="57"/>
      <c r="AS87" s="57"/>
      <c r="AT87" s="57"/>
      <c r="AU87" s="57"/>
      <c r="AV87" s="57"/>
      <c r="AW87" s="137"/>
    </row>
    <row r="88" spans="1:49" x14ac:dyDescent="0.25">
      <c r="A88" s="572" t="s">
        <v>112</v>
      </c>
      <c r="B88" s="592">
        <v>222146</v>
      </c>
      <c r="C88" s="592" t="s">
        <v>488</v>
      </c>
      <c r="D88" s="573" t="s">
        <v>394</v>
      </c>
      <c r="E88" s="552" t="s">
        <v>391</v>
      </c>
      <c r="F88" s="552">
        <v>6</v>
      </c>
      <c r="G88" s="552">
        <v>758</v>
      </c>
      <c r="H88" s="552">
        <v>1081</v>
      </c>
      <c r="I88" s="552">
        <v>1406</v>
      </c>
      <c r="J88" s="585">
        <v>878</v>
      </c>
      <c r="K88" s="585">
        <v>0</v>
      </c>
      <c r="L88" s="589">
        <v>0</v>
      </c>
      <c r="M88" s="590">
        <v>1</v>
      </c>
      <c r="N88" s="151">
        <f>ROUND(J88*(1+kopsavilkums!$O$12),2)</f>
        <v>935.07</v>
      </c>
      <c r="O88" s="61">
        <f t="shared" si="53"/>
        <v>0</v>
      </c>
      <c r="P88" s="61">
        <f>ROUND(L88*(1+kopsavilkums!$O$12),2)</f>
        <v>0</v>
      </c>
      <c r="Q88" s="61">
        <f t="shared" si="50"/>
        <v>57.07000000000005</v>
      </c>
      <c r="R88" s="61">
        <f t="shared" si="51"/>
        <v>57.07000000000005</v>
      </c>
      <c r="S88" s="61">
        <f t="shared" si="47"/>
        <v>684.8400000000006</v>
      </c>
      <c r="T88" s="61">
        <f>ROUND(S88*kopsavilkums!$O$23,2)</f>
        <v>161.55000000000001</v>
      </c>
      <c r="U88" s="152">
        <f t="shared" si="54"/>
        <v>846.39000000000055</v>
      </c>
      <c r="V88" s="75"/>
      <c r="W88" s="66"/>
      <c r="X88" s="72"/>
      <c r="Y88" s="72"/>
      <c r="Z88" s="557" t="s">
        <v>845</v>
      </c>
      <c r="AA88" s="557"/>
      <c r="AB88" s="57"/>
      <c r="AC88" s="57"/>
      <c r="AD88" s="57"/>
      <c r="AE88" s="57"/>
      <c r="AF88" s="57"/>
      <c r="AG88" s="57"/>
      <c r="AH88" s="57"/>
      <c r="AI88" s="57"/>
      <c r="AJ88" s="137"/>
      <c r="AM88" s="57"/>
      <c r="AN88" s="57"/>
      <c r="AO88" s="57"/>
      <c r="AP88" s="57"/>
      <c r="AQ88" s="57"/>
      <c r="AR88" s="57"/>
      <c r="AS88" s="57"/>
      <c r="AT88" s="57"/>
      <c r="AU88" s="57"/>
      <c r="AV88" s="57"/>
      <c r="AW88" s="137"/>
    </row>
    <row r="89" spans="1:49" x14ac:dyDescent="0.25">
      <c r="A89" s="572" t="s">
        <v>112</v>
      </c>
      <c r="B89" s="592">
        <v>222146</v>
      </c>
      <c r="C89" s="592" t="s">
        <v>488</v>
      </c>
      <c r="D89" s="573" t="s">
        <v>394</v>
      </c>
      <c r="E89" s="552" t="s">
        <v>840</v>
      </c>
      <c r="F89" s="552">
        <v>6</v>
      </c>
      <c r="G89" s="552">
        <v>758</v>
      </c>
      <c r="H89" s="552">
        <v>1081</v>
      </c>
      <c r="I89" s="552">
        <v>1406</v>
      </c>
      <c r="J89" s="585">
        <v>1036</v>
      </c>
      <c r="K89" s="585">
        <v>0</v>
      </c>
      <c r="L89" s="589">
        <v>0</v>
      </c>
      <c r="M89" s="590">
        <v>1</v>
      </c>
      <c r="N89" s="151">
        <f>ROUND(J89*(1+kopsavilkums!$O$12),2)</f>
        <v>1103.3399999999999</v>
      </c>
      <c r="O89" s="61">
        <f t="shared" si="53"/>
        <v>0</v>
      </c>
      <c r="P89" s="61">
        <f>ROUND(L89*(1+kopsavilkums!$O$12),2)</f>
        <v>0</v>
      </c>
      <c r="Q89" s="61">
        <f t="shared" si="50"/>
        <v>67.339999999999918</v>
      </c>
      <c r="R89" s="61">
        <f t="shared" si="51"/>
        <v>67.339999999999918</v>
      </c>
      <c r="S89" s="61">
        <f t="shared" si="47"/>
        <v>808.07999999999902</v>
      </c>
      <c r="T89" s="61">
        <f>ROUND(S89*kopsavilkums!$O$23,2)</f>
        <v>190.63</v>
      </c>
      <c r="U89" s="152">
        <f t="shared" si="54"/>
        <v>998.70999999999901</v>
      </c>
      <c r="V89" s="75"/>
      <c r="W89" s="66"/>
      <c r="X89" s="72"/>
      <c r="Y89" s="72"/>
      <c r="Z89" s="557" t="s">
        <v>845</v>
      </c>
      <c r="AA89" s="557"/>
      <c r="AB89" s="57"/>
      <c r="AC89" s="57"/>
      <c r="AD89" s="57"/>
      <c r="AE89" s="57"/>
      <c r="AF89" s="57"/>
      <c r="AG89" s="57"/>
      <c r="AH89" s="57"/>
      <c r="AI89" s="57"/>
      <c r="AJ89" s="137"/>
      <c r="AM89" s="57"/>
      <c r="AN89" s="57"/>
      <c r="AO89" s="57"/>
      <c r="AP89" s="57"/>
      <c r="AQ89" s="57"/>
      <c r="AR89" s="57"/>
      <c r="AS89" s="57"/>
      <c r="AT89" s="57"/>
      <c r="AU89" s="57"/>
      <c r="AV89" s="57"/>
      <c r="AW89" s="137"/>
    </row>
    <row r="90" spans="1:49" x14ac:dyDescent="0.25">
      <c r="A90" s="572" t="s">
        <v>112</v>
      </c>
      <c r="B90" s="592">
        <v>222146</v>
      </c>
      <c r="C90" s="592" t="s">
        <v>530</v>
      </c>
      <c r="D90" s="573" t="s">
        <v>394</v>
      </c>
      <c r="E90" s="552" t="s">
        <v>840</v>
      </c>
      <c r="F90" s="552">
        <v>6</v>
      </c>
      <c r="G90" s="552">
        <v>758</v>
      </c>
      <c r="H90" s="552">
        <v>1081</v>
      </c>
      <c r="I90" s="552">
        <v>1406</v>
      </c>
      <c r="J90" s="585">
        <v>1200</v>
      </c>
      <c r="K90" s="585">
        <v>0</v>
      </c>
      <c r="L90" s="589">
        <v>0</v>
      </c>
      <c r="M90" s="590">
        <v>0.5</v>
      </c>
      <c r="N90" s="151">
        <f>ROUND(J90*(1+kopsavilkums!$O$12),2)</f>
        <v>1278</v>
      </c>
      <c r="O90" s="61">
        <f t="shared" ref="O90:O91" si="55">P90-L90</f>
        <v>0</v>
      </c>
      <c r="P90" s="61">
        <f>ROUND(L90*(1+kopsavilkums!$O$12),2)</f>
        <v>0</v>
      </c>
      <c r="Q90" s="61">
        <f t="shared" ref="Q90:Q91" si="56">(N90+P90)-(J90+L90)</f>
        <v>78</v>
      </c>
      <c r="R90" s="61">
        <f t="shared" ref="R90:R91" si="57">Q90*M90</f>
        <v>39</v>
      </c>
      <c r="S90" s="61">
        <f t="shared" ref="S90:S91" si="58">R90*12</f>
        <v>468</v>
      </c>
      <c r="T90" s="61">
        <f>ROUND(S90*kopsavilkums!$O$23,2)</f>
        <v>110.4</v>
      </c>
      <c r="U90" s="152">
        <f t="shared" ref="U90:U91" si="59">SUM(S90:T90)</f>
        <v>578.4</v>
      </c>
      <c r="V90" s="75"/>
      <c r="W90" s="66"/>
      <c r="X90" s="72"/>
      <c r="Y90" s="72"/>
      <c r="Z90" s="557" t="s">
        <v>845</v>
      </c>
      <c r="AA90" s="557"/>
      <c r="AB90" s="57"/>
      <c r="AC90" s="57"/>
      <c r="AD90" s="57"/>
      <c r="AE90" s="57"/>
      <c r="AF90" s="57"/>
      <c r="AG90" s="57"/>
      <c r="AH90" s="57"/>
      <c r="AI90" s="57"/>
      <c r="AJ90" s="137"/>
      <c r="AM90" s="57"/>
      <c r="AN90" s="57"/>
      <c r="AO90" s="57"/>
      <c r="AP90" s="57"/>
      <c r="AQ90" s="57"/>
      <c r="AR90" s="57"/>
      <c r="AS90" s="57"/>
      <c r="AT90" s="57"/>
      <c r="AU90" s="57"/>
      <c r="AV90" s="57"/>
      <c r="AW90" s="137"/>
    </row>
    <row r="91" spans="1:49" x14ac:dyDescent="0.25">
      <c r="A91" s="572" t="s">
        <v>112</v>
      </c>
      <c r="B91" s="592">
        <v>222146</v>
      </c>
      <c r="C91" s="592" t="s">
        <v>743</v>
      </c>
      <c r="D91" s="573" t="s">
        <v>394</v>
      </c>
      <c r="E91" s="552" t="s">
        <v>391</v>
      </c>
      <c r="F91" s="552">
        <v>6</v>
      </c>
      <c r="G91" s="552">
        <v>758</v>
      </c>
      <c r="H91" s="552">
        <v>1081</v>
      </c>
      <c r="I91" s="552">
        <v>1406</v>
      </c>
      <c r="J91" s="585">
        <v>1081</v>
      </c>
      <c r="K91" s="585">
        <v>0</v>
      </c>
      <c r="L91" s="589">
        <v>0</v>
      </c>
      <c r="M91" s="590">
        <v>1.3</v>
      </c>
      <c r="N91" s="151">
        <f>ROUND(J91*(1+kopsavilkums!$O$12),2)</f>
        <v>1151.27</v>
      </c>
      <c r="O91" s="61">
        <f t="shared" si="55"/>
        <v>0</v>
      </c>
      <c r="P91" s="61">
        <f>ROUND(L91*(1+kopsavilkums!$O$12),2)</f>
        <v>0</v>
      </c>
      <c r="Q91" s="61">
        <f t="shared" si="56"/>
        <v>70.269999999999982</v>
      </c>
      <c r="R91" s="61">
        <f t="shared" si="57"/>
        <v>91.350999999999985</v>
      </c>
      <c r="S91" s="61">
        <f t="shared" si="58"/>
        <v>1096.2119999999998</v>
      </c>
      <c r="T91" s="61">
        <f>ROUND(S91*kopsavilkums!$O$23,2)</f>
        <v>258.60000000000002</v>
      </c>
      <c r="U91" s="152">
        <f t="shared" si="59"/>
        <v>1354.8119999999999</v>
      </c>
      <c r="V91" s="75"/>
      <c r="W91" s="66"/>
      <c r="X91" s="72"/>
      <c r="Y91" s="72"/>
      <c r="Z91" s="557" t="s">
        <v>845</v>
      </c>
      <c r="AA91" s="557"/>
      <c r="AB91" s="57"/>
      <c r="AC91" s="57"/>
      <c r="AD91" s="57"/>
      <c r="AE91" s="57"/>
      <c r="AF91" s="57"/>
      <c r="AG91" s="57"/>
      <c r="AH91" s="57"/>
      <c r="AI91" s="57"/>
      <c r="AJ91" s="137"/>
      <c r="AM91" s="57"/>
      <c r="AN91" s="57"/>
      <c r="AO91" s="57"/>
      <c r="AP91" s="57"/>
      <c r="AQ91" s="57"/>
      <c r="AR91" s="57"/>
      <c r="AS91" s="57"/>
      <c r="AT91" s="57"/>
      <c r="AU91" s="57"/>
      <c r="AV91" s="57"/>
      <c r="AW91" s="137"/>
    </row>
    <row r="92" spans="1:49" x14ac:dyDescent="0.25">
      <c r="A92" s="572" t="s">
        <v>112</v>
      </c>
      <c r="B92" s="592">
        <v>222146</v>
      </c>
      <c r="C92" s="592" t="s">
        <v>488</v>
      </c>
      <c r="D92" s="573" t="s">
        <v>841</v>
      </c>
      <c r="E92" s="552" t="s">
        <v>10</v>
      </c>
      <c r="F92" s="552">
        <v>6</v>
      </c>
      <c r="G92" s="552">
        <v>758</v>
      </c>
      <c r="H92" s="552">
        <v>1081</v>
      </c>
      <c r="I92" s="552">
        <v>1406</v>
      </c>
      <c r="J92" s="585">
        <v>1276</v>
      </c>
      <c r="K92" s="585">
        <v>120</v>
      </c>
      <c r="L92" s="589">
        <v>120</v>
      </c>
      <c r="M92" s="590">
        <v>1</v>
      </c>
      <c r="N92" s="151">
        <f>ROUND(J92*(1+kopsavilkums!$O$12),2)</f>
        <v>1358.94</v>
      </c>
      <c r="O92" s="61">
        <f t="shared" si="53"/>
        <v>7.7999999999999972</v>
      </c>
      <c r="P92" s="61">
        <f>ROUND(L92*(1+kopsavilkums!$O$12),2)</f>
        <v>127.8</v>
      </c>
      <c r="Q92" s="61">
        <f t="shared" si="50"/>
        <v>90.740000000000009</v>
      </c>
      <c r="R92" s="61">
        <f t="shared" si="51"/>
        <v>90.740000000000009</v>
      </c>
      <c r="S92" s="61">
        <f t="shared" si="47"/>
        <v>1088.8800000000001</v>
      </c>
      <c r="T92" s="61">
        <f>ROUND(S92*kopsavilkums!$O$23,2)</f>
        <v>256.87</v>
      </c>
      <c r="U92" s="152">
        <f t="shared" si="54"/>
        <v>1345.75</v>
      </c>
      <c r="V92" s="75"/>
      <c r="W92" s="66"/>
      <c r="X92" s="72"/>
      <c r="Y92" s="72"/>
      <c r="Z92" s="557" t="s">
        <v>845</v>
      </c>
      <c r="AA92" s="557"/>
      <c r="AB92" s="57"/>
      <c r="AC92" s="57"/>
      <c r="AD92" s="57"/>
      <c r="AE92" s="57"/>
      <c r="AF92" s="57"/>
      <c r="AG92" s="57"/>
      <c r="AH92" s="57"/>
      <c r="AI92" s="57"/>
      <c r="AJ92" s="137"/>
      <c r="AM92" s="57"/>
      <c r="AN92" s="57"/>
      <c r="AO92" s="57"/>
      <c r="AP92" s="57"/>
      <c r="AQ92" s="57"/>
      <c r="AR92" s="57"/>
      <c r="AS92" s="57"/>
      <c r="AT92" s="57"/>
      <c r="AU92" s="57"/>
      <c r="AV92" s="57"/>
      <c r="AW92" s="137"/>
    </row>
    <row r="93" spans="1:49" x14ac:dyDescent="0.25">
      <c r="A93" s="572" t="s">
        <v>112</v>
      </c>
      <c r="B93" s="592">
        <v>222146</v>
      </c>
      <c r="C93" s="592" t="s">
        <v>488</v>
      </c>
      <c r="D93" s="573" t="s">
        <v>841</v>
      </c>
      <c r="E93" s="552" t="s">
        <v>10</v>
      </c>
      <c r="F93" s="552">
        <v>6</v>
      </c>
      <c r="G93" s="552">
        <v>758</v>
      </c>
      <c r="H93" s="552">
        <v>1081</v>
      </c>
      <c r="I93" s="552">
        <v>1406</v>
      </c>
      <c r="J93" s="585">
        <v>1207</v>
      </c>
      <c r="K93" s="585">
        <v>120</v>
      </c>
      <c r="L93" s="589">
        <v>120</v>
      </c>
      <c r="M93" s="590">
        <v>0.5</v>
      </c>
      <c r="N93" s="151">
        <f>ROUND(J93*(1+kopsavilkums!$O$12),2)</f>
        <v>1285.46</v>
      </c>
      <c r="O93" s="61">
        <f t="shared" si="53"/>
        <v>7.7999999999999972</v>
      </c>
      <c r="P93" s="61">
        <f>ROUND(L93*(1+kopsavilkums!$O$12),2)</f>
        <v>127.8</v>
      </c>
      <c r="Q93" s="61">
        <f t="shared" si="50"/>
        <v>86.259999999999991</v>
      </c>
      <c r="R93" s="61">
        <f t="shared" si="51"/>
        <v>43.129999999999995</v>
      </c>
      <c r="S93" s="61">
        <f t="shared" si="47"/>
        <v>517.55999999999995</v>
      </c>
      <c r="T93" s="61">
        <f>ROUND(S93*kopsavilkums!$O$23,2)</f>
        <v>122.09</v>
      </c>
      <c r="U93" s="152">
        <f t="shared" si="54"/>
        <v>639.65</v>
      </c>
      <c r="V93" s="75"/>
      <c r="W93" s="66"/>
      <c r="X93" s="72"/>
      <c r="Y93" s="72"/>
      <c r="Z93" s="557" t="s">
        <v>845</v>
      </c>
      <c r="AA93" s="557"/>
      <c r="AB93" s="57"/>
      <c r="AC93" s="57"/>
      <c r="AD93" s="57"/>
      <c r="AE93" s="57"/>
      <c r="AF93" s="57"/>
      <c r="AG93" s="57"/>
      <c r="AH93" s="57"/>
      <c r="AI93" s="57"/>
      <c r="AJ93" s="137"/>
      <c r="AM93" s="57"/>
      <c r="AN93" s="57"/>
      <c r="AO93" s="57"/>
      <c r="AP93" s="57"/>
      <c r="AQ93" s="57"/>
      <c r="AR93" s="57"/>
      <c r="AS93" s="57"/>
      <c r="AT93" s="57"/>
      <c r="AU93" s="57"/>
      <c r="AV93" s="57"/>
      <c r="AW93" s="137"/>
    </row>
    <row r="94" spans="1:49" x14ac:dyDescent="0.25">
      <c r="A94" s="572" t="s">
        <v>127</v>
      </c>
      <c r="B94" s="592">
        <v>325503</v>
      </c>
      <c r="C94" s="592" t="s">
        <v>495</v>
      </c>
      <c r="D94" s="573" t="s">
        <v>397</v>
      </c>
      <c r="E94" s="552" t="s">
        <v>842</v>
      </c>
      <c r="F94" s="552">
        <v>7</v>
      </c>
      <c r="G94" s="552">
        <v>905</v>
      </c>
      <c r="H94" s="552">
        <v>1293</v>
      </c>
      <c r="I94" s="552">
        <v>1682</v>
      </c>
      <c r="J94" s="585">
        <v>1293</v>
      </c>
      <c r="K94" s="585">
        <v>39</v>
      </c>
      <c r="L94" s="589">
        <v>39</v>
      </c>
      <c r="M94" s="590">
        <v>0.3</v>
      </c>
      <c r="N94" s="151">
        <f>ROUND(J94*(1+kopsavilkums!$O$12),2)</f>
        <v>1377.05</v>
      </c>
      <c r="O94" s="61">
        <f t="shared" si="53"/>
        <v>2.5399999999999991</v>
      </c>
      <c r="P94" s="61">
        <f>ROUND(L94*(1+kopsavilkums!$O$12),2)</f>
        <v>41.54</v>
      </c>
      <c r="Q94" s="61">
        <f t="shared" si="50"/>
        <v>86.589999999999918</v>
      </c>
      <c r="R94" s="61">
        <f t="shared" si="51"/>
        <v>25.976999999999975</v>
      </c>
      <c r="S94" s="61">
        <f t="shared" si="47"/>
        <v>311.72399999999971</v>
      </c>
      <c r="T94" s="61">
        <f>ROUND(S94*kopsavilkums!$O$23,2)</f>
        <v>73.540000000000006</v>
      </c>
      <c r="U94" s="152">
        <f t="shared" si="54"/>
        <v>385.26399999999973</v>
      </c>
      <c r="V94" s="75"/>
      <c r="W94" s="66"/>
      <c r="X94" s="72"/>
      <c r="Y94" s="72"/>
      <c r="Z94" s="557" t="s">
        <v>845</v>
      </c>
      <c r="AA94" s="557"/>
      <c r="AB94" s="57"/>
      <c r="AC94" s="57"/>
      <c r="AD94" s="57"/>
      <c r="AE94" s="57"/>
      <c r="AF94" s="57"/>
      <c r="AG94" s="57"/>
      <c r="AH94" s="57"/>
      <c r="AI94" s="57"/>
      <c r="AJ94" s="137"/>
      <c r="AM94" s="57"/>
      <c r="AN94" s="57"/>
      <c r="AO94" s="57"/>
      <c r="AP94" s="57"/>
      <c r="AQ94" s="57"/>
      <c r="AR94" s="57"/>
      <c r="AS94" s="57"/>
      <c r="AT94" s="57"/>
      <c r="AU94" s="57"/>
      <c r="AV94" s="57"/>
      <c r="AW94" s="137"/>
    </row>
    <row r="95" spans="1:49" x14ac:dyDescent="0.25">
      <c r="A95" s="572" t="s">
        <v>107</v>
      </c>
      <c r="B95" s="592">
        <v>224001</v>
      </c>
      <c r="C95" s="592" t="s">
        <v>487</v>
      </c>
      <c r="D95" s="573" t="s">
        <v>394</v>
      </c>
      <c r="E95" s="552" t="s">
        <v>10</v>
      </c>
      <c r="F95" s="552">
        <v>6</v>
      </c>
      <c r="G95" s="552">
        <v>758</v>
      </c>
      <c r="H95" s="552">
        <v>1081</v>
      </c>
      <c r="I95" s="552">
        <v>1406</v>
      </c>
      <c r="J95" s="585">
        <v>1213</v>
      </c>
      <c r="K95" s="585">
        <v>0</v>
      </c>
      <c r="L95" s="589">
        <v>0</v>
      </c>
      <c r="M95" s="590">
        <v>1</v>
      </c>
      <c r="N95" s="151">
        <f>ROUND(J95*(1+kopsavilkums!$O$12),2)</f>
        <v>1291.8499999999999</v>
      </c>
      <c r="O95" s="61">
        <f t="shared" si="53"/>
        <v>0</v>
      </c>
      <c r="P95" s="61">
        <f>ROUND(L95*(1+kopsavilkums!$O$12),2)</f>
        <v>0</v>
      </c>
      <c r="Q95" s="61">
        <f t="shared" si="50"/>
        <v>78.849999999999909</v>
      </c>
      <c r="R95" s="61">
        <f t="shared" si="51"/>
        <v>78.849999999999909</v>
      </c>
      <c r="S95" s="61">
        <f t="shared" si="47"/>
        <v>946.19999999999891</v>
      </c>
      <c r="T95" s="61">
        <f>ROUND(S95*kopsavilkums!$O$23,2)</f>
        <v>223.21</v>
      </c>
      <c r="U95" s="152">
        <f t="shared" si="54"/>
        <v>1169.4099999999989</v>
      </c>
      <c r="V95" s="75"/>
      <c r="W95" s="66"/>
      <c r="X95" s="72"/>
      <c r="Y95" s="72"/>
      <c r="Z95" s="557" t="s">
        <v>845</v>
      </c>
      <c r="AA95" s="557"/>
      <c r="AB95" s="57"/>
      <c r="AC95" s="57"/>
      <c r="AD95" s="57"/>
      <c r="AE95" s="57"/>
      <c r="AF95" s="57"/>
      <c r="AG95" s="57"/>
      <c r="AH95" s="57"/>
      <c r="AI95" s="57"/>
      <c r="AJ95" s="137"/>
      <c r="AM95" s="57"/>
      <c r="AN95" s="57"/>
      <c r="AO95" s="57"/>
      <c r="AP95" s="57"/>
      <c r="AQ95" s="57"/>
      <c r="AR95" s="57"/>
      <c r="AS95" s="57"/>
      <c r="AT95" s="57"/>
      <c r="AU95" s="57"/>
      <c r="AV95" s="57"/>
      <c r="AW95" s="137"/>
    </row>
    <row r="96" spans="1:49" x14ac:dyDescent="0.25">
      <c r="A96" s="572" t="s">
        <v>107</v>
      </c>
      <c r="B96" s="592">
        <v>224001</v>
      </c>
      <c r="C96" s="592" t="s">
        <v>487</v>
      </c>
      <c r="D96" s="573" t="s">
        <v>394</v>
      </c>
      <c r="E96" s="552" t="s">
        <v>10</v>
      </c>
      <c r="F96" s="552">
        <v>6</v>
      </c>
      <c r="G96" s="552">
        <v>758</v>
      </c>
      <c r="H96" s="552">
        <v>1081</v>
      </c>
      <c r="I96" s="552">
        <v>1406</v>
      </c>
      <c r="J96" s="585">
        <v>1213</v>
      </c>
      <c r="K96" s="585">
        <v>0</v>
      </c>
      <c r="L96" s="589">
        <v>0</v>
      </c>
      <c r="M96" s="590">
        <v>0.5</v>
      </c>
      <c r="N96" s="151">
        <f>ROUND(J96*(1+kopsavilkums!$O$12),2)</f>
        <v>1291.8499999999999</v>
      </c>
      <c r="O96" s="61">
        <f t="shared" si="53"/>
        <v>0</v>
      </c>
      <c r="P96" s="61">
        <f>ROUND(L96*(1+kopsavilkums!$O$12),2)</f>
        <v>0</v>
      </c>
      <c r="Q96" s="61">
        <f t="shared" si="50"/>
        <v>78.849999999999909</v>
      </c>
      <c r="R96" s="61">
        <f t="shared" si="51"/>
        <v>39.424999999999955</v>
      </c>
      <c r="S96" s="61">
        <f t="shared" si="47"/>
        <v>473.09999999999945</v>
      </c>
      <c r="T96" s="61">
        <f>ROUND(S96*kopsavilkums!$O$23,2)</f>
        <v>111.6</v>
      </c>
      <c r="U96" s="152">
        <f t="shared" si="54"/>
        <v>584.69999999999948</v>
      </c>
      <c r="V96" s="75"/>
      <c r="W96" s="66"/>
      <c r="X96" s="72"/>
      <c r="Y96" s="72"/>
      <c r="Z96" s="557" t="s">
        <v>845</v>
      </c>
      <c r="AA96" s="557"/>
      <c r="AB96" s="57"/>
      <c r="AC96" s="57"/>
      <c r="AD96" s="57"/>
      <c r="AE96" s="57"/>
      <c r="AF96" s="57"/>
      <c r="AG96" s="57"/>
      <c r="AH96" s="57"/>
      <c r="AI96" s="57"/>
      <c r="AJ96" s="137"/>
      <c r="AM96" s="57"/>
      <c r="AN96" s="57"/>
      <c r="AO96" s="57"/>
      <c r="AP96" s="57"/>
      <c r="AQ96" s="57"/>
      <c r="AR96" s="57"/>
      <c r="AS96" s="57"/>
      <c r="AT96" s="57"/>
      <c r="AU96" s="57"/>
      <c r="AV96" s="57"/>
      <c r="AW96" s="137"/>
    </row>
    <row r="97" spans="1:49" x14ac:dyDescent="0.25">
      <c r="A97" s="572" t="s">
        <v>107</v>
      </c>
      <c r="B97" s="592">
        <v>224001</v>
      </c>
      <c r="C97" s="592" t="s">
        <v>487</v>
      </c>
      <c r="D97" s="573" t="s">
        <v>394</v>
      </c>
      <c r="E97" s="552" t="s">
        <v>10</v>
      </c>
      <c r="F97" s="552">
        <v>6</v>
      </c>
      <c r="G97" s="552">
        <v>758</v>
      </c>
      <c r="H97" s="552">
        <v>1081</v>
      </c>
      <c r="I97" s="552">
        <v>1406</v>
      </c>
      <c r="J97" s="585">
        <v>792</v>
      </c>
      <c r="K97" s="585">
        <v>120</v>
      </c>
      <c r="L97" s="589">
        <v>120</v>
      </c>
      <c r="M97" s="590">
        <v>1</v>
      </c>
      <c r="N97" s="151">
        <f>ROUND(J97*(1+kopsavilkums!$O$12),2)</f>
        <v>843.48</v>
      </c>
      <c r="O97" s="61">
        <f t="shared" si="53"/>
        <v>7.7999999999999972</v>
      </c>
      <c r="P97" s="61">
        <f>ROUND(L97*(1+kopsavilkums!$O$12),2)</f>
        <v>127.8</v>
      </c>
      <c r="Q97" s="61">
        <f t="shared" si="50"/>
        <v>59.279999999999973</v>
      </c>
      <c r="R97" s="61">
        <f t="shared" si="51"/>
        <v>59.279999999999973</v>
      </c>
      <c r="S97" s="61">
        <f t="shared" si="47"/>
        <v>711.35999999999967</v>
      </c>
      <c r="T97" s="61">
        <f>ROUND(S97*kopsavilkums!$O$23,2)</f>
        <v>167.81</v>
      </c>
      <c r="U97" s="152">
        <f t="shared" si="54"/>
        <v>879.16999999999962</v>
      </c>
      <c r="V97" s="75"/>
      <c r="W97" s="66"/>
      <c r="X97" s="72"/>
      <c r="Y97" s="72"/>
      <c r="Z97" s="557" t="s">
        <v>845</v>
      </c>
      <c r="AA97" s="557"/>
      <c r="AB97" s="57"/>
      <c r="AC97" s="57"/>
      <c r="AD97" s="57"/>
      <c r="AE97" s="57"/>
      <c r="AF97" s="57"/>
      <c r="AG97" s="57"/>
      <c r="AH97" s="57"/>
      <c r="AI97" s="57"/>
      <c r="AJ97" s="137"/>
      <c r="AM97" s="57"/>
      <c r="AN97" s="57"/>
      <c r="AO97" s="57"/>
      <c r="AP97" s="57"/>
      <c r="AQ97" s="57"/>
      <c r="AR97" s="57"/>
      <c r="AS97" s="57"/>
      <c r="AT97" s="57"/>
      <c r="AU97" s="57"/>
      <c r="AV97" s="57"/>
      <c r="AW97" s="137"/>
    </row>
    <row r="98" spans="1:49" x14ac:dyDescent="0.25">
      <c r="A98" s="572" t="s">
        <v>107</v>
      </c>
      <c r="B98" s="592">
        <v>224001</v>
      </c>
      <c r="C98" s="592" t="s">
        <v>487</v>
      </c>
      <c r="D98" s="573" t="s">
        <v>394</v>
      </c>
      <c r="E98" s="552" t="s">
        <v>10</v>
      </c>
      <c r="F98" s="552">
        <v>6</v>
      </c>
      <c r="G98" s="552">
        <v>758</v>
      </c>
      <c r="H98" s="552">
        <v>1081</v>
      </c>
      <c r="I98" s="552">
        <v>1406</v>
      </c>
      <c r="J98" s="585">
        <v>939</v>
      </c>
      <c r="K98" s="585">
        <v>0</v>
      </c>
      <c r="L98" s="589">
        <v>0</v>
      </c>
      <c r="M98" s="590">
        <v>0.5</v>
      </c>
      <c r="N98" s="151">
        <f>ROUND(J98*(1+kopsavilkums!$O$12),2)</f>
        <v>1000.04</v>
      </c>
      <c r="O98" s="61">
        <f t="shared" si="53"/>
        <v>0</v>
      </c>
      <c r="P98" s="61">
        <f>ROUND(L98*(1+kopsavilkums!$O$12),2)</f>
        <v>0</v>
      </c>
      <c r="Q98" s="61">
        <f t="shared" si="50"/>
        <v>61.039999999999964</v>
      </c>
      <c r="R98" s="61">
        <f t="shared" si="51"/>
        <v>30.519999999999982</v>
      </c>
      <c r="S98" s="61">
        <f t="shared" si="47"/>
        <v>366.23999999999978</v>
      </c>
      <c r="T98" s="61">
        <f>ROUND(S98*kopsavilkums!$O$23,2)</f>
        <v>86.4</v>
      </c>
      <c r="U98" s="152">
        <f t="shared" si="54"/>
        <v>452.63999999999976</v>
      </c>
      <c r="V98" s="75"/>
      <c r="W98" s="66"/>
      <c r="X98" s="72"/>
      <c r="Y98" s="72"/>
      <c r="Z98" s="557" t="s">
        <v>845</v>
      </c>
      <c r="AA98" s="557"/>
      <c r="AB98" s="57"/>
      <c r="AC98" s="57"/>
      <c r="AD98" s="57"/>
      <c r="AE98" s="57"/>
      <c r="AF98" s="57"/>
      <c r="AG98" s="57"/>
      <c r="AH98" s="57"/>
      <c r="AI98" s="57"/>
      <c r="AJ98" s="137"/>
      <c r="AM98" s="57"/>
      <c r="AN98" s="57"/>
      <c r="AO98" s="57"/>
      <c r="AP98" s="57"/>
      <c r="AQ98" s="57"/>
      <c r="AR98" s="57"/>
      <c r="AS98" s="57"/>
      <c r="AT98" s="57"/>
      <c r="AU98" s="57"/>
      <c r="AV98" s="57"/>
      <c r="AW98" s="137"/>
    </row>
    <row r="99" spans="1:49" x14ac:dyDescent="0.25">
      <c r="A99" s="576" t="s">
        <v>107</v>
      </c>
      <c r="B99" s="592">
        <v>224001</v>
      </c>
      <c r="C99" s="592" t="s">
        <v>487</v>
      </c>
      <c r="D99" s="573" t="s">
        <v>397</v>
      </c>
      <c r="E99" s="552" t="s">
        <v>21</v>
      </c>
      <c r="F99" s="552">
        <v>7</v>
      </c>
      <c r="G99" s="552">
        <v>905</v>
      </c>
      <c r="H99" s="552">
        <v>1293</v>
      </c>
      <c r="I99" s="552">
        <v>1682</v>
      </c>
      <c r="J99" s="585">
        <v>1032</v>
      </c>
      <c r="K99" s="585">
        <v>120</v>
      </c>
      <c r="L99" s="585">
        <v>120</v>
      </c>
      <c r="M99" s="586">
        <v>0.5</v>
      </c>
      <c r="N99" s="151">
        <f>ROUND(J99*(1+kopsavilkums!$O$12),2)</f>
        <v>1099.08</v>
      </c>
      <c r="O99" s="61">
        <f t="shared" si="53"/>
        <v>7.7999999999999972</v>
      </c>
      <c r="P99" s="61">
        <f>ROUND(L99*(1+kopsavilkums!$O$12),2)</f>
        <v>127.8</v>
      </c>
      <c r="Q99" s="61">
        <f t="shared" si="50"/>
        <v>74.879999999999882</v>
      </c>
      <c r="R99" s="61">
        <f t="shared" ref="R99:R101" si="60">Q99*M99</f>
        <v>37.439999999999941</v>
      </c>
      <c r="S99" s="61">
        <f t="shared" ref="S99:S101" si="61">R99*12</f>
        <v>449.27999999999929</v>
      </c>
      <c r="T99" s="61">
        <f>ROUND(S99*kopsavilkums!$O$23,2)</f>
        <v>105.99</v>
      </c>
      <c r="U99" s="152">
        <f t="shared" ref="U99:U101" si="62">SUM(S99:T99)</f>
        <v>555.2699999999993</v>
      </c>
      <c r="V99" s="75"/>
      <c r="W99" s="66"/>
      <c r="X99" s="72"/>
      <c r="Y99" s="72"/>
      <c r="Z99" s="557" t="s">
        <v>845</v>
      </c>
      <c r="AA99" s="557"/>
      <c r="AB99" s="57"/>
      <c r="AC99" s="57"/>
      <c r="AD99" s="57"/>
      <c r="AE99" s="57"/>
      <c r="AF99" s="57"/>
      <c r="AG99" s="57"/>
      <c r="AH99" s="57"/>
      <c r="AI99" s="57"/>
      <c r="AJ99" s="137"/>
      <c r="AM99" s="57"/>
      <c r="AN99" s="57"/>
      <c r="AO99" s="57"/>
      <c r="AP99" s="57"/>
      <c r="AQ99" s="57"/>
      <c r="AR99" s="57"/>
      <c r="AS99" s="57"/>
      <c r="AT99" s="57"/>
      <c r="AU99" s="57"/>
      <c r="AV99" s="57"/>
      <c r="AW99" s="137"/>
    </row>
    <row r="100" spans="1:49" x14ac:dyDescent="0.25">
      <c r="A100" s="576" t="s">
        <v>107</v>
      </c>
      <c r="B100" s="592">
        <v>224001</v>
      </c>
      <c r="C100" s="631" t="s">
        <v>487</v>
      </c>
      <c r="D100" s="573" t="s">
        <v>394</v>
      </c>
      <c r="E100" s="552" t="s">
        <v>391</v>
      </c>
      <c r="F100" s="552">
        <v>6</v>
      </c>
      <c r="G100" s="552">
        <v>758</v>
      </c>
      <c r="H100" s="552">
        <v>1081</v>
      </c>
      <c r="I100" s="552">
        <v>1406</v>
      </c>
      <c r="J100" s="585">
        <v>1117</v>
      </c>
      <c r="K100" s="585">
        <v>0</v>
      </c>
      <c r="L100" s="585">
        <v>0</v>
      </c>
      <c r="M100" s="586">
        <v>1</v>
      </c>
      <c r="N100" s="151">
        <f>ROUND(J100*(1+kopsavilkums!$O$12),2)</f>
        <v>1189.6099999999999</v>
      </c>
      <c r="O100" s="61">
        <f t="shared" si="53"/>
        <v>0</v>
      </c>
      <c r="P100" s="61">
        <f>ROUND(L100*(1+kopsavilkums!$O$12),2)</f>
        <v>0</v>
      </c>
      <c r="Q100" s="61">
        <f t="shared" si="50"/>
        <v>72.6099999999999</v>
      </c>
      <c r="R100" s="61">
        <f t="shared" si="60"/>
        <v>72.6099999999999</v>
      </c>
      <c r="S100" s="61">
        <f t="shared" si="61"/>
        <v>871.3199999999988</v>
      </c>
      <c r="T100" s="61">
        <f>ROUND(S100*kopsavilkums!$O$23,2)</f>
        <v>205.54</v>
      </c>
      <c r="U100" s="152">
        <f t="shared" si="62"/>
        <v>1076.8599999999988</v>
      </c>
      <c r="V100" s="75"/>
      <c r="W100" s="66"/>
      <c r="X100" s="72"/>
      <c r="Y100" s="72"/>
      <c r="Z100" s="557" t="s">
        <v>845</v>
      </c>
      <c r="AA100" s="557"/>
      <c r="AB100" s="57"/>
      <c r="AC100" s="57"/>
      <c r="AD100" s="57"/>
      <c r="AE100" s="57"/>
      <c r="AF100" s="57"/>
      <c r="AG100" s="57"/>
      <c r="AH100" s="57"/>
      <c r="AI100" s="57"/>
      <c r="AJ100" s="137"/>
      <c r="AM100" s="57"/>
      <c r="AN100" s="57"/>
      <c r="AO100" s="57"/>
      <c r="AP100" s="57"/>
      <c r="AQ100" s="57"/>
      <c r="AR100" s="57"/>
      <c r="AS100" s="57"/>
      <c r="AT100" s="57"/>
      <c r="AU100" s="57"/>
      <c r="AV100" s="57"/>
      <c r="AW100" s="137"/>
    </row>
    <row r="101" spans="1:49" ht="15.75" thickBot="1" x14ac:dyDescent="0.3">
      <c r="A101" s="576" t="s">
        <v>157</v>
      </c>
      <c r="B101" s="592">
        <v>325502</v>
      </c>
      <c r="C101" s="592" t="s">
        <v>658</v>
      </c>
      <c r="D101" s="573" t="s">
        <v>397</v>
      </c>
      <c r="E101" s="552" t="s">
        <v>843</v>
      </c>
      <c r="F101" s="552">
        <v>7</v>
      </c>
      <c r="G101" s="552">
        <v>905</v>
      </c>
      <c r="H101" s="552">
        <v>1293</v>
      </c>
      <c r="I101" s="552">
        <v>1682</v>
      </c>
      <c r="J101" s="585">
        <v>905</v>
      </c>
      <c r="K101" s="585">
        <v>0</v>
      </c>
      <c r="L101" s="585">
        <v>0</v>
      </c>
      <c r="M101" s="586">
        <v>0.25</v>
      </c>
      <c r="N101" s="151">
        <f>ROUND(J101*(1+kopsavilkums!$O$12),2)</f>
        <v>963.83</v>
      </c>
      <c r="O101" s="61">
        <f t="shared" si="53"/>
        <v>0</v>
      </c>
      <c r="P101" s="61">
        <f>ROUND(L101*(1+kopsavilkums!$O$12),2)</f>
        <v>0</v>
      </c>
      <c r="Q101" s="61">
        <f t="shared" si="50"/>
        <v>58.830000000000041</v>
      </c>
      <c r="R101" s="61">
        <f t="shared" si="60"/>
        <v>14.70750000000001</v>
      </c>
      <c r="S101" s="61">
        <f t="shared" si="61"/>
        <v>176.49000000000012</v>
      </c>
      <c r="T101" s="61">
        <f>ROUND(S101*kopsavilkums!$O$23,2)</f>
        <v>41.63</v>
      </c>
      <c r="U101" s="152">
        <f t="shared" si="62"/>
        <v>218.12000000000012</v>
      </c>
      <c r="V101" s="75"/>
      <c r="W101" s="66"/>
      <c r="X101" s="72"/>
      <c r="Y101" s="72"/>
      <c r="Z101" s="557" t="s">
        <v>845</v>
      </c>
      <c r="AA101" s="557"/>
      <c r="AB101" s="57"/>
      <c r="AC101" s="57"/>
      <c r="AD101" s="57"/>
      <c r="AE101" s="57"/>
      <c r="AF101" s="57"/>
      <c r="AG101" s="57"/>
      <c r="AH101" s="57"/>
      <c r="AI101" s="57"/>
      <c r="AJ101" s="137"/>
      <c r="AM101" s="57"/>
      <c r="AN101" s="57"/>
      <c r="AO101" s="57"/>
      <c r="AP101" s="57"/>
      <c r="AQ101" s="57"/>
      <c r="AR101" s="57"/>
      <c r="AS101" s="57"/>
      <c r="AT101" s="57"/>
      <c r="AU101" s="57"/>
      <c r="AV101" s="57"/>
      <c r="AW101" s="137"/>
    </row>
    <row r="102" spans="1:49" x14ac:dyDescent="0.25">
      <c r="A102" s="995" t="s">
        <v>158</v>
      </c>
      <c r="B102" s="996"/>
      <c r="C102" s="996"/>
      <c r="D102" s="996"/>
      <c r="E102" s="996"/>
      <c r="F102" s="996"/>
      <c r="G102" s="996"/>
      <c r="H102" s="996"/>
      <c r="I102" s="996"/>
      <c r="J102" s="996"/>
      <c r="K102" s="996"/>
      <c r="L102" s="996"/>
      <c r="M102" s="996"/>
      <c r="N102" s="156"/>
      <c r="O102" s="154"/>
      <c r="P102" s="154"/>
      <c r="Q102" s="154"/>
      <c r="R102" s="154"/>
      <c r="S102" s="154"/>
      <c r="T102" s="154"/>
      <c r="U102" s="269">
        <f>SUM(U104:U108,U110:U111)</f>
        <v>11766.910000000002</v>
      </c>
      <c r="X102" s="72"/>
      <c r="Y102" s="72"/>
      <c r="Z102" s="557"/>
      <c r="AA102" s="72"/>
    </row>
    <row r="103" spans="1:49" x14ac:dyDescent="0.25">
      <c r="A103" s="997" t="s">
        <v>8</v>
      </c>
      <c r="B103" s="998"/>
      <c r="C103" s="998"/>
      <c r="D103" s="998"/>
      <c r="E103" s="998"/>
      <c r="F103" s="998"/>
      <c r="G103" s="998"/>
      <c r="H103" s="998"/>
      <c r="I103" s="998"/>
      <c r="J103" s="998"/>
      <c r="K103" s="998"/>
      <c r="L103" s="998"/>
      <c r="M103" s="998"/>
      <c r="N103" s="157"/>
      <c r="O103" s="155"/>
      <c r="P103" s="155"/>
      <c r="Q103" s="155"/>
      <c r="R103" s="155"/>
      <c r="S103" s="155"/>
      <c r="T103" s="155"/>
      <c r="U103" s="158"/>
      <c r="X103" s="72"/>
      <c r="Y103" s="72"/>
      <c r="Z103" s="557"/>
      <c r="AA103" s="72"/>
    </row>
    <row r="104" spans="1:49" x14ac:dyDescent="0.25">
      <c r="A104" s="572" t="s">
        <v>12</v>
      </c>
      <c r="B104" s="592" t="s">
        <v>844</v>
      </c>
      <c r="C104" s="592" t="s">
        <v>659</v>
      </c>
      <c r="D104" s="551" t="s">
        <v>397</v>
      </c>
      <c r="E104" s="552" t="s">
        <v>13</v>
      </c>
      <c r="F104" s="552">
        <v>9</v>
      </c>
      <c r="G104" s="552">
        <v>1157</v>
      </c>
      <c r="H104" s="552">
        <v>1653</v>
      </c>
      <c r="I104" s="552">
        <v>2067</v>
      </c>
      <c r="J104" s="585">
        <v>1706.8</v>
      </c>
      <c r="K104" s="585"/>
      <c r="L104" s="589">
        <v>0</v>
      </c>
      <c r="M104" s="590">
        <v>1</v>
      </c>
      <c r="N104" s="151">
        <f>ROUND(J104*(1+kopsavilkums!$O$8),2)</f>
        <v>1887.72</v>
      </c>
      <c r="O104" s="61">
        <f>P104-L104</f>
        <v>0</v>
      </c>
      <c r="P104" s="61">
        <f>ROUND(L104*(1+kopsavilkums!$O$8),2)</f>
        <v>0</v>
      </c>
      <c r="Q104" s="61">
        <f>(N104+P104)-(J104+L104)</f>
        <v>180.92000000000007</v>
      </c>
      <c r="R104" s="61">
        <f>Q104*M104</f>
        <v>180.92000000000007</v>
      </c>
      <c r="S104" s="61">
        <f t="shared" ref="S104:S111" si="63">R104*12</f>
        <v>2171.0400000000009</v>
      </c>
      <c r="T104" s="61">
        <f>ROUND(S104*kopsavilkums!$O$23,2)</f>
        <v>512.15</v>
      </c>
      <c r="U104" s="152">
        <f t="shared" ref="U104" si="64">SUM(S104:T104)</f>
        <v>2683.190000000001</v>
      </c>
      <c r="V104" s="75"/>
      <c r="W104" s="66"/>
      <c r="X104" s="72"/>
      <c r="Y104" s="72"/>
      <c r="Z104" s="557" t="s">
        <v>845</v>
      </c>
      <c r="AA104" s="557"/>
      <c r="AB104" s="57"/>
      <c r="AC104" s="57"/>
      <c r="AD104" s="57"/>
      <c r="AE104" s="57"/>
      <c r="AF104" s="57"/>
      <c r="AG104" s="57"/>
      <c r="AH104" s="57"/>
      <c r="AI104" s="57"/>
      <c r="AJ104" s="137"/>
      <c r="AM104" s="57"/>
      <c r="AN104" s="57"/>
      <c r="AO104" s="57"/>
      <c r="AP104" s="57"/>
      <c r="AQ104" s="57"/>
      <c r="AR104" s="57"/>
      <c r="AS104" s="57"/>
      <c r="AT104" s="57"/>
      <c r="AU104" s="57"/>
      <c r="AV104" s="57"/>
      <c r="AW104" s="137"/>
    </row>
    <row r="105" spans="1:49" x14ac:dyDescent="0.25">
      <c r="A105" s="572" t="s">
        <v>12</v>
      </c>
      <c r="B105" s="592" t="s">
        <v>465</v>
      </c>
      <c r="C105" s="592" t="s">
        <v>659</v>
      </c>
      <c r="D105" s="551" t="s">
        <v>397</v>
      </c>
      <c r="E105" s="552" t="s">
        <v>13</v>
      </c>
      <c r="F105" s="552">
        <v>9</v>
      </c>
      <c r="G105" s="552">
        <v>1157</v>
      </c>
      <c r="H105" s="552">
        <v>1653</v>
      </c>
      <c r="I105" s="552">
        <v>2067</v>
      </c>
      <c r="J105" s="585">
        <v>1679.28</v>
      </c>
      <c r="K105" s="585"/>
      <c r="L105" s="589">
        <v>0</v>
      </c>
      <c r="M105" s="590">
        <v>0.4</v>
      </c>
      <c r="N105" s="151">
        <f>ROUND(J105*(1+kopsavilkums!$O$8),2)</f>
        <v>1857.28</v>
      </c>
      <c r="O105" s="61">
        <f t="shared" ref="O105:O108" si="65">P105-L105</f>
        <v>0</v>
      </c>
      <c r="P105" s="61">
        <f>ROUND(L105*(1+kopsavilkums!$O$8),2)</f>
        <v>0</v>
      </c>
      <c r="Q105" s="61">
        <f>(N105+P105)-(J105+L105)</f>
        <v>178</v>
      </c>
      <c r="R105" s="61">
        <f>Q105*M105</f>
        <v>71.2</v>
      </c>
      <c r="S105" s="61">
        <f t="shared" si="63"/>
        <v>854.40000000000009</v>
      </c>
      <c r="T105" s="61">
        <f>ROUND(S105*kopsavilkums!$O$23,2)</f>
        <v>201.55</v>
      </c>
      <c r="U105" s="152">
        <f t="shared" ref="U105:U108" si="66">SUM(S105:T105)</f>
        <v>1055.95</v>
      </c>
      <c r="V105" s="75"/>
      <c r="W105" s="66"/>
      <c r="X105" s="72"/>
      <c r="Y105" s="72"/>
      <c r="Z105" s="557" t="s">
        <v>845</v>
      </c>
      <c r="AA105" s="557"/>
      <c r="AB105" s="57"/>
      <c r="AC105" s="57"/>
      <c r="AD105" s="57"/>
      <c r="AE105" s="57"/>
      <c r="AF105" s="57"/>
      <c r="AG105" s="57"/>
      <c r="AH105" s="57"/>
      <c r="AI105" s="57"/>
      <c r="AJ105" s="137"/>
      <c r="AM105" s="57"/>
      <c r="AN105" s="57"/>
      <c r="AO105" s="57"/>
      <c r="AP105" s="57"/>
      <c r="AQ105" s="57"/>
      <c r="AR105" s="57"/>
      <c r="AS105" s="57"/>
      <c r="AT105" s="57"/>
      <c r="AU105" s="57"/>
      <c r="AV105" s="57"/>
      <c r="AW105" s="137"/>
    </row>
    <row r="106" spans="1:49" x14ac:dyDescent="0.25">
      <c r="A106" s="572" t="s">
        <v>12</v>
      </c>
      <c r="B106" s="592" t="s">
        <v>465</v>
      </c>
      <c r="C106" s="592" t="s">
        <v>606</v>
      </c>
      <c r="D106" s="551" t="s">
        <v>397</v>
      </c>
      <c r="E106" s="552" t="s">
        <v>13</v>
      </c>
      <c r="F106" s="552">
        <v>9</v>
      </c>
      <c r="G106" s="552">
        <v>1157</v>
      </c>
      <c r="H106" s="552">
        <v>1653</v>
      </c>
      <c r="I106" s="552">
        <v>2067</v>
      </c>
      <c r="J106" s="585">
        <v>1527.29</v>
      </c>
      <c r="K106" s="585"/>
      <c r="L106" s="589">
        <v>0</v>
      </c>
      <c r="M106" s="590">
        <v>1</v>
      </c>
      <c r="N106" s="151">
        <f>ROUND(J106*(1+kopsavilkums!$O$8),2)</f>
        <v>1689.18</v>
      </c>
      <c r="O106" s="61">
        <f t="shared" si="65"/>
        <v>0</v>
      </c>
      <c r="P106" s="61">
        <f>ROUND(L106*(1+kopsavilkums!$O$8),2)</f>
        <v>0</v>
      </c>
      <c r="Q106" s="61">
        <f>(N106+P106)-(J106+L106)</f>
        <v>161.8900000000001</v>
      </c>
      <c r="R106" s="61">
        <f>Q106*M106</f>
        <v>161.8900000000001</v>
      </c>
      <c r="S106" s="61">
        <f t="shared" si="63"/>
        <v>1942.6800000000012</v>
      </c>
      <c r="T106" s="61">
        <f>ROUND(S106*kopsavilkums!$O$23,2)</f>
        <v>458.28</v>
      </c>
      <c r="U106" s="152">
        <f t="shared" si="66"/>
        <v>2400.9600000000009</v>
      </c>
      <c r="V106" s="75"/>
      <c r="W106" s="66"/>
      <c r="X106" s="72"/>
      <c r="Y106" s="72"/>
      <c r="Z106" s="557" t="s">
        <v>845</v>
      </c>
      <c r="AA106" s="557"/>
      <c r="AB106" s="57"/>
      <c r="AC106" s="57"/>
      <c r="AD106" s="57"/>
      <c r="AE106" s="57"/>
      <c r="AF106" s="57"/>
      <c r="AG106" s="57"/>
      <c r="AH106" s="57"/>
      <c r="AI106" s="57"/>
      <c r="AJ106" s="137"/>
      <c r="AM106" s="57"/>
      <c r="AN106" s="57"/>
      <c r="AO106" s="57"/>
      <c r="AP106" s="57"/>
      <c r="AQ106" s="57"/>
      <c r="AR106" s="57"/>
      <c r="AS106" s="57"/>
      <c r="AT106" s="57"/>
      <c r="AU106" s="57"/>
      <c r="AV106" s="57"/>
      <c r="AW106" s="137"/>
    </row>
    <row r="107" spans="1:49" x14ac:dyDescent="0.25">
      <c r="A107" s="572" t="s">
        <v>12</v>
      </c>
      <c r="B107" s="592" t="s">
        <v>535</v>
      </c>
      <c r="C107" s="592" t="s">
        <v>659</v>
      </c>
      <c r="D107" s="551" t="s">
        <v>397</v>
      </c>
      <c r="E107" s="552" t="s">
        <v>122</v>
      </c>
      <c r="F107" s="552">
        <v>8</v>
      </c>
      <c r="G107" s="552">
        <v>967</v>
      </c>
      <c r="H107" s="552">
        <v>1388</v>
      </c>
      <c r="I107" s="552">
        <v>1796</v>
      </c>
      <c r="J107" s="585">
        <v>1463.09</v>
      </c>
      <c r="K107" s="585"/>
      <c r="L107" s="589">
        <v>0</v>
      </c>
      <c r="M107" s="590">
        <v>1</v>
      </c>
      <c r="N107" s="151">
        <f>ROUND(J107*(1+kopsavilkums!$O$8),2)</f>
        <v>1618.18</v>
      </c>
      <c r="O107" s="61">
        <f t="shared" si="65"/>
        <v>0</v>
      </c>
      <c r="P107" s="61">
        <f>ROUND(L107*(1+kopsavilkums!$O$8),2)</f>
        <v>0</v>
      </c>
      <c r="Q107" s="61">
        <f>(N107+P107)-(J107+L107)</f>
        <v>155.09000000000015</v>
      </c>
      <c r="R107" s="61">
        <f>Q107*M107</f>
        <v>155.09000000000015</v>
      </c>
      <c r="S107" s="61">
        <f t="shared" si="63"/>
        <v>1861.0800000000017</v>
      </c>
      <c r="T107" s="61">
        <f>ROUND(S107*kopsavilkums!$O$23,2)</f>
        <v>439.03</v>
      </c>
      <c r="U107" s="152">
        <f t="shared" si="66"/>
        <v>2300.1100000000015</v>
      </c>
      <c r="V107" s="75"/>
      <c r="W107" s="66"/>
      <c r="X107" s="72"/>
      <c r="Y107" s="72"/>
      <c r="Z107" s="557" t="s">
        <v>845</v>
      </c>
      <c r="AA107" s="557"/>
      <c r="AB107" s="57"/>
      <c r="AC107" s="57"/>
      <c r="AD107" s="57"/>
      <c r="AE107" s="57"/>
      <c r="AF107" s="57"/>
      <c r="AG107" s="57"/>
      <c r="AH107" s="57"/>
      <c r="AI107" s="57"/>
      <c r="AJ107" s="137"/>
      <c r="AM107" s="57"/>
      <c r="AN107" s="57"/>
      <c r="AO107" s="57"/>
      <c r="AP107" s="57"/>
      <c r="AQ107" s="57"/>
      <c r="AR107" s="57"/>
      <c r="AS107" s="57"/>
      <c r="AT107" s="57"/>
      <c r="AU107" s="57"/>
      <c r="AV107" s="57"/>
      <c r="AW107" s="137"/>
    </row>
    <row r="108" spans="1:49" x14ac:dyDescent="0.25">
      <c r="A108" s="572" t="s">
        <v>12</v>
      </c>
      <c r="B108" s="592" t="s">
        <v>651</v>
      </c>
      <c r="C108" s="592" t="s">
        <v>606</v>
      </c>
      <c r="D108" s="551" t="s">
        <v>397</v>
      </c>
      <c r="E108" s="552" t="s">
        <v>122</v>
      </c>
      <c r="F108" s="552">
        <v>8</v>
      </c>
      <c r="G108" s="552">
        <v>967</v>
      </c>
      <c r="H108" s="552">
        <v>1388</v>
      </c>
      <c r="I108" s="552">
        <v>1796</v>
      </c>
      <c r="J108" s="585">
        <v>1450</v>
      </c>
      <c r="K108" s="585"/>
      <c r="L108" s="589">
        <v>0</v>
      </c>
      <c r="M108" s="590">
        <v>0.4</v>
      </c>
      <c r="N108" s="151">
        <f>ROUND(J108*(1+kopsavilkums!$O$8),2)</f>
        <v>1603.7</v>
      </c>
      <c r="O108" s="61">
        <f t="shared" si="65"/>
        <v>0</v>
      </c>
      <c r="P108" s="61">
        <f>ROUND(L108*(1+kopsavilkums!$O$8),2)</f>
        <v>0</v>
      </c>
      <c r="Q108" s="61">
        <f>(N108+P108)-(J108+L108)</f>
        <v>153.70000000000005</v>
      </c>
      <c r="R108" s="61">
        <f>Q108*M108</f>
        <v>61.480000000000018</v>
      </c>
      <c r="S108" s="61">
        <f t="shared" si="63"/>
        <v>737.76000000000022</v>
      </c>
      <c r="T108" s="61">
        <f>ROUND(S108*kopsavilkums!$O$23,2)</f>
        <v>174.04</v>
      </c>
      <c r="U108" s="152">
        <f t="shared" si="66"/>
        <v>911.80000000000018</v>
      </c>
      <c r="V108" s="75"/>
      <c r="W108" s="66"/>
      <c r="X108" s="72"/>
      <c r="Y108" s="72"/>
      <c r="Z108" s="557" t="s">
        <v>845</v>
      </c>
      <c r="AA108" s="557"/>
      <c r="AB108" s="57"/>
      <c r="AC108" s="57"/>
      <c r="AD108" s="57"/>
      <c r="AE108" s="57"/>
      <c r="AF108" s="57"/>
      <c r="AG108" s="57"/>
      <c r="AH108" s="57"/>
      <c r="AI108" s="57"/>
      <c r="AJ108" s="137"/>
      <c r="AM108" s="57"/>
      <c r="AN108" s="57"/>
      <c r="AO108" s="57"/>
      <c r="AP108" s="57"/>
      <c r="AQ108" s="57"/>
      <c r="AR108" s="57"/>
      <c r="AS108" s="57"/>
      <c r="AT108" s="57"/>
      <c r="AU108" s="57"/>
      <c r="AV108" s="57"/>
      <c r="AW108" s="137"/>
    </row>
    <row r="109" spans="1:49" x14ac:dyDescent="0.25">
      <c r="A109" s="981" t="s">
        <v>14</v>
      </c>
      <c r="B109" s="982"/>
      <c r="C109" s="982"/>
      <c r="D109" s="982"/>
      <c r="E109" s="982"/>
      <c r="F109" s="982"/>
      <c r="G109" s="982"/>
      <c r="H109" s="982"/>
      <c r="I109" s="982"/>
      <c r="J109" s="982"/>
      <c r="K109" s="982"/>
      <c r="L109" s="982"/>
      <c r="M109" s="982"/>
      <c r="N109" s="157"/>
      <c r="O109" s="155"/>
      <c r="P109" s="155"/>
      <c r="Q109" s="155"/>
      <c r="R109" s="155"/>
      <c r="S109" s="155"/>
      <c r="T109" s="155"/>
      <c r="U109" s="158"/>
      <c r="X109" s="72"/>
      <c r="Y109" s="72"/>
      <c r="Z109" s="557"/>
      <c r="AA109" s="72"/>
    </row>
    <row r="110" spans="1:49" x14ac:dyDescent="0.25">
      <c r="A110" s="549" t="s">
        <v>112</v>
      </c>
      <c r="B110" s="592" t="s">
        <v>529</v>
      </c>
      <c r="C110" s="592" t="s">
        <v>488</v>
      </c>
      <c r="D110" s="551" t="s">
        <v>394</v>
      </c>
      <c r="E110" s="552" t="s">
        <v>10</v>
      </c>
      <c r="F110" s="552">
        <v>6</v>
      </c>
      <c r="G110" s="552">
        <v>758</v>
      </c>
      <c r="H110" s="552">
        <v>1081</v>
      </c>
      <c r="I110" s="552">
        <v>1406</v>
      </c>
      <c r="J110" s="585">
        <v>1350.39</v>
      </c>
      <c r="K110" s="585"/>
      <c r="L110" s="589">
        <v>0</v>
      </c>
      <c r="M110" s="590">
        <v>1</v>
      </c>
      <c r="N110" s="151">
        <f>ROUND(J110*(1+kopsavilkums!$O$12),2)</f>
        <v>1438.17</v>
      </c>
      <c r="O110" s="61">
        <f>P110-L110</f>
        <v>0</v>
      </c>
      <c r="P110" s="61">
        <f>ROUND(L110*(1+kopsavilkums!$O$12),2)</f>
        <v>0</v>
      </c>
      <c r="Q110" s="61">
        <f>(N110+P110)-(J110+L110)</f>
        <v>87.779999999999973</v>
      </c>
      <c r="R110" s="61">
        <f>Q110*M110</f>
        <v>87.779999999999973</v>
      </c>
      <c r="S110" s="61">
        <f t="shared" si="63"/>
        <v>1053.3599999999997</v>
      </c>
      <c r="T110" s="61">
        <f>ROUND(S110*kopsavilkums!$O$23,2)</f>
        <v>248.49</v>
      </c>
      <c r="U110" s="152">
        <f t="shared" ref="U110" si="67">SUM(S110:T110)</f>
        <v>1301.8499999999997</v>
      </c>
      <c r="V110" s="75"/>
      <c r="W110" s="66"/>
      <c r="X110" s="72"/>
      <c r="Y110" s="72"/>
      <c r="Z110" s="557" t="s">
        <v>845</v>
      </c>
      <c r="AA110" s="557"/>
      <c r="AB110" s="57"/>
      <c r="AC110" s="57"/>
      <c r="AD110" s="57"/>
      <c r="AE110" s="57"/>
      <c r="AF110" s="57"/>
      <c r="AG110" s="57"/>
      <c r="AH110" s="57"/>
      <c r="AI110" s="57"/>
      <c r="AJ110" s="137"/>
      <c r="AM110" s="57"/>
      <c r="AN110" s="57"/>
      <c r="AO110" s="57"/>
      <c r="AP110" s="57"/>
      <c r="AQ110" s="57"/>
      <c r="AR110" s="57"/>
      <c r="AS110" s="57"/>
      <c r="AT110" s="57"/>
      <c r="AU110" s="57"/>
      <c r="AV110" s="57"/>
      <c r="AW110" s="137"/>
    </row>
    <row r="111" spans="1:49" ht="15.75" thickBot="1" x14ac:dyDescent="0.3">
      <c r="A111" s="549" t="s">
        <v>112</v>
      </c>
      <c r="B111" s="592" t="s">
        <v>529</v>
      </c>
      <c r="C111" s="592" t="s">
        <v>488</v>
      </c>
      <c r="D111" s="632" t="s">
        <v>394</v>
      </c>
      <c r="E111" s="553" t="s">
        <v>10</v>
      </c>
      <c r="F111" s="553">
        <v>6</v>
      </c>
      <c r="G111" s="553">
        <v>758</v>
      </c>
      <c r="H111" s="553">
        <v>1081</v>
      </c>
      <c r="I111" s="553">
        <v>1406</v>
      </c>
      <c r="J111" s="633">
        <v>1154.55</v>
      </c>
      <c r="K111" s="633"/>
      <c r="L111" s="634">
        <v>0</v>
      </c>
      <c r="M111" s="635">
        <v>1</v>
      </c>
      <c r="N111" s="151">
        <f>ROUND(J111*(1+kopsavilkums!$O$12),2)</f>
        <v>1229.5999999999999</v>
      </c>
      <c r="O111" s="61">
        <f>P111-L111</f>
        <v>0</v>
      </c>
      <c r="P111" s="61">
        <f>ROUND(L111*(1+kopsavilkums!$O$12),2)</f>
        <v>0</v>
      </c>
      <c r="Q111" s="61">
        <f>(N111+P111)-(J111+L111)</f>
        <v>75.049999999999955</v>
      </c>
      <c r="R111" s="733">
        <f>Q111*M111</f>
        <v>75.049999999999955</v>
      </c>
      <c r="S111" s="733">
        <f t="shared" si="63"/>
        <v>900.59999999999945</v>
      </c>
      <c r="T111" s="61">
        <f>ROUND(S111*kopsavilkums!$O$23,2)</f>
        <v>212.45</v>
      </c>
      <c r="U111" s="734">
        <f t="shared" ref="U111" si="68">SUM(S111:T111)</f>
        <v>1113.0499999999995</v>
      </c>
      <c r="V111" s="75"/>
      <c r="W111" s="66"/>
      <c r="X111" s="72"/>
      <c r="Y111" s="72"/>
      <c r="Z111" s="557" t="s">
        <v>845</v>
      </c>
      <c r="AA111" s="557"/>
      <c r="AB111" s="57"/>
      <c r="AC111" s="57"/>
      <c r="AD111" s="57"/>
      <c r="AE111" s="57"/>
      <c r="AF111" s="57"/>
      <c r="AG111" s="57"/>
      <c r="AH111" s="57"/>
      <c r="AI111" s="57"/>
      <c r="AJ111" s="137"/>
      <c r="AM111" s="57"/>
      <c r="AN111" s="57"/>
      <c r="AO111" s="57"/>
      <c r="AP111" s="57"/>
      <c r="AQ111" s="57"/>
      <c r="AR111" s="57"/>
      <c r="AS111" s="57"/>
      <c r="AT111" s="57"/>
      <c r="AU111" s="57"/>
      <c r="AV111" s="57"/>
      <c r="AW111" s="137"/>
    </row>
    <row r="112" spans="1:49" ht="15.75" thickBot="1" x14ac:dyDescent="0.3">
      <c r="A112" s="62" t="s">
        <v>32</v>
      </c>
      <c r="B112" s="493"/>
      <c r="C112" s="493"/>
      <c r="D112" s="63" t="s">
        <v>29</v>
      </c>
      <c r="E112" s="63" t="s">
        <v>29</v>
      </c>
      <c r="F112" s="63" t="s">
        <v>29</v>
      </c>
      <c r="G112" s="63"/>
      <c r="H112" s="63"/>
      <c r="I112" s="63" t="s">
        <v>29</v>
      </c>
      <c r="J112" s="63" t="s">
        <v>29</v>
      </c>
      <c r="K112" s="63" t="s">
        <v>29</v>
      </c>
      <c r="L112" s="352"/>
      <c r="M112" s="139">
        <f>SUM(M76:M77,M79:M101,M104:M108,M110:M111)</f>
        <v>26.299999999999997</v>
      </c>
      <c r="N112" s="159"/>
      <c r="O112" s="160"/>
      <c r="P112" s="160"/>
      <c r="Q112" s="160"/>
      <c r="R112" s="160"/>
      <c r="S112" s="160"/>
      <c r="T112" s="160"/>
      <c r="U112" s="175">
        <f>SUM(U76:U77,U79:U101,U104:U108,U110:U111)</f>
        <v>35090.565999999999</v>
      </c>
      <c r="X112" s="72"/>
      <c r="Y112" s="72"/>
      <c r="Z112" s="557"/>
      <c r="AA112" s="72"/>
      <c r="AG112" s="57"/>
      <c r="AT112" s="57"/>
    </row>
    <row r="113" spans="1:49" ht="15.75" thickBot="1" x14ac:dyDescent="0.3">
      <c r="A113" s="999" t="s">
        <v>364</v>
      </c>
      <c r="B113" s="1000"/>
      <c r="C113" s="1000"/>
      <c r="D113" s="1000"/>
      <c r="E113" s="1000"/>
      <c r="F113" s="1000"/>
      <c r="G113" s="1000"/>
      <c r="H113" s="1000"/>
      <c r="I113" s="1000"/>
      <c r="J113" s="1000"/>
      <c r="K113" s="1000"/>
      <c r="L113" s="1000"/>
      <c r="M113" s="1001"/>
      <c r="N113" s="167"/>
      <c r="O113" s="168"/>
      <c r="P113" s="168"/>
      <c r="Q113" s="168"/>
      <c r="R113" s="168"/>
      <c r="S113" s="168"/>
      <c r="T113" s="168"/>
      <c r="U113" s="169"/>
      <c r="X113" s="72"/>
      <c r="Y113" s="72"/>
      <c r="Z113" s="72"/>
      <c r="AA113" s="72"/>
    </row>
    <row r="114" spans="1:49" x14ac:dyDescent="0.25">
      <c r="A114" s="995" t="s">
        <v>365</v>
      </c>
      <c r="B114" s="996"/>
      <c r="C114" s="996"/>
      <c r="D114" s="996"/>
      <c r="E114" s="996"/>
      <c r="F114" s="996"/>
      <c r="G114" s="996"/>
      <c r="H114" s="996"/>
      <c r="I114" s="996"/>
      <c r="J114" s="996"/>
      <c r="K114" s="996"/>
      <c r="L114" s="996"/>
      <c r="M114" s="1002"/>
      <c r="N114" s="156"/>
      <c r="O114" s="154"/>
      <c r="P114" s="154"/>
      <c r="Q114" s="154"/>
      <c r="R114" s="154"/>
      <c r="S114" s="154"/>
      <c r="T114" s="154"/>
      <c r="U114" s="269">
        <f>SUM(U116:U116)</f>
        <v>960.15000000000009</v>
      </c>
      <c r="X114" s="72"/>
      <c r="Y114" s="72"/>
      <c r="Z114" s="72"/>
      <c r="AA114" s="72"/>
    </row>
    <row r="115" spans="1:49" x14ac:dyDescent="0.25">
      <c r="A115" s="981" t="s">
        <v>14</v>
      </c>
      <c r="B115" s="982"/>
      <c r="C115" s="982"/>
      <c r="D115" s="982"/>
      <c r="E115" s="982"/>
      <c r="F115" s="982"/>
      <c r="G115" s="982"/>
      <c r="H115" s="982"/>
      <c r="I115" s="982"/>
      <c r="J115" s="982"/>
      <c r="K115" s="982"/>
      <c r="L115" s="982"/>
      <c r="M115" s="982"/>
      <c r="N115" s="157"/>
      <c r="O115" s="155"/>
      <c r="P115" s="155"/>
      <c r="Q115" s="155"/>
      <c r="R115" s="155"/>
      <c r="S115" s="155"/>
      <c r="T115" s="155"/>
      <c r="U115" s="158"/>
      <c r="X115" s="72"/>
      <c r="Y115" s="72"/>
      <c r="Z115" s="72"/>
      <c r="AA115" s="72"/>
    </row>
    <row r="116" spans="1:49" ht="15.75" thickBot="1" x14ac:dyDescent="0.3">
      <c r="A116" s="549" t="s">
        <v>112</v>
      </c>
      <c r="B116" s="550" t="s">
        <v>529</v>
      </c>
      <c r="C116" s="550" t="s">
        <v>488</v>
      </c>
      <c r="D116" s="551" t="s">
        <v>394</v>
      </c>
      <c r="E116" s="552" t="s">
        <v>391</v>
      </c>
      <c r="F116" s="552">
        <v>6</v>
      </c>
      <c r="G116" s="553">
        <v>705</v>
      </c>
      <c r="H116" s="553">
        <v>1005</v>
      </c>
      <c r="I116" s="553">
        <v>1308</v>
      </c>
      <c r="J116" s="552">
        <v>996</v>
      </c>
      <c r="K116" s="552"/>
      <c r="L116" s="552">
        <v>0</v>
      </c>
      <c r="M116" s="554">
        <v>1</v>
      </c>
      <c r="N116" s="151">
        <f>ROUND(J116*(1+kopsavilkums!$O$12),2)</f>
        <v>1060.74</v>
      </c>
      <c r="O116" s="61">
        <f>P116-L116</f>
        <v>0</v>
      </c>
      <c r="P116" s="61">
        <f>ROUND(L116*(1+kopsavilkums!$O$12),2)</f>
        <v>0</v>
      </c>
      <c r="Q116" s="61">
        <f>(N116+P116)-(J116+L116)</f>
        <v>64.740000000000009</v>
      </c>
      <c r="R116" s="61">
        <f t="shared" ref="R116" si="69">Q116*M116</f>
        <v>64.740000000000009</v>
      </c>
      <c r="S116" s="61">
        <f t="shared" ref="S116" si="70">R116*12</f>
        <v>776.88000000000011</v>
      </c>
      <c r="T116" s="61">
        <f>ROUND(S116*kopsavilkums!$O$23,2)</f>
        <v>183.27</v>
      </c>
      <c r="U116" s="152">
        <f t="shared" ref="U116" si="71">SUM(S116:T116)</f>
        <v>960.15000000000009</v>
      </c>
      <c r="V116" s="75"/>
      <c r="W116" s="66"/>
      <c r="X116" s="72" t="s">
        <v>682</v>
      </c>
      <c r="Y116" s="72" t="s">
        <v>488</v>
      </c>
      <c r="Z116" s="557" t="s">
        <v>681</v>
      </c>
      <c r="AA116" s="557"/>
      <c r="AB116" s="57"/>
      <c r="AC116" s="57"/>
      <c r="AD116" s="57"/>
      <c r="AE116" s="57"/>
      <c r="AF116" s="57"/>
      <c r="AG116" s="57"/>
      <c r="AH116" s="57"/>
      <c r="AI116" s="57"/>
      <c r="AJ116" s="137"/>
      <c r="AM116" s="57"/>
      <c r="AN116" s="57"/>
      <c r="AO116" s="57"/>
      <c r="AP116" s="57"/>
      <c r="AQ116" s="57"/>
      <c r="AR116" s="57"/>
      <c r="AS116" s="57"/>
      <c r="AT116" s="57"/>
      <c r="AU116" s="57"/>
      <c r="AV116" s="57"/>
      <c r="AW116" s="137"/>
    </row>
    <row r="117" spans="1:49" ht="15.75" thickBot="1" x14ac:dyDescent="0.3">
      <c r="A117" s="62" t="s">
        <v>32</v>
      </c>
      <c r="B117" s="493"/>
      <c r="C117" s="493"/>
      <c r="D117" s="63" t="s">
        <v>29</v>
      </c>
      <c r="E117" s="63" t="s">
        <v>29</v>
      </c>
      <c r="F117" s="63" t="s">
        <v>29</v>
      </c>
      <c r="G117" s="63"/>
      <c r="H117" s="63"/>
      <c r="I117" s="63" t="s">
        <v>29</v>
      </c>
      <c r="J117" s="63" t="s">
        <v>29</v>
      </c>
      <c r="K117" s="63" t="s">
        <v>29</v>
      </c>
      <c r="L117" s="352"/>
      <c r="M117" s="139">
        <f>SUM(M116:M116)</f>
        <v>1</v>
      </c>
      <c r="N117" s="159"/>
      <c r="O117" s="160"/>
      <c r="P117" s="160"/>
      <c r="Q117" s="160"/>
      <c r="R117" s="160"/>
      <c r="S117" s="160"/>
      <c r="T117" s="160"/>
      <c r="U117" s="175">
        <f>SUM(U116:U116)</f>
        <v>960.15000000000009</v>
      </c>
      <c r="X117" s="72"/>
      <c r="Y117" s="72"/>
      <c r="Z117" s="557"/>
      <c r="AA117" s="72"/>
      <c r="AG117" s="57"/>
      <c r="AT117" s="57"/>
    </row>
    <row r="118" spans="1:49" x14ac:dyDescent="0.25">
      <c r="U118" s="67"/>
      <c r="W118" s="135"/>
      <c r="AH118" s="67"/>
      <c r="AI118" s="135"/>
      <c r="AU118" s="67"/>
      <c r="AV118" s="135"/>
    </row>
    <row r="119" spans="1:49" x14ac:dyDescent="0.25">
      <c r="A119" t="s">
        <v>264</v>
      </c>
    </row>
    <row r="120" spans="1:49" x14ac:dyDescent="0.25">
      <c r="A120" t="s">
        <v>266</v>
      </c>
      <c r="O120" s="141"/>
      <c r="U120" s="65"/>
      <c r="W120" s="65"/>
      <c r="AA120" s="141"/>
      <c r="AG120" s="65"/>
      <c r="AH120" s="65"/>
      <c r="AI120" s="65"/>
      <c r="AN120" s="141"/>
      <c r="AT120" s="65"/>
      <c r="AU120" s="65"/>
      <c r="AV120" s="65"/>
    </row>
    <row r="121" spans="1:49" x14ac:dyDescent="0.25">
      <c r="U121" s="65"/>
      <c r="W121" s="135"/>
      <c r="AG121" s="67"/>
      <c r="AH121" s="67"/>
      <c r="AI121" s="135"/>
      <c r="AT121" s="67"/>
      <c r="AU121" s="67"/>
      <c r="AV121" s="135"/>
    </row>
    <row r="123" spans="1:49" x14ac:dyDescent="0.25">
      <c r="N123" s="141"/>
      <c r="O123" s="141"/>
      <c r="P123" s="141"/>
      <c r="Q123" s="141"/>
      <c r="R123" s="141"/>
      <c r="S123" s="141"/>
      <c r="T123" s="141"/>
      <c r="U123" s="65"/>
      <c r="W123" s="65"/>
      <c r="AA123" s="141"/>
      <c r="AG123" s="65"/>
      <c r="AH123" s="65"/>
      <c r="AI123" s="65"/>
      <c r="AN123" s="141"/>
      <c r="AT123" s="65"/>
      <c r="AU123" s="65"/>
      <c r="AV123" s="65"/>
    </row>
    <row r="124" spans="1:49" x14ac:dyDescent="0.25">
      <c r="N124" s="141"/>
      <c r="O124" s="141"/>
      <c r="P124" s="141"/>
      <c r="Q124" s="141"/>
      <c r="R124" s="141"/>
      <c r="S124" s="141"/>
      <c r="T124" s="141"/>
      <c r="U124" s="67"/>
      <c r="W124" s="135"/>
      <c r="AG124" s="67"/>
      <c r="AH124" s="67"/>
      <c r="AI124" s="135"/>
      <c r="AT124" s="67"/>
      <c r="AU124" s="67"/>
      <c r="AV124" s="135"/>
    </row>
    <row r="128" spans="1:49" x14ac:dyDescent="0.25">
      <c r="N128" s="138"/>
      <c r="O128" s="138"/>
      <c r="P128" s="138"/>
      <c r="Q128" s="138"/>
      <c r="R128" s="138"/>
      <c r="S128" s="138"/>
      <c r="T128" s="138"/>
      <c r="U128" s="65"/>
      <c r="W128" s="65"/>
      <c r="AA128" s="141"/>
      <c r="AG128" s="65"/>
      <c r="AH128" s="65"/>
      <c r="AI128" s="65"/>
      <c r="AN128" s="141"/>
      <c r="AT128" s="65"/>
      <c r="AU128" s="65"/>
      <c r="AV128" s="65"/>
    </row>
    <row r="129" spans="14:48" x14ac:dyDescent="0.25">
      <c r="N129" s="138"/>
      <c r="O129" s="138"/>
      <c r="P129" s="138"/>
      <c r="Q129" s="138"/>
      <c r="R129" s="138"/>
      <c r="S129" s="138"/>
      <c r="T129" s="138"/>
      <c r="U129" s="67"/>
      <c r="W129" s="135"/>
      <c r="AG129" s="67"/>
      <c r="AH129" s="67"/>
      <c r="AI129" s="135"/>
      <c r="AT129" s="67"/>
      <c r="AU129" s="67"/>
      <c r="AV129" s="135"/>
    </row>
  </sheetData>
  <mergeCells count="26">
    <mergeCell ref="A6:M6"/>
    <mergeCell ref="A3:U4"/>
    <mergeCell ref="A113:M113"/>
    <mergeCell ref="A114:M114"/>
    <mergeCell ref="A38:M38"/>
    <mergeCell ref="A16:M16"/>
    <mergeCell ref="A15:M15"/>
    <mergeCell ref="A45:M45"/>
    <mergeCell ref="A46:M46"/>
    <mergeCell ref="A39:M39"/>
    <mergeCell ref="A40:M40"/>
    <mergeCell ref="Y63:Y70"/>
    <mergeCell ref="A51:M51"/>
    <mergeCell ref="A115:M115"/>
    <mergeCell ref="A8:M8"/>
    <mergeCell ref="A9:M9"/>
    <mergeCell ref="A10:M10"/>
    <mergeCell ref="A42:M42"/>
    <mergeCell ref="A102:M102"/>
    <mergeCell ref="A109:M109"/>
    <mergeCell ref="A103:M103"/>
    <mergeCell ref="A73:M73"/>
    <mergeCell ref="A74:M74"/>
    <mergeCell ref="A78:M78"/>
    <mergeCell ref="A75:M75"/>
    <mergeCell ref="V52:V63"/>
  </mergeCells>
  <phoneticPr fontId="80" type="noConversion"/>
  <pageMargins left="0.70866141732283472" right="0.70866141732283472"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BAF43-3536-4BEF-A364-C02EA0A28CAF}">
  <sheetPr>
    <tabColor rgb="FFFFFF00"/>
  </sheetPr>
  <dimension ref="A1:O255"/>
  <sheetViews>
    <sheetView view="pageBreakPreview" zoomScale="60" zoomScaleNormal="115" workbookViewId="0">
      <selection activeCell="I1" sqref="I1"/>
    </sheetView>
  </sheetViews>
  <sheetFormatPr defaultColWidth="9.140625" defaultRowHeight="12.75" x14ac:dyDescent="0.2"/>
  <cols>
    <col min="1" max="1" width="30.140625" style="48" customWidth="1"/>
    <col min="2" max="2" width="15.28515625" style="48" customWidth="1"/>
    <col min="3" max="3" width="18.85546875" style="48" customWidth="1"/>
    <col min="4" max="4" width="9.140625" style="48"/>
    <col min="5" max="5" width="10.7109375" style="48" customWidth="1"/>
    <col min="6" max="7" width="9.140625" style="48"/>
    <col min="8" max="8" width="10.42578125" style="48" customWidth="1"/>
    <col min="9" max="9" width="11.85546875" style="48" customWidth="1"/>
    <col min="10" max="10" width="9.140625" style="48"/>
    <col min="11" max="11" width="12.85546875" style="48" customWidth="1"/>
    <col min="12" max="12" width="18.42578125" style="48" customWidth="1"/>
    <col min="13" max="13" width="15.5703125" style="48" customWidth="1"/>
    <col min="14" max="14" width="14.85546875" style="48" bestFit="1" customWidth="1"/>
    <col min="15" max="16384" width="9.140625" style="48"/>
  </cols>
  <sheetData>
    <row r="1" spans="1:15" ht="15" customHeight="1" x14ac:dyDescent="0.2">
      <c r="I1" s="926" t="s">
        <v>978</v>
      </c>
    </row>
    <row r="2" spans="1:15" x14ac:dyDescent="0.2">
      <c r="A2" s="1030" t="s">
        <v>452</v>
      </c>
      <c r="B2" s="1030"/>
      <c r="C2" s="1030"/>
      <c r="D2" s="1030"/>
      <c r="E2" s="1030"/>
      <c r="F2" s="1030"/>
      <c r="G2" s="1030"/>
      <c r="H2" s="1030"/>
      <c r="I2" s="1030"/>
    </row>
    <row r="3" spans="1:15" ht="13.5" thickBot="1" x14ac:dyDescent="0.25">
      <c r="I3" s="201" t="s">
        <v>225</v>
      </c>
    </row>
    <row r="4" spans="1:15" x14ac:dyDescent="0.2">
      <c r="A4" s="1035" t="s">
        <v>55</v>
      </c>
      <c r="B4" s="1041" t="s">
        <v>461</v>
      </c>
      <c r="C4" s="1041" t="s">
        <v>462</v>
      </c>
      <c r="D4" s="1037" t="s">
        <v>56</v>
      </c>
      <c r="E4" s="1039" t="s">
        <v>114</v>
      </c>
      <c r="F4" s="1039" t="s">
        <v>58</v>
      </c>
      <c r="G4" s="1039" t="s">
        <v>145</v>
      </c>
      <c r="H4" s="1031" t="s">
        <v>115</v>
      </c>
      <c r="I4" s="1033" t="s">
        <v>846</v>
      </c>
    </row>
    <row r="5" spans="1:15" ht="74.25" customHeight="1" x14ac:dyDescent="0.2">
      <c r="A5" s="1036"/>
      <c r="B5" s="1042"/>
      <c r="C5" s="1042"/>
      <c r="D5" s="1038"/>
      <c r="E5" s="1040"/>
      <c r="F5" s="1040"/>
      <c r="G5" s="1040"/>
      <c r="H5" s="1032"/>
      <c r="I5" s="1034"/>
      <c r="K5" s="558" t="s">
        <v>678</v>
      </c>
      <c r="L5" s="558" t="s">
        <v>462</v>
      </c>
      <c r="M5" s="558" t="s">
        <v>679</v>
      </c>
      <c r="N5" s="559" t="s">
        <v>680</v>
      </c>
      <c r="O5" s="50"/>
    </row>
    <row r="6" spans="1:15" x14ac:dyDescent="0.2">
      <c r="A6" s="49"/>
      <c r="B6" s="510"/>
      <c r="C6" s="510"/>
      <c r="D6" s="50"/>
      <c r="E6" s="50"/>
      <c r="F6" s="50"/>
      <c r="G6" s="50"/>
      <c r="H6" s="114"/>
      <c r="I6" s="119"/>
      <c r="K6" s="50"/>
      <c r="L6" s="50"/>
      <c r="M6" s="50"/>
      <c r="N6" s="50"/>
      <c r="O6" s="50"/>
    </row>
    <row r="7" spans="1:15" x14ac:dyDescent="0.2">
      <c r="A7" s="1022" t="s">
        <v>227</v>
      </c>
      <c r="B7" s="1023"/>
      <c r="C7" s="1023"/>
      <c r="D7" s="1024"/>
      <c r="E7" s="1024"/>
      <c r="F7" s="1024"/>
      <c r="G7" s="1024"/>
      <c r="H7" s="1025"/>
      <c r="I7" s="124"/>
      <c r="K7" s="50"/>
      <c r="L7" s="50"/>
      <c r="M7" s="50"/>
      <c r="N7" s="50"/>
      <c r="O7" s="50"/>
    </row>
    <row r="8" spans="1:15" x14ac:dyDescent="0.2">
      <c r="A8" s="1026" t="s">
        <v>975</v>
      </c>
      <c r="B8" s="1027"/>
      <c r="C8" s="1027"/>
      <c r="D8" s="1027"/>
      <c r="E8" s="1027"/>
      <c r="F8" s="1027"/>
      <c r="G8" s="1027"/>
      <c r="H8" s="1027"/>
      <c r="I8" s="119"/>
      <c r="J8" s="328"/>
      <c r="K8" s="50"/>
      <c r="L8" s="50"/>
      <c r="M8" s="50"/>
      <c r="N8" s="50"/>
      <c r="O8" s="50"/>
    </row>
    <row r="9" spans="1:15" x14ac:dyDescent="0.2">
      <c r="A9" s="1028" t="s">
        <v>111</v>
      </c>
      <c r="B9" s="1029"/>
      <c r="C9" s="1029"/>
      <c r="D9" s="1029"/>
      <c r="E9" s="1029"/>
      <c r="F9" s="1029"/>
      <c r="G9" s="1029"/>
      <c r="H9" s="1029"/>
      <c r="I9" s="123"/>
      <c r="K9" s="50"/>
      <c r="L9" s="50"/>
      <c r="M9" s="50"/>
      <c r="N9" s="50"/>
      <c r="O9" s="50"/>
    </row>
    <row r="10" spans="1:15" x14ac:dyDescent="0.2">
      <c r="A10" s="45" t="s">
        <v>61</v>
      </c>
      <c r="B10" s="511"/>
      <c r="C10" s="511"/>
      <c r="D10" s="39"/>
      <c r="E10" s="40"/>
      <c r="F10" s="40"/>
      <c r="G10" s="40"/>
      <c r="H10" s="115"/>
      <c r="I10" s="122"/>
      <c r="K10" s="50"/>
      <c r="L10" s="50"/>
      <c r="M10" s="50"/>
      <c r="N10" s="50"/>
      <c r="O10" s="50"/>
    </row>
    <row r="11" spans="1:15" x14ac:dyDescent="0.2">
      <c r="A11" s="591" t="s">
        <v>349</v>
      </c>
      <c r="B11" s="595" t="s">
        <v>589</v>
      </c>
      <c r="C11" s="595" t="s">
        <v>731</v>
      </c>
      <c r="D11" s="603">
        <v>1</v>
      </c>
      <c r="E11" s="567">
        <v>2980</v>
      </c>
      <c r="F11" s="567">
        <v>387.4</v>
      </c>
      <c r="G11" s="567">
        <v>596</v>
      </c>
      <c r="H11" s="568">
        <f>G11+F11+E11</f>
        <v>3963.4</v>
      </c>
      <c r="I11" s="120">
        <f>ROUND((E11+F11+G11)*(kopsavilkums!$O$8)*D11*12*(1+kopsavilkums!$O$23),2)</f>
        <v>6230.72</v>
      </c>
      <c r="K11" s="50"/>
      <c r="L11" s="50" t="s">
        <v>731</v>
      </c>
      <c r="M11" s="50" t="s">
        <v>738</v>
      </c>
      <c r="N11" s="50">
        <v>801000010</v>
      </c>
      <c r="O11" s="50"/>
    </row>
    <row r="12" spans="1:15" x14ac:dyDescent="0.2">
      <c r="A12" s="591" t="s">
        <v>453</v>
      </c>
      <c r="B12" s="595" t="s">
        <v>676</v>
      </c>
      <c r="C12" s="598" t="s">
        <v>506</v>
      </c>
      <c r="D12" s="603">
        <v>1</v>
      </c>
      <c r="E12" s="567">
        <v>2455</v>
      </c>
      <c r="F12" s="567">
        <v>319.14999999999998</v>
      </c>
      <c r="G12" s="567">
        <v>491</v>
      </c>
      <c r="H12" s="568">
        <f t="shared" ref="H12:H57" si="0">G12+F12+E12</f>
        <v>3265.15</v>
      </c>
      <c r="I12" s="120">
        <f>ROUND((E12+F12+G12)*(kopsavilkums!$O$8)*D12*12*(1+kopsavilkums!$O$23),2)</f>
        <v>5133.03</v>
      </c>
      <c r="K12" s="50"/>
      <c r="L12" s="50" t="s">
        <v>506</v>
      </c>
      <c r="M12" s="50" t="s">
        <v>738</v>
      </c>
      <c r="N12" s="50">
        <v>801000010</v>
      </c>
      <c r="O12" s="50"/>
    </row>
    <row r="13" spans="1:15" x14ac:dyDescent="0.2">
      <c r="A13" s="591" t="s">
        <v>453</v>
      </c>
      <c r="B13" s="602" t="s">
        <v>676</v>
      </c>
      <c r="C13" s="598" t="s">
        <v>732</v>
      </c>
      <c r="D13" s="603">
        <v>1</v>
      </c>
      <c r="E13" s="567">
        <v>2455</v>
      </c>
      <c r="F13" s="567">
        <v>319.14999999999998</v>
      </c>
      <c r="G13" s="567">
        <v>491</v>
      </c>
      <c r="H13" s="568">
        <f t="shared" si="0"/>
        <v>3265.15</v>
      </c>
      <c r="I13" s="120">
        <f>ROUND((E13+F13+G13)*(kopsavilkums!$O$8)*D13*12*(1+kopsavilkums!$O$23),2)</f>
        <v>5133.03</v>
      </c>
      <c r="K13" s="50"/>
      <c r="L13" s="50" t="s">
        <v>732</v>
      </c>
      <c r="M13" s="50" t="s">
        <v>738</v>
      </c>
      <c r="N13" s="50">
        <v>801000010</v>
      </c>
      <c r="O13" s="50"/>
    </row>
    <row r="14" spans="1:15" x14ac:dyDescent="0.2">
      <c r="A14" s="591" t="s">
        <v>453</v>
      </c>
      <c r="B14" s="602" t="s">
        <v>676</v>
      </c>
      <c r="C14" s="598" t="s">
        <v>733</v>
      </c>
      <c r="D14" s="603">
        <v>1</v>
      </c>
      <c r="E14" s="567">
        <v>2455</v>
      </c>
      <c r="F14" s="567">
        <v>294.60000000000002</v>
      </c>
      <c r="G14" s="567">
        <v>491</v>
      </c>
      <c r="H14" s="568">
        <f t="shared" si="0"/>
        <v>3240.6</v>
      </c>
      <c r="I14" s="120">
        <f>ROUND((E14+F14+G14)*(kopsavilkums!$O$8)*D14*12*(1+kopsavilkums!$O$23),2)</f>
        <v>5094.43</v>
      </c>
      <c r="K14" s="50"/>
      <c r="L14" s="50" t="s">
        <v>733</v>
      </c>
      <c r="M14" s="50" t="s">
        <v>738</v>
      </c>
      <c r="N14" s="50">
        <v>801000010</v>
      </c>
      <c r="O14" s="50"/>
    </row>
    <row r="15" spans="1:15" x14ac:dyDescent="0.2">
      <c r="A15" s="591" t="s">
        <v>453</v>
      </c>
      <c r="B15" s="602" t="s">
        <v>676</v>
      </c>
      <c r="C15" s="598" t="s">
        <v>533</v>
      </c>
      <c r="D15" s="603">
        <v>1</v>
      </c>
      <c r="E15" s="567">
        <v>2030</v>
      </c>
      <c r="F15" s="567">
        <v>243.6</v>
      </c>
      <c r="G15" s="567">
        <v>406</v>
      </c>
      <c r="H15" s="568">
        <f t="shared" si="0"/>
        <v>2679.6</v>
      </c>
      <c r="I15" s="120">
        <f>ROUND((E15+F15+G15)*(kopsavilkums!$O$8)*D15*12*(1+kopsavilkums!$O$23),2)</f>
        <v>4212.5</v>
      </c>
      <c r="K15" s="50"/>
      <c r="L15" s="50" t="s">
        <v>533</v>
      </c>
      <c r="M15" s="50" t="s">
        <v>738</v>
      </c>
      <c r="N15" s="50">
        <v>801000010</v>
      </c>
      <c r="O15" s="50"/>
    </row>
    <row r="16" spans="1:15" x14ac:dyDescent="0.2">
      <c r="A16" s="591" t="s">
        <v>453</v>
      </c>
      <c r="B16" s="602" t="s">
        <v>676</v>
      </c>
      <c r="C16" s="598" t="s">
        <v>663</v>
      </c>
      <c r="D16" s="603">
        <v>1</v>
      </c>
      <c r="E16" s="567">
        <v>2455</v>
      </c>
      <c r="F16" s="567">
        <v>319.14999999999998</v>
      </c>
      <c r="G16" s="567">
        <v>491</v>
      </c>
      <c r="H16" s="568">
        <f t="shared" si="0"/>
        <v>3265.15</v>
      </c>
      <c r="I16" s="120">
        <f>ROUND((E16+F16+G16)*(kopsavilkums!$O$8)*D16*12*(1+kopsavilkums!$O$23),2)</f>
        <v>5133.03</v>
      </c>
      <c r="K16" s="50"/>
      <c r="L16" s="50" t="s">
        <v>663</v>
      </c>
      <c r="M16" s="50" t="s">
        <v>738</v>
      </c>
      <c r="N16" s="50">
        <v>801000010</v>
      </c>
      <c r="O16" s="50"/>
    </row>
    <row r="17" spans="1:15" x14ac:dyDescent="0.2">
      <c r="A17" s="591" t="s">
        <v>453</v>
      </c>
      <c r="B17" s="602" t="s">
        <v>676</v>
      </c>
      <c r="C17" s="598" t="s">
        <v>555</v>
      </c>
      <c r="D17" s="603">
        <v>1</v>
      </c>
      <c r="E17" s="567">
        <v>2455</v>
      </c>
      <c r="F17" s="567">
        <v>294.60000000000002</v>
      </c>
      <c r="G17" s="567">
        <v>491</v>
      </c>
      <c r="H17" s="568">
        <f t="shared" si="0"/>
        <v>3240.6</v>
      </c>
      <c r="I17" s="120">
        <f>ROUND((E17+F17+G17)*(kopsavilkums!$O$8)*D17*12*(1+kopsavilkums!$O$23),2)</f>
        <v>5094.43</v>
      </c>
      <c r="K17" s="50"/>
      <c r="L17" s="50" t="s">
        <v>555</v>
      </c>
      <c r="M17" s="50" t="s">
        <v>738</v>
      </c>
      <c r="N17" s="50">
        <v>801000010</v>
      </c>
      <c r="O17" s="50"/>
    </row>
    <row r="18" spans="1:15" x14ac:dyDescent="0.2">
      <c r="A18" s="591" t="s">
        <v>454</v>
      </c>
      <c r="B18" s="602" t="s">
        <v>676</v>
      </c>
      <c r="C18" s="598" t="s">
        <v>734</v>
      </c>
      <c r="D18" s="603">
        <v>1</v>
      </c>
      <c r="E18" s="567">
        <v>2285</v>
      </c>
      <c r="F18" s="567">
        <v>205.65</v>
      </c>
      <c r="G18" s="567">
        <v>457</v>
      </c>
      <c r="H18" s="568">
        <f t="shared" si="0"/>
        <v>2947.65</v>
      </c>
      <c r="I18" s="120">
        <f>ROUND((E18+F18+G18)*(kopsavilkums!$O$8)*D18*12*(1+kopsavilkums!$O$23),2)</f>
        <v>4633.8999999999996</v>
      </c>
      <c r="K18" s="50"/>
      <c r="L18" s="50" t="s">
        <v>734</v>
      </c>
      <c r="M18" s="50" t="s">
        <v>738</v>
      </c>
      <c r="N18" s="50">
        <v>801000010</v>
      </c>
      <c r="O18" s="50"/>
    </row>
    <row r="19" spans="1:15" x14ac:dyDescent="0.2">
      <c r="A19" s="591" t="s">
        <v>454</v>
      </c>
      <c r="B19" s="602" t="s">
        <v>676</v>
      </c>
      <c r="C19" s="598" t="s">
        <v>489</v>
      </c>
      <c r="D19" s="603">
        <v>1</v>
      </c>
      <c r="E19" s="567">
        <v>2285</v>
      </c>
      <c r="F19" s="567">
        <v>297.05</v>
      </c>
      <c r="G19" s="567">
        <v>457</v>
      </c>
      <c r="H19" s="568">
        <f t="shared" si="0"/>
        <v>3039.05</v>
      </c>
      <c r="I19" s="120">
        <f>ROUND((E19+F19+G19)*(kopsavilkums!$O$8)*D19*12*(1+kopsavilkums!$O$23),2)</f>
        <v>4777.58</v>
      </c>
      <c r="K19" s="50"/>
      <c r="L19" s="50" t="s">
        <v>489</v>
      </c>
      <c r="M19" s="50" t="s">
        <v>738</v>
      </c>
      <c r="N19" s="50">
        <v>801000010</v>
      </c>
      <c r="O19" s="50"/>
    </row>
    <row r="20" spans="1:15" x14ac:dyDescent="0.2">
      <c r="A20" s="591" t="s">
        <v>454</v>
      </c>
      <c r="B20" s="602" t="s">
        <v>676</v>
      </c>
      <c r="C20" s="598" t="s">
        <v>735</v>
      </c>
      <c r="D20" s="603">
        <v>1</v>
      </c>
      <c r="E20" s="567">
        <v>2285</v>
      </c>
      <c r="F20" s="567">
        <v>297.05</v>
      </c>
      <c r="G20" s="567">
        <v>457</v>
      </c>
      <c r="H20" s="568">
        <f t="shared" si="0"/>
        <v>3039.05</v>
      </c>
      <c r="I20" s="120">
        <f>ROUND((E20+F20+G20)*(kopsavilkums!$O$8)*D20*12*(1+kopsavilkums!$O$23),2)</f>
        <v>4777.58</v>
      </c>
      <c r="K20" s="50"/>
      <c r="L20" s="50" t="s">
        <v>735</v>
      </c>
      <c r="M20" s="50" t="s">
        <v>738</v>
      </c>
      <c r="N20" s="50">
        <v>801000010</v>
      </c>
      <c r="O20" s="50"/>
    </row>
    <row r="21" spans="1:15" x14ac:dyDescent="0.2">
      <c r="A21" s="591" t="s">
        <v>454</v>
      </c>
      <c r="B21" s="602" t="s">
        <v>676</v>
      </c>
      <c r="C21" s="598" t="s">
        <v>502</v>
      </c>
      <c r="D21" s="603">
        <v>1</v>
      </c>
      <c r="E21" s="567">
        <v>2285</v>
      </c>
      <c r="F21" s="567">
        <v>159.94999999999999</v>
      </c>
      <c r="G21" s="567">
        <v>457</v>
      </c>
      <c r="H21" s="568">
        <f t="shared" si="0"/>
        <v>2901.95</v>
      </c>
      <c r="I21" s="120">
        <f>ROUND((E21+F21+G21)*(kopsavilkums!$O$8)*D21*12*(1+kopsavilkums!$O$23),2)</f>
        <v>4562.05</v>
      </c>
      <c r="K21" s="50"/>
      <c r="L21" s="50" t="s">
        <v>502</v>
      </c>
      <c r="M21" s="50" t="s">
        <v>738</v>
      </c>
      <c r="N21" s="50">
        <v>801000010</v>
      </c>
      <c r="O21" s="50"/>
    </row>
    <row r="22" spans="1:15" x14ac:dyDescent="0.2">
      <c r="A22" s="591" t="s">
        <v>12</v>
      </c>
      <c r="B22" s="602" t="s">
        <v>465</v>
      </c>
      <c r="C22" s="598" t="s">
        <v>533</v>
      </c>
      <c r="D22" s="603">
        <v>0.75</v>
      </c>
      <c r="E22" s="567">
        <v>1810</v>
      </c>
      <c r="F22" s="567">
        <v>126.7</v>
      </c>
      <c r="G22" s="567">
        <v>362</v>
      </c>
      <c r="H22" s="568">
        <f t="shared" si="0"/>
        <v>2298.6999999999998</v>
      </c>
      <c r="I22" s="120">
        <f>ROUND((E22+F22+G22)*(kopsavilkums!$O$8)*D22*12*(1+kopsavilkums!$O$23),2)</f>
        <v>2710.28</v>
      </c>
      <c r="K22" s="50"/>
      <c r="L22" s="50" t="s">
        <v>533</v>
      </c>
      <c r="M22" s="50" t="s">
        <v>738</v>
      </c>
      <c r="N22" s="50">
        <v>801000010</v>
      </c>
      <c r="O22" s="50"/>
    </row>
    <row r="23" spans="1:15" x14ac:dyDescent="0.2">
      <c r="A23" s="591" t="s">
        <v>12</v>
      </c>
      <c r="B23" s="602" t="s">
        <v>465</v>
      </c>
      <c r="C23" s="598" t="s">
        <v>533</v>
      </c>
      <c r="D23" s="603">
        <v>1</v>
      </c>
      <c r="E23" s="567">
        <v>1810</v>
      </c>
      <c r="F23" s="567">
        <v>108.6</v>
      </c>
      <c r="G23" s="567">
        <v>362</v>
      </c>
      <c r="H23" s="568">
        <f t="shared" si="0"/>
        <v>2280.6</v>
      </c>
      <c r="I23" s="120">
        <f>ROUND((E23+F23+G23)*(kopsavilkums!$O$8)*D23*12*(1+kopsavilkums!$O$23),2)</f>
        <v>3585.25</v>
      </c>
      <c r="K23" s="50"/>
      <c r="L23" s="50" t="s">
        <v>533</v>
      </c>
      <c r="M23" s="50" t="s">
        <v>738</v>
      </c>
      <c r="N23" s="50">
        <v>801000010</v>
      </c>
      <c r="O23" s="50"/>
    </row>
    <row r="24" spans="1:15" x14ac:dyDescent="0.2">
      <c r="A24" s="591" t="s">
        <v>12</v>
      </c>
      <c r="B24" s="602" t="s">
        <v>611</v>
      </c>
      <c r="C24" s="598" t="s">
        <v>733</v>
      </c>
      <c r="D24" s="603">
        <v>1</v>
      </c>
      <c r="E24" s="567">
        <v>2060</v>
      </c>
      <c r="F24" s="567">
        <v>267.8</v>
      </c>
      <c r="G24" s="567">
        <v>412</v>
      </c>
      <c r="H24" s="568">
        <f t="shared" si="0"/>
        <v>2739.8</v>
      </c>
      <c r="I24" s="120">
        <f>ROUND((E24+F24+G24)*(kopsavilkums!$O$8)*D24*12*(1+kopsavilkums!$O$23),2)</f>
        <v>4307.1400000000003</v>
      </c>
      <c r="K24" s="50"/>
      <c r="L24" s="50" t="s">
        <v>733</v>
      </c>
      <c r="M24" s="50" t="s">
        <v>738</v>
      </c>
      <c r="N24" s="50">
        <v>801000010</v>
      </c>
      <c r="O24" s="50"/>
    </row>
    <row r="25" spans="1:15" x14ac:dyDescent="0.2">
      <c r="A25" s="591" t="s">
        <v>12</v>
      </c>
      <c r="B25" s="602">
        <v>2212104</v>
      </c>
      <c r="C25" s="598" t="s">
        <v>533</v>
      </c>
      <c r="D25" s="603">
        <v>0.5</v>
      </c>
      <c r="E25" s="567">
        <v>1810</v>
      </c>
      <c r="F25" s="567">
        <v>217.2</v>
      </c>
      <c r="G25" s="567">
        <v>362</v>
      </c>
      <c r="H25" s="568">
        <f t="shared" si="0"/>
        <v>2389.1999999999998</v>
      </c>
      <c r="I25" s="120">
        <f>ROUND((E25+F25+G25)*(kopsavilkums!$O$8)*D25*12*(1+kopsavilkums!$O$23),2)</f>
        <v>1877.99</v>
      </c>
      <c r="K25" s="50"/>
      <c r="L25" s="50" t="s">
        <v>533</v>
      </c>
      <c r="M25" s="50" t="s">
        <v>738</v>
      </c>
      <c r="N25" s="50">
        <v>801000010</v>
      </c>
      <c r="O25" s="50"/>
    </row>
    <row r="26" spans="1:15" x14ac:dyDescent="0.2">
      <c r="A26" s="591" t="s">
        <v>12</v>
      </c>
      <c r="B26" s="602">
        <v>2212104</v>
      </c>
      <c r="C26" s="598" t="s">
        <v>555</v>
      </c>
      <c r="D26" s="603">
        <v>0.75</v>
      </c>
      <c r="E26" s="567">
        <v>2060</v>
      </c>
      <c r="F26" s="567">
        <v>206</v>
      </c>
      <c r="G26" s="567">
        <v>412</v>
      </c>
      <c r="H26" s="568">
        <f t="shared" si="0"/>
        <v>2678</v>
      </c>
      <c r="I26" s="120">
        <f>ROUND((E26+F26+G26)*(kopsavilkums!$O$8)*D26*12*(1+kopsavilkums!$O$23),2)</f>
        <v>3157.49</v>
      </c>
      <c r="K26" s="50"/>
      <c r="L26" s="50" t="s">
        <v>555</v>
      </c>
      <c r="M26" s="50" t="s">
        <v>738</v>
      </c>
      <c r="N26" s="50">
        <v>801000010</v>
      </c>
      <c r="O26" s="50"/>
    </row>
    <row r="27" spans="1:15" x14ac:dyDescent="0.2">
      <c r="A27" s="591" t="s">
        <v>12</v>
      </c>
      <c r="B27" s="602">
        <v>2212104</v>
      </c>
      <c r="C27" s="598" t="s">
        <v>555</v>
      </c>
      <c r="D27" s="603">
        <v>1</v>
      </c>
      <c r="E27" s="567">
        <v>2060</v>
      </c>
      <c r="F27" s="567">
        <v>267.8</v>
      </c>
      <c r="G27" s="567">
        <v>412</v>
      </c>
      <c r="H27" s="568">
        <f t="shared" si="0"/>
        <v>2739.8</v>
      </c>
      <c r="I27" s="120">
        <f>ROUND((E27+F27+G27)*(kopsavilkums!$O$8)*D27*12*(1+kopsavilkums!$O$23),2)</f>
        <v>4307.1400000000003</v>
      </c>
      <c r="K27" s="50"/>
      <c r="L27" s="50" t="s">
        <v>555</v>
      </c>
      <c r="M27" s="50" t="s">
        <v>738</v>
      </c>
      <c r="N27" s="50">
        <v>801000010</v>
      </c>
      <c r="O27" s="50"/>
    </row>
    <row r="28" spans="1:15" x14ac:dyDescent="0.2">
      <c r="A28" s="591" t="s">
        <v>12</v>
      </c>
      <c r="B28" s="602">
        <v>2212104</v>
      </c>
      <c r="C28" s="598" t="s">
        <v>555</v>
      </c>
      <c r="D28" s="603">
        <v>0.5</v>
      </c>
      <c r="E28" s="567">
        <v>2060</v>
      </c>
      <c r="F28" s="567">
        <v>247.2</v>
      </c>
      <c r="G28" s="567">
        <v>412</v>
      </c>
      <c r="H28" s="568">
        <f t="shared" si="0"/>
        <v>2719.2</v>
      </c>
      <c r="I28" s="120">
        <f>ROUND((E28+F28+G28)*(kopsavilkums!$O$8)*D28*12*(1+kopsavilkums!$O$23),2)</f>
        <v>2137.38</v>
      </c>
      <c r="K28" s="50"/>
      <c r="L28" s="50" t="s">
        <v>555</v>
      </c>
      <c r="M28" s="50" t="s">
        <v>738</v>
      </c>
      <c r="N28" s="50">
        <v>801000010</v>
      </c>
      <c r="O28" s="50"/>
    </row>
    <row r="29" spans="1:15" x14ac:dyDescent="0.2">
      <c r="A29" s="591" t="s">
        <v>12</v>
      </c>
      <c r="B29" s="602">
        <v>2212104</v>
      </c>
      <c r="C29" s="598" t="s">
        <v>555</v>
      </c>
      <c r="D29" s="603">
        <v>1</v>
      </c>
      <c r="E29" s="567">
        <v>2060</v>
      </c>
      <c r="F29" s="567">
        <v>267.8</v>
      </c>
      <c r="G29" s="567">
        <v>412</v>
      </c>
      <c r="H29" s="568">
        <f t="shared" si="0"/>
        <v>2739.8</v>
      </c>
      <c r="I29" s="120">
        <f>ROUND((E29+F29+G29)*(kopsavilkums!$O$8)*D29*12*(1+kopsavilkums!$O$23),2)</f>
        <v>4307.1400000000003</v>
      </c>
      <c r="K29" s="50"/>
      <c r="L29" s="50" t="s">
        <v>555</v>
      </c>
      <c r="M29" s="50" t="s">
        <v>738</v>
      </c>
      <c r="N29" s="50">
        <v>801000010</v>
      </c>
      <c r="O29" s="50"/>
    </row>
    <row r="30" spans="1:15" x14ac:dyDescent="0.2">
      <c r="A30" s="591" t="s">
        <v>12</v>
      </c>
      <c r="B30" s="602">
        <v>2212104</v>
      </c>
      <c r="C30" s="598" t="s">
        <v>533</v>
      </c>
      <c r="D30" s="603">
        <v>0.25</v>
      </c>
      <c r="E30" s="567">
        <v>1810</v>
      </c>
      <c r="F30" s="567">
        <v>235.3</v>
      </c>
      <c r="G30" s="567">
        <v>362</v>
      </c>
      <c r="H30" s="568">
        <f t="shared" si="0"/>
        <v>2407.3000000000002</v>
      </c>
      <c r="I30" s="120">
        <f>ROUND((E30+F30+G30)*(kopsavilkums!$O$8)*D30*12*(1+kopsavilkums!$O$23),2)</f>
        <v>946.11</v>
      </c>
      <c r="K30" s="50"/>
      <c r="L30" s="50" t="s">
        <v>533</v>
      </c>
      <c r="M30" s="50" t="s">
        <v>738</v>
      </c>
      <c r="N30" s="50">
        <v>801000010</v>
      </c>
      <c r="O30" s="50"/>
    </row>
    <row r="31" spans="1:15" x14ac:dyDescent="0.2">
      <c r="A31" s="591" t="s">
        <v>12</v>
      </c>
      <c r="B31" s="602">
        <v>2212104</v>
      </c>
      <c r="C31" s="598" t="s">
        <v>555</v>
      </c>
      <c r="D31" s="603">
        <v>0.75</v>
      </c>
      <c r="E31" s="567">
        <v>2060</v>
      </c>
      <c r="F31" s="567">
        <v>206</v>
      </c>
      <c r="G31" s="567">
        <v>412</v>
      </c>
      <c r="H31" s="568">
        <f t="shared" si="0"/>
        <v>2678</v>
      </c>
      <c r="I31" s="120">
        <f>ROUND((E31+F31+G31)*(kopsavilkums!$O$8)*D31*12*(1+kopsavilkums!$O$23),2)</f>
        <v>3157.49</v>
      </c>
      <c r="K31" s="50"/>
      <c r="L31" s="50" t="s">
        <v>555</v>
      </c>
      <c r="M31" s="50" t="s">
        <v>738</v>
      </c>
      <c r="N31" s="50">
        <v>801000010</v>
      </c>
      <c r="O31" s="50"/>
    </row>
    <row r="32" spans="1:15" x14ac:dyDescent="0.2">
      <c r="A32" s="591" t="s">
        <v>12</v>
      </c>
      <c r="B32" s="602" t="s">
        <v>481</v>
      </c>
      <c r="C32" s="598" t="s">
        <v>489</v>
      </c>
      <c r="D32" s="603">
        <v>1</v>
      </c>
      <c r="E32" s="567">
        <v>2060</v>
      </c>
      <c r="F32" s="567">
        <v>267.8</v>
      </c>
      <c r="G32" s="567">
        <v>412</v>
      </c>
      <c r="H32" s="568">
        <f t="shared" si="0"/>
        <v>2739.8</v>
      </c>
      <c r="I32" s="120">
        <f>ROUND((E32+F32+G32)*(kopsavilkums!$O$8)*D32*12*(1+kopsavilkums!$O$23),2)</f>
        <v>4307.1400000000003</v>
      </c>
      <c r="K32" s="50"/>
      <c r="L32" s="50" t="s">
        <v>489</v>
      </c>
      <c r="M32" s="50" t="s">
        <v>738</v>
      </c>
      <c r="N32" s="50">
        <v>801000010</v>
      </c>
      <c r="O32" s="50"/>
    </row>
    <row r="33" spans="1:15" x14ac:dyDescent="0.2">
      <c r="A33" s="591" t="s">
        <v>12</v>
      </c>
      <c r="B33" s="602" t="s">
        <v>481</v>
      </c>
      <c r="C33" s="598" t="s">
        <v>489</v>
      </c>
      <c r="D33" s="603">
        <v>1</v>
      </c>
      <c r="E33" s="567">
        <v>2060</v>
      </c>
      <c r="F33" s="567">
        <v>267.8</v>
      </c>
      <c r="G33" s="567">
        <v>412</v>
      </c>
      <c r="H33" s="568">
        <f t="shared" si="0"/>
        <v>2739.8</v>
      </c>
      <c r="I33" s="120">
        <f>ROUND((E33+F33+G33)*(kopsavilkums!$O$8)*D33*12*(1+kopsavilkums!$O$23),2)</f>
        <v>4307.1400000000003</v>
      </c>
      <c r="K33" s="50"/>
      <c r="L33" s="50" t="s">
        <v>489</v>
      </c>
      <c r="M33" s="50" t="s">
        <v>738</v>
      </c>
      <c r="N33" s="50">
        <v>801000010</v>
      </c>
      <c r="O33" s="50"/>
    </row>
    <row r="34" spans="1:15" x14ac:dyDescent="0.2">
      <c r="A34" s="591" t="s">
        <v>12</v>
      </c>
      <c r="B34" s="602" t="s">
        <v>481</v>
      </c>
      <c r="C34" s="598" t="s">
        <v>489</v>
      </c>
      <c r="D34" s="603">
        <v>0.5</v>
      </c>
      <c r="E34" s="567">
        <v>2060</v>
      </c>
      <c r="F34" s="567">
        <v>144.19999999999999</v>
      </c>
      <c r="G34" s="567">
        <v>412</v>
      </c>
      <c r="H34" s="568">
        <f t="shared" si="0"/>
        <v>2616.1999999999998</v>
      </c>
      <c r="I34" s="120">
        <f>ROUND((E34+F34+G34)*(kopsavilkums!$O$8)*D34*12*(1+kopsavilkums!$O$23),2)</f>
        <v>2056.42</v>
      </c>
      <c r="K34" s="50"/>
      <c r="L34" s="50" t="s">
        <v>489</v>
      </c>
      <c r="M34" s="50" t="s">
        <v>738</v>
      </c>
      <c r="N34" s="50">
        <v>801000010</v>
      </c>
      <c r="O34" s="50"/>
    </row>
    <row r="35" spans="1:15" x14ac:dyDescent="0.2">
      <c r="A35" s="591" t="s">
        <v>12</v>
      </c>
      <c r="B35" s="602" t="s">
        <v>481</v>
      </c>
      <c r="C35" s="598" t="s">
        <v>489</v>
      </c>
      <c r="D35" s="603">
        <v>0.5</v>
      </c>
      <c r="E35" s="567">
        <v>2060</v>
      </c>
      <c r="F35" s="567">
        <v>206</v>
      </c>
      <c r="G35" s="567">
        <v>412</v>
      </c>
      <c r="H35" s="568">
        <f t="shared" si="0"/>
        <v>2678</v>
      </c>
      <c r="I35" s="120">
        <f>ROUND((E35+F35+G35)*(kopsavilkums!$O$8)*D35*12*(1+kopsavilkums!$O$23),2)</f>
        <v>2104.9899999999998</v>
      </c>
      <c r="K35" s="50"/>
      <c r="L35" s="50" t="s">
        <v>489</v>
      </c>
      <c r="M35" s="50" t="s">
        <v>738</v>
      </c>
      <c r="N35" s="50">
        <v>801000010</v>
      </c>
      <c r="O35" s="50"/>
    </row>
    <row r="36" spans="1:15" x14ac:dyDescent="0.2">
      <c r="A36" s="591" t="s">
        <v>12</v>
      </c>
      <c r="B36" s="602" t="s">
        <v>481</v>
      </c>
      <c r="C36" s="598" t="s">
        <v>489</v>
      </c>
      <c r="D36" s="603">
        <v>0.5</v>
      </c>
      <c r="E36" s="567">
        <v>2060</v>
      </c>
      <c r="F36" s="567">
        <v>267.8</v>
      </c>
      <c r="G36" s="567">
        <v>412</v>
      </c>
      <c r="H36" s="568">
        <f t="shared" si="0"/>
        <v>2739.8</v>
      </c>
      <c r="I36" s="120">
        <f>ROUND((E36+F36+G36)*(kopsavilkums!$O$8)*D36*12*(1+kopsavilkums!$O$23),2)</f>
        <v>2153.5700000000002</v>
      </c>
      <c r="K36" s="50"/>
      <c r="L36" s="50" t="s">
        <v>489</v>
      </c>
      <c r="M36" s="50" t="s">
        <v>738</v>
      </c>
      <c r="N36" s="50">
        <v>801000010</v>
      </c>
      <c r="O36" s="50"/>
    </row>
    <row r="37" spans="1:15" x14ac:dyDescent="0.2">
      <c r="A37" s="591" t="s">
        <v>12</v>
      </c>
      <c r="B37" s="602" t="s">
        <v>481</v>
      </c>
      <c r="C37" s="598" t="s">
        <v>736</v>
      </c>
      <c r="D37" s="603">
        <v>0.25</v>
      </c>
      <c r="E37" s="567">
        <v>2060</v>
      </c>
      <c r="F37" s="567">
        <v>267.8</v>
      </c>
      <c r="G37" s="567">
        <v>412</v>
      </c>
      <c r="H37" s="568">
        <f t="shared" si="0"/>
        <v>2739.8</v>
      </c>
      <c r="I37" s="120">
        <f>ROUND((E37+F37+G37)*(kopsavilkums!$O$8)*D37*12*(1+kopsavilkums!$O$23),2)</f>
        <v>1076.79</v>
      </c>
      <c r="K37" s="50"/>
      <c r="L37" s="50" t="s">
        <v>736</v>
      </c>
      <c r="M37" s="50" t="s">
        <v>738</v>
      </c>
      <c r="N37" s="50">
        <v>801000010</v>
      </c>
      <c r="O37" s="50"/>
    </row>
    <row r="38" spans="1:15" x14ac:dyDescent="0.2">
      <c r="A38" s="591" t="s">
        <v>12</v>
      </c>
      <c r="B38" s="602" t="s">
        <v>481</v>
      </c>
      <c r="C38" s="598" t="s">
        <v>736</v>
      </c>
      <c r="D38" s="603">
        <v>0.25</v>
      </c>
      <c r="E38" s="567">
        <v>2060</v>
      </c>
      <c r="F38" s="567">
        <v>247.2</v>
      </c>
      <c r="G38" s="567">
        <v>412</v>
      </c>
      <c r="H38" s="568">
        <f t="shared" si="0"/>
        <v>2719.2</v>
      </c>
      <c r="I38" s="120">
        <f>ROUND((E38+F38+G38)*(kopsavilkums!$O$8)*D38*12*(1+kopsavilkums!$O$23),2)</f>
        <v>1068.69</v>
      </c>
      <c r="K38" s="50"/>
      <c r="L38" s="50" t="s">
        <v>736</v>
      </c>
      <c r="M38" s="50" t="s">
        <v>738</v>
      </c>
      <c r="N38" s="50">
        <v>801000010</v>
      </c>
      <c r="O38" s="50"/>
    </row>
    <row r="39" spans="1:15" x14ac:dyDescent="0.2">
      <c r="A39" s="591" t="s">
        <v>12</v>
      </c>
      <c r="B39" s="602" t="s">
        <v>481</v>
      </c>
      <c r="C39" s="598" t="s">
        <v>489</v>
      </c>
      <c r="D39" s="603">
        <v>0.5</v>
      </c>
      <c r="E39" s="567">
        <v>2060</v>
      </c>
      <c r="F39" s="567">
        <v>123.6</v>
      </c>
      <c r="G39" s="567">
        <v>412</v>
      </c>
      <c r="H39" s="568">
        <f t="shared" si="0"/>
        <v>2595.6</v>
      </c>
      <c r="I39" s="120">
        <f>ROUND((E39+F39+G39)*(kopsavilkums!$O$8)*D39*12*(1+kopsavilkums!$O$23),2)</f>
        <v>2040.23</v>
      </c>
      <c r="K39" s="50"/>
      <c r="L39" s="50" t="s">
        <v>489</v>
      </c>
      <c r="M39" s="50" t="s">
        <v>738</v>
      </c>
      <c r="N39" s="50">
        <v>801000010</v>
      </c>
      <c r="O39" s="50"/>
    </row>
    <row r="40" spans="1:15" x14ac:dyDescent="0.2">
      <c r="A40" s="591" t="s">
        <v>12</v>
      </c>
      <c r="B40" s="602" t="s">
        <v>481</v>
      </c>
      <c r="C40" s="598" t="s">
        <v>489</v>
      </c>
      <c r="D40" s="603">
        <v>1</v>
      </c>
      <c r="E40" s="567">
        <v>2060</v>
      </c>
      <c r="F40" s="567">
        <v>144.19999999999999</v>
      </c>
      <c r="G40" s="567">
        <v>412</v>
      </c>
      <c r="H40" s="568">
        <f t="shared" si="0"/>
        <v>2616.1999999999998</v>
      </c>
      <c r="I40" s="120">
        <f>ROUND((E40+F40+G40)*(kopsavilkums!$O$8)*D40*12*(1+kopsavilkums!$O$23),2)</f>
        <v>4112.84</v>
      </c>
      <c r="K40" s="50"/>
      <c r="L40" s="50" t="s">
        <v>489</v>
      </c>
      <c r="M40" s="50" t="s">
        <v>738</v>
      </c>
      <c r="N40" s="50">
        <v>801000010</v>
      </c>
      <c r="O40" s="50"/>
    </row>
    <row r="41" spans="1:15" x14ac:dyDescent="0.2">
      <c r="A41" s="591" t="s">
        <v>12</v>
      </c>
      <c r="B41" s="602" t="s">
        <v>551</v>
      </c>
      <c r="C41" s="598" t="s">
        <v>478</v>
      </c>
      <c r="D41" s="603">
        <v>0.25</v>
      </c>
      <c r="E41" s="567">
        <v>2060</v>
      </c>
      <c r="F41" s="567">
        <v>247.2</v>
      </c>
      <c r="G41" s="567">
        <v>412</v>
      </c>
      <c r="H41" s="568">
        <f t="shared" si="0"/>
        <v>2719.2</v>
      </c>
      <c r="I41" s="120">
        <f>ROUND((E41+F41+G41)*(kopsavilkums!$O$8)*D41*12*(1+kopsavilkums!$O$23),2)</f>
        <v>1068.69</v>
      </c>
      <c r="K41" s="50"/>
      <c r="L41" s="50" t="s">
        <v>478</v>
      </c>
      <c r="M41" s="50" t="s">
        <v>738</v>
      </c>
      <c r="N41" s="50">
        <v>801000010</v>
      </c>
      <c r="O41" s="50"/>
    </row>
    <row r="42" spans="1:15" x14ac:dyDescent="0.2">
      <c r="A42" s="591" t="s">
        <v>12</v>
      </c>
      <c r="B42" s="602" t="s">
        <v>501</v>
      </c>
      <c r="C42" s="598" t="s">
        <v>502</v>
      </c>
      <c r="D42" s="603">
        <v>0.25</v>
      </c>
      <c r="E42" s="567">
        <v>2060</v>
      </c>
      <c r="F42" s="567">
        <v>267.8</v>
      </c>
      <c r="G42" s="567">
        <v>412</v>
      </c>
      <c r="H42" s="568">
        <f t="shared" si="0"/>
        <v>2739.8</v>
      </c>
      <c r="I42" s="120">
        <f>ROUND((E42+F42+G42)*(kopsavilkums!$O$8)*D42*12*(1+kopsavilkums!$O$23),2)</f>
        <v>1076.79</v>
      </c>
      <c r="K42" s="50"/>
      <c r="L42" s="50" t="s">
        <v>502</v>
      </c>
      <c r="M42" s="50" t="s">
        <v>738</v>
      </c>
      <c r="N42" s="50">
        <v>801000010</v>
      </c>
      <c r="O42" s="50"/>
    </row>
    <row r="43" spans="1:15" x14ac:dyDescent="0.2">
      <c r="A43" s="591" t="s">
        <v>12</v>
      </c>
      <c r="B43" s="602" t="s">
        <v>501</v>
      </c>
      <c r="C43" s="598" t="s">
        <v>502</v>
      </c>
      <c r="D43" s="603">
        <v>0.6</v>
      </c>
      <c r="E43" s="567">
        <v>2060</v>
      </c>
      <c r="F43" s="567">
        <v>185.4</v>
      </c>
      <c r="G43" s="567">
        <v>412</v>
      </c>
      <c r="H43" s="568">
        <f t="shared" si="0"/>
        <v>2657.4</v>
      </c>
      <c r="I43" s="120">
        <f>ROUND((E43+F43+G43)*(kopsavilkums!$O$8)*D43*12*(1+kopsavilkums!$O$23),2)</f>
        <v>2506.56</v>
      </c>
      <c r="K43" s="50"/>
      <c r="L43" s="50" t="s">
        <v>502</v>
      </c>
      <c r="M43" s="50" t="s">
        <v>738</v>
      </c>
      <c r="N43" s="50">
        <v>801000010</v>
      </c>
      <c r="O43" s="50"/>
    </row>
    <row r="44" spans="1:15" x14ac:dyDescent="0.2">
      <c r="A44" s="591" t="s">
        <v>12</v>
      </c>
      <c r="B44" s="602" t="s">
        <v>539</v>
      </c>
      <c r="C44" s="598" t="s">
        <v>733</v>
      </c>
      <c r="D44" s="603">
        <v>0.5</v>
      </c>
      <c r="E44" s="567">
        <v>1810</v>
      </c>
      <c r="F44" s="567">
        <v>126.7</v>
      </c>
      <c r="G44" s="567">
        <v>362</v>
      </c>
      <c r="H44" s="568">
        <f t="shared" si="0"/>
        <v>2298.6999999999998</v>
      </c>
      <c r="I44" s="120">
        <f>ROUND((E44+F44+G44)*(kopsavilkums!$O$8)*D44*12*(1+kopsavilkums!$O$23),2)</f>
        <v>1806.85</v>
      </c>
      <c r="K44" s="50"/>
      <c r="L44" s="50" t="s">
        <v>733</v>
      </c>
      <c r="M44" s="50" t="s">
        <v>738</v>
      </c>
      <c r="N44" s="50">
        <v>801000010</v>
      </c>
      <c r="O44" s="50"/>
    </row>
    <row r="45" spans="1:15" x14ac:dyDescent="0.2">
      <c r="A45" s="591" t="s">
        <v>12</v>
      </c>
      <c r="B45" s="602" t="s">
        <v>539</v>
      </c>
      <c r="C45" s="598" t="s">
        <v>734</v>
      </c>
      <c r="D45" s="603">
        <v>1</v>
      </c>
      <c r="E45" s="567">
        <v>2060</v>
      </c>
      <c r="F45" s="567">
        <v>247.2</v>
      </c>
      <c r="G45" s="567">
        <v>412</v>
      </c>
      <c r="H45" s="568">
        <f t="shared" si="0"/>
        <v>2719.2</v>
      </c>
      <c r="I45" s="120">
        <f>ROUND((E45+F45+G45)*(kopsavilkums!$O$8)*D45*12*(1+kopsavilkums!$O$23),2)</f>
        <v>4274.76</v>
      </c>
      <c r="K45" s="50"/>
      <c r="L45" s="50" t="s">
        <v>734</v>
      </c>
      <c r="M45" s="50" t="s">
        <v>738</v>
      </c>
      <c r="N45" s="50">
        <v>801000010</v>
      </c>
      <c r="O45" s="50"/>
    </row>
    <row r="46" spans="1:15" x14ac:dyDescent="0.2">
      <c r="A46" s="591" t="s">
        <v>12</v>
      </c>
      <c r="B46" s="602" t="s">
        <v>539</v>
      </c>
      <c r="C46" s="598" t="s">
        <v>734</v>
      </c>
      <c r="D46" s="603">
        <v>0.5</v>
      </c>
      <c r="E46" s="567">
        <v>2060</v>
      </c>
      <c r="F46" s="567">
        <v>247.2</v>
      </c>
      <c r="G46" s="567">
        <v>412</v>
      </c>
      <c r="H46" s="568">
        <f t="shared" si="0"/>
        <v>2719.2</v>
      </c>
      <c r="I46" s="120">
        <f>ROUND((E46+F46+G46)*(kopsavilkums!$O$8)*D46*12*(1+kopsavilkums!$O$23),2)</f>
        <v>2137.38</v>
      </c>
      <c r="K46" s="50"/>
      <c r="L46" s="50" t="s">
        <v>734</v>
      </c>
      <c r="M46" s="50" t="s">
        <v>738</v>
      </c>
      <c r="N46" s="50">
        <v>801000010</v>
      </c>
      <c r="O46" s="50"/>
    </row>
    <row r="47" spans="1:15" x14ac:dyDescent="0.2">
      <c r="A47" s="591" t="s">
        <v>12</v>
      </c>
      <c r="B47" s="602" t="s">
        <v>539</v>
      </c>
      <c r="C47" s="598" t="s">
        <v>737</v>
      </c>
      <c r="D47" s="603">
        <v>0.5</v>
      </c>
      <c r="E47" s="567">
        <v>2060</v>
      </c>
      <c r="F47" s="567">
        <v>267.8</v>
      </c>
      <c r="G47" s="567">
        <v>412</v>
      </c>
      <c r="H47" s="568">
        <f t="shared" si="0"/>
        <v>2739.8</v>
      </c>
      <c r="I47" s="120">
        <f>ROUND((E47+F47+G47)*(kopsavilkums!$O$8)*D47*12*(1+kopsavilkums!$O$23),2)</f>
        <v>2153.5700000000002</v>
      </c>
      <c r="K47" s="50"/>
      <c r="L47" s="50" t="s">
        <v>737</v>
      </c>
      <c r="M47" s="50" t="s">
        <v>738</v>
      </c>
      <c r="N47" s="50">
        <v>801000010</v>
      </c>
      <c r="O47" s="50"/>
    </row>
    <row r="48" spans="1:15" x14ac:dyDescent="0.2">
      <c r="A48" s="591" t="s">
        <v>12</v>
      </c>
      <c r="B48" s="602" t="s">
        <v>552</v>
      </c>
      <c r="C48" s="598" t="s">
        <v>466</v>
      </c>
      <c r="D48" s="603">
        <v>0.5</v>
      </c>
      <c r="E48" s="567">
        <v>2060</v>
      </c>
      <c r="F48" s="567">
        <v>267.8</v>
      </c>
      <c r="G48" s="567">
        <v>412</v>
      </c>
      <c r="H48" s="568">
        <f t="shared" si="0"/>
        <v>2739.8</v>
      </c>
      <c r="I48" s="120">
        <f>ROUND((E48+F48+G48)*(kopsavilkums!$O$8)*D48*12*(1+kopsavilkums!$O$23),2)</f>
        <v>2153.5700000000002</v>
      </c>
      <c r="K48" s="50"/>
      <c r="L48" s="50" t="s">
        <v>466</v>
      </c>
      <c r="M48" s="50" t="s">
        <v>738</v>
      </c>
      <c r="N48" s="50">
        <v>801000010</v>
      </c>
      <c r="O48" s="50"/>
    </row>
    <row r="49" spans="1:15" x14ac:dyDescent="0.2">
      <c r="A49" s="591" t="s">
        <v>12</v>
      </c>
      <c r="B49" s="602" t="s">
        <v>552</v>
      </c>
      <c r="C49" s="598" t="s">
        <v>466</v>
      </c>
      <c r="D49" s="603">
        <v>0.75</v>
      </c>
      <c r="E49" s="567">
        <v>2060</v>
      </c>
      <c r="F49" s="567">
        <v>247.2</v>
      </c>
      <c r="G49" s="567">
        <v>412</v>
      </c>
      <c r="H49" s="568">
        <f t="shared" si="0"/>
        <v>2719.2</v>
      </c>
      <c r="I49" s="120">
        <f>ROUND((E49+F49+G49)*(kopsavilkums!$O$8)*D49*12*(1+kopsavilkums!$O$23),2)</f>
        <v>3206.07</v>
      </c>
      <c r="K49" s="50"/>
      <c r="L49" s="50" t="s">
        <v>466</v>
      </c>
      <c r="M49" s="50" t="s">
        <v>738</v>
      </c>
      <c r="N49" s="50">
        <v>801000010</v>
      </c>
      <c r="O49" s="50"/>
    </row>
    <row r="50" spans="1:15" x14ac:dyDescent="0.2">
      <c r="A50" s="591" t="s">
        <v>12</v>
      </c>
      <c r="B50" s="602" t="s">
        <v>552</v>
      </c>
      <c r="C50" s="598" t="s">
        <v>466</v>
      </c>
      <c r="D50" s="603">
        <v>1</v>
      </c>
      <c r="E50" s="567">
        <v>2060</v>
      </c>
      <c r="F50" s="567">
        <v>267.8</v>
      </c>
      <c r="G50" s="567">
        <v>412</v>
      </c>
      <c r="H50" s="568">
        <f t="shared" si="0"/>
        <v>2739.8</v>
      </c>
      <c r="I50" s="120">
        <f>ROUND((E50+F50+G50)*(kopsavilkums!$O$8)*D50*12*(1+kopsavilkums!$O$23),2)</f>
        <v>4307.1400000000003</v>
      </c>
      <c r="K50" s="50"/>
      <c r="L50" s="50" t="s">
        <v>466</v>
      </c>
      <c r="M50" s="50" t="s">
        <v>738</v>
      </c>
      <c r="N50" s="50">
        <v>801000010</v>
      </c>
      <c r="O50" s="50"/>
    </row>
    <row r="51" spans="1:15" x14ac:dyDescent="0.2">
      <c r="A51" s="591" t="s">
        <v>12</v>
      </c>
      <c r="B51" s="602" t="s">
        <v>503</v>
      </c>
      <c r="C51" s="598" t="s">
        <v>504</v>
      </c>
      <c r="D51" s="603">
        <v>0.5</v>
      </c>
      <c r="E51" s="567">
        <v>2060</v>
      </c>
      <c r="F51" s="567">
        <v>267.8</v>
      </c>
      <c r="G51" s="567">
        <v>412</v>
      </c>
      <c r="H51" s="568">
        <f t="shared" si="0"/>
        <v>2739.8</v>
      </c>
      <c r="I51" s="120">
        <f>ROUND((E51+F51+G51)*(kopsavilkums!$O$8)*D51*12*(1+kopsavilkums!$O$23),2)</f>
        <v>2153.5700000000002</v>
      </c>
      <c r="K51" s="50"/>
      <c r="L51" s="50" t="s">
        <v>504</v>
      </c>
      <c r="M51" s="50" t="s">
        <v>738</v>
      </c>
      <c r="N51" s="50">
        <v>801000010</v>
      </c>
      <c r="O51" s="50"/>
    </row>
    <row r="52" spans="1:15" x14ac:dyDescent="0.2">
      <c r="A52" s="591" t="s">
        <v>12</v>
      </c>
      <c r="B52" s="602" t="s">
        <v>499</v>
      </c>
      <c r="C52" s="598" t="s">
        <v>500</v>
      </c>
      <c r="D52" s="603">
        <v>0.5</v>
      </c>
      <c r="E52" s="567">
        <v>2060</v>
      </c>
      <c r="F52" s="567">
        <v>267.8</v>
      </c>
      <c r="G52" s="567">
        <v>412</v>
      </c>
      <c r="H52" s="568">
        <f t="shared" si="0"/>
        <v>2739.8</v>
      </c>
      <c r="I52" s="120">
        <f>ROUND((E52+F52+G52)*(kopsavilkums!$O$8)*D52*12*(1+kopsavilkums!$O$23),2)</f>
        <v>2153.5700000000002</v>
      </c>
      <c r="K52" s="50"/>
      <c r="L52" s="50" t="s">
        <v>500</v>
      </c>
      <c r="M52" s="50" t="s">
        <v>738</v>
      </c>
      <c r="N52" s="50">
        <v>801000010</v>
      </c>
      <c r="O52" s="50"/>
    </row>
    <row r="53" spans="1:15" x14ac:dyDescent="0.2">
      <c r="A53" s="591" t="s">
        <v>12</v>
      </c>
      <c r="B53" s="602" t="s">
        <v>505</v>
      </c>
      <c r="C53" s="598" t="s">
        <v>506</v>
      </c>
      <c r="D53" s="603">
        <v>0.5</v>
      </c>
      <c r="E53" s="567">
        <v>2060</v>
      </c>
      <c r="F53" s="567">
        <v>267.8</v>
      </c>
      <c r="G53" s="567">
        <v>412</v>
      </c>
      <c r="H53" s="568">
        <f t="shared" si="0"/>
        <v>2739.8</v>
      </c>
      <c r="I53" s="120">
        <f>ROUND((E53+F53+G53)*(kopsavilkums!$O$8)*D53*12*(1+kopsavilkums!$O$23),2)</f>
        <v>2153.5700000000002</v>
      </c>
      <c r="K53" s="50"/>
      <c r="L53" s="50" t="s">
        <v>506</v>
      </c>
      <c r="M53" s="50" t="s">
        <v>738</v>
      </c>
      <c r="N53" s="50">
        <v>801000010</v>
      </c>
      <c r="O53" s="50"/>
    </row>
    <row r="54" spans="1:15" x14ac:dyDescent="0.2">
      <c r="A54" s="591" t="s">
        <v>12</v>
      </c>
      <c r="B54" s="602" t="s">
        <v>505</v>
      </c>
      <c r="C54" s="595" t="s">
        <v>506</v>
      </c>
      <c r="D54" s="603">
        <v>0.75</v>
      </c>
      <c r="E54" s="567">
        <v>2060</v>
      </c>
      <c r="F54" s="567">
        <v>247.2</v>
      </c>
      <c r="G54" s="567">
        <v>412</v>
      </c>
      <c r="H54" s="568">
        <f t="shared" si="0"/>
        <v>2719.2</v>
      </c>
      <c r="I54" s="120">
        <f>ROUND((E54+F54+G54)*(kopsavilkums!$O$8)*D54*12*(1+kopsavilkums!$O$23),2)</f>
        <v>3206.07</v>
      </c>
      <c r="K54" s="50"/>
      <c r="L54" s="50" t="s">
        <v>506</v>
      </c>
      <c r="M54" s="50" t="s">
        <v>738</v>
      </c>
      <c r="N54" s="50">
        <v>801000010</v>
      </c>
      <c r="O54" s="50"/>
    </row>
    <row r="55" spans="1:15" x14ac:dyDescent="0.2">
      <c r="A55" s="591" t="s">
        <v>12</v>
      </c>
      <c r="B55" s="602" t="s">
        <v>730</v>
      </c>
      <c r="C55" s="602" t="s">
        <v>482</v>
      </c>
      <c r="D55" s="603">
        <v>0.5</v>
      </c>
      <c r="E55" s="567">
        <v>2060</v>
      </c>
      <c r="F55" s="567">
        <v>247.2</v>
      </c>
      <c r="G55" s="567">
        <v>412</v>
      </c>
      <c r="H55" s="568">
        <f t="shared" si="0"/>
        <v>2719.2</v>
      </c>
      <c r="I55" s="120">
        <f>ROUND((E55+F55+G55)*(kopsavilkums!$O$8)*D55*12*(1+kopsavilkums!$O$23),2)</f>
        <v>2137.38</v>
      </c>
      <c r="K55" s="50"/>
      <c r="L55" s="50" t="s">
        <v>482</v>
      </c>
      <c r="M55" s="50" t="s">
        <v>738</v>
      </c>
      <c r="N55" s="50">
        <v>801000010</v>
      </c>
      <c r="O55" s="50"/>
    </row>
    <row r="56" spans="1:15" x14ac:dyDescent="0.2">
      <c r="A56" s="591" t="s">
        <v>12</v>
      </c>
      <c r="B56" s="595" t="s">
        <v>730</v>
      </c>
      <c r="C56" s="595" t="s">
        <v>482</v>
      </c>
      <c r="D56" s="603">
        <v>1</v>
      </c>
      <c r="E56" s="567">
        <v>2060</v>
      </c>
      <c r="F56" s="567">
        <v>247.2</v>
      </c>
      <c r="G56" s="567">
        <v>412</v>
      </c>
      <c r="H56" s="568">
        <f t="shared" si="0"/>
        <v>2719.2</v>
      </c>
      <c r="I56" s="120">
        <f>ROUND((E56+F56+G56)*(kopsavilkums!$O$8)*D56*12*(1+kopsavilkums!$O$23),2)</f>
        <v>4274.76</v>
      </c>
      <c r="K56" s="50"/>
      <c r="L56" s="50" t="s">
        <v>482</v>
      </c>
      <c r="M56" s="50" t="s">
        <v>738</v>
      </c>
      <c r="N56" s="50">
        <v>801000010</v>
      </c>
      <c r="O56" s="50"/>
    </row>
    <row r="57" spans="1:15" x14ac:dyDescent="0.2">
      <c r="A57" s="591" t="s">
        <v>12</v>
      </c>
      <c r="B57" s="598" t="s">
        <v>730</v>
      </c>
      <c r="C57" s="598" t="s">
        <v>482</v>
      </c>
      <c r="D57" s="603">
        <v>0.5</v>
      </c>
      <c r="E57" s="567">
        <v>2060</v>
      </c>
      <c r="F57" s="567">
        <v>267.8</v>
      </c>
      <c r="G57" s="567">
        <v>412</v>
      </c>
      <c r="H57" s="568">
        <f t="shared" si="0"/>
        <v>2739.8</v>
      </c>
      <c r="I57" s="120">
        <f>ROUND((E57+F57+G57)*(kopsavilkums!$O$8)*D57*12*(1+kopsavilkums!$O$23),2)</f>
        <v>2153.5700000000002</v>
      </c>
      <c r="K57" s="50"/>
      <c r="L57" s="50" t="s">
        <v>482</v>
      </c>
      <c r="M57" s="50" t="s">
        <v>738</v>
      </c>
      <c r="N57" s="50">
        <v>801000010</v>
      </c>
      <c r="O57" s="50"/>
    </row>
    <row r="58" spans="1:15" x14ac:dyDescent="0.2">
      <c r="A58" s="10" t="s">
        <v>32</v>
      </c>
      <c r="B58" s="512"/>
      <c r="C58" s="512"/>
      <c r="D58" s="43">
        <f>SUM(D11:D57)</f>
        <v>34.1</v>
      </c>
      <c r="E58" s="3" t="s">
        <v>29</v>
      </c>
      <c r="F58" s="3" t="s">
        <v>29</v>
      </c>
      <c r="G58" s="3" t="s">
        <v>29</v>
      </c>
      <c r="H58" s="117" t="s">
        <v>29</v>
      </c>
      <c r="I58" s="121" t="s">
        <v>29</v>
      </c>
      <c r="K58" s="50"/>
      <c r="L58" s="50"/>
      <c r="M58" s="50"/>
      <c r="N58" s="50"/>
      <c r="O58" s="50"/>
    </row>
    <row r="59" spans="1:15" ht="63.75" x14ac:dyDescent="0.2">
      <c r="A59" s="47" t="s">
        <v>592</v>
      </c>
      <c r="B59" s="513"/>
      <c r="C59" s="513"/>
      <c r="D59" s="41"/>
      <c r="E59" s="42"/>
      <c r="F59" s="42"/>
      <c r="G59" s="42"/>
      <c r="H59" s="115"/>
      <c r="I59" s="122"/>
      <c r="K59" s="50"/>
      <c r="L59" s="50"/>
      <c r="M59" s="50"/>
      <c r="N59" s="50"/>
      <c r="O59" s="50"/>
    </row>
    <row r="60" spans="1:15" x14ac:dyDescent="0.2">
      <c r="A60" s="591" t="s">
        <v>107</v>
      </c>
      <c r="B60" s="595" t="s">
        <v>486</v>
      </c>
      <c r="C60" s="598" t="s">
        <v>739</v>
      </c>
      <c r="D60" s="603">
        <v>1</v>
      </c>
      <c r="E60" s="567">
        <v>1500</v>
      </c>
      <c r="F60" s="567">
        <v>172.5</v>
      </c>
      <c r="G60" s="567">
        <v>300</v>
      </c>
      <c r="H60" s="568">
        <f t="shared" ref="H60:H83" si="1">G60+F60+E60</f>
        <v>1972.5</v>
      </c>
      <c r="I60" s="120">
        <f>ROUND((E60+F60+G60)*(kopsavilkums!$O$12)*D60*12*(1+kopsavilkums!$O$23),2)</f>
        <v>1901.49</v>
      </c>
      <c r="K60" s="50"/>
      <c r="L60" s="50" t="s">
        <v>739</v>
      </c>
      <c r="M60" s="50" t="s">
        <v>738</v>
      </c>
      <c r="N60" s="50">
        <v>801000010</v>
      </c>
      <c r="O60" s="50"/>
    </row>
    <row r="61" spans="1:15" x14ac:dyDescent="0.2">
      <c r="A61" s="591" t="s">
        <v>107</v>
      </c>
      <c r="B61" s="595" t="s">
        <v>486</v>
      </c>
      <c r="C61" s="598" t="s">
        <v>739</v>
      </c>
      <c r="D61" s="603">
        <v>1</v>
      </c>
      <c r="E61" s="567">
        <v>1500</v>
      </c>
      <c r="F61" s="567">
        <v>172.5</v>
      </c>
      <c r="G61" s="567">
        <v>300</v>
      </c>
      <c r="H61" s="568">
        <f t="shared" si="1"/>
        <v>1972.5</v>
      </c>
      <c r="I61" s="120">
        <f>ROUND((E61+F61+G61)*(kopsavilkums!$O$12)*D61*12*(1+kopsavilkums!$O$23),2)</f>
        <v>1901.49</v>
      </c>
      <c r="K61" s="50"/>
      <c r="L61" s="50" t="s">
        <v>739</v>
      </c>
      <c r="M61" s="50" t="s">
        <v>738</v>
      </c>
      <c r="N61" s="50">
        <v>801000010</v>
      </c>
      <c r="O61" s="50"/>
    </row>
    <row r="62" spans="1:15" x14ac:dyDescent="0.2">
      <c r="A62" s="591" t="s">
        <v>107</v>
      </c>
      <c r="B62" s="595" t="s">
        <v>486</v>
      </c>
      <c r="C62" s="598" t="s">
        <v>740</v>
      </c>
      <c r="D62" s="603">
        <v>1</v>
      </c>
      <c r="E62" s="567">
        <v>1500</v>
      </c>
      <c r="F62" s="567">
        <v>180</v>
      </c>
      <c r="G62" s="567">
        <v>300</v>
      </c>
      <c r="H62" s="568">
        <f t="shared" si="1"/>
        <v>1980</v>
      </c>
      <c r="I62" s="120">
        <f>ROUND((E62+F62+G62)*(kopsavilkums!$O$12)*D62*12*(1+kopsavilkums!$O$23),2)</f>
        <v>1908.72</v>
      </c>
      <c r="K62" s="50"/>
      <c r="L62" s="50" t="s">
        <v>740</v>
      </c>
      <c r="M62" s="50" t="s">
        <v>738</v>
      </c>
      <c r="N62" s="50">
        <v>801000010</v>
      </c>
      <c r="O62" s="50"/>
    </row>
    <row r="63" spans="1:15" x14ac:dyDescent="0.2">
      <c r="A63" s="591" t="s">
        <v>107</v>
      </c>
      <c r="B63" s="595" t="s">
        <v>486</v>
      </c>
      <c r="C63" s="598" t="s">
        <v>739</v>
      </c>
      <c r="D63" s="603">
        <v>1</v>
      </c>
      <c r="E63" s="567">
        <v>1500</v>
      </c>
      <c r="F63" s="567">
        <v>195</v>
      </c>
      <c r="G63" s="567">
        <v>300</v>
      </c>
      <c r="H63" s="568">
        <f t="shared" si="1"/>
        <v>1995</v>
      </c>
      <c r="I63" s="120">
        <f>ROUND((E63+F63+G63)*(kopsavilkums!$O$12)*D63*12*(1+kopsavilkums!$O$23),2)</f>
        <v>1923.18</v>
      </c>
      <c r="K63" s="50"/>
      <c r="L63" s="50" t="s">
        <v>739</v>
      </c>
      <c r="M63" s="50" t="s">
        <v>738</v>
      </c>
      <c r="N63" s="50">
        <v>801000010</v>
      </c>
      <c r="O63" s="50"/>
    </row>
    <row r="64" spans="1:15" x14ac:dyDescent="0.2">
      <c r="A64" s="591" t="s">
        <v>107</v>
      </c>
      <c r="B64" s="595" t="s">
        <v>486</v>
      </c>
      <c r="C64" s="598" t="s">
        <v>739</v>
      </c>
      <c r="D64" s="603">
        <v>1</v>
      </c>
      <c r="E64" s="567">
        <v>1500</v>
      </c>
      <c r="F64" s="567">
        <v>172.5</v>
      </c>
      <c r="G64" s="567">
        <v>300</v>
      </c>
      <c r="H64" s="568">
        <f t="shared" si="1"/>
        <v>1972.5</v>
      </c>
      <c r="I64" s="120">
        <f>ROUND((E64+F64+G64)*(kopsavilkums!$O$12)*D64*12*(1+kopsavilkums!$O$23),2)</f>
        <v>1901.49</v>
      </c>
      <c r="K64" s="50"/>
      <c r="L64" s="50" t="s">
        <v>739</v>
      </c>
      <c r="M64" s="50" t="s">
        <v>738</v>
      </c>
      <c r="N64" s="50">
        <v>801000010</v>
      </c>
      <c r="O64" s="50"/>
    </row>
    <row r="65" spans="1:15" x14ac:dyDescent="0.2">
      <c r="A65" s="591" t="s">
        <v>107</v>
      </c>
      <c r="B65" s="595" t="s">
        <v>486</v>
      </c>
      <c r="C65" s="598" t="s">
        <v>739</v>
      </c>
      <c r="D65" s="603">
        <v>1</v>
      </c>
      <c r="E65" s="567">
        <v>1500</v>
      </c>
      <c r="F65" s="567">
        <v>120</v>
      </c>
      <c r="G65" s="567">
        <v>300</v>
      </c>
      <c r="H65" s="568">
        <f t="shared" si="1"/>
        <v>1920</v>
      </c>
      <c r="I65" s="120">
        <f>ROUND((E65+F65+G65)*(kopsavilkums!$O$12)*D65*12*(1+kopsavilkums!$O$23),2)</f>
        <v>1850.88</v>
      </c>
      <c r="K65" s="50"/>
      <c r="L65" s="50" t="s">
        <v>739</v>
      </c>
      <c r="M65" s="50" t="s">
        <v>738</v>
      </c>
      <c r="N65" s="50">
        <v>801000010</v>
      </c>
      <c r="O65" s="50"/>
    </row>
    <row r="66" spans="1:15" x14ac:dyDescent="0.2">
      <c r="A66" s="591" t="s">
        <v>107</v>
      </c>
      <c r="B66" s="595" t="s">
        <v>486</v>
      </c>
      <c r="C66" s="598" t="s">
        <v>487</v>
      </c>
      <c r="D66" s="603">
        <v>0.5</v>
      </c>
      <c r="E66" s="567">
        <v>1500</v>
      </c>
      <c r="F66" s="567">
        <v>82.5</v>
      </c>
      <c r="G66" s="567">
        <v>300</v>
      </c>
      <c r="H66" s="568">
        <f t="shared" si="1"/>
        <v>1882.5</v>
      </c>
      <c r="I66" s="120">
        <f>ROUND((E66+F66+G66)*(kopsavilkums!$O$12)*D66*12*(1+kopsavilkums!$O$23),2)</f>
        <v>907.37</v>
      </c>
      <c r="K66" s="50"/>
      <c r="L66" s="50" t="s">
        <v>487</v>
      </c>
      <c r="M66" s="50" t="s">
        <v>738</v>
      </c>
      <c r="N66" s="50">
        <v>801000010</v>
      </c>
      <c r="O66" s="50"/>
    </row>
    <row r="67" spans="1:15" x14ac:dyDescent="0.2">
      <c r="A67" s="591" t="s">
        <v>107</v>
      </c>
      <c r="B67" s="595" t="s">
        <v>486</v>
      </c>
      <c r="C67" s="598" t="s">
        <v>741</v>
      </c>
      <c r="D67" s="603">
        <v>1</v>
      </c>
      <c r="E67" s="567">
        <v>1500</v>
      </c>
      <c r="F67" s="567">
        <v>180</v>
      </c>
      <c r="G67" s="567">
        <v>300</v>
      </c>
      <c r="H67" s="568">
        <f t="shared" si="1"/>
        <v>1980</v>
      </c>
      <c r="I67" s="120">
        <f>ROUND((E67+F67+G67)*(kopsavilkums!$O$12)*D67*12*(1+kopsavilkums!$O$23),2)</f>
        <v>1908.72</v>
      </c>
      <c r="K67" s="50"/>
      <c r="L67" s="50" t="s">
        <v>741</v>
      </c>
      <c r="M67" s="50" t="s">
        <v>738</v>
      </c>
      <c r="N67" s="50">
        <v>801000010</v>
      </c>
      <c r="O67" s="50"/>
    </row>
    <row r="68" spans="1:15" x14ac:dyDescent="0.2">
      <c r="A68" s="591" t="s">
        <v>107</v>
      </c>
      <c r="B68" s="595" t="s">
        <v>486</v>
      </c>
      <c r="C68" s="598" t="s">
        <v>739</v>
      </c>
      <c r="D68" s="603">
        <v>1</v>
      </c>
      <c r="E68" s="567">
        <v>1500</v>
      </c>
      <c r="F68" s="567">
        <v>172.5</v>
      </c>
      <c r="G68" s="567">
        <v>300</v>
      </c>
      <c r="H68" s="568">
        <f t="shared" si="1"/>
        <v>1972.5</v>
      </c>
      <c r="I68" s="120">
        <f>ROUND((E68+F68+G68)*(kopsavilkums!$O$12)*D68*12*(1+kopsavilkums!$O$23),2)</f>
        <v>1901.49</v>
      </c>
      <c r="K68" s="50"/>
      <c r="L68" s="50" t="s">
        <v>739</v>
      </c>
      <c r="M68" s="50" t="s">
        <v>738</v>
      </c>
      <c r="N68" s="50">
        <v>801000010</v>
      </c>
      <c r="O68" s="50"/>
    </row>
    <row r="69" spans="1:15" x14ac:dyDescent="0.2">
      <c r="A69" s="591" t="s">
        <v>107</v>
      </c>
      <c r="B69" s="595" t="s">
        <v>486</v>
      </c>
      <c r="C69" s="598" t="s">
        <v>739</v>
      </c>
      <c r="D69" s="603">
        <v>1</v>
      </c>
      <c r="E69" s="567">
        <v>1500</v>
      </c>
      <c r="F69" s="567">
        <v>172.5</v>
      </c>
      <c r="G69" s="567">
        <v>300</v>
      </c>
      <c r="H69" s="568">
        <f t="shared" si="1"/>
        <v>1972.5</v>
      </c>
      <c r="I69" s="120">
        <f>ROUND((E69+F69+G69)*(kopsavilkums!$O$12)*D69*12*(1+kopsavilkums!$O$23),2)</f>
        <v>1901.49</v>
      </c>
      <c r="K69" s="50"/>
      <c r="L69" s="50" t="s">
        <v>739</v>
      </c>
      <c r="M69" s="50" t="s">
        <v>738</v>
      </c>
      <c r="N69" s="50">
        <v>801000010</v>
      </c>
      <c r="O69" s="50"/>
    </row>
    <row r="70" spans="1:15" x14ac:dyDescent="0.2">
      <c r="A70" s="591" t="s">
        <v>107</v>
      </c>
      <c r="B70" s="595" t="s">
        <v>486</v>
      </c>
      <c r="C70" s="598" t="s">
        <v>739</v>
      </c>
      <c r="D70" s="603">
        <v>1</v>
      </c>
      <c r="E70" s="567">
        <v>1500</v>
      </c>
      <c r="F70" s="567">
        <v>120</v>
      </c>
      <c r="G70" s="567">
        <v>300</v>
      </c>
      <c r="H70" s="568">
        <f t="shared" si="1"/>
        <v>1920</v>
      </c>
      <c r="I70" s="120">
        <f>ROUND((E70+F70+G70)*(kopsavilkums!$O$12)*D70*12*(1+kopsavilkums!$O$23),2)</f>
        <v>1850.88</v>
      </c>
      <c r="K70" s="50"/>
      <c r="L70" s="50" t="s">
        <v>739</v>
      </c>
      <c r="M70" s="50" t="s">
        <v>738</v>
      </c>
      <c r="N70" s="50">
        <v>801000010</v>
      </c>
      <c r="O70" s="50"/>
    </row>
    <row r="71" spans="1:15" x14ac:dyDescent="0.2">
      <c r="A71" s="591" t="s">
        <v>107</v>
      </c>
      <c r="B71" s="595" t="s">
        <v>486</v>
      </c>
      <c r="C71" s="598" t="s">
        <v>487</v>
      </c>
      <c r="D71" s="603">
        <v>1</v>
      </c>
      <c r="E71" s="567">
        <v>1320</v>
      </c>
      <c r="F71" s="567">
        <v>72.599999999999994</v>
      </c>
      <c r="G71" s="567">
        <v>264</v>
      </c>
      <c r="H71" s="568">
        <f t="shared" si="1"/>
        <v>1656.6</v>
      </c>
      <c r="I71" s="120">
        <f>ROUND((E71+F71+G71)*(kopsavilkums!$O$12)*D71*12*(1+kopsavilkums!$O$23),2)</f>
        <v>1596.97</v>
      </c>
      <c r="K71" s="50"/>
      <c r="L71" s="50" t="s">
        <v>487</v>
      </c>
      <c r="M71" s="50" t="s">
        <v>738</v>
      </c>
      <c r="N71" s="50">
        <v>801000010</v>
      </c>
      <c r="O71" s="50"/>
    </row>
    <row r="72" spans="1:15" x14ac:dyDescent="0.2">
      <c r="A72" s="591" t="s">
        <v>107</v>
      </c>
      <c r="B72" s="595" t="s">
        <v>486</v>
      </c>
      <c r="C72" s="598" t="s">
        <v>739</v>
      </c>
      <c r="D72" s="603">
        <v>0.5</v>
      </c>
      <c r="E72" s="567">
        <v>1500</v>
      </c>
      <c r="F72" s="567">
        <v>195</v>
      </c>
      <c r="G72" s="567">
        <v>300</v>
      </c>
      <c r="H72" s="568">
        <f t="shared" si="1"/>
        <v>1995</v>
      </c>
      <c r="I72" s="120">
        <f>ROUND((E72+F72+G72)*(kopsavilkums!$O$12)*D72*12*(1+kopsavilkums!$O$23),2)</f>
        <v>961.59</v>
      </c>
      <c r="K72" s="50"/>
      <c r="L72" s="50" t="s">
        <v>739</v>
      </c>
      <c r="M72" s="50" t="s">
        <v>738</v>
      </c>
      <c r="N72" s="50">
        <v>801000010</v>
      </c>
      <c r="O72" s="50"/>
    </row>
    <row r="73" spans="1:15" x14ac:dyDescent="0.2">
      <c r="A73" s="591" t="s">
        <v>107</v>
      </c>
      <c r="B73" s="595" t="s">
        <v>486</v>
      </c>
      <c r="C73" s="598" t="s">
        <v>608</v>
      </c>
      <c r="D73" s="603">
        <v>0.5</v>
      </c>
      <c r="E73" s="567">
        <v>1500</v>
      </c>
      <c r="F73" s="567">
        <v>165</v>
      </c>
      <c r="G73" s="567">
        <v>300</v>
      </c>
      <c r="H73" s="568">
        <f t="shared" si="1"/>
        <v>1965</v>
      </c>
      <c r="I73" s="120">
        <f>ROUND((E73+F73+G73)*(kopsavilkums!$O$12)*D73*12*(1+kopsavilkums!$O$23),2)</f>
        <v>947.13</v>
      </c>
      <c r="K73" s="50"/>
      <c r="L73" s="50" t="s">
        <v>608</v>
      </c>
      <c r="M73" s="50" t="s">
        <v>738</v>
      </c>
      <c r="N73" s="50">
        <v>801000010</v>
      </c>
      <c r="O73" s="50"/>
    </row>
    <row r="74" spans="1:15" x14ac:dyDescent="0.2">
      <c r="A74" s="591" t="s">
        <v>107</v>
      </c>
      <c r="B74" s="595" t="s">
        <v>486</v>
      </c>
      <c r="C74" s="598" t="s">
        <v>739</v>
      </c>
      <c r="D74" s="603">
        <v>1</v>
      </c>
      <c r="E74" s="567">
        <v>1500</v>
      </c>
      <c r="F74" s="567">
        <v>172.5</v>
      </c>
      <c r="G74" s="567">
        <v>300</v>
      </c>
      <c r="H74" s="568">
        <f t="shared" si="1"/>
        <v>1972.5</v>
      </c>
      <c r="I74" s="120">
        <f>ROUND((E74+F74+G74)*(kopsavilkums!$O$12)*D74*12*(1+kopsavilkums!$O$23),2)</f>
        <v>1901.49</v>
      </c>
      <c r="K74" s="50"/>
      <c r="L74" s="50" t="s">
        <v>739</v>
      </c>
      <c r="M74" s="50" t="s">
        <v>738</v>
      </c>
      <c r="N74" s="50">
        <v>801000010</v>
      </c>
      <c r="O74" s="50"/>
    </row>
    <row r="75" spans="1:15" x14ac:dyDescent="0.2">
      <c r="A75" s="591" t="s">
        <v>107</v>
      </c>
      <c r="B75" s="595" t="s">
        <v>486</v>
      </c>
      <c r="C75" s="598" t="s">
        <v>487</v>
      </c>
      <c r="D75" s="603">
        <v>0.5</v>
      </c>
      <c r="E75" s="567">
        <v>1320</v>
      </c>
      <c r="F75" s="567">
        <v>85.8</v>
      </c>
      <c r="G75" s="567">
        <v>264</v>
      </c>
      <c r="H75" s="568">
        <f t="shared" si="1"/>
        <v>1669.8</v>
      </c>
      <c r="I75" s="120">
        <f>ROUND((E75+F75+G75)*(kopsavilkums!$O$12)*D75*12*(1+kopsavilkums!$O$23),2)</f>
        <v>804.85</v>
      </c>
      <c r="K75" s="50"/>
      <c r="L75" s="50" t="s">
        <v>487</v>
      </c>
      <c r="M75" s="50" t="s">
        <v>738</v>
      </c>
      <c r="N75" s="50">
        <v>801000010</v>
      </c>
      <c r="O75" s="50"/>
    </row>
    <row r="76" spans="1:15" x14ac:dyDescent="0.2">
      <c r="A76" s="591" t="s">
        <v>107</v>
      </c>
      <c r="B76" s="595" t="s">
        <v>486</v>
      </c>
      <c r="C76" s="598" t="s">
        <v>487</v>
      </c>
      <c r="D76" s="603">
        <v>1</v>
      </c>
      <c r="E76" s="567">
        <v>1320</v>
      </c>
      <c r="F76" s="567">
        <v>171.6</v>
      </c>
      <c r="G76" s="567">
        <v>264</v>
      </c>
      <c r="H76" s="568">
        <f t="shared" si="1"/>
        <v>1755.6</v>
      </c>
      <c r="I76" s="120">
        <f>ROUND((E76+F76+G76)*(kopsavilkums!$O$12)*D76*12*(1+kopsavilkums!$O$23),2)</f>
        <v>1692.4</v>
      </c>
      <c r="K76" s="50"/>
      <c r="L76" s="50" t="s">
        <v>487</v>
      </c>
      <c r="M76" s="50" t="s">
        <v>738</v>
      </c>
      <c r="N76" s="50">
        <v>801000010</v>
      </c>
      <c r="O76" s="50"/>
    </row>
    <row r="77" spans="1:15" x14ac:dyDescent="0.2">
      <c r="A77" s="591" t="s">
        <v>109</v>
      </c>
      <c r="B77" s="595" t="s">
        <v>540</v>
      </c>
      <c r="C77" s="598" t="s">
        <v>563</v>
      </c>
      <c r="D77" s="603">
        <v>1</v>
      </c>
      <c r="E77" s="567">
        <v>1500</v>
      </c>
      <c r="F77" s="567">
        <v>172.5</v>
      </c>
      <c r="G77" s="567">
        <v>300</v>
      </c>
      <c r="H77" s="568">
        <f t="shared" si="1"/>
        <v>1972.5</v>
      </c>
      <c r="I77" s="120">
        <f>ROUND((E77+F77+G77)*(kopsavilkums!$O$12)*D77*12*(1+kopsavilkums!$O$23),2)</f>
        <v>1901.49</v>
      </c>
      <c r="K77" s="50"/>
      <c r="L77" s="50" t="s">
        <v>563</v>
      </c>
      <c r="M77" s="50" t="s">
        <v>738</v>
      </c>
      <c r="N77" s="50">
        <v>801000010</v>
      </c>
      <c r="O77" s="50"/>
    </row>
    <row r="78" spans="1:15" x14ac:dyDescent="0.2">
      <c r="A78" s="591" t="s">
        <v>109</v>
      </c>
      <c r="B78" s="595" t="s">
        <v>540</v>
      </c>
      <c r="C78" s="598" t="s">
        <v>563</v>
      </c>
      <c r="D78" s="603">
        <v>0.25</v>
      </c>
      <c r="E78" s="567">
        <v>1500</v>
      </c>
      <c r="F78" s="567">
        <v>172.5</v>
      </c>
      <c r="G78" s="567">
        <v>300</v>
      </c>
      <c r="H78" s="568">
        <f t="shared" si="1"/>
        <v>1972.5</v>
      </c>
      <c r="I78" s="120">
        <f>ROUND((E78+F78+G78)*(kopsavilkums!$O$12)*D78*12*(1+kopsavilkums!$O$23),2)</f>
        <v>475.37</v>
      </c>
      <c r="K78" s="50"/>
      <c r="L78" s="50" t="s">
        <v>563</v>
      </c>
      <c r="M78" s="50" t="s">
        <v>738</v>
      </c>
      <c r="N78" s="50">
        <v>801000010</v>
      </c>
      <c r="O78" s="50"/>
    </row>
    <row r="79" spans="1:15" x14ac:dyDescent="0.2">
      <c r="A79" s="591" t="s">
        <v>109</v>
      </c>
      <c r="B79" s="595" t="s">
        <v>540</v>
      </c>
      <c r="C79" s="598" t="s">
        <v>563</v>
      </c>
      <c r="D79" s="603">
        <v>0.25</v>
      </c>
      <c r="E79" s="567">
        <v>1500</v>
      </c>
      <c r="F79" s="567">
        <v>127.5</v>
      </c>
      <c r="G79" s="567">
        <v>300</v>
      </c>
      <c r="H79" s="568">
        <f t="shared" si="1"/>
        <v>1927.5</v>
      </c>
      <c r="I79" s="120">
        <f>ROUND((E79+F79+G79)*(kopsavilkums!$O$12)*D79*12*(1+kopsavilkums!$O$23),2)</f>
        <v>464.53</v>
      </c>
      <c r="K79" s="50"/>
      <c r="L79" s="50" t="s">
        <v>563</v>
      </c>
      <c r="M79" s="50" t="s">
        <v>738</v>
      </c>
      <c r="N79" s="50">
        <v>801000010</v>
      </c>
      <c r="O79" s="50"/>
    </row>
    <row r="80" spans="1:15" x14ac:dyDescent="0.2">
      <c r="A80" s="591" t="s">
        <v>109</v>
      </c>
      <c r="B80" s="595" t="s">
        <v>540</v>
      </c>
      <c r="C80" s="598" t="s">
        <v>604</v>
      </c>
      <c r="D80" s="603">
        <v>0.25</v>
      </c>
      <c r="E80" s="567">
        <v>1500</v>
      </c>
      <c r="F80" s="567">
        <v>195</v>
      </c>
      <c r="G80" s="567">
        <v>300</v>
      </c>
      <c r="H80" s="568">
        <f t="shared" si="1"/>
        <v>1995</v>
      </c>
      <c r="I80" s="120">
        <f>ROUND((E80+F80+G80)*(kopsavilkums!$O$12)*D80*12*(1+kopsavilkums!$O$23),2)</f>
        <v>480.8</v>
      </c>
      <c r="K80" s="50"/>
      <c r="L80" s="50" t="s">
        <v>604</v>
      </c>
      <c r="M80" s="50" t="s">
        <v>738</v>
      </c>
      <c r="N80" s="50">
        <v>801000010</v>
      </c>
      <c r="O80" s="50"/>
    </row>
    <row r="81" spans="1:15" x14ac:dyDescent="0.2">
      <c r="A81" s="591" t="s">
        <v>109</v>
      </c>
      <c r="B81" s="595" t="s">
        <v>540</v>
      </c>
      <c r="C81" s="598" t="s">
        <v>563</v>
      </c>
      <c r="D81" s="603">
        <v>0.75</v>
      </c>
      <c r="E81" s="567">
        <v>1500</v>
      </c>
      <c r="F81" s="567">
        <v>82.5</v>
      </c>
      <c r="G81" s="567">
        <v>300</v>
      </c>
      <c r="H81" s="568">
        <f t="shared" si="1"/>
        <v>1882.5</v>
      </c>
      <c r="I81" s="120">
        <f>ROUND((E81+F81+G81)*(kopsavilkums!$O$12)*D81*12*(1+kopsavilkums!$O$23),2)</f>
        <v>1361.05</v>
      </c>
      <c r="K81" s="50"/>
      <c r="L81" s="50" t="s">
        <v>563</v>
      </c>
      <c r="M81" s="50" t="s">
        <v>738</v>
      </c>
      <c r="N81" s="50">
        <v>801000010</v>
      </c>
      <c r="O81" s="50"/>
    </row>
    <row r="82" spans="1:15" x14ac:dyDescent="0.2">
      <c r="A82" s="591" t="s">
        <v>109</v>
      </c>
      <c r="B82" s="595" t="s">
        <v>540</v>
      </c>
      <c r="C82" s="598" t="s">
        <v>563</v>
      </c>
      <c r="D82" s="603">
        <v>0.25</v>
      </c>
      <c r="E82" s="567">
        <v>1500</v>
      </c>
      <c r="F82" s="567">
        <v>195</v>
      </c>
      <c r="G82" s="567">
        <v>300</v>
      </c>
      <c r="H82" s="568">
        <f t="shared" si="1"/>
        <v>1995</v>
      </c>
      <c r="I82" s="120">
        <f>ROUND((E82+F82+G82)*(kopsavilkums!$O$12)*D82*12*(1+kopsavilkums!$O$23),2)</f>
        <v>480.8</v>
      </c>
      <c r="K82" s="50"/>
      <c r="L82" s="50" t="s">
        <v>563</v>
      </c>
      <c r="M82" s="50" t="s">
        <v>738</v>
      </c>
      <c r="N82" s="50">
        <v>801000010</v>
      </c>
      <c r="O82" s="50"/>
    </row>
    <row r="83" spans="1:15" x14ac:dyDescent="0.2">
      <c r="A83" s="591" t="s">
        <v>109</v>
      </c>
      <c r="B83" s="595" t="s">
        <v>540</v>
      </c>
      <c r="C83" s="598" t="s">
        <v>563</v>
      </c>
      <c r="D83" s="603">
        <v>0.5</v>
      </c>
      <c r="E83" s="567">
        <v>1500</v>
      </c>
      <c r="F83" s="567">
        <v>165</v>
      </c>
      <c r="G83" s="567">
        <v>300</v>
      </c>
      <c r="H83" s="568">
        <f t="shared" si="1"/>
        <v>1965</v>
      </c>
      <c r="I83" s="120">
        <f>ROUND((E83+F83+G83)*(kopsavilkums!$O$12)*D83*12*(1+kopsavilkums!$O$23),2)</f>
        <v>947.13</v>
      </c>
      <c r="K83" s="50"/>
      <c r="L83" s="50" t="s">
        <v>563</v>
      </c>
      <c r="M83" s="50" t="s">
        <v>738</v>
      </c>
      <c r="N83" s="50">
        <v>801000010</v>
      </c>
      <c r="O83" s="50"/>
    </row>
    <row r="84" spans="1:15" x14ac:dyDescent="0.2">
      <c r="A84" s="10" t="s">
        <v>32</v>
      </c>
      <c r="B84" s="512"/>
      <c r="C84" s="512"/>
      <c r="D84" s="43">
        <f>SUM(D60:D83)</f>
        <v>18.25</v>
      </c>
      <c r="E84" s="3" t="s">
        <v>29</v>
      </c>
      <c r="F84" s="3" t="s">
        <v>29</v>
      </c>
      <c r="G84" s="3" t="s">
        <v>29</v>
      </c>
      <c r="H84" s="117" t="s">
        <v>29</v>
      </c>
      <c r="I84" s="121" t="s">
        <v>29</v>
      </c>
      <c r="K84" s="50"/>
      <c r="L84" s="50"/>
      <c r="M84" s="50"/>
      <c r="N84" s="50"/>
      <c r="O84" s="50"/>
    </row>
    <row r="85" spans="1:15" x14ac:dyDescent="0.2">
      <c r="A85" s="1028" t="s">
        <v>113</v>
      </c>
      <c r="B85" s="1029"/>
      <c r="C85" s="1029"/>
      <c r="D85" s="1029"/>
      <c r="E85" s="1029"/>
      <c r="F85" s="1029"/>
      <c r="G85" s="1029"/>
      <c r="H85" s="1029"/>
      <c r="I85" s="123"/>
      <c r="K85" s="50"/>
      <c r="L85" s="50"/>
      <c r="M85" s="50"/>
      <c r="N85" s="50"/>
      <c r="O85" s="50"/>
    </row>
    <row r="86" spans="1:15" ht="63.75" x14ac:dyDescent="0.2">
      <c r="A86" s="47" t="s">
        <v>430</v>
      </c>
      <c r="B86" s="513"/>
      <c r="C86" s="513"/>
      <c r="D86" s="41"/>
      <c r="E86" s="42"/>
      <c r="F86" s="42"/>
      <c r="G86" s="42"/>
      <c r="H86" s="115"/>
      <c r="I86" s="122"/>
      <c r="K86" s="50"/>
      <c r="L86" s="50"/>
      <c r="M86" s="50"/>
      <c r="N86" s="50"/>
      <c r="O86" s="50"/>
    </row>
    <row r="87" spans="1:15" x14ac:dyDescent="0.2">
      <c r="A87" s="591" t="s">
        <v>108</v>
      </c>
      <c r="B87" s="595" t="s">
        <v>492</v>
      </c>
      <c r="C87" s="598" t="s">
        <v>743</v>
      </c>
      <c r="D87" s="603">
        <v>1</v>
      </c>
      <c r="E87" s="567">
        <v>1580</v>
      </c>
      <c r="F87" s="567">
        <v>110.6</v>
      </c>
      <c r="G87" s="567">
        <v>316</v>
      </c>
      <c r="H87" s="568">
        <f t="shared" ref="H87:H136" si="2">G87+F87+E87</f>
        <v>2006.6</v>
      </c>
      <c r="I87" s="120">
        <f>ROUND((E87+F87+G87)*(kopsavilkums!$O$12)*D87*12*(1+kopsavilkums!$O$23),2)</f>
        <v>1934.37</v>
      </c>
      <c r="K87" s="50"/>
      <c r="L87" s="50" t="s">
        <v>743</v>
      </c>
      <c r="M87" s="50" t="s">
        <v>738</v>
      </c>
      <c r="N87" s="50">
        <v>801000010</v>
      </c>
      <c r="O87" s="50"/>
    </row>
    <row r="88" spans="1:15" x14ac:dyDescent="0.2">
      <c r="A88" s="591" t="s">
        <v>108</v>
      </c>
      <c r="B88" s="595" t="s">
        <v>492</v>
      </c>
      <c r="C88" s="598" t="s">
        <v>605</v>
      </c>
      <c r="D88" s="603">
        <v>1</v>
      </c>
      <c r="E88" s="567">
        <v>1580</v>
      </c>
      <c r="F88" s="567">
        <v>94.8</v>
      </c>
      <c r="G88" s="567">
        <v>316</v>
      </c>
      <c r="H88" s="568">
        <f t="shared" si="2"/>
        <v>1990.8</v>
      </c>
      <c r="I88" s="120">
        <f>ROUND((E88+F88+G88)*(kopsavilkums!$O$12)*D88*12*(1+kopsavilkums!$O$23),2)</f>
        <v>1919.14</v>
      </c>
      <c r="K88" s="50"/>
      <c r="L88" s="50" t="s">
        <v>605</v>
      </c>
      <c r="M88" s="50" t="s">
        <v>738</v>
      </c>
      <c r="N88" s="50">
        <v>801000010</v>
      </c>
      <c r="O88" s="50"/>
    </row>
    <row r="89" spans="1:15" x14ac:dyDescent="0.2">
      <c r="A89" s="591" t="s">
        <v>108</v>
      </c>
      <c r="B89" s="595" t="s">
        <v>492</v>
      </c>
      <c r="C89" s="598" t="s">
        <v>744</v>
      </c>
      <c r="D89" s="603">
        <v>1</v>
      </c>
      <c r="E89" s="567">
        <v>1580</v>
      </c>
      <c r="F89" s="567">
        <v>221.2</v>
      </c>
      <c r="G89" s="567">
        <v>316</v>
      </c>
      <c r="H89" s="568">
        <f t="shared" si="2"/>
        <v>2117.1999999999998</v>
      </c>
      <c r="I89" s="120">
        <f>ROUND((E89+F89+G89)*(kopsavilkums!$O$12)*D89*12*(1+kopsavilkums!$O$23),2)</f>
        <v>2040.99</v>
      </c>
      <c r="K89" s="50"/>
      <c r="L89" s="50" t="s">
        <v>744</v>
      </c>
      <c r="M89" s="50" t="s">
        <v>738</v>
      </c>
      <c r="N89" s="50">
        <v>801000010</v>
      </c>
      <c r="O89" s="50"/>
    </row>
    <row r="90" spans="1:15" x14ac:dyDescent="0.2">
      <c r="A90" s="591" t="s">
        <v>108</v>
      </c>
      <c r="B90" s="595" t="s">
        <v>492</v>
      </c>
      <c r="C90" s="598" t="s">
        <v>488</v>
      </c>
      <c r="D90" s="603">
        <v>1</v>
      </c>
      <c r="E90" s="567">
        <v>1580</v>
      </c>
      <c r="F90" s="567">
        <v>181.7</v>
      </c>
      <c r="G90" s="567">
        <v>316</v>
      </c>
      <c r="H90" s="568">
        <f t="shared" si="2"/>
        <v>2077.6999999999998</v>
      </c>
      <c r="I90" s="120">
        <f>ROUND((E90+F90+G90)*(kopsavilkums!$O$12)*D90*12*(1+kopsavilkums!$O$23),2)</f>
        <v>2002.91</v>
      </c>
      <c r="K90" s="50"/>
      <c r="L90" s="50" t="s">
        <v>488</v>
      </c>
      <c r="M90" s="50" t="s">
        <v>738</v>
      </c>
      <c r="N90" s="50">
        <v>801000010</v>
      </c>
      <c r="O90" s="50"/>
    </row>
    <row r="91" spans="1:15" x14ac:dyDescent="0.2">
      <c r="A91" s="591" t="s">
        <v>108</v>
      </c>
      <c r="B91" s="595" t="s">
        <v>492</v>
      </c>
      <c r="C91" s="598" t="s">
        <v>488</v>
      </c>
      <c r="D91" s="603">
        <v>1</v>
      </c>
      <c r="E91" s="567">
        <v>1580</v>
      </c>
      <c r="F91" s="567">
        <v>205.4</v>
      </c>
      <c r="G91" s="567">
        <v>316</v>
      </c>
      <c r="H91" s="568">
        <f t="shared" si="2"/>
        <v>2101.4</v>
      </c>
      <c r="I91" s="120">
        <f>ROUND((E91+F91+G91)*(kopsavilkums!$O$12)*D91*12*(1+kopsavilkums!$O$23),2)</f>
        <v>2025.75</v>
      </c>
      <c r="K91" s="50"/>
      <c r="L91" s="50" t="s">
        <v>488</v>
      </c>
      <c r="M91" s="50" t="s">
        <v>738</v>
      </c>
      <c r="N91" s="50">
        <v>801000010</v>
      </c>
      <c r="O91" s="50"/>
    </row>
    <row r="92" spans="1:15" x14ac:dyDescent="0.2">
      <c r="A92" s="591" t="s">
        <v>108</v>
      </c>
      <c r="B92" s="595" t="s">
        <v>492</v>
      </c>
      <c r="C92" s="598" t="s">
        <v>745</v>
      </c>
      <c r="D92" s="603">
        <v>1</v>
      </c>
      <c r="E92" s="567">
        <v>1580</v>
      </c>
      <c r="F92" s="567">
        <v>205.4</v>
      </c>
      <c r="G92" s="567">
        <v>316</v>
      </c>
      <c r="H92" s="568">
        <f t="shared" si="2"/>
        <v>2101.4</v>
      </c>
      <c r="I92" s="120">
        <f>ROUND((E92+F92+G92)*(kopsavilkums!$O$12)*D92*12*(1+kopsavilkums!$O$23),2)</f>
        <v>2025.75</v>
      </c>
      <c r="K92" s="50"/>
      <c r="L92" s="50" t="s">
        <v>745</v>
      </c>
      <c r="M92" s="50" t="s">
        <v>738</v>
      </c>
      <c r="N92" s="50">
        <v>801000010</v>
      </c>
      <c r="O92" s="50"/>
    </row>
    <row r="93" spans="1:15" x14ac:dyDescent="0.2">
      <c r="A93" s="591" t="s">
        <v>108</v>
      </c>
      <c r="B93" s="595" t="s">
        <v>492</v>
      </c>
      <c r="C93" s="598" t="s">
        <v>488</v>
      </c>
      <c r="D93" s="603">
        <v>1</v>
      </c>
      <c r="E93" s="567">
        <v>1580</v>
      </c>
      <c r="F93" s="567">
        <v>181.7</v>
      </c>
      <c r="G93" s="567">
        <v>316</v>
      </c>
      <c r="H93" s="568">
        <f t="shared" si="2"/>
        <v>2077.6999999999998</v>
      </c>
      <c r="I93" s="120">
        <f>ROUND((E93+F93+G93)*(kopsavilkums!$O$12)*D93*12*(1+kopsavilkums!$O$23),2)</f>
        <v>2002.91</v>
      </c>
      <c r="K93" s="50"/>
      <c r="L93" s="50" t="s">
        <v>488</v>
      </c>
      <c r="M93" s="50" t="s">
        <v>738</v>
      </c>
      <c r="N93" s="50">
        <v>801000010</v>
      </c>
      <c r="O93" s="50"/>
    </row>
    <row r="94" spans="1:15" x14ac:dyDescent="0.2">
      <c r="A94" s="591" t="s">
        <v>108</v>
      </c>
      <c r="B94" s="595" t="s">
        <v>492</v>
      </c>
      <c r="C94" s="598" t="s">
        <v>488</v>
      </c>
      <c r="D94" s="603">
        <v>1</v>
      </c>
      <c r="E94" s="567">
        <v>1580</v>
      </c>
      <c r="F94" s="567">
        <v>205.4</v>
      </c>
      <c r="G94" s="567">
        <v>316</v>
      </c>
      <c r="H94" s="568">
        <f t="shared" si="2"/>
        <v>2101.4</v>
      </c>
      <c r="I94" s="120">
        <f>ROUND((E94+F94+G94)*(kopsavilkums!$O$12)*D94*12*(1+kopsavilkums!$O$23),2)</f>
        <v>2025.75</v>
      </c>
      <c r="K94" s="50"/>
      <c r="L94" s="50" t="s">
        <v>488</v>
      </c>
      <c r="M94" s="50" t="s">
        <v>738</v>
      </c>
      <c r="N94" s="50">
        <v>801000010</v>
      </c>
      <c r="O94" s="50"/>
    </row>
    <row r="95" spans="1:15" x14ac:dyDescent="0.2">
      <c r="A95" s="591" t="s">
        <v>108</v>
      </c>
      <c r="B95" s="595" t="s">
        <v>492</v>
      </c>
      <c r="C95" s="598" t="s">
        <v>496</v>
      </c>
      <c r="D95" s="603">
        <v>1</v>
      </c>
      <c r="E95" s="567">
        <v>1580</v>
      </c>
      <c r="F95" s="567">
        <v>158</v>
      </c>
      <c r="G95" s="567">
        <v>316</v>
      </c>
      <c r="H95" s="568">
        <f t="shared" si="2"/>
        <v>2054</v>
      </c>
      <c r="I95" s="120">
        <f>ROUND((E95+F95+G95)*(kopsavilkums!$O$12)*D95*12*(1+kopsavilkums!$O$23),2)</f>
        <v>1980.06</v>
      </c>
      <c r="K95" s="50"/>
      <c r="L95" s="50" t="s">
        <v>496</v>
      </c>
      <c r="M95" s="50" t="s">
        <v>738</v>
      </c>
      <c r="N95" s="50">
        <v>801000010</v>
      </c>
      <c r="O95" s="50"/>
    </row>
    <row r="96" spans="1:15" x14ac:dyDescent="0.2">
      <c r="A96" s="591" t="s">
        <v>18</v>
      </c>
      <c r="B96" s="595" t="s">
        <v>564</v>
      </c>
      <c r="C96" s="598" t="s">
        <v>605</v>
      </c>
      <c r="D96" s="603">
        <v>1</v>
      </c>
      <c r="E96" s="567">
        <v>1580</v>
      </c>
      <c r="F96" s="567">
        <v>126.4</v>
      </c>
      <c r="G96" s="567">
        <v>316</v>
      </c>
      <c r="H96" s="568">
        <f t="shared" si="2"/>
        <v>2022.4</v>
      </c>
      <c r="I96" s="120">
        <f>ROUND((E96+F96+G96)*(kopsavilkums!$O$12)*D96*12*(1+kopsavilkums!$O$23),2)</f>
        <v>1949.6</v>
      </c>
      <c r="K96" s="50"/>
      <c r="L96" s="50" t="s">
        <v>605</v>
      </c>
      <c r="M96" s="50" t="s">
        <v>738</v>
      </c>
      <c r="N96" s="50">
        <v>801000010</v>
      </c>
      <c r="O96" s="50"/>
    </row>
    <row r="97" spans="1:15" x14ac:dyDescent="0.2">
      <c r="A97" s="591" t="s">
        <v>112</v>
      </c>
      <c r="B97" s="595" t="s">
        <v>529</v>
      </c>
      <c r="C97" s="598" t="s">
        <v>488</v>
      </c>
      <c r="D97" s="603">
        <v>1</v>
      </c>
      <c r="E97" s="567">
        <v>1365</v>
      </c>
      <c r="F97" s="567">
        <v>88.73</v>
      </c>
      <c r="G97" s="567">
        <v>273</v>
      </c>
      <c r="H97" s="568">
        <f t="shared" si="2"/>
        <v>1726.73</v>
      </c>
      <c r="I97" s="120">
        <f>ROUND((E97+F97+G97)*(kopsavilkums!$O$12)*D97*12*(1+kopsavilkums!$O$23),2)</f>
        <v>1664.57</v>
      </c>
      <c r="K97" s="50"/>
      <c r="L97" s="50" t="s">
        <v>488</v>
      </c>
      <c r="M97" s="50" t="s">
        <v>738</v>
      </c>
      <c r="N97" s="50">
        <v>801000010</v>
      </c>
      <c r="O97" s="50"/>
    </row>
    <row r="98" spans="1:15" x14ac:dyDescent="0.2">
      <c r="A98" s="591" t="s">
        <v>112</v>
      </c>
      <c r="B98" s="595" t="s">
        <v>529</v>
      </c>
      <c r="C98" s="598" t="s">
        <v>490</v>
      </c>
      <c r="D98" s="603">
        <v>1</v>
      </c>
      <c r="E98" s="567">
        <v>1365</v>
      </c>
      <c r="F98" s="567">
        <v>156.97999999999999</v>
      </c>
      <c r="G98" s="567">
        <v>273</v>
      </c>
      <c r="H98" s="568">
        <f t="shared" si="2"/>
        <v>1794.98</v>
      </c>
      <c r="I98" s="120">
        <f>ROUND((E98+F98+G98)*(kopsavilkums!$O$12)*D98*12*(1+kopsavilkums!$O$23),2)</f>
        <v>1730.36</v>
      </c>
      <c r="K98" s="50"/>
      <c r="L98" s="50" t="s">
        <v>490</v>
      </c>
      <c r="M98" s="50" t="s">
        <v>738</v>
      </c>
      <c r="N98" s="50">
        <v>801000010</v>
      </c>
      <c r="O98" s="50"/>
    </row>
    <row r="99" spans="1:15" x14ac:dyDescent="0.2">
      <c r="A99" s="591" t="s">
        <v>112</v>
      </c>
      <c r="B99" s="595" t="s">
        <v>529</v>
      </c>
      <c r="C99" s="598" t="s">
        <v>488</v>
      </c>
      <c r="D99" s="603">
        <v>1</v>
      </c>
      <c r="E99" s="567">
        <v>1365</v>
      </c>
      <c r="F99" s="567">
        <v>156.97999999999999</v>
      </c>
      <c r="G99" s="567">
        <v>273</v>
      </c>
      <c r="H99" s="568">
        <f t="shared" si="2"/>
        <v>1794.98</v>
      </c>
      <c r="I99" s="120">
        <f>ROUND((E99+F99+G99)*(kopsavilkums!$O$12)*D99*12*(1+kopsavilkums!$O$23),2)</f>
        <v>1730.36</v>
      </c>
      <c r="K99" s="50"/>
      <c r="L99" s="50" t="s">
        <v>488</v>
      </c>
      <c r="M99" s="50" t="s">
        <v>738</v>
      </c>
      <c r="N99" s="50">
        <v>801000010</v>
      </c>
      <c r="O99" s="50"/>
    </row>
    <row r="100" spans="1:15" x14ac:dyDescent="0.2">
      <c r="A100" s="591" t="s">
        <v>112</v>
      </c>
      <c r="B100" s="595" t="s">
        <v>529</v>
      </c>
      <c r="C100" s="598" t="s">
        <v>488</v>
      </c>
      <c r="D100" s="603">
        <v>1</v>
      </c>
      <c r="E100" s="567">
        <v>1365</v>
      </c>
      <c r="F100" s="567">
        <v>109.2</v>
      </c>
      <c r="G100" s="567">
        <v>273</v>
      </c>
      <c r="H100" s="568">
        <f t="shared" si="2"/>
        <v>1747.2</v>
      </c>
      <c r="I100" s="120">
        <f>ROUND((E100+F100+G100)*(kopsavilkums!$O$12)*D100*12*(1+kopsavilkums!$O$23),2)</f>
        <v>1684.3</v>
      </c>
      <c r="K100" s="50"/>
      <c r="L100" s="50" t="s">
        <v>488</v>
      </c>
      <c r="M100" s="50" t="s">
        <v>738</v>
      </c>
      <c r="N100" s="50">
        <v>801000010</v>
      </c>
      <c r="O100" s="50"/>
    </row>
    <row r="101" spans="1:15" x14ac:dyDescent="0.2">
      <c r="A101" s="591" t="s">
        <v>112</v>
      </c>
      <c r="B101" s="595" t="s">
        <v>529</v>
      </c>
      <c r="C101" s="598" t="s">
        <v>488</v>
      </c>
      <c r="D101" s="603">
        <v>1</v>
      </c>
      <c r="E101" s="567">
        <v>1365</v>
      </c>
      <c r="F101" s="567">
        <v>156.97999999999999</v>
      </c>
      <c r="G101" s="567">
        <v>273</v>
      </c>
      <c r="H101" s="568">
        <f t="shared" si="2"/>
        <v>1794.98</v>
      </c>
      <c r="I101" s="120">
        <f>ROUND((E101+F101+G101)*(kopsavilkums!$O$12)*D101*12*(1+kopsavilkums!$O$23),2)</f>
        <v>1730.36</v>
      </c>
      <c r="K101" s="50"/>
      <c r="L101" s="50" t="s">
        <v>488</v>
      </c>
      <c r="M101" s="50" t="s">
        <v>738</v>
      </c>
      <c r="N101" s="50">
        <v>801000010</v>
      </c>
      <c r="O101" s="50"/>
    </row>
    <row r="102" spans="1:15" x14ac:dyDescent="0.2">
      <c r="A102" s="591" t="s">
        <v>112</v>
      </c>
      <c r="B102" s="595" t="s">
        <v>529</v>
      </c>
      <c r="C102" s="598" t="s">
        <v>488</v>
      </c>
      <c r="D102" s="603">
        <v>1</v>
      </c>
      <c r="E102" s="567">
        <v>1365</v>
      </c>
      <c r="F102" s="567">
        <v>95.55</v>
      </c>
      <c r="G102" s="567">
        <v>273</v>
      </c>
      <c r="H102" s="568">
        <f t="shared" si="2"/>
        <v>1733.55</v>
      </c>
      <c r="I102" s="120">
        <f>ROUND((E102+F102+G102)*(kopsavilkums!$O$12)*D102*12*(1+kopsavilkums!$O$23),2)</f>
        <v>1671.15</v>
      </c>
      <c r="K102" s="50"/>
      <c r="L102" s="50" t="s">
        <v>488</v>
      </c>
      <c r="M102" s="50" t="s">
        <v>738</v>
      </c>
      <c r="N102" s="50">
        <v>801000010</v>
      </c>
      <c r="O102" s="50"/>
    </row>
    <row r="103" spans="1:15" x14ac:dyDescent="0.2">
      <c r="A103" s="591" t="s">
        <v>112</v>
      </c>
      <c r="B103" s="595" t="s">
        <v>529</v>
      </c>
      <c r="C103" s="598" t="s">
        <v>488</v>
      </c>
      <c r="D103" s="603">
        <v>1</v>
      </c>
      <c r="E103" s="567">
        <v>1365</v>
      </c>
      <c r="F103" s="567">
        <v>156.97999999999999</v>
      </c>
      <c r="G103" s="567">
        <v>273</v>
      </c>
      <c r="H103" s="568">
        <f t="shared" si="2"/>
        <v>1794.98</v>
      </c>
      <c r="I103" s="120">
        <f>ROUND((E103+F103+G103)*(kopsavilkums!$O$12)*D103*12*(1+kopsavilkums!$O$23),2)</f>
        <v>1730.36</v>
      </c>
      <c r="K103" s="50"/>
      <c r="L103" s="50" t="s">
        <v>488</v>
      </c>
      <c r="M103" s="50" t="s">
        <v>738</v>
      </c>
      <c r="N103" s="50">
        <v>801000010</v>
      </c>
      <c r="O103" s="50"/>
    </row>
    <row r="104" spans="1:15" x14ac:dyDescent="0.2">
      <c r="A104" s="591" t="s">
        <v>112</v>
      </c>
      <c r="B104" s="595" t="s">
        <v>529</v>
      </c>
      <c r="C104" s="598" t="s">
        <v>488</v>
      </c>
      <c r="D104" s="603">
        <v>1</v>
      </c>
      <c r="E104" s="567">
        <v>1365</v>
      </c>
      <c r="F104" s="567">
        <v>81.900000000000006</v>
      </c>
      <c r="G104" s="567">
        <v>273</v>
      </c>
      <c r="H104" s="568">
        <f t="shared" si="2"/>
        <v>1719.9</v>
      </c>
      <c r="I104" s="120">
        <f>ROUND((E104+F104+G104)*(kopsavilkums!$O$12)*D104*12*(1+kopsavilkums!$O$23),2)</f>
        <v>1657.99</v>
      </c>
      <c r="K104" s="50"/>
      <c r="L104" s="50" t="s">
        <v>488</v>
      </c>
      <c r="M104" s="50" t="s">
        <v>738</v>
      </c>
      <c r="N104" s="50">
        <v>801000010</v>
      </c>
      <c r="O104" s="50"/>
    </row>
    <row r="105" spans="1:15" x14ac:dyDescent="0.2">
      <c r="A105" s="591" t="s">
        <v>112</v>
      </c>
      <c r="B105" s="595" t="s">
        <v>529</v>
      </c>
      <c r="C105" s="598" t="s">
        <v>488</v>
      </c>
      <c r="D105" s="603">
        <v>0.5</v>
      </c>
      <c r="E105" s="567">
        <v>1365</v>
      </c>
      <c r="F105" s="567">
        <v>122.85</v>
      </c>
      <c r="G105" s="567">
        <v>273</v>
      </c>
      <c r="H105" s="568">
        <f t="shared" si="2"/>
        <v>1760.85</v>
      </c>
      <c r="I105" s="120">
        <f>ROUND((E105+F105+G105)*(kopsavilkums!$O$12)*D105*12*(1+kopsavilkums!$O$23),2)</f>
        <v>848.73</v>
      </c>
      <c r="K105" s="50"/>
      <c r="L105" s="50" t="s">
        <v>488</v>
      </c>
      <c r="M105" s="50" t="s">
        <v>738</v>
      </c>
      <c r="N105" s="50">
        <v>801000010</v>
      </c>
      <c r="O105" s="50"/>
    </row>
    <row r="106" spans="1:15" x14ac:dyDescent="0.2">
      <c r="A106" s="591" t="s">
        <v>112</v>
      </c>
      <c r="B106" s="595" t="s">
        <v>529</v>
      </c>
      <c r="C106" s="598" t="s">
        <v>488</v>
      </c>
      <c r="D106" s="603">
        <v>1</v>
      </c>
      <c r="E106" s="567">
        <v>1365</v>
      </c>
      <c r="F106" s="567">
        <v>109.2</v>
      </c>
      <c r="G106" s="567">
        <v>273</v>
      </c>
      <c r="H106" s="568">
        <f t="shared" si="2"/>
        <v>1747.2</v>
      </c>
      <c r="I106" s="120">
        <f>ROUND((E106+F106+G106)*(kopsavilkums!$O$12)*D106*12*(1+kopsavilkums!$O$23),2)</f>
        <v>1684.3</v>
      </c>
      <c r="K106" s="50"/>
      <c r="L106" s="50" t="s">
        <v>488</v>
      </c>
      <c r="M106" s="50" t="s">
        <v>738</v>
      </c>
      <c r="N106" s="50">
        <v>801000010</v>
      </c>
      <c r="O106" s="50"/>
    </row>
    <row r="107" spans="1:15" x14ac:dyDescent="0.2">
      <c r="A107" s="591" t="s">
        <v>112</v>
      </c>
      <c r="B107" s="595" t="s">
        <v>529</v>
      </c>
      <c r="C107" s="598" t="s">
        <v>488</v>
      </c>
      <c r="D107" s="603">
        <v>1</v>
      </c>
      <c r="E107" s="567">
        <v>1300</v>
      </c>
      <c r="F107" s="567">
        <v>104</v>
      </c>
      <c r="G107" s="567">
        <v>260</v>
      </c>
      <c r="H107" s="568">
        <f t="shared" si="2"/>
        <v>1664</v>
      </c>
      <c r="I107" s="120">
        <f>ROUND((E107+F107+G107)*(kopsavilkums!$O$12)*D107*12*(1+kopsavilkums!$O$23),2)</f>
        <v>1604.1</v>
      </c>
      <c r="K107" s="50"/>
      <c r="L107" s="50" t="s">
        <v>488</v>
      </c>
      <c r="M107" s="50" t="s">
        <v>738</v>
      </c>
      <c r="N107" s="50">
        <v>801000010</v>
      </c>
      <c r="O107" s="50"/>
    </row>
    <row r="108" spans="1:15" x14ac:dyDescent="0.2">
      <c r="A108" s="591" t="s">
        <v>112</v>
      </c>
      <c r="B108" s="595" t="s">
        <v>529</v>
      </c>
      <c r="C108" s="598" t="s">
        <v>488</v>
      </c>
      <c r="D108" s="603">
        <v>1</v>
      </c>
      <c r="E108" s="567">
        <v>1365</v>
      </c>
      <c r="F108" s="567">
        <v>81.900000000000006</v>
      </c>
      <c r="G108" s="567">
        <v>273</v>
      </c>
      <c r="H108" s="568">
        <f t="shared" si="2"/>
        <v>1719.9</v>
      </c>
      <c r="I108" s="120">
        <f>ROUND((E108+F108+G108)*(kopsavilkums!$O$12)*D108*12*(1+kopsavilkums!$O$23),2)</f>
        <v>1657.99</v>
      </c>
      <c r="K108" s="50"/>
      <c r="L108" s="50" t="s">
        <v>488</v>
      </c>
      <c r="M108" s="50" t="s">
        <v>738</v>
      </c>
      <c r="N108" s="50">
        <v>801000010</v>
      </c>
      <c r="O108" s="50"/>
    </row>
    <row r="109" spans="1:15" x14ac:dyDescent="0.2">
      <c r="A109" s="591" t="s">
        <v>112</v>
      </c>
      <c r="B109" s="595" t="s">
        <v>529</v>
      </c>
      <c r="C109" s="598" t="s">
        <v>488</v>
      </c>
      <c r="D109" s="603">
        <v>1</v>
      </c>
      <c r="E109" s="567">
        <v>1365</v>
      </c>
      <c r="F109" s="567">
        <v>95.55</v>
      </c>
      <c r="G109" s="567">
        <v>273</v>
      </c>
      <c r="H109" s="568">
        <f t="shared" si="2"/>
        <v>1733.55</v>
      </c>
      <c r="I109" s="120">
        <f>ROUND((E109+F109+G109)*(kopsavilkums!$O$12)*D109*12*(1+kopsavilkums!$O$23),2)</f>
        <v>1671.15</v>
      </c>
      <c r="K109" s="50"/>
      <c r="L109" s="50" t="s">
        <v>488</v>
      </c>
      <c r="M109" s="50" t="s">
        <v>738</v>
      </c>
      <c r="N109" s="50">
        <v>801000010</v>
      </c>
      <c r="O109" s="50"/>
    </row>
    <row r="110" spans="1:15" x14ac:dyDescent="0.2">
      <c r="A110" s="591" t="s">
        <v>112</v>
      </c>
      <c r="B110" s="595" t="s">
        <v>529</v>
      </c>
      <c r="C110" s="598" t="s">
        <v>488</v>
      </c>
      <c r="D110" s="603">
        <v>1</v>
      </c>
      <c r="E110" s="567">
        <v>1365</v>
      </c>
      <c r="F110" s="567">
        <v>156.97999999999999</v>
      </c>
      <c r="G110" s="567">
        <v>273</v>
      </c>
      <c r="H110" s="568">
        <f t="shared" si="2"/>
        <v>1794.98</v>
      </c>
      <c r="I110" s="120">
        <f>ROUND((E110+F110+G110)*(kopsavilkums!$O$12)*D110*12*(1+kopsavilkums!$O$23),2)</f>
        <v>1730.36</v>
      </c>
      <c r="K110" s="50"/>
      <c r="L110" s="50" t="s">
        <v>488</v>
      </c>
      <c r="M110" s="50" t="s">
        <v>738</v>
      </c>
      <c r="N110" s="50">
        <v>801000010</v>
      </c>
      <c r="O110" s="50"/>
    </row>
    <row r="111" spans="1:15" x14ac:dyDescent="0.2">
      <c r="A111" s="591" t="s">
        <v>112</v>
      </c>
      <c r="B111" s="595" t="s">
        <v>529</v>
      </c>
      <c r="C111" s="598" t="s">
        <v>488</v>
      </c>
      <c r="D111" s="603">
        <v>1</v>
      </c>
      <c r="E111" s="567">
        <v>1365</v>
      </c>
      <c r="F111" s="567">
        <v>156.97999999999999</v>
      </c>
      <c r="G111" s="567">
        <v>273</v>
      </c>
      <c r="H111" s="568">
        <f t="shared" si="2"/>
        <v>1794.98</v>
      </c>
      <c r="I111" s="120">
        <f>ROUND((E111+F111+G111)*(kopsavilkums!$O$12)*D111*12*(1+kopsavilkums!$O$23),2)</f>
        <v>1730.36</v>
      </c>
      <c r="K111" s="50"/>
      <c r="L111" s="50" t="s">
        <v>488</v>
      </c>
      <c r="M111" s="50" t="s">
        <v>738</v>
      </c>
      <c r="N111" s="50">
        <v>801000010</v>
      </c>
      <c r="O111" s="50"/>
    </row>
    <row r="112" spans="1:15" x14ac:dyDescent="0.2">
      <c r="A112" s="591" t="s">
        <v>112</v>
      </c>
      <c r="B112" s="595" t="s">
        <v>529</v>
      </c>
      <c r="C112" s="598" t="s">
        <v>605</v>
      </c>
      <c r="D112" s="603">
        <v>1</v>
      </c>
      <c r="E112" s="567">
        <v>1365</v>
      </c>
      <c r="F112" s="567">
        <v>156.97999999999999</v>
      </c>
      <c r="G112" s="567">
        <v>273</v>
      </c>
      <c r="H112" s="568">
        <f t="shared" si="2"/>
        <v>1794.98</v>
      </c>
      <c r="I112" s="120">
        <f>ROUND((E112+F112+G112)*(kopsavilkums!$O$12)*D112*12*(1+kopsavilkums!$O$23),2)</f>
        <v>1730.36</v>
      </c>
      <c r="K112" s="50"/>
      <c r="L112" s="50" t="s">
        <v>605</v>
      </c>
      <c r="M112" s="50" t="s">
        <v>738</v>
      </c>
      <c r="N112" s="50">
        <v>801000010</v>
      </c>
      <c r="O112" s="50"/>
    </row>
    <row r="113" spans="1:15" x14ac:dyDescent="0.2">
      <c r="A113" s="591" t="s">
        <v>112</v>
      </c>
      <c r="B113" s="595" t="s">
        <v>529</v>
      </c>
      <c r="C113" s="598" t="s">
        <v>488</v>
      </c>
      <c r="D113" s="603">
        <v>1</v>
      </c>
      <c r="E113" s="567">
        <v>1365</v>
      </c>
      <c r="F113" s="567">
        <v>156.97999999999999</v>
      </c>
      <c r="G113" s="567">
        <v>273</v>
      </c>
      <c r="H113" s="568">
        <f t="shared" si="2"/>
        <v>1794.98</v>
      </c>
      <c r="I113" s="120">
        <f>ROUND((E113+F113+G113)*(kopsavilkums!$O$12)*D113*12*(1+kopsavilkums!$O$23),2)</f>
        <v>1730.36</v>
      </c>
      <c r="K113" s="50"/>
      <c r="L113" s="50" t="s">
        <v>488</v>
      </c>
      <c r="M113" s="50" t="s">
        <v>738</v>
      </c>
      <c r="N113" s="50">
        <v>801000010</v>
      </c>
      <c r="O113" s="50"/>
    </row>
    <row r="114" spans="1:15" x14ac:dyDescent="0.2">
      <c r="A114" s="591" t="s">
        <v>112</v>
      </c>
      <c r="B114" s="595" t="s">
        <v>529</v>
      </c>
      <c r="C114" s="598" t="s">
        <v>743</v>
      </c>
      <c r="D114" s="603">
        <v>0.5</v>
      </c>
      <c r="E114" s="567">
        <v>1365</v>
      </c>
      <c r="F114" s="567">
        <v>95.55</v>
      </c>
      <c r="G114" s="567">
        <v>273</v>
      </c>
      <c r="H114" s="568">
        <f t="shared" si="2"/>
        <v>1733.55</v>
      </c>
      <c r="I114" s="120">
        <f>ROUND((E114+F114+G114)*(kopsavilkums!$O$12)*D114*12*(1+kopsavilkums!$O$23),2)</f>
        <v>835.57</v>
      </c>
      <c r="K114" s="50"/>
      <c r="L114" s="50" t="s">
        <v>743</v>
      </c>
      <c r="M114" s="50" t="s">
        <v>738</v>
      </c>
      <c r="N114" s="50">
        <v>801000010</v>
      </c>
      <c r="O114" s="50"/>
    </row>
    <row r="115" spans="1:15" x14ac:dyDescent="0.2">
      <c r="A115" s="591" t="s">
        <v>112</v>
      </c>
      <c r="B115" s="595" t="s">
        <v>529</v>
      </c>
      <c r="C115" s="598" t="s">
        <v>488</v>
      </c>
      <c r="D115" s="603">
        <v>1</v>
      </c>
      <c r="E115" s="567">
        <v>1365</v>
      </c>
      <c r="F115" s="567">
        <v>81.900000000000006</v>
      </c>
      <c r="G115" s="567">
        <v>273</v>
      </c>
      <c r="H115" s="568">
        <f t="shared" si="2"/>
        <v>1719.9</v>
      </c>
      <c r="I115" s="120">
        <f>ROUND((E115+F115+G115)*(kopsavilkums!$O$12)*D115*12*(1+kopsavilkums!$O$23),2)</f>
        <v>1657.99</v>
      </c>
      <c r="K115" s="50"/>
      <c r="L115" s="50" t="s">
        <v>488</v>
      </c>
      <c r="M115" s="50" t="s">
        <v>738</v>
      </c>
      <c r="N115" s="50">
        <v>801000010</v>
      </c>
      <c r="O115" s="50"/>
    </row>
    <row r="116" spans="1:15" x14ac:dyDescent="0.2">
      <c r="A116" s="591" t="s">
        <v>112</v>
      </c>
      <c r="B116" s="595" t="s">
        <v>529</v>
      </c>
      <c r="C116" s="598" t="s">
        <v>488</v>
      </c>
      <c r="D116" s="603">
        <v>1</v>
      </c>
      <c r="E116" s="567">
        <v>1365</v>
      </c>
      <c r="F116" s="567">
        <v>163.80000000000001</v>
      </c>
      <c r="G116" s="567">
        <v>273</v>
      </c>
      <c r="H116" s="568">
        <f t="shared" si="2"/>
        <v>1801.8</v>
      </c>
      <c r="I116" s="120">
        <f>ROUND((E116+F116+G116)*(kopsavilkums!$O$12)*D116*12*(1+kopsavilkums!$O$23),2)</f>
        <v>1736.94</v>
      </c>
      <c r="K116" s="50"/>
      <c r="L116" s="50" t="s">
        <v>488</v>
      </c>
      <c r="M116" s="50" t="s">
        <v>738</v>
      </c>
      <c r="N116" s="50">
        <v>801000010</v>
      </c>
      <c r="O116" s="50"/>
    </row>
    <row r="117" spans="1:15" x14ac:dyDescent="0.2">
      <c r="A117" s="591" t="s">
        <v>112</v>
      </c>
      <c r="B117" s="595" t="s">
        <v>529</v>
      </c>
      <c r="C117" s="598" t="s">
        <v>488</v>
      </c>
      <c r="D117" s="603">
        <v>1</v>
      </c>
      <c r="E117" s="567">
        <v>1365</v>
      </c>
      <c r="F117" s="567">
        <v>156.97999999999999</v>
      </c>
      <c r="G117" s="567">
        <v>273</v>
      </c>
      <c r="H117" s="568">
        <f t="shared" si="2"/>
        <v>1794.98</v>
      </c>
      <c r="I117" s="120">
        <f>ROUND((E117+F117+G117)*(kopsavilkums!$O$12)*D117*12*(1+kopsavilkums!$O$23),2)</f>
        <v>1730.36</v>
      </c>
      <c r="K117" s="50"/>
      <c r="L117" s="50" t="s">
        <v>488</v>
      </c>
      <c r="M117" s="50" t="s">
        <v>738</v>
      </c>
      <c r="N117" s="50">
        <v>801000010</v>
      </c>
      <c r="O117" s="50"/>
    </row>
    <row r="118" spans="1:15" x14ac:dyDescent="0.2">
      <c r="A118" s="591" t="s">
        <v>112</v>
      </c>
      <c r="B118" s="595" t="s">
        <v>529</v>
      </c>
      <c r="C118" s="598" t="s">
        <v>488</v>
      </c>
      <c r="D118" s="603">
        <v>1</v>
      </c>
      <c r="E118" s="567">
        <v>1365</v>
      </c>
      <c r="F118" s="567">
        <v>150.15</v>
      </c>
      <c r="G118" s="567">
        <v>273</v>
      </c>
      <c r="H118" s="568">
        <f t="shared" si="2"/>
        <v>1788.15</v>
      </c>
      <c r="I118" s="120">
        <f>ROUND((E118+F118+G118)*(kopsavilkums!$O$12)*D118*12*(1+kopsavilkums!$O$23),2)</f>
        <v>1723.78</v>
      </c>
      <c r="K118" s="50"/>
      <c r="L118" s="50" t="s">
        <v>488</v>
      </c>
      <c r="M118" s="50" t="s">
        <v>738</v>
      </c>
      <c r="N118" s="50">
        <v>801000010</v>
      </c>
      <c r="O118" s="50"/>
    </row>
    <row r="119" spans="1:15" x14ac:dyDescent="0.2">
      <c r="A119" s="591" t="s">
        <v>112</v>
      </c>
      <c r="B119" s="595" t="s">
        <v>529</v>
      </c>
      <c r="C119" s="598" t="s">
        <v>488</v>
      </c>
      <c r="D119" s="603">
        <v>1</v>
      </c>
      <c r="E119" s="567">
        <v>1365</v>
      </c>
      <c r="F119" s="567">
        <v>156.97999999999999</v>
      </c>
      <c r="G119" s="567">
        <v>273</v>
      </c>
      <c r="H119" s="568">
        <f t="shared" si="2"/>
        <v>1794.98</v>
      </c>
      <c r="I119" s="120">
        <f>ROUND((E119+F119+G119)*(kopsavilkums!$O$12)*D119*12*(1+kopsavilkums!$O$23),2)</f>
        <v>1730.36</v>
      </c>
      <c r="K119" s="50"/>
      <c r="L119" s="50" t="s">
        <v>488</v>
      </c>
      <c r="M119" s="50" t="s">
        <v>738</v>
      </c>
      <c r="N119" s="50">
        <v>801000010</v>
      </c>
      <c r="O119" s="50"/>
    </row>
    <row r="120" spans="1:15" x14ac:dyDescent="0.2">
      <c r="A120" s="591" t="s">
        <v>112</v>
      </c>
      <c r="B120" s="595" t="s">
        <v>529</v>
      </c>
      <c r="C120" s="598" t="s">
        <v>488</v>
      </c>
      <c r="D120" s="603">
        <v>1</v>
      </c>
      <c r="E120" s="567">
        <v>1365</v>
      </c>
      <c r="F120" s="567">
        <v>150.15</v>
      </c>
      <c r="G120" s="567">
        <v>273</v>
      </c>
      <c r="H120" s="568">
        <f t="shared" si="2"/>
        <v>1788.15</v>
      </c>
      <c r="I120" s="120">
        <f>ROUND((E120+F120+G120)*(kopsavilkums!$O$12)*D120*12*(1+kopsavilkums!$O$23),2)</f>
        <v>1723.78</v>
      </c>
      <c r="K120" s="50"/>
      <c r="L120" s="50" t="s">
        <v>488</v>
      </c>
      <c r="M120" s="50" t="s">
        <v>738</v>
      </c>
      <c r="N120" s="50">
        <v>801000010</v>
      </c>
      <c r="O120" s="50"/>
    </row>
    <row r="121" spans="1:15" x14ac:dyDescent="0.2">
      <c r="A121" s="591" t="s">
        <v>112</v>
      </c>
      <c r="B121" s="595" t="s">
        <v>529</v>
      </c>
      <c r="C121" s="598" t="s">
        <v>488</v>
      </c>
      <c r="D121" s="603">
        <v>1</v>
      </c>
      <c r="E121" s="567">
        <v>1365</v>
      </c>
      <c r="F121" s="567">
        <v>81.900000000000006</v>
      </c>
      <c r="G121" s="567">
        <v>273</v>
      </c>
      <c r="H121" s="568">
        <f t="shared" si="2"/>
        <v>1719.9</v>
      </c>
      <c r="I121" s="120">
        <f>ROUND((E121+F121+G121)*(kopsavilkums!$O$12)*D121*12*(1+kopsavilkums!$O$23),2)</f>
        <v>1657.99</v>
      </c>
      <c r="K121" s="50"/>
      <c r="L121" s="50" t="s">
        <v>488</v>
      </c>
      <c r="M121" s="50" t="s">
        <v>738</v>
      </c>
      <c r="N121" s="50">
        <v>801000010</v>
      </c>
      <c r="O121" s="50"/>
    </row>
    <row r="122" spans="1:15" x14ac:dyDescent="0.2">
      <c r="A122" s="591" t="s">
        <v>112</v>
      </c>
      <c r="B122" s="595" t="s">
        <v>529</v>
      </c>
      <c r="C122" s="598" t="s">
        <v>488</v>
      </c>
      <c r="D122" s="603">
        <v>1</v>
      </c>
      <c r="E122" s="567">
        <v>1365</v>
      </c>
      <c r="F122" s="567">
        <v>81.900000000000006</v>
      </c>
      <c r="G122" s="567">
        <v>273</v>
      </c>
      <c r="H122" s="568">
        <f t="shared" si="2"/>
        <v>1719.9</v>
      </c>
      <c r="I122" s="120">
        <f>ROUND((E122+F122+G122)*(kopsavilkums!$O$12)*D122*12*(1+kopsavilkums!$O$23),2)</f>
        <v>1657.99</v>
      </c>
      <c r="K122" s="50"/>
      <c r="L122" s="50" t="s">
        <v>488</v>
      </c>
      <c r="M122" s="50" t="s">
        <v>738</v>
      </c>
      <c r="N122" s="50">
        <v>801000010</v>
      </c>
      <c r="O122" s="50"/>
    </row>
    <row r="123" spans="1:15" x14ac:dyDescent="0.2">
      <c r="A123" s="591" t="s">
        <v>112</v>
      </c>
      <c r="B123" s="595" t="s">
        <v>529</v>
      </c>
      <c r="C123" s="598" t="s">
        <v>743</v>
      </c>
      <c r="D123" s="603">
        <v>0.5</v>
      </c>
      <c r="E123" s="567">
        <v>1365</v>
      </c>
      <c r="F123" s="567">
        <v>163.80000000000001</v>
      </c>
      <c r="G123" s="567">
        <v>273</v>
      </c>
      <c r="H123" s="568">
        <f t="shared" si="2"/>
        <v>1801.8</v>
      </c>
      <c r="I123" s="120">
        <f>ROUND((E123+F123+G123)*(kopsavilkums!$O$12)*D123*12*(1+kopsavilkums!$O$23),2)</f>
        <v>868.47</v>
      </c>
      <c r="K123" s="50"/>
      <c r="L123" s="50" t="s">
        <v>743</v>
      </c>
      <c r="M123" s="50" t="s">
        <v>738</v>
      </c>
      <c r="N123" s="50">
        <v>801000010</v>
      </c>
      <c r="O123" s="50"/>
    </row>
    <row r="124" spans="1:15" x14ac:dyDescent="0.2">
      <c r="A124" s="591" t="s">
        <v>112</v>
      </c>
      <c r="B124" s="595" t="s">
        <v>529</v>
      </c>
      <c r="C124" s="598" t="s">
        <v>488</v>
      </c>
      <c r="D124" s="603">
        <v>1</v>
      </c>
      <c r="E124" s="567">
        <v>1365</v>
      </c>
      <c r="F124" s="567">
        <v>163.80000000000001</v>
      </c>
      <c r="G124" s="567">
        <v>273</v>
      </c>
      <c r="H124" s="568">
        <f t="shared" si="2"/>
        <v>1801.8</v>
      </c>
      <c r="I124" s="120">
        <f>ROUND((E124+F124+G124)*(kopsavilkums!$O$12)*D124*12*(1+kopsavilkums!$O$23),2)</f>
        <v>1736.94</v>
      </c>
      <c r="K124" s="50"/>
      <c r="L124" s="50" t="s">
        <v>488</v>
      </c>
      <c r="M124" s="50" t="s">
        <v>738</v>
      </c>
      <c r="N124" s="50">
        <v>801000010</v>
      </c>
      <c r="O124" s="50"/>
    </row>
    <row r="125" spans="1:15" x14ac:dyDescent="0.2">
      <c r="A125" s="591" t="s">
        <v>112</v>
      </c>
      <c r="B125" s="595" t="s">
        <v>649</v>
      </c>
      <c r="C125" s="598" t="s">
        <v>530</v>
      </c>
      <c r="D125" s="603">
        <v>1</v>
      </c>
      <c r="E125" s="567">
        <v>1365</v>
      </c>
      <c r="F125" s="567">
        <v>163.80000000000001</v>
      </c>
      <c r="G125" s="567">
        <v>273</v>
      </c>
      <c r="H125" s="568">
        <f t="shared" si="2"/>
        <v>1801.8</v>
      </c>
      <c r="I125" s="120">
        <f>ROUND((E125+F125+G125)*(kopsavilkums!$O$12)*D125*12*(1+kopsavilkums!$O$23),2)</f>
        <v>1736.94</v>
      </c>
      <c r="K125" s="50"/>
      <c r="L125" s="50" t="s">
        <v>530</v>
      </c>
      <c r="M125" s="50" t="s">
        <v>738</v>
      </c>
      <c r="N125" s="50">
        <v>801000010</v>
      </c>
      <c r="O125" s="50"/>
    </row>
    <row r="126" spans="1:15" x14ac:dyDescent="0.2">
      <c r="A126" s="591" t="s">
        <v>112</v>
      </c>
      <c r="B126" s="595" t="s">
        <v>649</v>
      </c>
      <c r="C126" s="598" t="s">
        <v>530</v>
      </c>
      <c r="D126" s="603">
        <v>1</v>
      </c>
      <c r="E126" s="567">
        <v>1365</v>
      </c>
      <c r="F126" s="567">
        <v>177.45</v>
      </c>
      <c r="G126" s="567">
        <v>273</v>
      </c>
      <c r="H126" s="568">
        <f t="shared" si="2"/>
        <v>1815.45</v>
      </c>
      <c r="I126" s="120">
        <f>ROUND((E126+F126+G126)*(kopsavilkums!$O$12)*D126*12*(1+kopsavilkums!$O$23),2)</f>
        <v>1750.1</v>
      </c>
      <c r="K126" s="50"/>
      <c r="L126" s="50" t="s">
        <v>530</v>
      </c>
      <c r="M126" s="50" t="s">
        <v>738</v>
      </c>
      <c r="N126" s="50">
        <v>801000010</v>
      </c>
      <c r="O126" s="50"/>
    </row>
    <row r="127" spans="1:15" x14ac:dyDescent="0.2">
      <c r="A127" s="591" t="s">
        <v>112</v>
      </c>
      <c r="B127" s="595" t="s">
        <v>649</v>
      </c>
      <c r="C127" s="598" t="s">
        <v>488</v>
      </c>
      <c r="D127" s="603">
        <v>1</v>
      </c>
      <c r="E127" s="567">
        <v>1365</v>
      </c>
      <c r="F127" s="567">
        <v>156.97999999999999</v>
      </c>
      <c r="G127" s="567">
        <v>273</v>
      </c>
      <c r="H127" s="568">
        <f t="shared" si="2"/>
        <v>1794.98</v>
      </c>
      <c r="I127" s="120">
        <f>ROUND((E127+F127+G127)*(kopsavilkums!$O$12)*D127*12*(1+kopsavilkums!$O$23),2)</f>
        <v>1730.36</v>
      </c>
      <c r="K127" s="50"/>
      <c r="L127" s="50" t="s">
        <v>488</v>
      </c>
      <c r="M127" s="50" t="s">
        <v>738</v>
      </c>
      <c r="N127" s="50">
        <v>801000010</v>
      </c>
      <c r="O127" s="50"/>
    </row>
    <row r="128" spans="1:15" x14ac:dyDescent="0.2">
      <c r="A128" s="591" t="s">
        <v>112</v>
      </c>
      <c r="B128" s="595" t="s">
        <v>649</v>
      </c>
      <c r="C128" s="598" t="s">
        <v>530</v>
      </c>
      <c r="D128" s="603">
        <v>1</v>
      </c>
      <c r="E128" s="567">
        <v>1365</v>
      </c>
      <c r="F128" s="567">
        <v>122.85</v>
      </c>
      <c r="G128" s="567">
        <v>273</v>
      </c>
      <c r="H128" s="568">
        <f t="shared" si="2"/>
        <v>1760.85</v>
      </c>
      <c r="I128" s="120">
        <f>ROUND((E128+F128+G128)*(kopsavilkums!$O$12)*D128*12*(1+kopsavilkums!$O$23),2)</f>
        <v>1697.46</v>
      </c>
      <c r="K128" s="50"/>
      <c r="L128" s="50" t="s">
        <v>530</v>
      </c>
      <c r="M128" s="50" t="s">
        <v>738</v>
      </c>
      <c r="N128" s="50">
        <v>801000010</v>
      </c>
      <c r="O128" s="50"/>
    </row>
    <row r="129" spans="1:15" x14ac:dyDescent="0.2">
      <c r="A129" s="591" t="s">
        <v>112</v>
      </c>
      <c r="B129" s="595" t="s">
        <v>647</v>
      </c>
      <c r="C129" s="598" t="s">
        <v>743</v>
      </c>
      <c r="D129" s="603">
        <v>1</v>
      </c>
      <c r="E129" s="567">
        <v>1365</v>
      </c>
      <c r="F129" s="567">
        <v>156.97999999999999</v>
      </c>
      <c r="G129" s="567">
        <v>273</v>
      </c>
      <c r="H129" s="568">
        <f t="shared" si="2"/>
        <v>1794.98</v>
      </c>
      <c r="I129" s="120">
        <f>ROUND((E129+F129+G129)*(kopsavilkums!$O$12)*D129*12*(1+kopsavilkums!$O$23),2)</f>
        <v>1730.36</v>
      </c>
      <c r="K129" s="50"/>
      <c r="L129" s="50" t="s">
        <v>743</v>
      </c>
      <c r="M129" s="50" t="s">
        <v>738</v>
      </c>
      <c r="N129" s="50">
        <v>801000010</v>
      </c>
      <c r="O129" s="50"/>
    </row>
    <row r="130" spans="1:15" x14ac:dyDescent="0.2">
      <c r="A130" s="591" t="s">
        <v>112</v>
      </c>
      <c r="B130" s="595" t="s">
        <v>647</v>
      </c>
      <c r="C130" s="598" t="s">
        <v>743</v>
      </c>
      <c r="D130" s="603">
        <v>1</v>
      </c>
      <c r="E130" s="567">
        <v>1365</v>
      </c>
      <c r="F130" s="567">
        <v>95.55</v>
      </c>
      <c r="G130" s="567">
        <v>273</v>
      </c>
      <c r="H130" s="568">
        <f t="shared" si="2"/>
        <v>1733.55</v>
      </c>
      <c r="I130" s="120">
        <f>ROUND((E130+F130+G130)*(kopsavilkums!$O$12)*D130*12*(1+kopsavilkums!$O$23),2)</f>
        <v>1671.15</v>
      </c>
      <c r="K130" s="50"/>
      <c r="L130" s="50" t="s">
        <v>743</v>
      </c>
      <c r="M130" s="50" t="s">
        <v>738</v>
      </c>
      <c r="N130" s="50">
        <v>801000010</v>
      </c>
      <c r="O130" s="50"/>
    </row>
    <row r="131" spans="1:15" x14ac:dyDescent="0.2">
      <c r="A131" s="591" t="s">
        <v>112</v>
      </c>
      <c r="B131" s="595" t="s">
        <v>647</v>
      </c>
      <c r="C131" s="598" t="s">
        <v>743</v>
      </c>
      <c r="D131" s="603">
        <v>1</v>
      </c>
      <c r="E131" s="567">
        <v>1365</v>
      </c>
      <c r="F131" s="567">
        <v>81.900000000000006</v>
      </c>
      <c r="G131" s="567">
        <v>273</v>
      </c>
      <c r="H131" s="568">
        <f t="shared" si="2"/>
        <v>1719.9</v>
      </c>
      <c r="I131" s="120">
        <f>ROUND((E131+F131+G131)*(kopsavilkums!$O$12)*D131*12*(1+kopsavilkums!$O$23),2)</f>
        <v>1657.99</v>
      </c>
      <c r="K131" s="50"/>
      <c r="L131" s="50" t="s">
        <v>743</v>
      </c>
      <c r="M131" s="50" t="s">
        <v>738</v>
      </c>
      <c r="N131" s="50">
        <v>801000010</v>
      </c>
      <c r="O131" s="50"/>
    </row>
    <row r="132" spans="1:15" x14ac:dyDescent="0.2">
      <c r="A132" s="591" t="s">
        <v>112</v>
      </c>
      <c r="B132" s="595" t="s">
        <v>650</v>
      </c>
      <c r="C132" s="598" t="s">
        <v>746</v>
      </c>
      <c r="D132" s="603">
        <v>1</v>
      </c>
      <c r="E132" s="567">
        <v>1365</v>
      </c>
      <c r="F132" s="567">
        <v>150.15</v>
      </c>
      <c r="G132" s="567">
        <v>273</v>
      </c>
      <c r="H132" s="568">
        <f t="shared" si="2"/>
        <v>1788.15</v>
      </c>
      <c r="I132" s="120">
        <f>ROUND((E132+F132+G132)*(kopsavilkums!$O$12)*D132*12*(1+kopsavilkums!$O$23),2)</f>
        <v>1723.78</v>
      </c>
      <c r="K132" s="50"/>
      <c r="L132" s="50" t="s">
        <v>746</v>
      </c>
      <c r="M132" s="50" t="s">
        <v>738</v>
      </c>
      <c r="N132" s="50">
        <v>801000010</v>
      </c>
      <c r="O132" s="50"/>
    </row>
    <row r="133" spans="1:15" x14ac:dyDescent="0.2">
      <c r="A133" s="591" t="s">
        <v>112</v>
      </c>
      <c r="B133" s="595" t="s">
        <v>742</v>
      </c>
      <c r="C133" s="598" t="s">
        <v>496</v>
      </c>
      <c r="D133" s="603">
        <v>1</v>
      </c>
      <c r="E133" s="567">
        <v>1365</v>
      </c>
      <c r="F133" s="567">
        <v>150.15</v>
      </c>
      <c r="G133" s="567">
        <v>273</v>
      </c>
      <c r="H133" s="568">
        <f t="shared" si="2"/>
        <v>1788.15</v>
      </c>
      <c r="I133" s="120">
        <f>ROUND((E133+F133+G133)*(kopsavilkums!$O$12)*D133*12*(1+kopsavilkums!$O$23),2)</f>
        <v>1723.78</v>
      </c>
      <c r="K133" s="50"/>
      <c r="L133" s="50" t="s">
        <v>496</v>
      </c>
      <c r="M133" s="50" t="s">
        <v>738</v>
      </c>
      <c r="N133" s="50">
        <v>801000010</v>
      </c>
      <c r="O133" s="50"/>
    </row>
    <row r="134" spans="1:15" x14ac:dyDescent="0.2">
      <c r="A134" s="591" t="s">
        <v>112</v>
      </c>
      <c r="B134" s="595" t="s">
        <v>742</v>
      </c>
      <c r="C134" s="598" t="s">
        <v>496</v>
      </c>
      <c r="D134" s="603">
        <v>1</v>
      </c>
      <c r="E134" s="567">
        <v>1365</v>
      </c>
      <c r="F134" s="567">
        <v>150.15</v>
      </c>
      <c r="G134" s="567">
        <v>273</v>
      </c>
      <c r="H134" s="568">
        <f t="shared" si="2"/>
        <v>1788.15</v>
      </c>
      <c r="I134" s="120">
        <f>ROUND((E134+F134+G134)*(kopsavilkums!$O$12)*D134*12*(1+kopsavilkums!$O$23),2)</f>
        <v>1723.78</v>
      </c>
      <c r="K134" s="50"/>
      <c r="L134" s="50" t="s">
        <v>496</v>
      </c>
      <c r="M134" s="50" t="s">
        <v>738</v>
      </c>
      <c r="N134" s="50">
        <v>801000010</v>
      </c>
      <c r="O134" s="50"/>
    </row>
    <row r="135" spans="1:15" x14ac:dyDescent="0.2">
      <c r="A135" s="591" t="s">
        <v>112</v>
      </c>
      <c r="B135" s="595" t="s">
        <v>742</v>
      </c>
      <c r="C135" s="598" t="s">
        <v>496</v>
      </c>
      <c r="D135" s="603">
        <v>1</v>
      </c>
      <c r="E135" s="567">
        <v>1365</v>
      </c>
      <c r="F135" s="567">
        <v>81.900000000000006</v>
      </c>
      <c r="G135" s="567">
        <v>273</v>
      </c>
      <c r="H135" s="568">
        <f t="shared" si="2"/>
        <v>1719.9</v>
      </c>
      <c r="I135" s="120">
        <f>ROUND((E135+F135+G135)*(kopsavilkums!$O$12)*D135*12*(1+kopsavilkums!$O$23),2)</f>
        <v>1657.99</v>
      </c>
      <c r="K135" s="50"/>
      <c r="L135" s="50" t="s">
        <v>496</v>
      </c>
      <c r="M135" s="50" t="s">
        <v>738</v>
      </c>
      <c r="N135" s="50">
        <v>801000010</v>
      </c>
      <c r="O135" s="50"/>
    </row>
    <row r="136" spans="1:15" x14ac:dyDescent="0.2">
      <c r="A136" s="591" t="s">
        <v>112</v>
      </c>
      <c r="B136" s="595" t="s">
        <v>742</v>
      </c>
      <c r="C136" s="598" t="s">
        <v>747</v>
      </c>
      <c r="D136" s="603">
        <v>1</v>
      </c>
      <c r="E136" s="567">
        <v>1365</v>
      </c>
      <c r="F136" s="567">
        <v>156.97999999999999</v>
      </c>
      <c r="G136" s="567">
        <v>273</v>
      </c>
      <c r="H136" s="568">
        <f t="shared" si="2"/>
        <v>1794.98</v>
      </c>
      <c r="I136" s="120">
        <f>ROUND((E136+F136+G136)*(kopsavilkums!$O$12)*D136*12*(1+kopsavilkums!$O$23),2)</f>
        <v>1730.36</v>
      </c>
      <c r="K136" s="50"/>
      <c r="L136" s="50" t="s">
        <v>747</v>
      </c>
      <c r="M136" s="50" t="s">
        <v>738</v>
      </c>
      <c r="N136" s="50">
        <v>801000010</v>
      </c>
      <c r="O136" s="50"/>
    </row>
    <row r="137" spans="1:15" x14ac:dyDescent="0.2">
      <c r="A137" s="10" t="s">
        <v>32</v>
      </c>
      <c r="B137" s="512"/>
      <c r="C137" s="512"/>
      <c r="D137" s="43">
        <f>SUM(D87:D136)</f>
        <v>48.5</v>
      </c>
      <c r="E137" s="3" t="s">
        <v>29</v>
      </c>
      <c r="F137" s="3" t="s">
        <v>29</v>
      </c>
      <c r="G137" s="3" t="s">
        <v>29</v>
      </c>
      <c r="H137" s="117" t="s">
        <v>29</v>
      </c>
      <c r="I137" s="121" t="s">
        <v>29</v>
      </c>
      <c r="K137" s="50"/>
      <c r="L137" s="50"/>
      <c r="M137" s="50"/>
      <c r="N137" s="50"/>
      <c r="O137" s="50"/>
    </row>
    <row r="138" spans="1:15" x14ac:dyDescent="0.2">
      <c r="A138" s="47" t="s">
        <v>432</v>
      </c>
      <c r="B138" s="513"/>
      <c r="C138" s="513"/>
      <c r="D138" s="41"/>
      <c r="E138" s="42"/>
      <c r="F138" s="42"/>
      <c r="G138" s="42"/>
      <c r="H138" s="115"/>
      <c r="I138" s="122"/>
      <c r="K138" s="50"/>
      <c r="L138" s="50"/>
      <c r="M138" s="50"/>
      <c r="N138" s="50"/>
      <c r="O138" s="50"/>
    </row>
    <row r="139" spans="1:15" x14ac:dyDescent="0.2">
      <c r="A139" s="591" t="s">
        <v>26</v>
      </c>
      <c r="B139" s="602" t="s">
        <v>497</v>
      </c>
      <c r="C139" s="602" t="s">
        <v>498</v>
      </c>
      <c r="D139" s="603">
        <v>1</v>
      </c>
      <c r="E139" s="567">
        <v>955</v>
      </c>
      <c r="F139" s="567">
        <v>57.3</v>
      </c>
      <c r="G139" s="567">
        <v>191</v>
      </c>
      <c r="H139" s="568">
        <f t="shared" ref="H139:H142" si="3">G139+F139+E139</f>
        <v>1203.3</v>
      </c>
      <c r="I139" s="120">
        <f>ROUND((E139+F139+G139)*(kopsavilkums!$O$15)*D139*12*(1+kopsavilkums!$O$23),2)</f>
        <v>1231.3699999999999</v>
      </c>
      <c r="K139" s="50"/>
      <c r="L139" s="50" t="s">
        <v>498</v>
      </c>
      <c r="M139" s="50" t="s">
        <v>738</v>
      </c>
      <c r="N139" s="50">
        <v>801000010</v>
      </c>
      <c r="O139" s="50"/>
    </row>
    <row r="140" spans="1:15" x14ac:dyDescent="0.2">
      <c r="A140" s="591" t="s">
        <v>26</v>
      </c>
      <c r="B140" s="602" t="s">
        <v>497</v>
      </c>
      <c r="C140" s="602" t="s">
        <v>498</v>
      </c>
      <c r="D140" s="603">
        <v>1</v>
      </c>
      <c r="E140" s="567">
        <v>955</v>
      </c>
      <c r="F140" s="567">
        <v>52.53</v>
      </c>
      <c r="G140" s="567">
        <v>191</v>
      </c>
      <c r="H140" s="568">
        <f t="shared" si="3"/>
        <v>1198.53</v>
      </c>
      <c r="I140" s="120">
        <f>ROUND((E140+F140+G140)*(kopsavilkums!$O$15)*D140*12*(1+kopsavilkums!$O$23),2)</f>
        <v>1226.49</v>
      </c>
      <c r="K140" s="50"/>
      <c r="L140" s="50" t="s">
        <v>498</v>
      </c>
      <c r="M140" s="50" t="s">
        <v>738</v>
      </c>
      <c r="N140" s="50">
        <v>801000010</v>
      </c>
      <c r="O140" s="50"/>
    </row>
    <row r="141" spans="1:15" x14ac:dyDescent="0.2">
      <c r="A141" s="591" t="s">
        <v>26</v>
      </c>
      <c r="B141" s="602" t="s">
        <v>497</v>
      </c>
      <c r="C141" s="602" t="s">
        <v>498</v>
      </c>
      <c r="D141" s="603">
        <v>1</v>
      </c>
      <c r="E141" s="567">
        <v>955</v>
      </c>
      <c r="F141" s="567">
        <v>47.75</v>
      </c>
      <c r="G141" s="567">
        <v>191</v>
      </c>
      <c r="H141" s="568">
        <f t="shared" si="3"/>
        <v>1193.75</v>
      </c>
      <c r="I141" s="120">
        <f>ROUND((E141+F141+G141)*(kopsavilkums!$O$15)*D141*12*(1+kopsavilkums!$O$23),2)</f>
        <v>1221.5899999999999</v>
      </c>
      <c r="K141" s="50"/>
      <c r="L141" s="50" t="s">
        <v>498</v>
      </c>
      <c r="M141" s="50" t="s">
        <v>738</v>
      </c>
      <c r="N141" s="50">
        <v>801000010</v>
      </c>
      <c r="O141" s="50"/>
    </row>
    <row r="142" spans="1:15" x14ac:dyDescent="0.2">
      <c r="A142" s="591" t="s">
        <v>26</v>
      </c>
      <c r="B142" s="602" t="s">
        <v>497</v>
      </c>
      <c r="C142" s="602" t="s">
        <v>498</v>
      </c>
      <c r="D142" s="603">
        <v>1</v>
      </c>
      <c r="E142" s="567">
        <v>955</v>
      </c>
      <c r="F142" s="567">
        <v>57.3</v>
      </c>
      <c r="G142" s="567">
        <v>191</v>
      </c>
      <c r="H142" s="568">
        <f t="shared" si="3"/>
        <v>1203.3</v>
      </c>
      <c r="I142" s="120">
        <f>ROUND((E142+F142+G142)*(kopsavilkums!$O$15)*D142*12*(1+kopsavilkums!$O$23),2)</f>
        <v>1231.3699999999999</v>
      </c>
      <c r="K142" s="50"/>
      <c r="L142" s="50" t="s">
        <v>498</v>
      </c>
      <c r="M142" s="50" t="s">
        <v>738</v>
      </c>
      <c r="N142" s="50">
        <v>801000010</v>
      </c>
      <c r="O142" s="50"/>
    </row>
    <row r="143" spans="1:15" x14ac:dyDescent="0.2">
      <c r="A143" s="10" t="s">
        <v>32</v>
      </c>
      <c r="B143" s="512"/>
      <c r="C143" s="512"/>
      <c r="D143" s="43">
        <f>SUM(D139:D142)</f>
        <v>4</v>
      </c>
      <c r="E143" s="3" t="s">
        <v>29</v>
      </c>
      <c r="F143" s="3" t="s">
        <v>29</v>
      </c>
      <c r="G143" s="3" t="s">
        <v>29</v>
      </c>
      <c r="H143" s="117" t="s">
        <v>29</v>
      </c>
      <c r="I143" s="121" t="s">
        <v>29</v>
      </c>
      <c r="K143" s="50"/>
      <c r="L143" s="50"/>
      <c r="M143" s="50"/>
      <c r="N143" s="50"/>
      <c r="O143" s="50"/>
    </row>
    <row r="144" spans="1:15" ht="13.5" thickBot="1" x14ac:dyDescent="0.25">
      <c r="A144" s="37" t="s">
        <v>34</v>
      </c>
      <c r="B144" s="514"/>
      <c r="C144" s="514"/>
      <c r="D144" s="601">
        <f>D143+D137+D84+D58</f>
        <v>104.85</v>
      </c>
      <c r="E144" s="38"/>
      <c r="F144" s="38"/>
      <c r="G144" s="38"/>
      <c r="H144" s="118"/>
      <c r="I144" s="125">
        <f>SUM(I11:I57,I60:I83,I87:I136,I139:I142)</f>
        <v>275699.59999999986</v>
      </c>
      <c r="K144" s="50"/>
      <c r="L144" s="50"/>
      <c r="M144" s="50"/>
      <c r="N144" s="50"/>
      <c r="O144" s="50"/>
    </row>
    <row r="145" spans="1:15" ht="13.5" thickBot="1" x14ac:dyDescent="0.25">
      <c r="K145" s="50"/>
      <c r="L145" s="50"/>
      <c r="M145" s="50"/>
      <c r="N145" s="50"/>
      <c r="O145" s="50"/>
    </row>
    <row r="146" spans="1:15" ht="15.75" customHeight="1" x14ac:dyDescent="0.2">
      <c r="A146" s="1016" t="s">
        <v>398</v>
      </c>
      <c r="B146" s="1017"/>
      <c r="C146" s="1017"/>
      <c r="D146" s="1017"/>
      <c r="E146" s="1017"/>
      <c r="F146" s="1017"/>
      <c r="G146" s="1017"/>
      <c r="H146" s="1017"/>
      <c r="I146" s="1018"/>
      <c r="K146" s="50"/>
      <c r="L146" s="50"/>
      <c r="M146" s="50"/>
      <c r="N146" s="50"/>
      <c r="O146" s="50"/>
    </row>
    <row r="147" spans="1:15" ht="30.75" customHeight="1" x14ac:dyDescent="0.2">
      <c r="A147" s="1019" t="s">
        <v>232</v>
      </c>
      <c r="B147" s="1020"/>
      <c r="C147" s="1020"/>
      <c r="D147" s="1020"/>
      <c r="E147" s="1020"/>
      <c r="F147" s="1020"/>
      <c r="G147" s="1020"/>
      <c r="H147" s="1020"/>
      <c r="I147" s="1021"/>
      <c r="K147" s="50"/>
      <c r="L147" s="50"/>
      <c r="M147" s="50"/>
      <c r="N147" s="50"/>
      <c r="O147" s="50"/>
    </row>
    <row r="148" spans="1:15" ht="12.75" customHeight="1" x14ac:dyDescent="0.2">
      <c r="A148" s="728" t="s">
        <v>60</v>
      </c>
      <c r="B148" s="729"/>
      <c r="C148" s="729"/>
      <c r="D148" s="729"/>
      <c r="E148" s="729"/>
      <c r="F148" s="729"/>
      <c r="G148" s="729"/>
      <c r="H148" s="729"/>
      <c r="I148" s="730"/>
      <c r="K148" s="50"/>
      <c r="L148" s="50"/>
      <c r="M148" s="50"/>
      <c r="N148" s="50"/>
      <c r="O148" s="50"/>
    </row>
    <row r="149" spans="1:15" x14ac:dyDescent="0.2">
      <c r="A149" s="721" t="s">
        <v>61</v>
      </c>
      <c r="B149" s="721"/>
      <c r="C149" s="721"/>
      <c r="D149" s="722">
        <f>SUM(D150:D190)</f>
        <v>26.5</v>
      </c>
      <c r="E149" s="722">
        <f t="shared" ref="E149:H149" si="4">SUM(E150:E190)</f>
        <v>90045</v>
      </c>
      <c r="F149" s="722">
        <f t="shared" si="4"/>
        <v>7736.835</v>
      </c>
      <c r="G149" s="722">
        <f t="shared" si="4"/>
        <v>0</v>
      </c>
      <c r="H149" s="722">
        <f t="shared" si="4"/>
        <v>65338.334999999992</v>
      </c>
      <c r="I149" s="722"/>
      <c r="K149" s="50"/>
      <c r="L149" s="50"/>
      <c r="M149" s="50"/>
      <c r="N149" s="50"/>
      <c r="O149" s="50"/>
    </row>
    <row r="150" spans="1:15" ht="38.25" x14ac:dyDescent="0.2">
      <c r="A150" s="745" t="s">
        <v>106</v>
      </c>
      <c r="B150" s="746" t="s">
        <v>465</v>
      </c>
      <c r="C150" s="747" t="s">
        <v>888</v>
      </c>
      <c r="D150" s="748">
        <v>1</v>
      </c>
      <c r="E150" s="743">
        <v>2445</v>
      </c>
      <c r="F150" s="743">
        <f>E150*D150*0.15</f>
        <v>366.75</v>
      </c>
      <c r="G150" s="743"/>
      <c r="H150" s="749">
        <f>D150*E150+F150+G150</f>
        <v>2811.75</v>
      </c>
      <c r="I150" s="120">
        <f>ROUND((E150+F150+G150)*(kopsavilkums!$O$8)*D150*12*(1+kopsavilkums!$O$23),2)</f>
        <v>4420.25</v>
      </c>
      <c r="K150" s="50"/>
      <c r="L150" s="735" t="s">
        <v>888</v>
      </c>
      <c r="M150" s="50" t="s">
        <v>738</v>
      </c>
      <c r="N150" s="50" t="s">
        <v>909</v>
      </c>
      <c r="O150" s="50"/>
    </row>
    <row r="151" spans="1:15" ht="38.25" x14ac:dyDescent="0.2">
      <c r="A151" s="750" t="s">
        <v>877</v>
      </c>
      <c r="B151" s="746" t="s">
        <v>465</v>
      </c>
      <c r="C151" s="747" t="s">
        <v>889</v>
      </c>
      <c r="D151" s="748">
        <v>1</v>
      </c>
      <c r="E151" s="743">
        <v>1935</v>
      </c>
      <c r="F151" s="743">
        <f t="shared" ref="F151:F189" si="5">E151*D151*0.15</f>
        <v>290.25</v>
      </c>
      <c r="G151" s="743"/>
      <c r="H151" s="749">
        <f t="shared" ref="H151:H190" si="6">D151*E151+F151+G151</f>
        <v>2225.25</v>
      </c>
      <c r="I151" s="120">
        <f>ROUND((E151+F151+G151)*(kopsavilkums!$O$8)*D151*12*(1+kopsavilkums!$O$23),2)</f>
        <v>3498.24</v>
      </c>
      <c r="K151" s="50"/>
      <c r="L151" s="735" t="s">
        <v>889</v>
      </c>
      <c r="M151" s="50" t="s">
        <v>738</v>
      </c>
      <c r="N151" s="50" t="s">
        <v>910</v>
      </c>
      <c r="O151" s="50"/>
    </row>
    <row r="152" spans="1:15" x14ac:dyDescent="0.2">
      <c r="A152" s="745" t="s">
        <v>878</v>
      </c>
      <c r="B152" s="746" t="s">
        <v>465</v>
      </c>
      <c r="C152" s="747" t="s">
        <v>890</v>
      </c>
      <c r="D152" s="748">
        <v>1</v>
      </c>
      <c r="E152" s="743">
        <v>1935</v>
      </c>
      <c r="F152" s="743">
        <f t="shared" si="5"/>
        <v>290.25</v>
      </c>
      <c r="G152" s="743"/>
      <c r="H152" s="749">
        <f t="shared" si="6"/>
        <v>2225.25</v>
      </c>
      <c r="I152" s="120">
        <f>ROUND((E152+F152+G152)*(kopsavilkums!$O$8)*D152*12*(1+kopsavilkums!$O$23),2)</f>
        <v>3498.24</v>
      </c>
      <c r="K152" s="50"/>
      <c r="L152" s="735" t="s">
        <v>890</v>
      </c>
      <c r="M152" s="50" t="s">
        <v>738</v>
      </c>
      <c r="N152" s="50" t="s">
        <v>910</v>
      </c>
      <c r="O152" s="50"/>
    </row>
    <row r="153" spans="1:15" x14ac:dyDescent="0.2">
      <c r="A153" s="745" t="s">
        <v>879</v>
      </c>
      <c r="B153" s="746" t="s">
        <v>465</v>
      </c>
      <c r="C153" s="747" t="s">
        <v>891</v>
      </c>
      <c r="D153" s="748">
        <v>0.75</v>
      </c>
      <c r="E153" s="743">
        <v>1935</v>
      </c>
      <c r="F153" s="743">
        <f t="shared" si="5"/>
        <v>217.6875</v>
      </c>
      <c r="G153" s="743"/>
      <c r="H153" s="749">
        <f t="shared" si="6"/>
        <v>1668.9375</v>
      </c>
      <c r="I153" s="120">
        <f>ROUND((E153+F153+G153)*(kopsavilkums!$O$8)*D153*12*(1+kopsavilkums!$O$23),2)</f>
        <v>2538.12</v>
      </c>
      <c r="K153" s="50"/>
      <c r="L153" s="735" t="s">
        <v>891</v>
      </c>
      <c r="M153" s="50" t="s">
        <v>738</v>
      </c>
      <c r="N153" s="50" t="s">
        <v>910</v>
      </c>
      <c r="O153" s="50"/>
    </row>
    <row r="154" spans="1:15" ht="51" x14ac:dyDescent="0.2">
      <c r="A154" s="745" t="s">
        <v>877</v>
      </c>
      <c r="B154" s="746" t="s">
        <v>465</v>
      </c>
      <c r="C154" s="747" t="s">
        <v>892</v>
      </c>
      <c r="D154" s="748">
        <v>0.8</v>
      </c>
      <c r="E154" s="743">
        <v>1935</v>
      </c>
      <c r="F154" s="743">
        <f>E154*D154*0.15</f>
        <v>232.2</v>
      </c>
      <c r="G154" s="743"/>
      <c r="H154" s="749">
        <f>D154*E154+F154+G154</f>
        <v>1780.2</v>
      </c>
      <c r="I154" s="120">
        <f>ROUND((E154+F154+G154)*(kopsavilkums!$O$8)*D154*12*(1+kopsavilkums!$O$23),2)</f>
        <v>2725.58</v>
      </c>
      <c r="K154" s="50"/>
      <c r="L154" s="735" t="s">
        <v>892</v>
      </c>
      <c r="M154" s="50" t="s">
        <v>738</v>
      </c>
      <c r="N154" s="50" t="s">
        <v>911</v>
      </c>
      <c r="O154" s="50"/>
    </row>
    <row r="155" spans="1:15" ht="12.75" customHeight="1" x14ac:dyDescent="0.2">
      <c r="A155" s="745" t="s">
        <v>877</v>
      </c>
      <c r="B155" s="746" t="s">
        <v>465</v>
      </c>
      <c r="C155" s="747" t="s">
        <v>893</v>
      </c>
      <c r="D155" s="748">
        <v>0.8</v>
      </c>
      <c r="E155" s="743">
        <v>1935</v>
      </c>
      <c r="F155" s="743">
        <f>E155*D155*0.15</f>
        <v>232.2</v>
      </c>
      <c r="G155" s="743"/>
      <c r="H155" s="749">
        <f>D155*E155+F155+G155</f>
        <v>1780.2</v>
      </c>
      <c r="I155" s="120">
        <f>ROUND((E155+F155+G155)*(kopsavilkums!$O$8)*D155*12*(1+kopsavilkums!$O$23),2)</f>
        <v>2725.58</v>
      </c>
      <c r="K155" s="50"/>
      <c r="L155" s="735" t="s">
        <v>893</v>
      </c>
      <c r="M155" s="50" t="s">
        <v>738</v>
      </c>
      <c r="N155" s="50" t="s">
        <v>911</v>
      </c>
      <c r="O155" s="50"/>
    </row>
    <row r="156" spans="1:15" ht="28.5" customHeight="1" x14ac:dyDescent="0.2">
      <c r="A156" s="745" t="s">
        <v>877</v>
      </c>
      <c r="B156" s="746" t="s">
        <v>465</v>
      </c>
      <c r="C156" s="747" t="s">
        <v>889</v>
      </c>
      <c r="D156" s="748">
        <v>0.3</v>
      </c>
      <c r="E156" s="743">
        <v>1935</v>
      </c>
      <c r="F156" s="743">
        <f>E156*D156*0.05</f>
        <v>29.025000000000002</v>
      </c>
      <c r="G156" s="743"/>
      <c r="H156" s="749">
        <f t="shared" si="6"/>
        <v>609.52499999999998</v>
      </c>
      <c r="I156" s="120">
        <f>ROUND((E156+F156+G156)*(kopsavilkums!$O$8)*D156*12*(1+kopsavilkums!$O$23),2)</f>
        <v>926.27</v>
      </c>
      <c r="K156" s="50"/>
      <c r="L156" s="735" t="s">
        <v>889</v>
      </c>
      <c r="M156" s="50" t="s">
        <v>738</v>
      </c>
      <c r="N156" s="50" t="s">
        <v>912</v>
      </c>
      <c r="O156" s="50"/>
    </row>
    <row r="157" spans="1:15" ht="38.25" x14ac:dyDescent="0.2">
      <c r="A157" s="745" t="s">
        <v>877</v>
      </c>
      <c r="B157" s="746" t="s">
        <v>465</v>
      </c>
      <c r="C157" s="747" t="s">
        <v>889</v>
      </c>
      <c r="D157" s="748">
        <v>0.7</v>
      </c>
      <c r="E157" s="743">
        <v>1935</v>
      </c>
      <c r="F157" s="743">
        <f>E157*D157*0.05</f>
        <v>67.725000000000009</v>
      </c>
      <c r="G157" s="743"/>
      <c r="H157" s="749">
        <f t="shared" si="6"/>
        <v>1422.2249999999999</v>
      </c>
      <c r="I157" s="120">
        <f>ROUND((E157+F157+G157)*(kopsavilkums!$O$8)*D157*12*(1+kopsavilkums!$O$23),2)</f>
        <v>2203.89</v>
      </c>
      <c r="K157" s="50"/>
      <c r="L157" s="735" t="s">
        <v>889</v>
      </c>
      <c r="M157" s="50" t="s">
        <v>738</v>
      </c>
      <c r="N157" s="50" t="s">
        <v>912</v>
      </c>
      <c r="O157" s="50"/>
    </row>
    <row r="158" spans="1:15" x14ac:dyDescent="0.2">
      <c r="A158" s="745" t="s">
        <v>877</v>
      </c>
      <c r="B158" s="746" t="s">
        <v>465</v>
      </c>
      <c r="C158" s="747" t="s">
        <v>891</v>
      </c>
      <c r="D158" s="748">
        <v>0.4</v>
      </c>
      <c r="E158" s="743">
        <v>1935</v>
      </c>
      <c r="F158" s="743">
        <f t="shared" si="5"/>
        <v>116.1</v>
      </c>
      <c r="G158" s="743"/>
      <c r="H158" s="749">
        <f t="shared" si="6"/>
        <v>890.1</v>
      </c>
      <c r="I158" s="120">
        <f>ROUND((E158+F158+G158)*(kopsavilkums!$O$8)*D158*12*(1+kopsavilkums!$O$23),2)</f>
        <v>1289.78</v>
      </c>
      <c r="K158" s="50"/>
      <c r="L158" s="735" t="s">
        <v>891</v>
      </c>
      <c r="M158" s="50" t="s">
        <v>738</v>
      </c>
      <c r="N158" s="50" t="s">
        <v>913</v>
      </c>
      <c r="O158" s="50"/>
    </row>
    <row r="159" spans="1:15" ht="89.25" x14ac:dyDescent="0.2">
      <c r="A159" s="745" t="s">
        <v>877</v>
      </c>
      <c r="B159" s="746" t="s">
        <v>465</v>
      </c>
      <c r="C159" s="747" t="s">
        <v>894</v>
      </c>
      <c r="D159" s="748">
        <v>1</v>
      </c>
      <c r="E159" s="743">
        <v>1935</v>
      </c>
      <c r="F159" s="743">
        <f t="shared" si="5"/>
        <v>290.25</v>
      </c>
      <c r="G159" s="743"/>
      <c r="H159" s="749">
        <f t="shared" si="6"/>
        <v>2225.25</v>
      </c>
      <c r="I159" s="120">
        <f>ROUND((E159+F159+G159)*(kopsavilkums!$O$8)*D159*12*(1+kopsavilkums!$O$23),2)</f>
        <v>3498.24</v>
      </c>
      <c r="K159" s="50"/>
      <c r="L159" s="735" t="s">
        <v>894</v>
      </c>
      <c r="M159" s="50" t="s">
        <v>738</v>
      </c>
      <c r="N159" s="50" t="s">
        <v>913</v>
      </c>
      <c r="O159" s="50"/>
    </row>
    <row r="160" spans="1:15" ht="38.25" x14ac:dyDescent="0.2">
      <c r="A160" s="745" t="s">
        <v>877</v>
      </c>
      <c r="B160" s="746" t="s">
        <v>465</v>
      </c>
      <c r="C160" s="747" t="s">
        <v>889</v>
      </c>
      <c r="D160" s="748">
        <v>0.2</v>
      </c>
      <c r="E160" s="743">
        <v>1935</v>
      </c>
      <c r="F160" s="743">
        <f>E160*D160*0.08</f>
        <v>30.96</v>
      </c>
      <c r="G160" s="743"/>
      <c r="H160" s="749">
        <f t="shared" si="6"/>
        <v>417.96</v>
      </c>
      <c r="I160" s="120">
        <f>ROUND((E160+F160+G160)*(kopsavilkums!$O$8)*D160*12*(1+kopsavilkums!$O$23),2)</f>
        <v>618.12</v>
      </c>
      <c r="K160" s="50"/>
      <c r="L160" s="735" t="s">
        <v>889</v>
      </c>
      <c r="M160" s="50" t="s">
        <v>738</v>
      </c>
      <c r="N160" s="50" t="s">
        <v>913</v>
      </c>
      <c r="O160" s="50"/>
    </row>
    <row r="161" spans="1:15" x14ac:dyDescent="0.2">
      <c r="A161" s="745" t="s">
        <v>877</v>
      </c>
      <c r="B161" s="746" t="s">
        <v>465</v>
      </c>
      <c r="C161" s="747" t="s">
        <v>890</v>
      </c>
      <c r="D161" s="748">
        <v>0.2</v>
      </c>
      <c r="E161" s="743">
        <v>1935</v>
      </c>
      <c r="F161" s="743">
        <f>E161*D161*0.08</f>
        <v>30.96</v>
      </c>
      <c r="G161" s="743"/>
      <c r="H161" s="749">
        <f t="shared" si="6"/>
        <v>417.96</v>
      </c>
      <c r="I161" s="120">
        <f>ROUND((E161+F161+G161)*(kopsavilkums!$O$8)*D161*12*(1+kopsavilkums!$O$23),2)</f>
        <v>618.12</v>
      </c>
      <c r="K161" s="50"/>
      <c r="L161" s="735" t="s">
        <v>890</v>
      </c>
      <c r="M161" s="50" t="s">
        <v>738</v>
      </c>
      <c r="N161" s="50" t="s">
        <v>913</v>
      </c>
      <c r="O161" s="50"/>
    </row>
    <row r="162" spans="1:15" x14ac:dyDescent="0.2">
      <c r="A162" s="745" t="s">
        <v>877</v>
      </c>
      <c r="B162" s="746" t="s">
        <v>465</v>
      </c>
      <c r="C162" s="747" t="s">
        <v>895</v>
      </c>
      <c r="D162" s="748">
        <v>0.2</v>
      </c>
      <c r="E162" s="743">
        <v>1935</v>
      </c>
      <c r="F162" s="743">
        <f>E162*D162*0.05</f>
        <v>19.350000000000001</v>
      </c>
      <c r="G162" s="743"/>
      <c r="H162" s="749">
        <f t="shared" si="6"/>
        <v>406.35</v>
      </c>
      <c r="I162" s="120">
        <f>ROUND((E162+F162+G162)*(kopsavilkums!$O$8)*D162*12*(1+kopsavilkums!$O$23),2)</f>
        <v>614.47</v>
      </c>
      <c r="K162" s="50"/>
      <c r="L162" s="735" t="s">
        <v>895</v>
      </c>
      <c r="M162" s="50" t="s">
        <v>738</v>
      </c>
      <c r="N162" s="50" t="s">
        <v>913</v>
      </c>
      <c r="O162" s="50"/>
    </row>
    <row r="163" spans="1:15" x14ac:dyDescent="0.2">
      <c r="A163" s="745" t="s">
        <v>106</v>
      </c>
      <c r="B163" s="746" t="s">
        <v>465</v>
      </c>
      <c r="C163" s="747" t="s">
        <v>890</v>
      </c>
      <c r="D163" s="748">
        <v>0.6</v>
      </c>
      <c r="E163" s="743">
        <v>2445</v>
      </c>
      <c r="F163" s="743">
        <f t="shared" si="5"/>
        <v>220.04999999999998</v>
      </c>
      <c r="G163" s="743"/>
      <c r="H163" s="749">
        <f t="shared" si="6"/>
        <v>1687.05</v>
      </c>
      <c r="I163" s="120">
        <f>ROUND((E163+F163+G163)*(kopsavilkums!$O$8)*D163*12*(1+kopsavilkums!$O$23),2)</f>
        <v>2513.7800000000002</v>
      </c>
      <c r="K163" s="50"/>
      <c r="L163" s="735" t="s">
        <v>890</v>
      </c>
      <c r="M163" s="50" t="s">
        <v>738</v>
      </c>
      <c r="N163" s="50" t="s">
        <v>914</v>
      </c>
      <c r="O163" s="50"/>
    </row>
    <row r="164" spans="1:15" x14ac:dyDescent="0.2">
      <c r="A164" s="745" t="s">
        <v>106</v>
      </c>
      <c r="B164" s="746" t="s">
        <v>465</v>
      </c>
      <c r="C164" s="747" t="s">
        <v>896</v>
      </c>
      <c r="D164" s="748">
        <v>0.4</v>
      </c>
      <c r="E164" s="743">
        <v>2445</v>
      </c>
      <c r="F164" s="743">
        <f>E164*D164*0.1</f>
        <v>97.800000000000011</v>
      </c>
      <c r="G164" s="743"/>
      <c r="H164" s="749">
        <f t="shared" si="6"/>
        <v>1075.8</v>
      </c>
      <c r="I164" s="120">
        <f>ROUND((E164+F164+G164)*(kopsavilkums!$O$8)*D164*12*(1+kopsavilkums!$O$23),2)</f>
        <v>1598.98</v>
      </c>
      <c r="K164" s="50"/>
      <c r="L164" s="735" t="s">
        <v>896</v>
      </c>
      <c r="M164" s="50" t="s">
        <v>738</v>
      </c>
      <c r="N164" s="50" t="s">
        <v>914</v>
      </c>
      <c r="O164" s="50"/>
    </row>
    <row r="165" spans="1:15" ht="25.5" x14ac:dyDescent="0.2">
      <c r="A165" s="745" t="s">
        <v>106</v>
      </c>
      <c r="B165" s="746" t="s">
        <v>465</v>
      </c>
      <c r="C165" s="747" t="s">
        <v>897</v>
      </c>
      <c r="D165" s="748">
        <v>1</v>
      </c>
      <c r="E165" s="743">
        <v>2445</v>
      </c>
      <c r="F165" s="743">
        <f t="shared" si="5"/>
        <v>366.75</v>
      </c>
      <c r="G165" s="743"/>
      <c r="H165" s="749">
        <f t="shared" si="6"/>
        <v>2811.75</v>
      </c>
      <c r="I165" s="120">
        <f>ROUND((E165+F165+G165)*(kopsavilkums!$O$8)*D165*12*(1+kopsavilkums!$O$23),2)</f>
        <v>4420.25</v>
      </c>
      <c r="K165" s="50"/>
      <c r="L165" s="735" t="s">
        <v>897</v>
      </c>
      <c r="M165" s="50" t="s">
        <v>738</v>
      </c>
      <c r="N165" s="50" t="s">
        <v>914</v>
      </c>
      <c r="O165" s="50"/>
    </row>
    <row r="166" spans="1:15" ht="25.5" x14ac:dyDescent="0.2">
      <c r="A166" s="745" t="s">
        <v>106</v>
      </c>
      <c r="B166" s="746" t="s">
        <v>465</v>
      </c>
      <c r="C166" s="747" t="s">
        <v>898</v>
      </c>
      <c r="D166" s="748">
        <v>0.8</v>
      </c>
      <c r="E166" s="743">
        <v>2445</v>
      </c>
      <c r="F166" s="743">
        <f>E166*D166*0.12</f>
        <v>234.72</v>
      </c>
      <c r="G166" s="743"/>
      <c r="H166" s="749">
        <f t="shared" si="6"/>
        <v>2190.7199999999998</v>
      </c>
      <c r="I166" s="120">
        <f>ROUND((E166+F166+G166)*(kopsavilkums!$O$8)*D166*12*(1+kopsavilkums!$O$23),2)</f>
        <v>3370.15</v>
      </c>
      <c r="K166" s="50"/>
      <c r="L166" s="735" t="s">
        <v>898</v>
      </c>
      <c r="M166" s="50" t="s">
        <v>738</v>
      </c>
      <c r="N166" s="50" t="s">
        <v>914</v>
      </c>
      <c r="O166" s="50"/>
    </row>
    <row r="167" spans="1:15" ht="25.5" x14ac:dyDescent="0.2">
      <c r="A167" s="745" t="s">
        <v>106</v>
      </c>
      <c r="B167" s="746" t="s">
        <v>465</v>
      </c>
      <c r="C167" s="747" t="s">
        <v>899</v>
      </c>
      <c r="D167" s="748">
        <v>0.8</v>
      </c>
      <c r="E167" s="743">
        <v>2445</v>
      </c>
      <c r="F167" s="743">
        <f t="shared" si="5"/>
        <v>293.39999999999998</v>
      </c>
      <c r="G167" s="743"/>
      <c r="H167" s="749">
        <f t="shared" si="6"/>
        <v>2249.4</v>
      </c>
      <c r="I167" s="120">
        <f>ROUND((E167+F167+G167)*(kopsavilkums!$O$8)*D167*12*(1+kopsavilkums!$O$23),2)</f>
        <v>3443.95</v>
      </c>
      <c r="K167" s="50"/>
      <c r="L167" s="735" t="s">
        <v>899</v>
      </c>
      <c r="M167" s="50" t="s">
        <v>738</v>
      </c>
      <c r="N167" s="50" t="s">
        <v>914</v>
      </c>
      <c r="O167" s="50"/>
    </row>
    <row r="168" spans="1:15" ht="38.25" x14ac:dyDescent="0.2">
      <c r="A168" s="745" t="s">
        <v>106</v>
      </c>
      <c r="B168" s="746" t="s">
        <v>465</v>
      </c>
      <c r="C168" s="747" t="s">
        <v>889</v>
      </c>
      <c r="D168" s="748">
        <v>0.2</v>
      </c>
      <c r="E168" s="743">
        <v>2445</v>
      </c>
      <c r="F168" s="743">
        <f>E168*D168*0.08</f>
        <v>39.119999999999997</v>
      </c>
      <c r="G168" s="743"/>
      <c r="H168" s="749">
        <f t="shared" si="6"/>
        <v>528.12</v>
      </c>
      <c r="I168" s="120">
        <f>ROUND((E168+F168+G168)*(kopsavilkums!$O$8)*D168*12*(1+kopsavilkums!$O$23),2)</f>
        <v>781.04</v>
      </c>
      <c r="K168" s="50"/>
      <c r="L168" s="735" t="s">
        <v>889</v>
      </c>
      <c r="M168" s="50" t="s">
        <v>738</v>
      </c>
      <c r="N168" s="50" t="s">
        <v>914</v>
      </c>
      <c r="O168" s="50"/>
    </row>
    <row r="169" spans="1:15" x14ac:dyDescent="0.2">
      <c r="A169" s="745" t="s">
        <v>106</v>
      </c>
      <c r="B169" s="746" t="s">
        <v>465</v>
      </c>
      <c r="C169" s="747" t="s">
        <v>900</v>
      </c>
      <c r="D169" s="748">
        <v>1</v>
      </c>
      <c r="E169" s="743">
        <v>2445</v>
      </c>
      <c r="F169" s="743">
        <f t="shared" si="5"/>
        <v>366.75</v>
      </c>
      <c r="G169" s="743"/>
      <c r="H169" s="749">
        <f t="shared" si="6"/>
        <v>2811.75</v>
      </c>
      <c r="I169" s="120">
        <f>ROUND((E169+F169+G169)*(kopsavilkums!$O$8)*D169*12*(1+kopsavilkums!$O$23),2)</f>
        <v>4420.25</v>
      </c>
      <c r="K169" s="50"/>
      <c r="L169" s="735" t="s">
        <v>900</v>
      </c>
      <c r="M169" s="50" t="s">
        <v>738</v>
      </c>
      <c r="N169" s="50" t="s">
        <v>914</v>
      </c>
      <c r="O169" s="50"/>
    </row>
    <row r="170" spans="1:15" x14ac:dyDescent="0.2">
      <c r="A170" s="745" t="s">
        <v>106</v>
      </c>
      <c r="B170" s="746" t="s">
        <v>465</v>
      </c>
      <c r="C170" s="747" t="s">
        <v>901</v>
      </c>
      <c r="D170" s="748">
        <v>1</v>
      </c>
      <c r="E170" s="743">
        <v>2445</v>
      </c>
      <c r="F170" s="743">
        <f>E170*D170*0.15</f>
        <v>366.75</v>
      </c>
      <c r="G170" s="743"/>
      <c r="H170" s="749">
        <f t="shared" si="6"/>
        <v>2811.75</v>
      </c>
      <c r="I170" s="120">
        <f>ROUND((E170+F170+G170)*(kopsavilkums!$O$8)*D170*12*(1+kopsavilkums!$O$23),2)</f>
        <v>4420.25</v>
      </c>
      <c r="K170" s="50"/>
      <c r="L170" s="735" t="s">
        <v>901</v>
      </c>
      <c r="M170" s="50" t="s">
        <v>738</v>
      </c>
      <c r="N170" s="50" t="s">
        <v>914</v>
      </c>
      <c r="O170" s="50"/>
    </row>
    <row r="171" spans="1:15" ht="51" x14ac:dyDescent="0.2">
      <c r="A171" s="745" t="s">
        <v>106</v>
      </c>
      <c r="B171" s="746" t="s">
        <v>465</v>
      </c>
      <c r="C171" s="747" t="s">
        <v>902</v>
      </c>
      <c r="D171" s="748">
        <v>0.8</v>
      </c>
      <c r="E171" s="743">
        <v>2445</v>
      </c>
      <c r="F171" s="743">
        <f t="shared" si="5"/>
        <v>293.39999999999998</v>
      </c>
      <c r="G171" s="743"/>
      <c r="H171" s="749">
        <f t="shared" si="6"/>
        <v>2249.4</v>
      </c>
      <c r="I171" s="120">
        <f>ROUND((E171+F171+G171)*(kopsavilkums!$O$8)*D171*12*(1+kopsavilkums!$O$23),2)</f>
        <v>3443.95</v>
      </c>
      <c r="K171" s="50"/>
      <c r="L171" s="735" t="s">
        <v>902</v>
      </c>
      <c r="M171" s="50" t="s">
        <v>738</v>
      </c>
      <c r="N171" s="50" t="s">
        <v>914</v>
      </c>
      <c r="O171" s="50"/>
    </row>
    <row r="172" spans="1:15" ht="25.5" x14ac:dyDescent="0.2">
      <c r="A172" s="745" t="s">
        <v>106</v>
      </c>
      <c r="B172" s="746" t="s">
        <v>465</v>
      </c>
      <c r="C172" s="747" t="s">
        <v>903</v>
      </c>
      <c r="D172" s="748">
        <v>0.4</v>
      </c>
      <c r="E172" s="743">
        <v>2445</v>
      </c>
      <c r="F172" s="743">
        <f t="shared" si="5"/>
        <v>146.69999999999999</v>
      </c>
      <c r="G172" s="743"/>
      <c r="H172" s="749">
        <f t="shared" si="6"/>
        <v>1124.7</v>
      </c>
      <c r="I172" s="120">
        <f>ROUND((E172+F172+G172)*(kopsavilkums!$O$8)*D172*12*(1+kopsavilkums!$O$23),2)</f>
        <v>1629.73</v>
      </c>
      <c r="K172" s="50"/>
      <c r="L172" s="735" t="s">
        <v>903</v>
      </c>
      <c r="M172" s="50" t="s">
        <v>738</v>
      </c>
      <c r="N172" s="50" t="s">
        <v>914</v>
      </c>
      <c r="O172" s="50"/>
    </row>
    <row r="173" spans="1:15" ht="38.25" x14ac:dyDescent="0.2">
      <c r="A173" s="745" t="s">
        <v>106</v>
      </c>
      <c r="B173" s="746" t="s">
        <v>465</v>
      </c>
      <c r="C173" s="747" t="s">
        <v>889</v>
      </c>
      <c r="D173" s="748">
        <v>0.6</v>
      </c>
      <c r="E173" s="743">
        <v>2445</v>
      </c>
      <c r="F173" s="743">
        <f t="shared" si="5"/>
        <v>220.04999999999998</v>
      </c>
      <c r="G173" s="743"/>
      <c r="H173" s="749">
        <f t="shared" si="6"/>
        <v>1687.05</v>
      </c>
      <c r="I173" s="120">
        <f>ROUND((E173+F173+G173)*(kopsavilkums!$O$8)*D173*12*(1+kopsavilkums!$O$23),2)</f>
        <v>2513.7800000000002</v>
      </c>
      <c r="K173" s="50"/>
      <c r="L173" s="735" t="s">
        <v>889</v>
      </c>
      <c r="M173" s="50" t="s">
        <v>738</v>
      </c>
      <c r="N173" s="50" t="s">
        <v>914</v>
      </c>
      <c r="O173" s="50"/>
    </row>
    <row r="174" spans="1:15" ht="38.25" x14ac:dyDescent="0.2">
      <c r="A174" s="745" t="s">
        <v>106</v>
      </c>
      <c r="B174" s="746" t="s">
        <v>465</v>
      </c>
      <c r="C174" s="747" t="s">
        <v>889</v>
      </c>
      <c r="D174" s="748">
        <v>0.4</v>
      </c>
      <c r="E174" s="743">
        <v>2445</v>
      </c>
      <c r="F174" s="743">
        <f>E174*D174*0.08</f>
        <v>78.239999999999995</v>
      </c>
      <c r="G174" s="743"/>
      <c r="H174" s="749">
        <f t="shared" si="6"/>
        <v>1056.24</v>
      </c>
      <c r="I174" s="120">
        <f>ROUND((E174+F174+G174)*(kopsavilkums!$O$8)*D174*12*(1+kopsavilkums!$O$23),2)</f>
        <v>1586.68</v>
      </c>
      <c r="K174" s="50"/>
      <c r="L174" s="735" t="s">
        <v>889</v>
      </c>
      <c r="M174" s="50" t="s">
        <v>738</v>
      </c>
      <c r="N174" s="50" t="s">
        <v>914</v>
      </c>
      <c r="O174" s="50"/>
    </row>
    <row r="175" spans="1:15" ht="38.25" x14ac:dyDescent="0.2">
      <c r="A175" s="745" t="s">
        <v>106</v>
      </c>
      <c r="B175" s="746" t="s">
        <v>465</v>
      </c>
      <c r="C175" s="747" t="s">
        <v>889</v>
      </c>
      <c r="D175" s="748">
        <v>0.4</v>
      </c>
      <c r="E175" s="743">
        <v>2445</v>
      </c>
      <c r="F175" s="743">
        <f>E175*D175*0.15</f>
        <v>146.69999999999999</v>
      </c>
      <c r="G175" s="743"/>
      <c r="H175" s="749">
        <f t="shared" si="6"/>
        <v>1124.7</v>
      </c>
      <c r="I175" s="120">
        <f>ROUND((E175+F175+G175)*(kopsavilkums!$O$8)*D175*12*(1+kopsavilkums!$O$23),2)</f>
        <v>1629.73</v>
      </c>
      <c r="K175" s="50"/>
      <c r="L175" s="735" t="s">
        <v>889</v>
      </c>
      <c r="M175" s="50" t="s">
        <v>738</v>
      </c>
      <c r="N175" s="50" t="s">
        <v>914</v>
      </c>
      <c r="O175" s="50"/>
    </row>
    <row r="176" spans="1:15" ht="38.25" x14ac:dyDescent="0.2">
      <c r="A176" s="745" t="s">
        <v>106</v>
      </c>
      <c r="B176" s="746" t="s">
        <v>465</v>
      </c>
      <c r="C176" s="747" t="s">
        <v>889</v>
      </c>
      <c r="D176" s="748">
        <v>0.8</v>
      </c>
      <c r="E176" s="743">
        <v>2445</v>
      </c>
      <c r="F176" s="743">
        <f>E176*D176*0.12</f>
        <v>234.72</v>
      </c>
      <c r="G176" s="743"/>
      <c r="H176" s="749">
        <f t="shared" si="6"/>
        <v>2190.7199999999998</v>
      </c>
      <c r="I176" s="120">
        <f>ROUND((E176+F176+G176)*(kopsavilkums!$O$8)*D176*12*(1+kopsavilkums!$O$23),2)</f>
        <v>3370.15</v>
      </c>
      <c r="K176" s="50"/>
      <c r="L176" s="735" t="s">
        <v>889</v>
      </c>
      <c r="M176" s="50" t="s">
        <v>738</v>
      </c>
      <c r="N176" s="50" t="s">
        <v>914</v>
      </c>
      <c r="O176" s="50"/>
    </row>
    <row r="177" spans="1:15" ht="28.5" customHeight="1" x14ac:dyDescent="0.2">
      <c r="A177" s="745" t="s">
        <v>106</v>
      </c>
      <c r="B177" s="746" t="s">
        <v>465</v>
      </c>
      <c r="C177" s="747" t="s">
        <v>897</v>
      </c>
      <c r="D177" s="748">
        <v>0.2</v>
      </c>
      <c r="E177" s="743">
        <v>2445</v>
      </c>
      <c r="F177" s="743">
        <f>E177*D177*0.08</f>
        <v>39.119999999999997</v>
      </c>
      <c r="G177" s="743"/>
      <c r="H177" s="749">
        <f t="shared" si="6"/>
        <v>528.12</v>
      </c>
      <c r="I177" s="120">
        <f>ROUND((E177+F177+G177)*(kopsavilkums!$O$8)*D177*12*(1+kopsavilkums!$O$23),2)</f>
        <v>781.04</v>
      </c>
      <c r="K177" s="50"/>
      <c r="L177" s="735" t="s">
        <v>897</v>
      </c>
      <c r="M177" s="50" t="s">
        <v>738</v>
      </c>
      <c r="N177" s="50" t="s">
        <v>914</v>
      </c>
      <c r="O177" s="50"/>
    </row>
    <row r="178" spans="1:15" x14ac:dyDescent="0.2">
      <c r="A178" s="745" t="s">
        <v>106</v>
      </c>
      <c r="B178" s="746" t="s">
        <v>465</v>
      </c>
      <c r="C178" s="747" t="s">
        <v>896</v>
      </c>
      <c r="D178" s="748">
        <v>0.4</v>
      </c>
      <c r="E178" s="743">
        <v>2445</v>
      </c>
      <c r="F178" s="743">
        <f t="shared" si="5"/>
        <v>146.69999999999999</v>
      </c>
      <c r="G178" s="743"/>
      <c r="H178" s="749">
        <f t="shared" si="6"/>
        <v>1124.7</v>
      </c>
      <c r="I178" s="120">
        <f>ROUND((E178+F178+G178)*(kopsavilkums!$O$8)*D178*12*(1+kopsavilkums!$O$23),2)</f>
        <v>1629.73</v>
      </c>
      <c r="K178" s="50"/>
      <c r="L178" s="735" t="s">
        <v>896</v>
      </c>
      <c r="M178" s="50" t="s">
        <v>738</v>
      </c>
      <c r="N178" s="50" t="s">
        <v>914</v>
      </c>
      <c r="O178" s="50"/>
    </row>
    <row r="179" spans="1:15" x14ac:dyDescent="0.2">
      <c r="A179" s="745" t="s">
        <v>106</v>
      </c>
      <c r="B179" s="746" t="s">
        <v>465</v>
      </c>
      <c r="C179" s="747" t="s">
        <v>890</v>
      </c>
      <c r="D179" s="748">
        <v>0.6</v>
      </c>
      <c r="E179" s="743">
        <v>2445</v>
      </c>
      <c r="F179" s="743">
        <f>E179*D179*0.05</f>
        <v>73.350000000000009</v>
      </c>
      <c r="G179" s="743"/>
      <c r="H179" s="749">
        <f t="shared" si="6"/>
        <v>1540.35</v>
      </c>
      <c r="I179" s="120">
        <f>ROUND((E179+F179+G179)*(kopsavilkums!$O$8)*D179*12*(1+kopsavilkums!$O$23),2)</f>
        <v>2375.41</v>
      </c>
      <c r="K179" s="50"/>
      <c r="L179" s="735" t="s">
        <v>890</v>
      </c>
      <c r="M179" s="50" t="s">
        <v>738</v>
      </c>
      <c r="N179" s="50" t="s">
        <v>914</v>
      </c>
      <c r="O179" s="50"/>
    </row>
    <row r="180" spans="1:15" x14ac:dyDescent="0.2">
      <c r="A180" s="745" t="s">
        <v>106</v>
      </c>
      <c r="B180" s="746" t="s">
        <v>465</v>
      </c>
      <c r="C180" s="747" t="s">
        <v>900</v>
      </c>
      <c r="D180" s="748">
        <v>0.3</v>
      </c>
      <c r="E180" s="743">
        <v>2445</v>
      </c>
      <c r="F180" s="751">
        <f>E180*D180*0.15</f>
        <v>110.02499999999999</v>
      </c>
      <c r="G180" s="743"/>
      <c r="H180" s="749">
        <f t="shared" si="6"/>
        <v>843.52499999999998</v>
      </c>
      <c r="I180" s="120">
        <f>ROUND((E180+F180+G180)*(kopsavilkums!$O$8)*D180*12*(1+kopsavilkums!$O$23),2)</f>
        <v>1205</v>
      </c>
      <c r="K180" s="50"/>
      <c r="L180" s="735" t="s">
        <v>900</v>
      </c>
      <c r="M180" s="50" t="s">
        <v>738</v>
      </c>
      <c r="N180" s="50" t="s">
        <v>914</v>
      </c>
      <c r="O180" s="50"/>
    </row>
    <row r="181" spans="1:15" x14ac:dyDescent="0.2">
      <c r="A181" s="745" t="s">
        <v>106</v>
      </c>
      <c r="B181" s="746" t="s">
        <v>465</v>
      </c>
      <c r="C181" s="747" t="s">
        <v>904</v>
      </c>
      <c r="D181" s="748">
        <v>0.3</v>
      </c>
      <c r="E181" s="743">
        <v>2445</v>
      </c>
      <c r="F181" s="751">
        <f>E181*D181*0.12</f>
        <v>88.02</v>
      </c>
      <c r="G181" s="743"/>
      <c r="H181" s="749">
        <f t="shared" si="6"/>
        <v>821.52</v>
      </c>
      <c r="I181" s="120">
        <f>ROUND((E181+F181+G181)*(kopsavilkums!$O$8)*D181*12*(1+kopsavilkums!$O$23),2)</f>
        <v>1194.6199999999999</v>
      </c>
      <c r="K181" s="50"/>
      <c r="L181" s="735" t="s">
        <v>904</v>
      </c>
      <c r="M181" s="50" t="s">
        <v>738</v>
      </c>
      <c r="N181" s="50" t="s">
        <v>914</v>
      </c>
      <c r="O181" s="50"/>
    </row>
    <row r="182" spans="1:15" x14ac:dyDescent="0.2">
      <c r="A182" s="745" t="s">
        <v>106</v>
      </c>
      <c r="B182" s="746" t="s">
        <v>465</v>
      </c>
      <c r="C182" s="747" t="s">
        <v>891</v>
      </c>
      <c r="D182" s="748">
        <v>0.4</v>
      </c>
      <c r="E182" s="743">
        <v>2445</v>
      </c>
      <c r="F182" s="743">
        <f>E182*D182*0.15</f>
        <v>146.69999999999999</v>
      </c>
      <c r="G182" s="743"/>
      <c r="H182" s="749">
        <f t="shared" si="6"/>
        <v>1124.7</v>
      </c>
      <c r="I182" s="120">
        <f>ROUND((E182+F182+G182)*(kopsavilkums!$O$8)*D182*12*(1+kopsavilkums!$O$23),2)</f>
        <v>1629.73</v>
      </c>
      <c r="K182" s="50"/>
      <c r="L182" s="735" t="s">
        <v>891</v>
      </c>
      <c r="M182" s="50" t="s">
        <v>738</v>
      </c>
      <c r="N182" s="50" t="s">
        <v>914</v>
      </c>
      <c r="O182" s="50"/>
    </row>
    <row r="183" spans="1:15" x14ac:dyDescent="0.2">
      <c r="A183" s="745" t="s">
        <v>877</v>
      </c>
      <c r="B183" s="746" t="s">
        <v>465</v>
      </c>
      <c r="C183" s="747" t="s">
        <v>905</v>
      </c>
      <c r="D183" s="748">
        <v>1</v>
      </c>
      <c r="E183" s="743">
        <v>1935</v>
      </c>
      <c r="F183" s="743">
        <f t="shared" ref="F183" si="7">E183*D183*0.15</f>
        <v>290.25</v>
      </c>
      <c r="G183" s="743"/>
      <c r="H183" s="749">
        <f t="shared" si="6"/>
        <v>2225.25</v>
      </c>
      <c r="I183" s="120">
        <f>ROUND((E183+F183+G183)*(kopsavilkums!$O$8)*D183*12*(1+kopsavilkums!$O$23),2)</f>
        <v>3498.24</v>
      </c>
      <c r="K183" s="50"/>
      <c r="L183" s="735" t="s">
        <v>905</v>
      </c>
      <c r="M183" s="50" t="s">
        <v>738</v>
      </c>
      <c r="N183" s="50" t="s">
        <v>914</v>
      </c>
      <c r="O183" s="50"/>
    </row>
    <row r="184" spans="1:15" x14ac:dyDescent="0.2">
      <c r="A184" s="745" t="s">
        <v>877</v>
      </c>
      <c r="B184" s="746" t="s">
        <v>465</v>
      </c>
      <c r="C184" s="747" t="s">
        <v>906</v>
      </c>
      <c r="D184" s="748">
        <v>0.5</v>
      </c>
      <c r="E184" s="743">
        <v>1935</v>
      </c>
      <c r="F184" s="751">
        <f>E184*D184*0.15</f>
        <v>145.125</v>
      </c>
      <c r="G184" s="743"/>
      <c r="H184" s="749">
        <f t="shared" si="6"/>
        <v>1112.625</v>
      </c>
      <c r="I184" s="120">
        <f>ROUND((E184+F184+G184)*(kopsavilkums!$O$8)*D184*12*(1+kopsavilkums!$O$23),2)</f>
        <v>1635.05</v>
      </c>
      <c r="K184" s="50"/>
      <c r="L184" s="735" t="s">
        <v>906</v>
      </c>
      <c r="M184" s="50" t="s">
        <v>738</v>
      </c>
      <c r="N184" s="50" t="s">
        <v>914</v>
      </c>
      <c r="O184" s="50"/>
    </row>
    <row r="185" spans="1:15" x14ac:dyDescent="0.2">
      <c r="A185" s="745" t="s">
        <v>877</v>
      </c>
      <c r="B185" s="746" t="s">
        <v>465</v>
      </c>
      <c r="C185" s="747" t="s">
        <v>890</v>
      </c>
      <c r="D185" s="748">
        <v>1</v>
      </c>
      <c r="E185" s="743">
        <v>1935</v>
      </c>
      <c r="F185" s="751">
        <f t="shared" ref="F185" si="8">E185*D185*0.15</f>
        <v>290.25</v>
      </c>
      <c r="G185" s="743"/>
      <c r="H185" s="749">
        <f t="shared" si="6"/>
        <v>2225.25</v>
      </c>
      <c r="I185" s="120">
        <f>ROUND((E185+F185+G185)*(kopsavilkums!$O$8)*D185*12*(1+kopsavilkums!$O$23),2)</f>
        <v>3498.24</v>
      </c>
      <c r="K185" s="50"/>
      <c r="L185" s="735" t="s">
        <v>890</v>
      </c>
      <c r="M185" s="50" t="s">
        <v>738</v>
      </c>
      <c r="N185" s="50" t="s">
        <v>915</v>
      </c>
      <c r="O185" s="50"/>
    </row>
    <row r="186" spans="1:15" ht="25.5" x14ac:dyDescent="0.2">
      <c r="A186" s="745" t="s">
        <v>877</v>
      </c>
      <c r="B186" s="746" t="s">
        <v>465</v>
      </c>
      <c r="C186" s="747" t="s">
        <v>907</v>
      </c>
      <c r="D186" s="748">
        <v>0.5</v>
      </c>
      <c r="E186" s="743">
        <v>1935</v>
      </c>
      <c r="F186" s="751">
        <f>E186*D186*0.1</f>
        <v>96.75</v>
      </c>
      <c r="G186" s="743"/>
      <c r="H186" s="749">
        <f t="shared" si="6"/>
        <v>1064.25</v>
      </c>
      <c r="I186" s="120">
        <f>ROUND((E186+F186+G186)*(kopsavilkums!$O$8)*D186*12*(1+kopsavilkums!$O$23),2)</f>
        <v>1597.02</v>
      </c>
      <c r="K186" s="50"/>
      <c r="L186" s="735" t="s">
        <v>907</v>
      </c>
      <c r="M186" s="50" t="s">
        <v>738</v>
      </c>
      <c r="N186" s="50" t="s">
        <v>915</v>
      </c>
      <c r="O186" s="50"/>
    </row>
    <row r="187" spans="1:15" ht="38.25" x14ac:dyDescent="0.2">
      <c r="A187" s="745" t="s">
        <v>877</v>
      </c>
      <c r="B187" s="746" t="s">
        <v>465</v>
      </c>
      <c r="C187" s="747" t="s">
        <v>889</v>
      </c>
      <c r="D187" s="748">
        <v>1</v>
      </c>
      <c r="E187" s="743">
        <v>1935</v>
      </c>
      <c r="F187" s="751">
        <f t="shared" ref="F187:F188" si="9">E187*D187*0.15</f>
        <v>290.25</v>
      </c>
      <c r="G187" s="743"/>
      <c r="H187" s="749">
        <f t="shared" si="6"/>
        <v>2225.25</v>
      </c>
      <c r="I187" s="120">
        <f>ROUND((E187+F187+G187)*(kopsavilkums!$O$8)*D187*12*(1+kopsavilkums!$O$23),2)</f>
        <v>3498.24</v>
      </c>
      <c r="K187" s="50"/>
      <c r="L187" s="735" t="s">
        <v>889</v>
      </c>
      <c r="M187" s="50" t="s">
        <v>738</v>
      </c>
      <c r="N187" s="50" t="s">
        <v>915</v>
      </c>
      <c r="O187" s="50"/>
    </row>
    <row r="188" spans="1:15" ht="38.25" x14ac:dyDescent="0.2">
      <c r="A188" s="745" t="s">
        <v>877</v>
      </c>
      <c r="B188" s="746" t="s">
        <v>465</v>
      </c>
      <c r="C188" s="747" t="s">
        <v>889</v>
      </c>
      <c r="D188" s="748">
        <v>0.75</v>
      </c>
      <c r="E188" s="743">
        <v>1935</v>
      </c>
      <c r="F188" s="751">
        <f t="shared" si="9"/>
        <v>217.6875</v>
      </c>
      <c r="G188" s="743"/>
      <c r="H188" s="749">
        <f t="shared" si="6"/>
        <v>1668.9375</v>
      </c>
      <c r="I188" s="120">
        <f>ROUND((E188+F188+G188)*(kopsavilkums!$O$8)*D188*12*(1+kopsavilkums!$O$23),2)</f>
        <v>2538.12</v>
      </c>
      <c r="K188" s="50"/>
      <c r="L188" s="735" t="s">
        <v>889</v>
      </c>
      <c r="M188" s="50" t="s">
        <v>738</v>
      </c>
      <c r="N188" s="50" t="s">
        <v>915</v>
      </c>
      <c r="O188" s="50"/>
    </row>
    <row r="189" spans="1:15" ht="25.5" x14ac:dyDescent="0.2">
      <c r="A189" s="745" t="s">
        <v>877</v>
      </c>
      <c r="B189" s="746" t="s">
        <v>465</v>
      </c>
      <c r="C189" s="747" t="s">
        <v>908</v>
      </c>
      <c r="D189" s="748">
        <v>1</v>
      </c>
      <c r="E189" s="743">
        <v>1935</v>
      </c>
      <c r="F189" s="751">
        <f t="shared" si="5"/>
        <v>290.25</v>
      </c>
      <c r="G189" s="743"/>
      <c r="H189" s="749">
        <f t="shared" si="6"/>
        <v>2225.25</v>
      </c>
      <c r="I189" s="120">
        <f>ROUND((E189+F189+G189)*(kopsavilkums!$O$8)*D189*12*(1+kopsavilkums!$O$23),2)</f>
        <v>3498.24</v>
      </c>
      <c r="K189" s="50"/>
      <c r="L189" s="735" t="s">
        <v>908</v>
      </c>
      <c r="M189" s="50" t="s">
        <v>738</v>
      </c>
      <c r="N189" s="50" t="s">
        <v>915</v>
      </c>
      <c r="O189" s="50"/>
    </row>
    <row r="190" spans="1:15" x14ac:dyDescent="0.2">
      <c r="A190" s="745" t="s">
        <v>877</v>
      </c>
      <c r="B190" s="746" t="s">
        <v>465</v>
      </c>
      <c r="C190" s="747" t="s">
        <v>895</v>
      </c>
      <c r="D190" s="748">
        <v>1</v>
      </c>
      <c r="E190" s="743">
        <v>1935</v>
      </c>
      <c r="F190" s="751">
        <f>E190*D190*0.1</f>
        <v>193.5</v>
      </c>
      <c r="G190" s="743"/>
      <c r="H190" s="749">
        <f t="shared" si="6"/>
        <v>2128.5</v>
      </c>
      <c r="I190" s="120">
        <f>ROUND((E190+F190+G190)*(kopsavilkums!$O$8)*D190*12*(1+kopsavilkums!$O$23),2)</f>
        <v>3346.14</v>
      </c>
      <c r="K190" s="50"/>
      <c r="L190" s="735" t="s">
        <v>895</v>
      </c>
      <c r="M190" s="50" t="s">
        <v>738</v>
      </c>
      <c r="N190" s="50" t="s">
        <v>915</v>
      </c>
      <c r="O190" s="50"/>
    </row>
    <row r="191" spans="1:15" ht="24" customHeight="1" x14ac:dyDescent="0.2">
      <c r="A191" s="276" t="s">
        <v>87</v>
      </c>
      <c r="B191" s="484"/>
      <c r="C191" s="484"/>
      <c r="D191" s="277">
        <f>SUM(D192:D194)</f>
        <v>1.7999999999999998</v>
      </c>
      <c r="E191" s="277">
        <f>SUM(E192:E194)</f>
        <v>5400</v>
      </c>
      <c r="F191" s="277">
        <f t="shared" ref="F191:H191" si="10">SUM(F192:F194)</f>
        <v>259.2</v>
      </c>
      <c r="G191" s="277">
        <f t="shared" si="10"/>
        <v>0</v>
      </c>
      <c r="H191" s="277">
        <f t="shared" si="10"/>
        <v>3499.2</v>
      </c>
      <c r="I191" s="120"/>
      <c r="K191" s="50"/>
      <c r="L191" s="50"/>
      <c r="M191" s="50"/>
      <c r="N191" s="50"/>
      <c r="O191" s="50"/>
    </row>
    <row r="192" spans="1:15" ht="13.5" customHeight="1" x14ac:dyDescent="0.2">
      <c r="A192" s="745" t="s">
        <v>121</v>
      </c>
      <c r="B192" s="746" t="s">
        <v>470</v>
      </c>
      <c r="C192" s="752" t="s">
        <v>916</v>
      </c>
      <c r="D192" s="748">
        <v>1</v>
      </c>
      <c r="E192" s="743">
        <v>1800</v>
      </c>
      <c r="F192" s="753">
        <f>E192*D192*0.08</f>
        <v>144</v>
      </c>
      <c r="G192" s="743"/>
      <c r="H192" s="749">
        <f t="shared" ref="H192:H194" si="11">D192*E192+F192+G192</f>
        <v>1944</v>
      </c>
      <c r="I192" s="120">
        <f>ROUND((E192+F192+G192)*(kopsavilkums!$O$8)*D192*12*(1+kopsavilkums!$O$23),2)</f>
        <v>3056.09</v>
      </c>
      <c r="K192" s="50"/>
      <c r="L192" s="50" t="s">
        <v>916</v>
      </c>
      <c r="M192" s="50" t="s">
        <v>738</v>
      </c>
      <c r="N192" s="50" t="s">
        <v>913</v>
      </c>
      <c r="O192" s="50"/>
    </row>
    <row r="193" spans="1:15" ht="12.75" customHeight="1" x14ac:dyDescent="0.2">
      <c r="A193" s="745" t="s">
        <v>121</v>
      </c>
      <c r="B193" s="746" t="s">
        <v>470</v>
      </c>
      <c r="C193" s="752" t="s">
        <v>916</v>
      </c>
      <c r="D193" s="748">
        <v>0.4</v>
      </c>
      <c r="E193" s="743">
        <v>1800</v>
      </c>
      <c r="F193" s="743">
        <f>E193*D193*0.08</f>
        <v>57.6</v>
      </c>
      <c r="G193" s="743"/>
      <c r="H193" s="749">
        <f t="shared" si="11"/>
        <v>777.6</v>
      </c>
      <c r="I193" s="120">
        <f>ROUND((E193+F193+G193)*(kopsavilkums!$O$8)*D193*12*(1+kopsavilkums!$O$23),2)</f>
        <v>1168.1099999999999</v>
      </c>
      <c r="K193" s="50"/>
      <c r="L193" s="50" t="s">
        <v>916</v>
      </c>
      <c r="M193" s="50" t="s">
        <v>738</v>
      </c>
      <c r="N193" s="50" t="s">
        <v>913</v>
      </c>
      <c r="O193" s="50"/>
    </row>
    <row r="194" spans="1:15" ht="12.75" customHeight="1" x14ac:dyDescent="0.2">
      <c r="A194" s="745" t="s">
        <v>121</v>
      </c>
      <c r="B194" s="746" t="s">
        <v>470</v>
      </c>
      <c r="C194" s="752" t="s">
        <v>916</v>
      </c>
      <c r="D194" s="748">
        <v>0.4</v>
      </c>
      <c r="E194" s="743">
        <v>1800</v>
      </c>
      <c r="F194" s="743">
        <f>E194*D194*0.08</f>
        <v>57.6</v>
      </c>
      <c r="G194" s="743"/>
      <c r="H194" s="749">
        <f t="shared" si="11"/>
        <v>777.6</v>
      </c>
      <c r="I194" s="120">
        <f>ROUND((E194+F194+G194)*(kopsavilkums!$O$8)*D194*12*(1+kopsavilkums!$O$23),2)</f>
        <v>1168.1099999999999</v>
      </c>
      <c r="K194" s="50"/>
      <c r="L194" s="50" t="s">
        <v>916</v>
      </c>
      <c r="M194" s="50" t="s">
        <v>738</v>
      </c>
      <c r="N194" s="50" t="s">
        <v>913</v>
      </c>
      <c r="O194" s="50"/>
    </row>
    <row r="195" spans="1:15" ht="63.75" x14ac:dyDescent="0.2">
      <c r="A195" s="723" t="s">
        <v>434</v>
      </c>
      <c r="B195" s="723"/>
      <c r="C195" s="723"/>
      <c r="D195" s="724">
        <f>SUM(D196:D240)</f>
        <v>40.1</v>
      </c>
      <c r="E195" s="724">
        <f t="shared" ref="E195:H195" si="12">SUM(E196:E240)</f>
        <v>74715</v>
      </c>
      <c r="F195" s="724">
        <f t="shared" si="12"/>
        <v>8220.15</v>
      </c>
      <c r="G195" s="724">
        <f t="shared" si="12"/>
        <v>0</v>
      </c>
      <c r="H195" s="724">
        <f t="shared" si="12"/>
        <v>74776.900000000009</v>
      </c>
      <c r="I195" s="723"/>
      <c r="K195" s="50"/>
      <c r="L195" s="50"/>
      <c r="M195" s="50"/>
      <c r="N195" s="50"/>
      <c r="O195" s="50"/>
    </row>
    <row r="196" spans="1:15" ht="38.25" x14ac:dyDescent="0.2">
      <c r="A196" s="745" t="s">
        <v>108</v>
      </c>
      <c r="B196" s="746" t="s">
        <v>528</v>
      </c>
      <c r="C196" s="747" t="s">
        <v>917</v>
      </c>
      <c r="D196" s="748">
        <v>1</v>
      </c>
      <c r="E196" s="743">
        <v>1670</v>
      </c>
      <c r="F196" s="743">
        <f>D196*E196*0.15</f>
        <v>250.5</v>
      </c>
      <c r="G196" s="743"/>
      <c r="H196" s="749">
        <f t="shared" ref="H196:H240" si="13">D196*E196+F196+G196</f>
        <v>1920.5</v>
      </c>
      <c r="I196" s="120">
        <f>ROUND((E196+F196+G196)*(kopsavilkums!$O$12)*D196*12*(1+kopsavilkums!$O$23),2)</f>
        <v>1851.37</v>
      </c>
      <c r="K196" s="50"/>
      <c r="L196" s="735" t="s">
        <v>917</v>
      </c>
      <c r="M196" s="50" t="s">
        <v>738</v>
      </c>
      <c r="N196" s="50" t="s">
        <v>909</v>
      </c>
      <c r="O196" s="50"/>
    </row>
    <row r="197" spans="1:15" ht="38.25" x14ac:dyDescent="0.2">
      <c r="A197" s="745" t="s">
        <v>108</v>
      </c>
      <c r="B197" s="746" t="s">
        <v>528</v>
      </c>
      <c r="C197" s="747" t="s">
        <v>917</v>
      </c>
      <c r="D197" s="748">
        <v>1</v>
      </c>
      <c r="E197" s="743">
        <v>1670</v>
      </c>
      <c r="F197" s="743">
        <f t="shared" ref="F197:F206" si="14">D197*E197*0.15</f>
        <v>250.5</v>
      </c>
      <c r="G197" s="743"/>
      <c r="H197" s="749">
        <f t="shared" si="13"/>
        <v>1920.5</v>
      </c>
      <c r="I197" s="120">
        <f>ROUND((E197+F197+G197)*(kopsavilkums!$O$12)*D197*12*(1+kopsavilkums!$O$23),2)</f>
        <v>1851.37</v>
      </c>
      <c r="K197" s="50"/>
      <c r="L197" s="735" t="s">
        <v>917</v>
      </c>
      <c r="M197" s="50" t="s">
        <v>738</v>
      </c>
      <c r="N197" s="50" t="s">
        <v>909</v>
      </c>
      <c r="O197" s="50"/>
    </row>
    <row r="198" spans="1:15" ht="38.25" x14ac:dyDescent="0.2">
      <c r="A198" s="745" t="s">
        <v>491</v>
      </c>
      <c r="B198" s="746" t="s">
        <v>486</v>
      </c>
      <c r="C198" s="747" t="s">
        <v>918</v>
      </c>
      <c r="D198" s="748">
        <v>0.8</v>
      </c>
      <c r="E198" s="743">
        <v>1665</v>
      </c>
      <c r="F198" s="743">
        <f t="shared" si="14"/>
        <v>199.79999999999998</v>
      </c>
      <c r="G198" s="743"/>
      <c r="H198" s="749">
        <f>D198*E198+F198+G198</f>
        <v>1531.8</v>
      </c>
      <c r="I198" s="120">
        <f>ROUND((E198+F198+G198)*(kopsavilkums!$O$12)*D198*12*(1+kopsavilkums!$O$23),2)</f>
        <v>1438.14</v>
      </c>
      <c r="K198" s="50"/>
      <c r="L198" s="735" t="s">
        <v>918</v>
      </c>
      <c r="M198" s="50" t="s">
        <v>738</v>
      </c>
      <c r="N198" s="50" t="s">
        <v>914</v>
      </c>
      <c r="O198" s="50"/>
    </row>
    <row r="199" spans="1:15" ht="38.25" x14ac:dyDescent="0.2">
      <c r="A199" s="745" t="s">
        <v>108</v>
      </c>
      <c r="B199" s="746" t="s">
        <v>528</v>
      </c>
      <c r="C199" s="747" t="s">
        <v>917</v>
      </c>
      <c r="D199" s="748">
        <v>1</v>
      </c>
      <c r="E199" s="743">
        <v>1670</v>
      </c>
      <c r="F199" s="743">
        <f t="shared" si="14"/>
        <v>250.5</v>
      </c>
      <c r="G199" s="743"/>
      <c r="H199" s="749">
        <f t="shared" si="13"/>
        <v>1920.5</v>
      </c>
      <c r="I199" s="120">
        <f>ROUND((E199+F199+G199)*(kopsavilkums!$O$12)*D199*12*(1+kopsavilkums!$O$23),2)</f>
        <v>1851.37</v>
      </c>
      <c r="K199" s="50"/>
      <c r="L199" s="735" t="s">
        <v>917</v>
      </c>
      <c r="M199" s="50" t="s">
        <v>738</v>
      </c>
      <c r="N199" s="50" t="s">
        <v>912</v>
      </c>
      <c r="O199" s="50"/>
    </row>
    <row r="200" spans="1:15" ht="38.25" x14ac:dyDescent="0.2">
      <c r="A200" s="745" t="s">
        <v>491</v>
      </c>
      <c r="B200" s="746" t="s">
        <v>486</v>
      </c>
      <c r="C200" s="747" t="s">
        <v>918</v>
      </c>
      <c r="D200" s="748">
        <v>1</v>
      </c>
      <c r="E200" s="743">
        <v>1665</v>
      </c>
      <c r="F200" s="743">
        <f>D200*E200*0.08</f>
        <v>133.19999999999999</v>
      </c>
      <c r="G200" s="743"/>
      <c r="H200" s="749">
        <f t="shared" si="13"/>
        <v>1798.2</v>
      </c>
      <c r="I200" s="120">
        <f>ROUND((E200+F200+G200)*(kopsavilkums!$O$12)*D200*12*(1+kopsavilkums!$O$23),2)</f>
        <v>1733.47</v>
      </c>
      <c r="K200" s="50"/>
      <c r="L200" s="735" t="s">
        <v>918</v>
      </c>
      <c r="M200" s="50" t="s">
        <v>738</v>
      </c>
      <c r="N200" s="50" t="s">
        <v>912</v>
      </c>
      <c r="O200" s="50"/>
    </row>
    <row r="201" spans="1:15" ht="25.5" x14ac:dyDescent="0.2">
      <c r="A201" s="745" t="s">
        <v>491</v>
      </c>
      <c r="B201" s="746" t="s">
        <v>486</v>
      </c>
      <c r="C201" s="747" t="s">
        <v>919</v>
      </c>
      <c r="D201" s="748">
        <v>1</v>
      </c>
      <c r="E201" s="743">
        <v>1665</v>
      </c>
      <c r="F201" s="743">
        <f t="shared" ref="F201:F202" si="15">D201*E201*0.15</f>
        <v>249.75</v>
      </c>
      <c r="G201" s="743"/>
      <c r="H201" s="749">
        <f t="shared" si="13"/>
        <v>1914.75</v>
      </c>
      <c r="I201" s="120">
        <f>ROUND((E201+F201+G201)*(kopsavilkums!$O$12)*D201*12*(1+kopsavilkums!$O$23),2)</f>
        <v>1845.82</v>
      </c>
      <c r="K201" s="50"/>
      <c r="L201" s="735" t="s">
        <v>919</v>
      </c>
      <c r="M201" s="50" t="s">
        <v>738</v>
      </c>
      <c r="N201" s="50" t="s">
        <v>912</v>
      </c>
      <c r="O201" s="50"/>
    </row>
    <row r="202" spans="1:15" ht="25.5" x14ac:dyDescent="0.2">
      <c r="A202" s="745" t="s">
        <v>491</v>
      </c>
      <c r="B202" s="746" t="s">
        <v>486</v>
      </c>
      <c r="C202" s="747" t="s">
        <v>920</v>
      </c>
      <c r="D202" s="748">
        <v>1</v>
      </c>
      <c r="E202" s="743">
        <v>1665</v>
      </c>
      <c r="F202" s="743">
        <f t="shared" si="15"/>
        <v>249.75</v>
      </c>
      <c r="G202" s="743"/>
      <c r="H202" s="749">
        <f t="shared" si="13"/>
        <v>1914.75</v>
      </c>
      <c r="I202" s="120">
        <f>ROUND((E202+F202+G202)*(kopsavilkums!$O$12)*D202*12*(1+kopsavilkums!$O$23),2)</f>
        <v>1845.82</v>
      </c>
      <c r="K202" s="50"/>
      <c r="L202" s="735" t="s">
        <v>920</v>
      </c>
      <c r="M202" s="50" t="s">
        <v>738</v>
      </c>
      <c r="N202" s="50" t="s">
        <v>911</v>
      </c>
      <c r="O202" s="50"/>
    </row>
    <row r="203" spans="1:15" ht="38.25" x14ac:dyDescent="0.2">
      <c r="A203" s="745" t="s">
        <v>491</v>
      </c>
      <c r="B203" s="746" t="s">
        <v>486</v>
      </c>
      <c r="C203" s="747" t="s">
        <v>918</v>
      </c>
      <c r="D203" s="748">
        <v>1</v>
      </c>
      <c r="E203" s="743">
        <v>1665</v>
      </c>
      <c r="F203" s="743">
        <f t="shared" si="14"/>
        <v>249.75</v>
      </c>
      <c r="G203" s="743"/>
      <c r="H203" s="749">
        <f t="shared" si="13"/>
        <v>1914.75</v>
      </c>
      <c r="I203" s="120">
        <f>ROUND((E203+F203+G203)*(kopsavilkums!$O$12)*D203*12*(1+kopsavilkums!$O$23),2)</f>
        <v>1845.82</v>
      </c>
      <c r="K203" s="50"/>
      <c r="L203" s="735" t="s">
        <v>918</v>
      </c>
      <c r="M203" s="50" t="s">
        <v>738</v>
      </c>
      <c r="N203" s="50" t="s">
        <v>914</v>
      </c>
      <c r="O203" s="50"/>
    </row>
    <row r="204" spans="1:15" ht="38.25" x14ac:dyDescent="0.2">
      <c r="A204" s="745" t="s">
        <v>880</v>
      </c>
      <c r="B204" s="746" t="s">
        <v>528</v>
      </c>
      <c r="C204" s="747" t="s">
        <v>917</v>
      </c>
      <c r="D204" s="748">
        <v>1</v>
      </c>
      <c r="E204" s="743">
        <v>1520</v>
      </c>
      <c r="F204" s="743">
        <f t="shared" si="14"/>
        <v>228</v>
      </c>
      <c r="G204" s="743"/>
      <c r="H204" s="749">
        <f t="shared" si="13"/>
        <v>1748</v>
      </c>
      <c r="I204" s="120">
        <f>ROUND((E204+F204+G204)*(kopsavilkums!$O$12)*D204*12*(1+kopsavilkums!$O$23),2)</f>
        <v>1685.08</v>
      </c>
      <c r="K204" s="50"/>
      <c r="L204" s="735" t="s">
        <v>917</v>
      </c>
      <c r="M204" s="50" t="s">
        <v>738</v>
      </c>
      <c r="N204" s="50" t="s">
        <v>914</v>
      </c>
      <c r="O204" s="50"/>
    </row>
    <row r="205" spans="1:15" ht="25.5" x14ac:dyDescent="0.2">
      <c r="A205" s="745" t="s">
        <v>16</v>
      </c>
      <c r="B205" s="746" t="s">
        <v>537</v>
      </c>
      <c r="C205" s="747" t="s">
        <v>921</v>
      </c>
      <c r="D205" s="748">
        <v>1</v>
      </c>
      <c r="E205" s="743">
        <v>1655</v>
      </c>
      <c r="F205" s="743">
        <f>D205*E205*0.15</f>
        <v>248.25</v>
      </c>
      <c r="G205" s="743"/>
      <c r="H205" s="749">
        <f t="shared" si="13"/>
        <v>1903.25</v>
      </c>
      <c r="I205" s="120">
        <f>ROUND((E205+F205+G205)*(kopsavilkums!$O$12)*D205*12*(1+kopsavilkums!$O$23),2)</f>
        <v>1834.74</v>
      </c>
      <c r="K205" s="50"/>
      <c r="L205" s="735" t="s">
        <v>921</v>
      </c>
      <c r="M205" s="50" t="s">
        <v>738</v>
      </c>
      <c r="N205" s="50" t="s">
        <v>914</v>
      </c>
      <c r="O205" s="50"/>
    </row>
    <row r="206" spans="1:15" ht="25.5" x14ac:dyDescent="0.2">
      <c r="A206" s="745" t="s">
        <v>16</v>
      </c>
      <c r="B206" s="746" t="s">
        <v>537</v>
      </c>
      <c r="C206" s="747" t="s">
        <v>921</v>
      </c>
      <c r="D206" s="748">
        <v>0.9</v>
      </c>
      <c r="E206" s="743">
        <v>1655</v>
      </c>
      <c r="F206" s="751">
        <f t="shared" si="14"/>
        <v>223.42499999999998</v>
      </c>
      <c r="G206" s="743"/>
      <c r="H206" s="749">
        <f t="shared" si="13"/>
        <v>1712.925</v>
      </c>
      <c r="I206" s="120">
        <f>ROUND((E206+F206+G206)*(kopsavilkums!$O$12)*D206*12*(1+kopsavilkums!$O$23),2)</f>
        <v>1629.72</v>
      </c>
      <c r="K206" s="50"/>
      <c r="L206" s="735" t="s">
        <v>921</v>
      </c>
      <c r="M206" s="50" t="s">
        <v>738</v>
      </c>
      <c r="N206" s="50" t="s">
        <v>914</v>
      </c>
      <c r="O206" s="50"/>
    </row>
    <row r="207" spans="1:15" ht="25.5" x14ac:dyDescent="0.2">
      <c r="A207" s="745" t="s">
        <v>109</v>
      </c>
      <c r="B207" s="746" t="s">
        <v>540</v>
      </c>
      <c r="C207" s="747" t="s">
        <v>922</v>
      </c>
      <c r="D207" s="748">
        <v>0.2</v>
      </c>
      <c r="E207" s="743">
        <v>1660</v>
      </c>
      <c r="F207" s="743">
        <f>D207*E207*0.1</f>
        <v>33.200000000000003</v>
      </c>
      <c r="G207" s="743"/>
      <c r="H207" s="749">
        <f t="shared" si="13"/>
        <v>365.2</v>
      </c>
      <c r="I207" s="120">
        <f>ROUND((E207+F207+G207)*(kopsavilkums!$O$12)*D207*12*(1+kopsavilkums!$O$23),2)</f>
        <v>326.45</v>
      </c>
      <c r="K207" s="50"/>
      <c r="L207" s="735" t="s">
        <v>922</v>
      </c>
      <c r="M207" s="50" t="s">
        <v>738</v>
      </c>
      <c r="N207" s="50" t="s">
        <v>914</v>
      </c>
      <c r="O207" s="50"/>
    </row>
    <row r="208" spans="1:15" ht="25.5" x14ac:dyDescent="0.2">
      <c r="A208" s="745" t="s">
        <v>109</v>
      </c>
      <c r="B208" s="746" t="s">
        <v>540</v>
      </c>
      <c r="C208" s="747" t="s">
        <v>922</v>
      </c>
      <c r="D208" s="748">
        <v>0.8</v>
      </c>
      <c r="E208" s="743">
        <v>1660</v>
      </c>
      <c r="F208" s="743">
        <f>D208*E208*0.15</f>
        <v>199.2</v>
      </c>
      <c r="G208" s="743"/>
      <c r="H208" s="749">
        <f t="shared" si="13"/>
        <v>1527.2</v>
      </c>
      <c r="I208" s="120">
        <f>ROUND((E208+F208+G208)*(kopsavilkums!$O$12)*D208*12*(1+kopsavilkums!$O$23),2)</f>
        <v>1433.82</v>
      </c>
      <c r="K208" s="50"/>
      <c r="L208" s="735" t="s">
        <v>922</v>
      </c>
      <c r="M208" s="50" t="s">
        <v>738</v>
      </c>
      <c r="N208" s="50" t="s">
        <v>914</v>
      </c>
      <c r="O208" s="50"/>
    </row>
    <row r="209" spans="1:15" ht="25.5" x14ac:dyDescent="0.2">
      <c r="A209" s="745" t="s">
        <v>491</v>
      </c>
      <c r="B209" s="746" t="s">
        <v>486</v>
      </c>
      <c r="C209" s="747" t="s">
        <v>919</v>
      </c>
      <c r="D209" s="748">
        <v>0.8</v>
      </c>
      <c r="E209" s="743">
        <v>1665</v>
      </c>
      <c r="F209" s="743">
        <f t="shared" ref="F209:F226" si="16">D209*E209*0.15</f>
        <v>199.79999999999998</v>
      </c>
      <c r="G209" s="754"/>
      <c r="H209" s="749">
        <f t="shared" si="13"/>
        <v>1531.8</v>
      </c>
      <c r="I209" s="120">
        <f>ROUND((E209+F209+G209)*(kopsavilkums!$O$12)*D209*12*(1+kopsavilkums!$O$23),2)</f>
        <v>1438.14</v>
      </c>
      <c r="K209" s="50"/>
      <c r="L209" s="735" t="s">
        <v>919</v>
      </c>
      <c r="M209" s="50" t="s">
        <v>738</v>
      </c>
      <c r="N209" s="50" t="s">
        <v>914</v>
      </c>
      <c r="O209" s="50"/>
    </row>
    <row r="210" spans="1:15" ht="38.25" x14ac:dyDescent="0.2">
      <c r="A210" s="745" t="s">
        <v>108</v>
      </c>
      <c r="B210" s="746" t="s">
        <v>528</v>
      </c>
      <c r="C210" s="747" t="s">
        <v>917</v>
      </c>
      <c r="D210" s="751">
        <v>1</v>
      </c>
      <c r="E210" s="743">
        <v>1670</v>
      </c>
      <c r="F210" s="743">
        <f>D210*E210*0.12</f>
        <v>200.4</v>
      </c>
      <c r="G210" s="754"/>
      <c r="H210" s="749">
        <f t="shared" si="13"/>
        <v>1870.4</v>
      </c>
      <c r="I210" s="120">
        <f>ROUND((E210+F210+G210)*(kopsavilkums!$O$12)*D210*12*(1+kopsavilkums!$O$23),2)</f>
        <v>1803.07</v>
      </c>
      <c r="K210" s="50"/>
      <c r="L210" s="735" t="s">
        <v>917</v>
      </c>
      <c r="M210" s="50" t="s">
        <v>738</v>
      </c>
      <c r="N210" s="50" t="s">
        <v>915</v>
      </c>
      <c r="O210" s="50"/>
    </row>
    <row r="211" spans="1:15" ht="51" x14ac:dyDescent="0.2">
      <c r="A211" s="745" t="s">
        <v>108</v>
      </c>
      <c r="B211" s="746" t="s">
        <v>528</v>
      </c>
      <c r="C211" s="747" t="s">
        <v>923</v>
      </c>
      <c r="D211" s="751">
        <v>1</v>
      </c>
      <c r="E211" s="743">
        <v>1670</v>
      </c>
      <c r="F211" s="743">
        <f>D211*E211*0.08</f>
        <v>133.6</v>
      </c>
      <c r="G211" s="754"/>
      <c r="H211" s="749">
        <f t="shared" si="13"/>
        <v>1803.6</v>
      </c>
      <c r="I211" s="120">
        <f>ROUND((E211+F211+G211)*(kopsavilkums!$O$12)*D211*12*(1+kopsavilkums!$O$23),2)</f>
        <v>1738.67</v>
      </c>
      <c r="K211" s="50"/>
      <c r="L211" s="735" t="s">
        <v>923</v>
      </c>
      <c r="M211" s="50" t="s">
        <v>738</v>
      </c>
      <c r="N211" s="50" t="s">
        <v>915</v>
      </c>
      <c r="O211" s="50"/>
    </row>
    <row r="212" spans="1:15" ht="38.25" x14ac:dyDescent="0.2">
      <c r="A212" s="745" t="s">
        <v>108</v>
      </c>
      <c r="B212" s="746" t="s">
        <v>528</v>
      </c>
      <c r="C212" s="747" t="s">
        <v>917</v>
      </c>
      <c r="D212" s="751">
        <v>1</v>
      </c>
      <c r="E212" s="743">
        <v>1670</v>
      </c>
      <c r="F212" s="743">
        <f t="shared" ref="F212" si="17">D212*E212*0.15</f>
        <v>250.5</v>
      </c>
      <c r="G212" s="754"/>
      <c r="H212" s="749">
        <f t="shared" si="13"/>
        <v>1920.5</v>
      </c>
      <c r="I212" s="120">
        <f>ROUND((E212+F212+G212)*(kopsavilkums!$O$12)*D212*12*(1+kopsavilkums!$O$23),2)</f>
        <v>1851.37</v>
      </c>
      <c r="K212" s="50"/>
      <c r="L212" s="735" t="s">
        <v>917</v>
      </c>
      <c r="M212" s="50" t="s">
        <v>738</v>
      </c>
      <c r="N212" s="50" t="s">
        <v>915</v>
      </c>
      <c r="O212" s="50"/>
    </row>
    <row r="213" spans="1:15" ht="38.25" x14ac:dyDescent="0.2">
      <c r="A213" s="745" t="s">
        <v>108</v>
      </c>
      <c r="B213" s="746" t="s">
        <v>528</v>
      </c>
      <c r="C213" s="747" t="s">
        <v>917</v>
      </c>
      <c r="D213" s="751">
        <v>1</v>
      </c>
      <c r="E213" s="743">
        <v>1670</v>
      </c>
      <c r="F213" s="743">
        <f>D213*E213*0.08</f>
        <v>133.6</v>
      </c>
      <c r="G213" s="754"/>
      <c r="H213" s="749">
        <f t="shared" si="13"/>
        <v>1803.6</v>
      </c>
      <c r="I213" s="120">
        <f>ROUND((E213+F213+G213)*(kopsavilkums!$O$12)*D213*12*(1+kopsavilkums!$O$23),2)</f>
        <v>1738.67</v>
      </c>
      <c r="K213" s="50"/>
      <c r="L213" s="735" t="s">
        <v>917</v>
      </c>
      <c r="M213" s="50" t="s">
        <v>738</v>
      </c>
      <c r="N213" s="50" t="s">
        <v>915</v>
      </c>
      <c r="O213" s="50"/>
    </row>
    <row r="214" spans="1:15" ht="38.25" x14ac:dyDescent="0.2">
      <c r="A214" s="745" t="s">
        <v>491</v>
      </c>
      <c r="B214" s="746" t="s">
        <v>486</v>
      </c>
      <c r="C214" s="747" t="s">
        <v>918</v>
      </c>
      <c r="D214" s="751">
        <v>1</v>
      </c>
      <c r="E214" s="743">
        <v>1665</v>
      </c>
      <c r="F214" s="743">
        <f>D214*E214*0.05</f>
        <v>83.25</v>
      </c>
      <c r="G214" s="754"/>
      <c r="H214" s="749">
        <f t="shared" si="13"/>
        <v>1748.25</v>
      </c>
      <c r="I214" s="120">
        <f>ROUND((E214+F214+G214)*(kopsavilkums!$O$12)*D214*12*(1+kopsavilkums!$O$23),2)</f>
        <v>1685.32</v>
      </c>
      <c r="K214" s="50"/>
      <c r="L214" s="735" t="s">
        <v>918</v>
      </c>
      <c r="M214" s="50" t="s">
        <v>738</v>
      </c>
      <c r="N214" s="50" t="s">
        <v>915</v>
      </c>
      <c r="O214" s="50"/>
    </row>
    <row r="215" spans="1:15" ht="38.25" x14ac:dyDescent="0.2">
      <c r="A215" s="745" t="s">
        <v>108</v>
      </c>
      <c r="B215" s="746" t="s">
        <v>528</v>
      </c>
      <c r="C215" s="747" t="s">
        <v>917</v>
      </c>
      <c r="D215" s="751">
        <v>1</v>
      </c>
      <c r="E215" s="743">
        <v>1670</v>
      </c>
      <c r="F215" s="743">
        <f>D215*E215*0.08</f>
        <v>133.6</v>
      </c>
      <c r="G215" s="754"/>
      <c r="H215" s="749">
        <f t="shared" si="13"/>
        <v>1803.6</v>
      </c>
      <c r="I215" s="120">
        <f>ROUND((E215+F215+G215)*(kopsavilkums!$O$12)*D215*12*(1+kopsavilkums!$O$23),2)</f>
        <v>1738.67</v>
      </c>
      <c r="K215" s="50"/>
      <c r="L215" s="735" t="s">
        <v>917</v>
      </c>
      <c r="M215" s="50" t="s">
        <v>738</v>
      </c>
      <c r="N215" s="50" t="s">
        <v>915</v>
      </c>
      <c r="O215" s="50"/>
    </row>
    <row r="216" spans="1:15" ht="38.25" x14ac:dyDescent="0.2">
      <c r="A216" s="745" t="s">
        <v>108</v>
      </c>
      <c r="B216" s="746" t="s">
        <v>528</v>
      </c>
      <c r="C216" s="747" t="s">
        <v>917</v>
      </c>
      <c r="D216" s="751">
        <v>0.5</v>
      </c>
      <c r="E216" s="743">
        <v>1670</v>
      </c>
      <c r="F216" s="743">
        <f>D216*E216*0.08</f>
        <v>66.8</v>
      </c>
      <c r="G216" s="754"/>
      <c r="H216" s="749">
        <f t="shared" si="13"/>
        <v>901.8</v>
      </c>
      <c r="I216" s="120">
        <f>ROUND((E216+F216+G216)*(kopsavilkums!$O$12)*D216*12*(1+kopsavilkums!$O$23),2)</f>
        <v>837.14</v>
      </c>
      <c r="K216" s="50"/>
      <c r="L216" s="735" t="s">
        <v>917</v>
      </c>
      <c r="M216" s="50" t="s">
        <v>738</v>
      </c>
      <c r="N216" s="50" t="s">
        <v>915</v>
      </c>
      <c r="O216" s="50"/>
    </row>
    <row r="217" spans="1:15" ht="38.25" x14ac:dyDescent="0.2">
      <c r="A217" s="745" t="s">
        <v>108</v>
      </c>
      <c r="B217" s="746" t="s">
        <v>528</v>
      </c>
      <c r="C217" s="747" t="s">
        <v>917</v>
      </c>
      <c r="D217" s="751">
        <v>1</v>
      </c>
      <c r="E217" s="743">
        <v>1670</v>
      </c>
      <c r="F217" s="743">
        <f t="shared" si="16"/>
        <v>250.5</v>
      </c>
      <c r="G217" s="754"/>
      <c r="H217" s="749">
        <f t="shared" si="13"/>
        <v>1920.5</v>
      </c>
      <c r="I217" s="120">
        <f>ROUND((E217+F217+G217)*(kopsavilkums!$O$12)*D217*12*(1+kopsavilkums!$O$23),2)</f>
        <v>1851.37</v>
      </c>
      <c r="K217" s="50"/>
      <c r="L217" s="735" t="s">
        <v>917</v>
      </c>
      <c r="M217" s="50" t="s">
        <v>738</v>
      </c>
      <c r="N217" s="50" t="s">
        <v>915</v>
      </c>
      <c r="O217" s="50"/>
    </row>
    <row r="218" spans="1:15" ht="38.25" x14ac:dyDescent="0.2">
      <c r="A218" s="745" t="s">
        <v>108</v>
      </c>
      <c r="B218" s="746" t="s">
        <v>528</v>
      </c>
      <c r="C218" s="747" t="s">
        <v>917</v>
      </c>
      <c r="D218" s="751">
        <v>0.65</v>
      </c>
      <c r="E218" s="743">
        <v>1670</v>
      </c>
      <c r="F218" s="751">
        <f t="shared" si="16"/>
        <v>162.82499999999999</v>
      </c>
      <c r="G218" s="754"/>
      <c r="H218" s="749">
        <f t="shared" si="13"/>
        <v>1248.325</v>
      </c>
      <c r="I218" s="120">
        <f>ROUND((E218+F218+G218)*(kopsavilkums!$O$12)*D218*12*(1+kopsavilkums!$O$23),2)</f>
        <v>1148.45</v>
      </c>
      <c r="K218" s="50"/>
      <c r="L218" s="735" t="s">
        <v>917</v>
      </c>
      <c r="M218" s="50" t="s">
        <v>738</v>
      </c>
      <c r="N218" s="50" t="s">
        <v>915</v>
      </c>
      <c r="O218" s="50"/>
    </row>
    <row r="219" spans="1:15" ht="38.25" x14ac:dyDescent="0.2">
      <c r="A219" s="745" t="s">
        <v>491</v>
      </c>
      <c r="B219" s="746" t="s">
        <v>486</v>
      </c>
      <c r="C219" s="747" t="s">
        <v>918</v>
      </c>
      <c r="D219" s="751">
        <v>0.5</v>
      </c>
      <c r="E219" s="743">
        <v>1665</v>
      </c>
      <c r="F219" s="743">
        <f>D219*E219*0.05</f>
        <v>41.625</v>
      </c>
      <c r="G219" s="754"/>
      <c r="H219" s="749">
        <f t="shared" si="13"/>
        <v>874.125</v>
      </c>
      <c r="I219" s="120">
        <f>ROUND((E219+F219+G219)*(kopsavilkums!$O$12)*D219*12*(1+kopsavilkums!$O$23),2)</f>
        <v>822.59</v>
      </c>
      <c r="K219" s="50"/>
      <c r="L219" s="735" t="s">
        <v>918</v>
      </c>
      <c r="M219" s="50" t="s">
        <v>738</v>
      </c>
      <c r="N219" s="50" t="s">
        <v>915</v>
      </c>
      <c r="O219" s="50"/>
    </row>
    <row r="220" spans="1:15" ht="38.25" x14ac:dyDescent="0.2">
      <c r="A220" s="745" t="s">
        <v>491</v>
      </c>
      <c r="B220" s="746" t="s">
        <v>486</v>
      </c>
      <c r="C220" s="747" t="s">
        <v>918</v>
      </c>
      <c r="D220" s="751">
        <v>0.5</v>
      </c>
      <c r="E220" s="743">
        <v>1665</v>
      </c>
      <c r="F220" s="743">
        <f>D220*E220*0.15</f>
        <v>124.875</v>
      </c>
      <c r="G220" s="754"/>
      <c r="H220" s="749">
        <f t="shared" si="13"/>
        <v>957.375</v>
      </c>
      <c r="I220" s="120">
        <f>ROUND((E220+F220+G220)*(kopsavilkums!$O$12)*D220*12*(1+kopsavilkums!$O$23),2)</f>
        <v>862.72</v>
      </c>
      <c r="K220" s="50"/>
      <c r="L220" s="735" t="s">
        <v>918</v>
      </c>
      <c r="M220" s="50" t="s">
        <v>738</v>
      </c>
      <c r="N220" s="50" t="s">
        <v>915</v>
      </c>
      <c r="O220" s="50"/>
    </row>
    <row r="221" spans="1:15" ht="38.25" x14ac:dyDescent="0.2">
      <c r="A221" s="745" t="s">
        <v>491</v>
      </c>
      <c r="B221" s="746" t="s">
        <v>486</v>
      </c>
      <c r="C221" s="747" t="s">
        <v>918</v>
      </c>
      <c r="D221" s="751">
        <v>0.5</v>
      </c>
      <c r="E221" s="743">
        <v>1665</v>
      </c>
      <c r="F221" s="743">
        <f>D221*E221*0.08</f>
        <v>66.599999999999994</v>
      </c>
      <c r="G221" s="754"/>
      <c r="H221" s="749">
        <f t="shared" si="13"/>
        <v>899.1</v>
      </c>
      <c r="I221" s="120">
        <f>ROUND((E221+F221+G221)*(kopsavilkums!$O$12)*D221*12*(1+kopsavilkums!$O$23),2)</f>
        <v>834.63</v>
      </c>
      <c r="K221" s="50"/>
      <c r="L221" s="735" t="s">
        <v>918</v>
      </c>
      <c r="M221" s="50" t="s">
        <v>738</v>
      </c>
      <c r="N221" s="50" t="s">
        <v>915</v>
      </c>
      <c r="O221" s="50"/>
    </row>
    <row r="222" spans="1:15" ht="38.25" x14ac:dyDescent="0.2">
      <c r="A222" s="745" t="s">
        <v>108</v>
      </c>
      <c r="B222" s="746" t="s">
        <v>528</v>
      </c>
      <c r="C222" s="747" t="s">
        <v>917</v>
      </c>
      <c r="D222" s="751">
        <v>0.85</v>
      </c>
      <c r="E222" s="743">
        <v>1670</v>
      </c>
      <c r="F222" s="751">
        <f t="shared" si="16"/>
        <v>212.92499999999998</v>
      </c>
      <c r="G222" s="754"/>
      <c r="H222" s="749">
        <f t="shared" si="13"/>
        <v>1632.425</v>
      </c>
      <c r="I222" s="120">
        <f>ROUND((E222+F222+G222)*(kopsavilkums!$O$12)*D222*12*(1+kopsavilkums!$O$23),2)</f>
        <v>1542.87</v>
      </c>
      <c r="K222" s="50"/>
      <c r="L222" s="735" t="s">
        <v>917</v>
      </c>
      <c r="M222" s="50" t="s">
        <v>738</v>
      </c>
      <c r="N222" s="50" t="s">
        <v>915</v>
      </c>
      <c r="O222" s="50"/>
    </row>
    <row r="223" spans="1:15" ht="38.25" x14ac:dyDescent="0.2">
      <c r="A223" s="745" t="s">
        <v>108</v>
      </c>
      <c r="B223" s="746" t="s">
        <v>528</v>
      </c>
      <c r="C223" s="747" t="s">
        <v>917</v>
      </c>
      <c r="D223" s="751">
        <v>1</v>
      </c>
      <c r="E223" s="743">
        <v>1670</v>
      </c>
      <c r="F223" s="743">
        <f t="shared" si="16"/>
        <v>250.5</v>
      </c>
      <c r="G223" s="754"/>
      <c r="H223" s="749">
        <f t="shared" si="13"/>
        <v>1920.5</v>
      </c>
      <c r="I223" s="120">
        <f>ROUND((E223+F223+G223)*(kopsavilkums!$O$12)*D223*12*(1+kopsavilkums!$O$23),2)</f>
        <v>1851.37</v>
      </c>
      <c r="K223" s="50"/>
      <c r="L223" s="735" t="s">
        <v>917</v>
      </c>
      <c r="M223" s="50" t="s">
        <v>738</v>
      </c>
      <c r="N223" s="50" t="s">
        <v>915</v>
      </c>
      <c r="O223" s="50"/>
    </row>
    <row r="224" spans="1:15" ht="38.25" x14ac:dyDescent="0.2">
      <c r="A224" s="745" t="s">
        <v>108</v>
      </c>
      <c r="B224" s="746" t="s">
        <v>528</v>
      </c>
      <c r="C224" s="747" t="s">
        <v>917</v>
      </c>
      <c r="D224" s="751">
        <v>1</v>
      </c>
      <c r="E224" s="743">
        <v>1670</v>
      </c>
      <c r="F224" s="743">
        <f t="shared" si="16"/>
        <v>250.5</v>
      </c>
      <c r="G224" s="754"/>
      <c r="H224" s="749">
        <f t="shared" si="13"/>
        <v>1920.5</v>
      </c>
      <c r="I224" s="120">
        <f>ROUND((E224+F224+G224)*(kopsavilkums!$O$12)*D224*12*(1+kopsavilkums!$O$23),2)</f>
        <v>1851.37</v>
      </c>
      <c r="K224" s="50"/>
      <c r="L224" s="735" t="s">
        <v>917</v>
      </c>
      <c r="M224" s="50" t="s">
        <v>738</v>
      </c>
      <c r="N224" s="50" t="s">
        <v>915</v>
      </c>
      <c r="O224" s="50"/>
    </row>
    <row r="225" spans="1:15" ht="38.25" x14ac:dyDescent="0.2">
      <c r="A225" s="745" t="s">
        <v>108</v>
      </c>
      <c r="B225" s="746" t="s">
        <v>528</v>
      </c>
      <c r="C225" s="747" t="s">
        <v>917</v>
      </c>
      <c r="D225" s="751">
        <v>1</v>
      </c>
      <c r="E225" s="743">
        <v>1670</v>
      </c>
      <c r="F225" s="743">
        <f t="shared" si="16"/>
        <v>250.5</v>
      </c>
      <c r="G225" s="754"/>
      <c r="H225" s="749">
        <f t="shared" si="13"/>
        <v>1920.5</v>
      </c>
      <c r="I225" s="120">
        <f>ROUND((E225+F225+G225)*(kopsavilkums!$O$12)*D225*12*(1+kopsavilkums!$O$23),2)</f>
        <v>1851.37</v>
      </c>
      <c r="K225" s="50"/>
      <c r="L225" s="735" t="s">
        <v>917</v>
      </c>
      <c r="M225" s="50" t="s">
        <v>738</v>
      </c>
      <c r="N225" s="50" t="s">
        <v>915</v>
      </c>
      <c r="O225" s="50"/>
    </row>
    <row r="226" spans="1:15" ht="38.25" x14ac:dyDescent="0.2">
      <c r="A226" s="745" t="s">
        <v>108</v>
      </c>
      <c r="B226" s="746" t="s">
        <v>528</v>
      </c>
      <c r="C226" s="747" t="s">
        <v>917</v>
      </c>
      <c r="D226" s="751">
        <v>0.85</v>
      </c>
      <c r="E226" s="743">
        <v>1670</v>
      </c>
      <c r="F226" s="751">
        <f t="shared" si="16"/>
        <v>212.92499999999998</v>
      </c>
      <c r="G226" s="754"/>
      <c r="H226" s="749">
        <f t="shared" si="13"/>
        <v>1632.425</v>
      </c>
      <c r="I226" s="120">
        <f>ROUND((E226+F226+G226)*(kopsavilkums!$O$12)*D226*12*(1+kopsavilkums!$O$23),2)</f>
        <v>1542.87</v>
      </c>
      <c r="K226" s="50"/>
      <c r="L226" s="735" t="s">
        <v>917</v>
      </c>
      <c r="M226" s="50" t="s">
        <v>738</v>
      </c>
      <c r="N226" s="50" t="s">
        <v>915</v>
      </c>
      <c r="O226" s="50"/>
    </row>
    <row r="227" spans="1:15" ht="38.25" x14ac:dyDescent="0.2">
      <c r="A227" s="745" t="s">
        <v>880</v>
      </c>
      <c r="B227" s="746" t="s">
        <v>528</v>
      </c>
      <c r="C227" s="747" t="s">
        <v>924</v>
      </c>
      <c r="D227" s="751">
        <v>1</v>
      </c>
      <c r="E227" s="743">
        <v>1520</v>
      </c>
      <c r="F227" s="751">
        <f>D227*E227*0.15</f>
        <v>228</v>
      </c>
      <c r="G227" s="754"/>
      <c r="H227" s="749">
        <f t="shared" si="13"/>
        <v>1748</v>
      </c>
      <c r="I227" s="120">
        <f>ROUND((E227+F227+G227)*(kopsavilkums!$O$12)*D227*12*(1+kopsavilkums!$O$23),2)</f>
        <v>1685.08</v>
      </c>
      <c r="K227" s="50"/>
      <c r="L227" s="735" t="s">
        <v>924</v>
      </c>
      <c r="M227" s="50" t="s">
        <v>738</v>
      </c>
      <c r="N227" s="50" t="s">
        <v>915</v>
      </c>
      <c r="O227" s="50"/>
    </row>
    <row r="228" spans="1:15" ht="38.25" x14ac:dyDescent="0.2">
      <c r="A228" s="745" t="s">
        <v>491</v>
      </c>
      <c r="B228" s="746" t="s">
        <v>486</v>
      </c>
      <c r="C228" s="747" t="s">
        <v>918</v>
      </c>
      <c r="D228" s="751">
        <v>1</v>
      </c>
      <c r="E228" s="743">
        <v>1665</v>
      </c>
      <c r="F228" s="743">
        <f>D228*E228*0.15</f>
        <v>249.75</v>
      </c>
      <c r="G228" s="754"/>
      <c r="H228" s="749">
        <f t="shared" si="13"/>
        <v>1914.75</v>
      </c>
      <c r="I228" s="120">
        <f>ROUND((E228+F228+G228)*(kopsavilkums!$O$12)*D228*12*(1+kopsavilkums!$O$23),2)</f>
        <v>1845.82</v>
      </c>
      <c r="K228" s="50"/>
      <c r="L228" s="735" t="s">
        <v>918</v>
      </c>
      <c r="M228" s="50" t="s">
        <v>738</v>
      </c>
      <c r="N228" s="50" t="s">
        <v>915</v>
      </c>
      <c r="O228" s="50"/>
    </row>
    <row r="229" spans="1:15" ht="38.25" x14ac:dyDescent="0.2">
      <c r="A229" s="745" t="s">
        <v>108</v>
      </c>
      <c r="B229" s="746" t="s">
        <v>528</v>
      </c>
      <c r="C229" s="747" t="s">
        <v>917</v>
      </c>
      <c r="D229" s="751">
        <v>1</v>
      </c>
      <c r="E229" s="743">
        <v>1670</v>
      </c>
      <c r="F229" s="751">
        <f>D229*E229*0.12</f>
        <v>200.4</v>
      </c>
      <c r="G229" s="754"/>
      <c r="H229" s="749">
        <f t="shared" si="13"/>
        <v>1870.4</v>
      </c>
      <c r="I229" s="120">
        <f>ROUND((E229+F229+G229)*(kopsavilkums!$O$12)*D229*12*(1+kopsavilkums!$O$23),2)</f>
        <v>1803.07</v>
      </c>
      <c r="K229" s="50"/>
      <c r="L229" s="735" t="s">
        <v>917</v>
      </c>
      <c r="M229" s="50" t="s">
        <v>738</v>
      </c>
      <c r="N229" s="50" t="s">
        <v>915</v>
      </c>
      <c r="O229" s="50"/>
    </row>
    <row r="230" spans="1:15" ht="38.25" x14ac:dyDescent="0.2">
      <c r="A230" s="745" t="s">
        <v>108</v>
      </c>
      <c r="B230" s="746" t="s">
        <v>528</v>
      </c>
      <c r="C230" s="747" t="s">
        <v>917</v>
      </c>
      <c r="D230" s="751">
        <v>1</v>
      </c>
      <c r="E230" s="743">
        <v>1670</v>
      </c>
      <c r="F230" s="751">
        <f>D230*E230*0.05</f>
        <v>83.5</v>
      </c>
      <c r="G230" s="754"/>
      <c r="H230" s="749">
        <f t="shared" si="13"/>
        <v>1753.5</v>
      </c>
      <c r="I230" s="120">
        <f>ROUND((E230+F230+G230)*(kopsavilkums!$O$12)*D230*12*(1+kopsavilkums!$O$23),2)</f>
        <v>1690.38</v>
      </c>
      <c r="K230" s="50"/>
      <c r="L230" s="735" t="s">
        <v>917</v>
      </c>
      <c r="M230" s="50" t="s">
        <v>738</v>
      </c>
      <c r="N230" s="50" t="s">
        <v>915</v>
      </c>
      <c r="O230" s="50"/>
    </row>
    <row r="231" spans="1:15" ht="38.25" x14ac:dyDescent="0.2">
      <c r="A231" s="745" t="s">
        <v>108</v>
      </c>
      <c r="B231" s="746" t="s">
        <v>528</v>
      </c>
      <c r="C231" s="747" t="s">
        <v>917</v>
      </c>
      <c r="D231" s="751">
        <v>1</v>
      </c>
      <c r="E231" s="743">
        <v>1670</v>
      </c>
      <c r="F231" s="751">
        <f t="shared" ref="F231" si="18">D231*E231*0.15</f>
        <v>250.5</v>
      </c>
      <c r="G231" s="754"/>
      <c r="H231" s="749">
        <f t="shared" si="13"/>
        <v>1920.5</v>
      </c>
      <c r="I231" s="120">
        <f>ROUND((E231+F231+G231)*(kopsavilkums!$O$12)*D231*12*(1+kopsavilkums!$O$23),2)</f>
        <v>1851.37</v>
      </c>
      <c r="K231" s="50"/>
      <c r="L231" s="735" t="s">
        <v>917</v>
      </c>
      <c r="M231" s="50" t="s">
        <v>738</v>
      </c>
      <c r="N231" s="50" t="s">
        <v>915</v>
      </c>
      <c r="O231" s="50"/>
    </row>
    <row r="232" spans="1:15" ht="38.25" x14ac:dyDescent="0.2">
      <c r="A232" s="745" t="s">
        <v>108</v>
      </c>
      <c r="B232" s="746" t="s">
        <v>528</v>
      </c>
      <c r="C232" s="747" t="s">
        <v>917</v>
      </c>
      <c r="D232" s="751">
        <v>1</v>
      </c>
      <c r="E232" s="743">
        <v>1670</v>
      </c>
      <c r="F232" s="751">
        <f>D232*E232*0.12</f>
        <v>200.4</v>
      </c>
      <c r="G232" s="754"/>
      <c r="H232" s="749">
        <f t="shared" si="13"/>
        <v>1870.4</v>
      </c>
      <c r="I232" s="120">
        <f>ROUND((E232+F232+G232)*(kopsavilkums!$O$12)*D232*12*(1+kopsavilkums!$O$23),2)</f>
        <v>1803.07</v>
      </c>
      <c r="K232" s="50"/>
      <c r="L232" s="735" t="s">
        <v>917</v>
      </c>
      <c r="M232" s="50" t="s">
        <v>738</v>
      </c>
      <c r="N232" s="50" t="s">
        <v>915</v>
      </c>
      <c r="O232" s="50"/>
    </row>
    <row r="233" spans="1:15" ht="38.25" x14ac:dyDescent="0.2">
      <c r="A233" s="745" t="s">
        <v>108</v>
      </c>
      <c r="B233" s="746" t="s">
        <v>528</v>
      </c>
      <c r="C233" s="747" t="s">
        <v>917</v>
      </c>
      <c r="D233" s="751">
        <v>1</v>
      </c>
      <c r="E233" s="743">
        <v>1670</v>
      </c>
      <c r="F233" s="751">
        <f>D233*E233*0.1</f>
        <v>167</v>
      </c>
      <c r="G233" s="754"/>
      <c r="H233" s="749">
        <f t="shared" si="13"/>
        <v>1837</v>
      </c>
      <c r="I233" s="120">
        <f>ROUND((E233+F233+G233)*(kopsavilkums!$O$12)*D233*12*(1+kopsavilkums!$O$23),2)</f>
        <v>1770.87</v>
      </c>
      <c r="K233" s="50"/>
      <c r="L233" s="735" t="s">
        <v>917</v>
      </c>
      <c r="M233" s="50" t="s">
        <v>738</v>
      </c>
      <c r="N233" s="50" t="s">
        <v>915</v>
      </c>
      <c r="O233" s="50"/>
    </row>
    <row r="234" spans="1:15" ht="38.25" x14ac:dyDescent="0.2">
      <c r="A234" s="745" t="s">
        <v>108</v>
      </c>
      <c r="B234" s="746" t="s">
        <v>528</v>
      </c>
      <c r="C234" s="747" t="s">
        <v>917</v>
      </c>
      <c r="D234" s="751">
        <v>1</v>
      </c>
      <c r="E234" s="743">
        <v>1670</v>
      </c>
      <c r="F234" s="751">
        <f>D234*E234*0.1</f>
        <v>167</v>
      </c>
      <c r="G234" s="754"/>
      <c r="H234" s="749">
        <f t="shared" si="13"/>
        <v>1837</v>
      </c>
      <c r="I234" s="120">
        <f>ROUND((E234+F234+G234)*(kopsavilkums!$O$12)*D234*12*(1+kopsavilkums!$O$23),2)</f>
        <v>1770.87</v>
      </c>
      <c r="K234" s="50"/>
      <c r="L234" s="735" t="s">
        <v>917</v>
      </c>
      <c r="M234" s="50" t="s">
        <v>738</v>
      </c>
      <c r="N234" s="50" t="s">
        <v>915</v>
      </c>
      <c r="O234" s="50"/>
    </row>
    <row r="235" spans="1:15" ht="25.5" x14ac:dyDescent="0.2">
      <c r="A235" s="745" t="s">
        <v>491</v>
      </c>
      <c r="B235" s="746" t="s">
        <v>486</v>
      </c>
      <c r="C235" s="747" t="s">
        <v>920</v>
      </c>
      <c r="D235" s="751">
        <v>1</v>
      </c>
      <c r="E235" s="743">
        <v>1665</v>
      </c>
      <c r="F235" s="743">
        <f>D235*E235*0.05</f>
        <v>83.25</v>
      </c>
      <c r="G235" s="754"/>
      <c r="H235" s="749">
        <f t="shared" si="13"/>
        <v>1748.25</v>
      </c>
      <c r="I235" s="120">
        <f>ROUND((E235+F235+G235)*(kopsavilkums!$O$12)*D235*12*(1+kopsavilkums!$O$23),2)</f>
        <v>1685.32</v>
      </c>
      <c r="K235" s="50"/>
      <c r="L235" s="735" t="s">
        <v>920</v>
      </c>
      <c r="M235" s="50" t="s">
        <v>738</v>
      </c>
      <c r="N235" s="50" t="s">
        <v>915</v>
      </c>
      <c r="O235" s="50"/>
    </row>
    <row r="236" spans="1:15" ht="38.25" x14ac:dyDescent="0.2">
      <c r="A236" s="745" t="s">
        <v>491</v>
      </c>
      <c r="B236" s="746" t="s">
        <v>486</v>
      </c>
      <c r="C236" s="747" t="s">
        <v>918</v>
      </c>
      <c r="D236" s="751">
        <v>1</v>
      </c>
      <c r="E236" s="743">
        <v>1665</v>
      </c>
      <c r="F236" s="743">
        <f>D236*E236*0.08</f>
        <v>133.19999999999999</v>
      </c>
      <c r="G236" s="754"/>
      <c r="H236" s="749">
        <f t="shared" si="13"/>
        <v>1798.2</v>
      </c>
      <c r="I236" s="120">
        <f>ROUND((E236+F236+G236)*(kopsavilkums!$O$12)*D236*12*(1+kopsavilkums!$O$23),2)</f>
        <v>1733.47</v>
      </c>
      <c r="K236" s="50"/>
      <c r="L236" s="735" t="s">
        <v>918</v>
      </c>
      <c r="M236" s="50" t="s">
        <v>738</v>
      </c>
      <c r="N236" s="50" t="s">
        <v>915</v>
      </c>
      <c r="O236" s="50"/>
    </row>
    <row r="237" spans="1:15" ht="25.5" x14ac:dyDescent="0.2">
      <c r="A237" s="745" t="s">
        <v>491</v>
      </c>
      <c r="B237" s="746" t="s">
        <v>486</v>
      </c>
      <c r="C237" s="747" t="s">
        <v>919</v>
      </c>
      <c r="D237" s="751">
        <v>1</v>
      </c>
      <c r="E237" s="743">
        <v>1665</v>
      </c>
      <c r="F237" s="743">
        <f>D237*E237*0.15</f>
        <v>249.75</v>
      </c>
      <c r="G237" s="754"/>
      <c r="H237" s="749">
        <f t="shared" si="13"/>
        <v>1914.75</v>
      </c>
      <c r="I237" s="120">
        <f>ROUND((E237+F237+G237)*(kopsavilkums!$O$12)*D237*12*(1+kopsavilkums!$O$23),2)</f>
        <v>1845.82</v>
      </c>
      <c r="K237" s="50"/>
      <c r="L237" s="735" t="s">
        <v>919</v>
      </c>
      <c r="M237" s="50" t="s">
        <v>738</v>
      </c>
      <c r="N237" s="50" t="s">
        <v>915</v>
      </c>
      <c r="O237" s="50"/>
    </row>
    <row r="238" spans="1:15" ht="38.25" x14ac:dyDescent="0.2">
      <c r="A238" s="745" t="s">
        <v>491</v>
      </c>
      <c r="B238" s="746" t="s">
        <v>486</v>
      </c>
      <c r="C238" s="747" t="s">
        <v>918</v>
      </c>
      <c r="D238" s="751">
        <v>0.5</v>
      </c>
      <c r="E238" s="743">
        <v>1665</v>
      </c>
      <c r="F238" s="751">
        <f>D238*E238*0.08</f>
        <v>66.599999999999994</v>
      </c>
      <c r="G238" s="754"/>
      <c r="H238" s="749">
        <f t="shared" si="13"/>
        <v>899.1</v>
      </c>
      <c r="I238" s="120">
        <f>ROUND((E238+F238+G238)*(kopsavilkums!$O$12)*D238*12*(1+kopsavilkums!$O$23),2)</f>
        <v>834.63</v>
      </c>
      <c r="K238" s="50"/>
      <c r="L238" s="735" t="s">
        <v>918</v>
      </c>
      <c r="M238" s="50" t="s">
        <v>738</v>
      </c>
      <c r="N238" s="50" t="s">
        <v>910</v>
      </c>
      <c r="O238" s="50"/>
    </row>
    <row r="239" spans="1:15" ht="25.5" x14ac:dyDescent="0.2">
      <c r="A239" s="745" t="s">
        <v>491</v>
      </c>
      <c r="B239" s="746" t="s">
        <v>486</v>
      </c>
      <c r="C239" s="747" t="s">
        <v>919</v>
      </c>
      <c r="D239" s="748">
        <v>1</v>
      </c>
      <c r="E239" s="743">
        <v>1665</v>
      </c>
      <c r="F239" s="751">
        <f>D239*E239*0.15</f>
        <v>249.75</v>
      </c>
      <c r="G239" s="754"/>
      <c r="H239" s="749">
        <f t="shared" si="13"/>
        <v>1914.75</v>
      </c>
      <c r="I239" s="120">
        <f>ROUND((E239+F239+G239)*(kopsavilkums!$O$12)*D239*12*(1+kopsavilkums!$O$23),2)</f>
        <v>1845.82</v>
      </c>
      <c r="K239" s="50"/>
      <c r="L239" s="735" t="s">
        <v>919</v>
      </c>
      <c r="M239" s="50" t="s">
        <v>738</v>
      </c>
      <c r="N239" s="50" t="s">
        <v>911</v>
      </c>
      <c r="O239" s="50"/>
    </row>
    <row r="240" spans="1:15" ht="38.25" x14ac:dyDescent="0.2">
      <c r="A240" s="745" t="s">
        <v>491</v>
      </c>
      <c r="B240" s="746" t="s">
        <v>486</v>
      </c>
      <c r="C240" s="747" t="s">
        <v>918</v>
      </c>
      <c r="D240" s="751">
        <v>0.75</v>
      </c>
      <c r="E240" s="743">
        <v>1665</v>
      </c>
      <c r="F240" s="743">
        <f>D240*E240*0.08</f>
        <v>99.9</v>
      </c>
      <c r="G240" s="754"/>
      <c r="H240" s="749">
        <f t="shared" si="13"/>
        <v>1348.65</v>
      </c>
      <c r="I240" s="120">
        <f>ROUND((E240+F240+G240)*(kopsavilkums!$O$12)*D240*12*(1+kopsavilkums!$O$23),2)</f>
        <v>1276.03</v>
      </c>
      <c r="K240" s="50"/>
      <c r="L240" s="735" t="s">
        <v>918</v>
      </c>
      <c r="M240" s="50" t="s">
        <v>738</v>
      </c>
      <c r="N240" s="50" t="s">
        <v>915</v>
      </c>
      <c r="O240" s="50"/>
    </row>
    <row r="241" spans="1:15" ht="25.5" x14ac:dyDescent="0.2">
      <c r="A241" s="727" t="s">
        <v>882</v>
      </c>
      <c r="B241" s="726"/>
      <c r="C241" s="726"/>
      <c r="D241" s="726"/>
      <c r="E241" s="726"/>
      <c r="F241" s="726"/>
      <c r="G241" s="726"/>
      <c r="H241" s="726"/>
      <c r="I241" s="726"/>
      <c r="K241" s="50"/>
      <c r="L241" s="50"/>
      <c r="M241" s="50"/>
      <c r="N241" s="50"/>
      <c r="O241" s="50"/>
    </row>
    <row r="242" spans="1:15" x14ac:dyDescent="0.2">
      <c r="A242" s="725" t="s">
        <v>432</v>
      </c>
      <c r="B242" s="723"/>
      <c r="C242" s="723"/>
      <c r="D242" s="724">
        <f>SUM(D243:D246)</f>
        <v>4</v>
      </c>
      <c r="E242" s="724">
        <f t="shared" ref="E242:H242" si="19">SUM(E243:E246)</f>
        <v>5020</v>
      </c>
      <c r="F242" s="724">
        <f t="shared" si="19"/>
        <v>502</v>
      </c>
      <c r="G242" s="724">
        <f t="shared" si="19"/>
        <v>0</v>
      </c>
      <c r="H242" s="724">
        <f t="shared" si="19"/>
        <v>5522</v>
      </c>
      <c r="I242" s="723"/>
      <c r="K242" s="50"/>
      <c r="L242" s="50"/>
      <c r="M242" s="50"/>
      <c r="N242" s="50"/>
      <c r="O242" s="50"/>
    </row>
    <row r="243" spans="1:15" x14ac:dyDescent="0.2">
      <c r="A243" s="755" t="s">
        <v>881</v>
      </c>
      <c r="B243" s="756" t="s">
        <v>497</v>
      </c>
      <c r="C243" s="757" t="s">
        <v>925</v>
      </c>
      <c r="D243" s="758">
        <v>1</v>
      </c>
      <c r="E243" s="759">
        <v>1255</v>
      </c>
      <c r="F243" s="743">
        <f>D243*E243*0.12</f>
        <v>150.6</v>
      </c>
      <c r="G243" s="759"/>
      <c r="H243" s="749">
        <f>D243*E243+F243+G243</f>
        <v>1405.6</v>
      </c>
      <c r="I243" s="120">
        <f>ROUND((E243+F243+G243)*(kopsavilkums!$O$15)*D243*12*(1+kopsavilkums!$O$23),2)</f>
        <v>1438.39</v>
      </c>
      <c r="K243" s="50"/>
      <c r="L243" s="50" t="s">
        <v>925</v>
      </c>
      <c r="M243" s="50" t="s">
        <v>738</v>
      </c>
      <c r="N243" s="50" t="s">
        <v>910</v>
      </c>
      <c r="O243" s="50"/>
    </row>
    <row r="244" spans="1:15" x14ac:dyDescent="0.2">
      <c r="A244" s="755" t="s">
        <v>881</v>
      </c>
      <c r="B244" s="756" t="s">
        <v>497</v>
      </c>
      <c r="C244" s="757" t="s">
        <v>925</v>
      </c>
      <c r="D244" s="758">
        <v>1</v>
      </c>
      <c r="E244" s="759">
        <v>1255</v>
      </c>
      <c r="F244" s="743">
        <f>D244*E244*0.05</f>
        <v>62.75</v>
      </c>
      <c r="G244" s="759"/>
      <c r="H244" s="749">
        <f t="shared" ref="H244:H246" si="20">D244*E244+F244+G244</f>
        <v>1317.75</v>
      </c>
      <c r="I244" s="120">
        <f>ROUND((E244+F244+G244)*(kopsavilkums!$O$15)*D244*12*(1+kopsavilkums!$O$23),2)</f>
        <v>1348.49</v>
      </c>
      <c r="K244" s="50"/>
      <c r="L244" s="50" t="s">
        <v>925</v>
      </c>
      <c r="M244" s="50" t="s">
        <v>738</v>
      </c>
      <c r="N244" s="50" t="s">
        <v>910</v>
      </c>
      <c r="O244" s="50"/>
    </row>
    <row r="245" spans="1:15" x14ac:dyDescent="0.2">
      <c r="A245" s="755" t="s">
        <v>881</v>
      </c>
      <c r="B245" s="756" t="s">
        <v>497</v>
      </c>
      <c r="C245" s="757" t="s">
        <v>925</v>
      </c>
      <c r="D245" s="758">
        <v>1</v>
      </c>
      <c r="E245" s="759">
        <v>1255</v>
      </c>
      <c r="F245" s="743">
        <f>D245*E245*0.08</f>
        <v>100.4</v>
      </c>
      <c r="G245" s="759"/>
      <c r="H245" s="749">
        <f t="shared" si="20"/>
        <v>1355.4</v>
      </c>
      <c r="I245" s="120">
        <f>ROUND((E245+F245+G245)*(kopsavilkums!$O$15)*D245*12*(1+kopsavilkums!$O$23),2)</f>
        <v>1387.01</v>
      </c>
      <c r="K245" s="50"/>
      <c r="L245" s="50" t="s">
        <v>925</v>
      </c>
      <c r="M245" s="50" t="s">
        <v>738</v>
      </c>
      <c r="N245" s="50" t="s">
        <v>910</v>
      </c>
      <c r="O245" s="50"/>
    </row>
    <row r="246" spans="1:15" ht="15.75" thickBot="1" x14ac:dyDescent="0.25">
      <c r="A246" s="755" t="s">
        <v>881</v>
      </c>
      <c r="B246" s="756" t="s">
        <v>497</v>
      </c>
      <c r="C246" s="757" t="s">
        <v>925</v>
      </c>
      <c r="D246" s="758">
        <v>1</v>
      </c>
      <c r="E246" s="759">
        <v>1255</v>
      </c>
      <c r="F246" s="743">
        <f t="shared" ref="F246" si="21">D246*E246*0.15</f>
        <v>188.25</v>
      </c>
      <c r="G246" s="760"/>
      <c r="H246" s="749">
        <f t="shared" si="20"/>
        <v>1443.25</v>
      </c>
      <c r="I246" s="120">
        <f>ROUND((E246+F246+G246)*(kopsavilkums!$O$15)*D246*12*(1+kopsavilkums!$O$23),2)</f>
        <v>1476.91</v>
      </c>
      <c r="K246" s="50"/>
      <c r="L246" s="50" t="s">
        <v>925</v>
      </c>
      <c r="M246" s="50" t="s">
        <v>738</v>
      </c>
      <c r="N246" s="50" t="s">
        <v>910</v>
      </c>
      <c r="O246" s="50"/>
    </row>
    <row r="247" spans="1:15" ht="15.75" thickBot="1" x14ac:dyDescent="0.3">
      <c r="A247" s="280" t="s">
        <v>32</v>
      </c>
      <c r="B247" s="515"/>
      <c r="C247" s="515"/>
      <c r="D247" s="281">
        <f>D242+D195+D191+D149</f>
        <v>72.400000000000006</v>
      </c>
      <c r="E247" s="282" t="s">
        <v>102</v>
      </c>
      <c r="F247" s="282" t="s">
        <v>102</v>
      </c>
      <c r="G247" s="282" t="s">
        <v>102</v>
      </c>
      <c r="H247" s="283" t="s">
        <v>102</v>
      </c>
      <c r="I247" s="284">
        <f>SUM(I150:I246)</f>
        <v>182890.77000000011</v>
      </c>
    </row>
    <row r="248" spans="1:15" ht="13.5" thickBot="1" x14ac:dyDescent="0.25"/>
    <row r="249" spans="1:15" ht="15.75" customHeight="1" x14ac:dyDescent="0.2">
      <c r="A249" s="1016" t="s">
        <v>970</v>
      </c>
      <c r="B249" s="1017"/>
      <c r="C249" s="1017"/>
      <c r="D249" s="1017"/>
      <c r="E249" s="1017"/>
      <c r="F249" s="1017"/>
      <c r="G249" s="1017"/>
      <c r="H249" s="1017"/>
      <c r="I249" s="1018"/>
      <c r="K249" s="50"/>
      <c r="L249" s="50"/>
      <c r="M249" s="50"/>
      <c r="N249" s="50"/>
      <c r="O249" s="50"/>
    </row>
    <row r="250" spans="1:15" ht="13.5" x14ac:dyDescent="0.2">
      <c r="A250" s="1019" t="s">
        <v>971</v>
      </c>
      <c r="B250" s="1020"/>
      <c r="C250" s="1020"/>
      <c r="D250" s="1020"/>
      <c r="E250" s="1020"/>
      <c r="F250" s="1020"/>
      <c r="G250" s="1020"/>
      <c r="H250" s="1020"/>
      <c r="I250" s="1021"/>
      <c r="K250" s="50"/>
      <c r="L250" s="50"/>
      <c r="M250" s="50"/>
      <c r="N250" s="50"/>
      <c r="O250" s="50"/>
    </row>
    <row r="251" spans="1:15" ht="12.75" customHeight="1" x14ac:dyDescent="0.2">
      <c r="A251" s="728" t="s">
        <v>60</v>
      </c>
      <c r="B251" s="729"/>
      <c r="C251" s="729"/>
      <c r="D251" s="729"/>
      <c r="E251" s="729"/>
      <c r="F251" s="729"/>
      <c r="G251" s="729"/>
      <c r="H251" s="729"/>
      <c r="I251" s="730"/>
      <c r="K251" s="50"/>
      <c r="L251" s="50"/>
      <c r="M251" s="50"/>
      <c r="N251" s="50"/>
      <c r="O251" s="50"/>
    </row>
    <row r="252" spans="1:15" ht="63.75" x14ac:dyDescent="0.2">
      <c r="A252" s="723" t="s">
        <v>434</v>
      </c>
      <c r="B252" s="723"/>
      <c r="C252" s="723"/>
      <c r="D252" s="724">
        <f>SUM(D253:D254)</f>
        <v>4</v>
      </c>
      <c r="E252" s="724">
        <f t="shared" ref="E252:H252" si="22">SUM(E253:E254)</f>
        <v>2309</v>
      </c>
      <c r="F252" s="724">
        <f t="shared" si="22"/>
        <v>346.35</v>
      </c>
      <c r="G252" s="724">
        <f t="shared" si="22"/>
        <v>369.44</v>
      </c>
      <c r="H252" s="724">
        <f t="shared" si="22"/>
        <v>5410.79</v>
      </c>
      <c r="I252" s="723"/>
      <c r="K252" s="50"/>
      <c r="L252" s="50"/>
      <c r="M252" s="50"/>
      <c r="N252" s="50"/>
      <c r="O252" s="50"/>
    </row>
    <row r="253" spans="1:15" ht="25.5" x14ac:dyDescent="0.2">
      <c r="A253" s="745" t="s">
        <v>972</v>
      </c>
      <c r="B253" s="746" t="s">
        <v>486</v>
      </c>
      <c r="C253" s="747" t="s">
        <v>920</v>
      </c>
      <c r="D253" s="748">
        <v>3</v>
      </c>
      <c r="E253" s="743">
        <v>1193</v>
      </c>
      <c r="F253" s="743">
        <v>178.95</v>
      </c>
      <c r="G253" s="743">
        <v>190.88</v>
      </c>
      <c r="H253" s="749">
        <f t="shared" ref="H253:H254" si="23">D253*E253+F253+G253</f>
        <v>3948.83</v>
      </c>
      <c r="I253" s="908">
        <f>ROUND((E253+F253+G253)*(kopsavilkums!$O$12)*D253*12*(1+kopsavilkums!$O$23),2)</f>
        <v>4519.71</v>
      </c>
      <c r="K253" s="50"/>
      <c r="L253" s="735" t="s">
        <v>920</v>
      </c>
      <c r="M253" s="50" t="s">
        <v>738</v>
      </c>
      <c r="N253" s="50"/>
      <c r="O253" s="50"/>
    </row>
    <row r="254" spans="1:15" ht="39" thickBot="1" x14ac:dyDescent="0.25">
      <c r="A254" s="745" t="s">
        <v>682</v>
      </c>
      <c r="B254" s="746" t="s">
        <v>529</v>
      </c>
      <c r="C254" s="747" t="s">
        <v>917</v>
      </c>
      <c r="D254" s="748">
        <v>1</v>
      </c>
      <c r="E254" s="743">
        <v>1116</v>
      </c>
      <c r="F254" s="743">
        <v>167.4</v>
      </c>
      <c r="G254" s="743">
        <v>178.56</v>
      </c>
      <c r="H254" s="749">
        <f t="shared" si="23"/>
        <v>1461.96</v>
      </c>
      <c r="I254" s="908">
        <f>ROUND((E254+F254+G254)*(kopsavilkums!$O$12)*D254*12*(1+kopsavilkums!$O$23),2)</f>
        <v>1409.33</v>
      </c>
      <c r="K254" s="50"/>
      <c r="L254" s="735" t="s">
        <v>917</v>
      </c>
      <c r="M254" s="50" t="s">
        <v>738</v>
      </c>
      <c r="N254" s="50"/>
      <c r="O254" s="50"/>
    </row>
    <row r="255" spans="1:15" ht="15.75" thickBot="1" x14ac:dyDescent="0.3">
      <c r="A255" s="280" t="s">
        <v>32</v>
      </c>
      <c r="B255" s="515"/>
      <c r="C255" s="515"/>
      <c r="D255" s="281">
        <f>D253+D254</f>
        <v>4</v>
      </c>
      <c r="E255" s="282" t="s">
        <v>102</v>
      </c>
      <c r="F255" s="282" t="s">
        <v>102</v>
      </c>
      <c r="G255" s="282" t="s">
        <v>102</v>
      </c>
      <c r="H255" s="283" t="s">
        <v>102</v>
      </c>
      <c r="I255" s="284">
        <f>I253+I254</f>
        <v>5929.04</v>
      </c>
    </row>
  </sheetData>
  <mergeCells count="18">
    <mergeCell ref="A2:I2"/>
    <mergeCell ref="H4:H5"/>
    <mergeCell ref="I4:I5"/>
    <mergeCell ref="A4:A5"/>
    <mergeCell ref="D4:D5"/>
    <mergeCell ref="E4:E5"/>
    <mergeCell ref="F4:F5"/>
    <mergeCell ref="G4:G5"/>
    <mergeCell ref="B4:B5"/>
    <mergeCell ref="C4:C5"/>
    <mergeCell ref="A249:I249"/>
    <mergeCell ref="A250:I250"/>
    <mergeCell ref="A147:I147"/>
    <mergeCell ref="A7:H7"/>
    <mergeCell ref="A8:H8"/>
    <mergeCell ref="A9:H9"/>
    <mergeCell ref="A85:H85"/>
    <mergeCell ref="A146:I146"/>
  </mergeCells>
  <phoneticPr fontId="80" type="noConversion"/>
  <pageMargins left="0.70866141732283472" right="0.70866141732283472" top="0.74803149606299213" bottom="0.74803149606299213" header="0.31496062992125984" footer="0.31496062992125984"/>
  <pageSetup paperSize="9" scale="4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A92FD-5DE5-454A-BE15-6380DDA7E3D8}">
  <sheetPr>
    <tabColor rgb="FFFFFF00"/>
  </sheetPr>
  <dimension ref="B1:P140"/>
  <sheetViews>
    <sheetView view="pageBreakPreview" topLeftCell="A3" zoomScale="60" zoomScaleNormal="100" workbookViewId="0">
      <selection activeCell="J1" sqref="J1"/>
    </sheetView>
  </sheetViews>
  <sheetFormatPr defaultRowHeight="15" x14ac:dyDescent="0.25"/>
  <cols>
    <col min="1" max="1" width="3.42578125" customWidth="1"/>
    <col min="2" max="2" width="29" customWidth="1"/>
    <col min="3" max="3" width="14.85546875" customWidth="1"/>
    <col min="4" max="4" width="38.42578125" customWidth="1"/>
    <col min="5" max="5" width="12.85546875" customWidth="1"/>
    <col min="7" max="7" width="10.85546875" customWidth="1"/>
    <col min="9" max="9" width="11.85546875" customWidth="1"/>
    <col min="10" max="10" width="12.140625" customWidth="1"/>
    <col min="12" max="12" width="19.7109375" customWidth="1"/>
    <col min="13" max="13" width="22.42578125" customWidth="1"/>
    <col min="14" max="14" width="21.85546875" customWidth="1"/>
    <col min="15" max="15" width="16.5703125" customWidth="1"/>
    <col min="16" max="16" width="24.5703125" customWidth="1"/>
  </cols>
  <sheetData>
    <row r="1" spans="2:16" x14ac:dyDescent="0.25">
      <c r="H1" s="1043"/>
      <c r="I1" s="1043"/>
      <c r="J1" s="926" t="s">
        <v>979</v>
      </c>
    </row>
    <row r="3" spans="2:16" ht="37.5" customHeight="1" x14ac:dyDescent="0.25">
      <c r="B3" s="1048" t="s">
        <v>231</v>
      </c>
      <c r="C3" s="1048"/>
      <c r="D3" s="1048"/>
      <c r="E3" s="1048"/>
      <c r="F3" s="1048"/>
      <c r="G3" s="1048"/>
      <c r="H3" s="1048"/>
      <c r="I3" s="1048"/>
    </row>
    <row r="4" spans="2:16" ht="16.5" thickBot="1" x14ac:dyDescent="0.3">
      <c r="B4" s="273"/>
      <c r="C4" s="273"/>
      <c r="D4" s="273"/>
      <c r="E4" s="274"/>
      <c r="F4" s="274"/>
      <c r="G4" s="274"/>
      <c r="H4" s="274"/>
      <c r="I4" s="274"/>
      <c r="J4" s="279" t="s">
        <v>225</v>
      </c>
    </row>
    <row r="5" spans="2:16" ht="15.75" x14ac:dyDescent="0.25">
      <c r="B5" s="1049" t="s">
        <v>0</v>
      </c>
      <c r="C5" s="1050"/>
      <c r="D5" s="1050"/>
      <c r="E5" s="1051"/>
      <c r="F5" s="1051"/>
      <c r="G5" s="1051"/>
      <c r="H5" s="1051"/>
      <c r="I5" s="1052"/>
      <c r="J5" s="72"/>
    </row>
    <row r="6" spans="2:16" x14ac:dyDescent="0.25">
      <c r="B6" s="1053" t="s">
        <v>55</v>
      </c>
      <c r="C6" s="1056" t="s">
        <v>541</v>
      </c>
      <c r="D6" s="1056" t="s">
        <v>462</v>
      </c>
      <c r="E6" s="1055" t="s">
        <v>56</v>
      </c>
      <c r="F6" s="1055" t="s">
        <v>57</v>
      </c>
      <c r="G6" s="1055" t="s">
        <v>58</v>
      </c>
      <c r="H6" s="1055" t="s">
        <v>145</v>
      </c>
      <c r="I6" s="1057" t="s">
        <v>59</v>
      </c>
      <c r="J6" s="1044" t="s">
        <v>846</v>
      </c>
    </row>
    <row r="7" spans="2:16" ht="59.25" customHeight="1" thickBot="1" x14ac:dyDescent="0.3">
      <c r="B7" s="1054"/>
      <c r="C7" s="1059"/>
      <c r="D7" s="1059"/>
      <c r="E7" s="1056"/>
      <c r="F7" s="1056"/>
      <c r="G7" s="1056"/>
      <c r="H7" s="1056"/>
      <c r="I7" s="1058"/>
      <c r="J7" s="1034"/>
      <c r="L7" s="558" t="s">
        <v>678</v>
      </c>
      <c r="M7" s="558" t="s">
        <v>462</v>
      </c>
      <c r="N7" s="558" t="s">
        <v>679</v>
      </c>
      <c r="O7" s="559" t="s">
        <v>680</v>
      </c>
      <c r="P7" s="50"/>
    </row>
    <row r="8" spans="2:16" ht="15.75" thickBot="1" x14ac:dyDescent="0.3">
      <c r="B8" s="1045" t="s">
        <v>237</v>
      </c>
      <c r="C8" s="1046"/>
      <c r="D8" s="1046"/>
      <c r="E8" s="1046"/>
      <c r="F8" s="1046"/>
      <c r="G8" s="1046"/>
      <c r="H8" s="1046"/>
      <c r="I8" s="1047"/>
      <c r="J8" s="72"/>
    </row>
    <row r="9" spans="2:16" ht="36.75" customHeight="1" x14ac:dyDescent="0.25">
      <c r="B9" s="1019" t="s">
        <v>232</v>
      </c>
      <c r="C9" s="1020"/>
      <c r="D9" s="1020"/>
      <c r="E9" s="1020"/>
      <c r="F9" s="1020"/>
      <c r="G9" s="1020"/>
      <c r="H9" s="1020"/>
      <c r="I9" s="1020"/>
      <c r="J9" s="1021"/>
    </row>
    <row r="10" spans="2:16" ht="15.75" customHeight="1" x14ac:dyDescent="0.25">
      <c r="B10" s="728" t="s">
        <v>60</v>
      </c>
      <c r="C10" s="729"/>
      <c r="D10" s="729"/>
      <c r="E10" s="729"/>
      <c r="F10" s="729"/>
      <c r="G10" s="729"/>
      <c r="H10" s="729"/>
      <c r="I10" s="729"/>
      <c r="J10" s="730"/>
    </row>
    <row r="11" spans="2:16" x14ac:dyDescent="0.25">
      <c r="B11" s="721" t="s">
        <v>61</v>
      </c>
      <c r="C11" s="721"/>
      <c r="D11" s="721"/>
      <c r="E11" s="722">
        <f>SUM(E12:E27)</f>
        <v>16</v>
      </c>
      <c r="F11" s="722">
        <f>SUM(F12:F27)</f>
        <v>46703</v>
      </c>
      <c r="G11" s="722">
        <f>SUM(G12:G27)</f>
        <v>0</v>
      </c>
      <c r="H11" s="722">
        <f>SUM(H12:H27)</f>
        <v>0</v>
      </c>
      <c r="I11" s="722">
        <f>SUM(I12:I27)</f>
        <v>46703</v>
      </c>
      <c r="J11" s="722"/>
    </row>
    <row r="12" spans="2:16" ht="60" x14ac:dyDescent="0.25">
      <c r="B12" s="876" t="s">
        <v>883</v>
      </c>
      <c r="C12" s="877" t="s">
        <v>543</v>
      </c>
      <c r="D12" s="878" t="s">
        <v>928</v>
      </c>
      <c r="E12" s="879">
        <v>1</v>
      </c>
      <c r="F12" s="880">
        <v>4133.25</v>
      </c>
      <c r="G12" s="880"/>
      <c r="H12" s="880"/>
      <c r="I12" s="881">
        <v>4133.25</v>
      </c>
      <c r="J12" s="120">
        <f>ROUND((F12+G12+H12)*(kopsavilkums!$O$8)*E12*12*(1+kopsavilkums!$O$23),2)</f>
        <v>6497.74</v>
      </c>
      <c r="L12" s="767" t="s">
        <v>948</v>
      </c>
      <c r="M12" s="769" t="s">
        <v>928</v>
      </c>
      <c r="N12" s="72" t="s">
        <v>738</v>
      </c>
      <c r="O12" s="72" t="s">
        <v>913</v>
      </c>
      <c r="P12" s="72"/>
    </row>
    <row r="13" spans="2:16" ht="72" x14ac:dyDescent="0.25">
      <c r="B13" s="876" t="s">
        <v>349</v>
      </c>
      <c r="C13" s="877" t="s">
        <v>542</v>
      </c>
      <c r="D13" s="878" t="s">
        <v>929</v>
      </c>
      <c r="E13" s="879">
        <v>1</v>
      </c>
      <c r="F13" s="880">
        <v>3110.25</v>
      </c>
      <c r="G13" s="880"/>
      <c r="H13" s="880"/>
      <c r="I13" s="881">
        <v>3110.25</v>
      </c>
      <c r="J13" s="120">
        <f>ROUND((F13+G13+H13)*(kopsavilkums!$O$8)*E13*12*(1+kopsavilkums!$O$23),2)</f>
        <v>4889.51</v>
      </c>
      <c r="L13" s="767" t="s">
        <v>949</v>
      </c>
      <c r="M13" s="769" t="s">
        <v>929</v>
      </c>
      <c r="N13" s="72" t="s">
        <v>738</v>
      </c>
      <c r="O13" s="72" t="s">
        <v>909</v>
      </c>
      <c r="P13" s="72"/>
    </row>
    <row r="14" spans="2:16" ht="72" x14ac:dyDescent="0.25">
      <c r="B14" s="876" t="s">
        <v>349</v>
      </c>
      <c r="C14" s="877" t="s">
        <v>542</v>
      </c>
      <c r="D14" s="878" t="s">
        <v>930</v>
      </c>
      <c r="E14" s="879">
        <v>1</v>
      </c>
      <c r="F14" s="880">
        <v>4344</v>
      </c>
      <c r="G14" s="880"/>
      <c r="H14" s="880"/>
      <c r="I14" s="881">
        <v>4344</v>
      </c>
      <c r="J14" s="120">
        <f>ROUND((F14+G14+H14)*(kopsavilkums!$O$8)*E14*12*(1+kopsavilkums!$O$23),2)</f>
        <v>6829.05</v>
      </c>
      <c r="L14" s="767" t="s">
        <v>950</v>
      </c>
      <c r="M14" s="769" t="s">
        <v>930</v>
      </c>
      <c r="N14" s="72" t="s">
        <v>738</v>
      </c>
      <c r="O14" s="72" t="s">
        <v>911</v>
      </c>
      <c r="P14" s="72"/>
    </row>
    <row r="15" spans="2:16" ht="90" x14ac:dyDescent="0.25">
      <c r="B15" s="876" t="s">
        <v>349</v>
      </c>
      <c r="C15" s="877" t="s">
        <v>542</v>
      </c>
      <c r="D15" s="878" t="s">
        <v>931</v>
      </c>
      <c r="E15" s="879">
        <v>1</v>
      </c>
      <c r="F15" s="880">
        <v>3544</v>
      </c>
      <c r="G15" s="880"/>
      <c r="H15" s="880"/>
      <c r="I15" s="881">
        <v>3544</v>
      </c>
      <c r="J15" s="120">
        <f>ROUND((F15+G15+H15)*(kopsavilkums!$O$8)*E15*12*(1+kopsavilkums!$O$23),2)</f>
        <v>5571.4</v>
      </c>
      <c r="L15" s="767" t="s">
        <v>950</v>
      </c>
      <c r="M15" s="769" t="s">
        <v>931</v>
      </c>
      <c r="N15" s="72" t="s">
        <v>738</v>
      </c>
      <c r="O15" s="72" t="s">
        <v>914</v>
      </c>
      <c r="P15" s="72"/>
    </row>
    <row r="16" spans="2:16" ht="60" x14ac:dyDescent="0.25">
      <c r="B16" s="876" t="s">
        <v>349</v>
      </c>
      <c r="C16" s="877" t="s">
        <v>542</v>
      </c>
      <c r="D16" s="878" t="s">
        <v>890</v>
      </c>
      <c r="E16" s="879">
        <v>1</v>
      </c>
      <c r="F16" s="880">
        <v>4008</v>
      </c>
      <c r="G16" s="880"/>
      <c r="H16" s="880"/>
      <c r="I16" s="881">
        <v>4008</v>
      </c>
      <c r="J16" s="120">
        <f>ROUND((F16+G16+H16)*(kopsavilkums!$O$8)*E16*12*(1+kopsavilkums!$O$23),2)</f>
        <v>6300.84</v>
      </c>
      <c r="L16" s="767" t="s">
        <v>951</v>
      </c>
      <c r="M16" s="769" t="s">
        <v>890</v>
      </c>
      <c r="N16" s="72" t="s">
        <v>738</v>
      </c>
      <c r="O16" s="72" t="s">
        <v>915</v>
      </c>
      <c r="P16" s="72"/>
    </row>
    <row r="17" spans="2:16" ht="48" x14ac:dyDescent="0.25">
      <c r="B17" s="876" t="s">
        <v>106</v>
      </c>
      <c r="C17" s="877" t="s">
        <v>544</v>
      </c>
      <c r="D17" s="878" t="s">
        <v>932</v>
      </c>
      <c r="E17" s="879">
        <v>1</v>
      </c>
      <c r="F17" s="880">
        <v>2277</v>
      </c>
      <c r="G17" s="880"/>
      <c r="H17" s="880"/>
      <c r="I17" s="881">
        <v>2277</v>
      </c>
      <c r="J17" s="120">
        <f>ROUND((F17+G17+H17)*(kopsavilkums!$O$8)*E17*12*(1+kopsavilkums!$O$23),2)</f>
        <v>3579.59</v>
      </c>
      <c r="L17" s="767" t="s">
        <v>952</v>
      </c>
      <c r="M17" s="769" t="s">
        <v>932</v>
      </c>
      <c r="N17" s="72" t="s">
        <v>738</v>
      </c>
      <c r="O17" s="72" t="s">
        <v>914</v>
      </c>
      <c r="P17" s="72"/>
    </row>
    <row r="18" spans="2:16" ht="75" x14ac:dyDescent="0.25">
      <c r="B18" s="876" t="s">
        <v>106</v>
      </c>
      <c r="C18" s="877" t="s">
        <v>544</v>
      </c>
      <c r="D18" s="878" t="s">
        <v>933</v>
      </c>
      <c r="E18" s="879">
        <v>1</v>
      </c>
      <c r="F18" s="880">
        <v>3745.5</v>
      </c>
      <c r="G18" s="880"/>
      <c r="H18" s="880"/>
      <c r="I18" s="881">
        <v>3745.5</v>
      </c>
      <c r="J18" s="120">
        <f>ROUND((F18+G18+H18)*(kopsavilkums!$O$8)*E18*12*(1+kopsavilkums!$O$23),2)</f>
        <v>5888.17</v>
      </c>
      <c r="L18" s="767" t="s">
        <v>953</v>
      </c>
      <c r="M18" s="769" t="s">
        <v>933</v>
      </c>
      <c r="N18" s="72" t="s">
        <v>738</v>
      </c>
      <c r="O18" s="72" t="s">
        <v>959</v>
      </c>
      <c r="P18" s="72"/>
    </row>
    <row r="19" spans="2:16" ht="48" x14ac:dyDescent="0.25">
      <c r="B19" s="876" t="s">
        <v>926</v>
      </c>
      <c r="C19" s="877" t="s">
        <v>544</v>
      </c>
      <c r="D19" s="878" t="s">
        <v>890</v>
      </c>
      <c r="E19" s="879">
        <v>1</v>
      </c>
      <c r="F19" s="880">
        <v>3368</v>
      </c>
      <c r="G19" s="880"/>
      <c r="H19" s="880"/>
      <c r="I19" s="881">
        <v>3368</v>
      </c>
      <c r="J19" s="120">
        <f>ROUND((F19+G19+H19)*(kopsavilkums!$O$8)*E19*12*(1+kopsavilkums!$O$23),2)</f>
        <v>5294.71</v>
      </c>
      <c r="L19" s="767" t="s">
        <v>954</v>
      </c>
      <c r="M19" s="769" t="s">
        <v>890</v>
      </c>
      <c r="N19" s="72" t="s">
        <v>738</v>
      </c>
      <c r="O19" s="72" t="s">
        <v>909</v>
      </c>
      <c r="P19" s="72"/>
    </row>
    <row r="20" spans="2:16" ht="48" x14ac:dyDescent="0.25">
      <c r="B20" s="876" t="s">
        <v>926</v>
      </c>
      <c r="C20" s="877" t="s">
        <v>544</v>
      </c>
      <c r="D20" s="878" t="s">
        <v>895</v>
      </c>
      <c r="E20" s="879">
        <v>1</v>
      </c>
      <c r="F20" s="880">
        <v>2576</v>
      </c>
      <c r="G20" s="880"/>
      <c r="H20" s="880"/>
      <c r="I20" s="881">
        <v>2576</v>
      </c>
      <c r="J20" s="120">
        <f>ROUND((F20+G20+H20)*(kopsavilkums!$O$8)*E20*12*(1+kopsavilkums!$O$23),2)</f>
        <v>4049.64</v>
      </c>
      <c r="L20" s="767" t="s">
        <v>955</v>
      </c>
      <c r="M20" s="769" t="s">
        <v>895</v>
      </c>
      <c r="N20" s="72" t="s">
        <v>738</v>
      </c>
      <c r="O20" s="72" t="s">
        <v>912</v>
      </c>
      <c r="P20" s="72"/>
    </row>
    <row r="21" spans="2:16" ht="72" x14ac:dyDescent="0.25">
      <c r="B21" s="876" t="s">
        <v>926</v>
      </c>
      <c r="C21" s="877" t="s">
        <v>544</v>
      </c>
      <c r="D21" s="878" t="s">
        <v>889</v>
      </c>
      <c r="E21" s="879">
        <v>1</v>
      </c>
      <c r="F21" s="880">
        <v>2656.5</v>
      </c>
      <c r="G21" s="880"/>
      <c r="H21" s="880"/>
      <c r="I21" s="881">
        <v>2656.5</v>
      </c>
      <c r="J21" s="120">
        <f>ROUND((F21+G21+H21)*(kopsavilkums!$O$8)*E21*12*(1+kopsavilkums!$O$23),2)</f>
        <v>4176.1899999999996</v>
      </c>
      <c r="L21" s="767" t="s">
        <v>956</v>
      </c>
      <c r="M21" s="769" t="s">
        <v>889</v>
      </c>
      <c r="N21" s="72" t="s">
        <v>738</v>
      </c>
      <c r="O21" s="72" t="s">
        <v>913</v>
      </c>
      <c r="P21" s="72"/>
    </row>
    <row r="22" spans="2:16" ht="48" x14ac:dyDescent="0.25">
      <c r="B22" s="876" t="s">
        <v>926</v>
      </c>
      <c r="C22" s="877" t="s">
        <v>544</v>
      </c>
      <c r="D22" s="878" t="s">
        <v>890</v>
      </c>
      <c r="E22" s="879">
        <v>1</v>
      </c>
      <c r="F22" s="880">
        <v>2359.5</v>
      </c>
      <c r="G22" s="880"/>
      <c r="H22" s="880"/>
      <c r="I22" s="881">
        <v>2359.5</v>
      </c>
      <c r="J22" s="120">
        <f>ROUND((F22+G22+H22)*(kopsavilkums!$O$8)*E22*12*(1+kopsavilkums!$O$23),2)</f>
        <v>3709.29</v>
      </c>
      <c r="L22" s="767" t="s">
        <v>954</v>
      </c>
      <c r="M22" s="769" t="s">
        <v>890</v>
      </c>
      <c r="N22" s="72" t="s">
        <v>738</v>
      </c>
      <c r="O22" s="72" t="s">
        <v>913</v>
      </c>
      <c r="P22" s="72"/>
    </row>
    <row r="23" spans="2:16" ht="72" x14ac:dyDescent="0.25">
      <c r="B23" s="876" t="s">
        <v>926</v>
      </c>
      <c r="C23" s="877" t="s">
        <v>544</v>
      </c>
      <c r="D23" s="878" t="s">
        <v>889</v>
      </c>
      <c r="E23" s="879">
        <v>1</v>
      </c>
      <c r="F23" s="880">
        <v>2277</v>
      </c>
      <c r="G23" s="880"/>
      <c r="H23" s="880"/>
      <c r="I23" s="881">
        <v>2277</v>
      </c>
      <c r="J23" s="120">
        <f>ROUND((F23+G23+H23)*(kopsavilkums!$O$8)*E23*12*(1+kopsavilkums!$O$23),2)</f>
        <v>3579.59</v>
      </c>
      <c r="L23" s="767" t="s">
        <v>956</v>
      </c>
      <c r="M23" s="769" t="s">
        <v>889</v>
      </c>
      <c r="N23" s="72" t="s">
        <v>738</v>
      </c>
      <c r="O23" s="72" t="s">
        <v>915</v>
      </c>
      <c r="P23" s="72"/>
    </row>
    <row r="24" spans="2:16" ht="60" x14ac:dyDescent="0.25">
      <c r="B24" s="876" t="s">
        <v>12</v>
      </c>
      <c r="C24" s="877" t="s">
        <v>927</v>
      </c>
      <c r="D24" s="878" t="s">
        <v>889</v>
      </c>
      <c r="E24" s="879">
        <v>1</v>
      </c>
      <c r="F24" s="880">
        <v>2368</v>
      </c>
      <c r="G24" s="880"/>
      <c r="H24" s="880"/>
      <c r="I24" s="881">
        <v>2368</v>
      </c>
      <c r="J24" s="120">
        <f>ROUND((F24+G24+H24)*(kopsavilkums!$O$8)*E24*12*(1+kopsavilkums!$O$23),2)</f>
        <v>3722.65</v>
      </c>
      <c r="L24" s="767" t="s">
        <v>957</v>
      </c>
      <c r="M24" s="769" t="s">
        <v>889</v>
      </c>
      <c r="N24" s="72" t="s">
        <v>738</v>
      </c>
      <c r="O24" s="72" t="s">
        <v>914</v>
      </c>
      <c r="P24" s="72"/>
    </row>
    <row r="25" spans="2:16" ht="60" x14ac:dyDescent="0.25">
      <c r="B25" s="876" t="s">
        <v>12</v>
      </c>
      <c r="C25" s="877" t="s">
        <v>927</v>
      </c>
      <c r="D25" s="878" t="s">
        <v>889</v>
      </c>
      <c r="E25" s="879">
        <v>1</v>
      </c>
      <c r="F25" s="880">
        <v>2128</v>
      </c>
      <c r="G25" s="880"/>
      <c r="H25" s="880"/>
      <c r="I25" s="881">
        <v>2128</v>
      </c>
      <c r="J25" s="120">
        <f>ROUND((F25+G25+H25)*(kopsavilkums!$O$8)*E25*12*(1+kopsavilkums!$O$23),2)</f>
        <v>3345.35</v>
      </c>
      <c r="L25" s="767" t="s">
        <v>957</v>
      </c>
      <c r="M25" s="769" t="s">
        <v>889</v>
      </c>
      <c r="N25" s="72" t="s">
        <v>738</v>
      </c>
      <c r="O25" s="72" t="s">
        <v>914</v>
      </c>
      <c r="P25" s="72"/>
    </row>
    <row r="26" spans="2:16" ht="36" x14ac:dyDescent="0.25">
      <c r="B26" s="876" t="s">
        <v>12</v>
      </c>
      <c r="C26" s="877" t="s">
        <v>927</v>
      </c>
      <c r="D26" s="878" t="s">
        <v>934</v>
      </c>
      <c r="E26" s="879">
        <v>1</v>
      </c>
      <c r="F26" s="880">
        <v>1904</v>
      </c>
      <c r="G26" s="880"/>
      <c r="H26" s="880"/>
      <c r="I26" s="881">
        <v>1904</v>
      </c>
      <c r="J26" s="120">
        <f>ROUND((F26+G26+H26)*(kopsavilkums!$O$8)*E26*12*(1+kopsavilkums!$O$23),2)</f>
        <v>2993.21</v>
      </c>
      <c r="L26" s="767" t="s">
        <v>958</v>
      </c>
      <c r="M26" s="769" t="s">
        <v>934</v>
      </c>
      <c r="N26" s="72" t="s">
        <v>738</v>
      </c>
      <c r="O26" s="72" t="s">
        <v>913</v>
      </c>
      <c r="P26" s="72"/>
    </row>
    <row r="27" spans="2:16" ht="60" x14ac:dyDescent="0.25">
      <c r="B27" s="876" t="s">
        <v>12</v>
      </c>
      <c r="C27" s="877" t="s">
        <v>927</v>
      </c>
      <c r="D27" s="878" t="s">
        <v>889</v>
      </c>
      <c r="E27" s="879">
        <v>1</v>
      </c>
      <c r="F27" s="880">
        <v>1904</v>
      </c>
      <c r="G27" s="880"/>
      <c r="H27" s="880"/>
      <c r="I27" s="881">
        <v>1904</v>
      </c>
      <c r="J27" s="120">
        <f>ROUND((F27+G27+H27)*(kopsavilkums!$O$8)*E27*12*(1+kopsavilkums!$O$23),2)</f>
        <v>2993.21</v>
      </c>
      <c r="L27" s="767" t="s">
        <v>957</v>
      </c>
      <c r="M27" s="769" t="s">
        <v>889</v>
      </c>
      <c r="N27" s="72" t="s">
        <v>738</v>
      </c>
      <c r="O27" s="72" t="s">
        <v>913</v>
      </c>
      <c r="P27" s="72"/>
    </row>
    <row r="28" spans="2:16" ht="48" customHeight="1" x14ac:dyDescent="0.25">
      <c r="B28" s="723" t="s">
        <v>434</v>
      </c>
      <c r="C28" s="723"/>
      <c r="D28" s="723"/>
      <c r="E28" s="724">
        <f>SUM(E29:E135)</f>
        <v>107</v>
      </c>
      <c r="F28" s="724">
        <f>SUM(F29:F29)</f>
        <v>1635.25</v>
      </c>
      <c r="G28" s="724">
        <f>SUM(G29:G29)</f>
        <v>0</v>
      </c>
      <c r="H28" s="724">
        <f>SUM(H29:H29)</f>
        <v>0</v>
      </c>
      <c r="I28" s="724">
        <f>SUM(I29:I29)</f>
        <v>1635.25</v>
      </c>
      <c r="J28" s="723"/>
      <c r="L28" s="72"/>
      <c r="M28" s="72"/>
      <c r="N28" s="72"/>
      <c r="O28" s="72"/>
      <c r="P28" s="72"/>
    </row>
    <row r="29" spans="2:16" ht="60" x14ac:dyDescent="0.25">
      <c r="B29" s="882" t="s">
        <v>935</v>
      </c>
      <c r="C29" s="877" t="s">
        <v>936</v>
      </c>
      <c r="D29" s="878" t="s">
        <v>917</v>
      </c>
      <c r="E29" s="883">
        <v>1</v>
      </c>
      <c r="F29" s="884">
        <v>1635.25</v>
      </c>
      <c r="G29" s="884">
        <v>0</v>
      </c>
      <c r="H29" s="884">
        <v>0</v>
      </c>
      <c r="I29" s="881">
        <f>E29*(F29+G29)+H29</f>
        <v>1635.25</v>
      </c>
      <c r="J29" s="120">
        <f>ROUND((F29+G29+H29)*(kopsavilkums!$O$12)*E29*12*(1+kopsavilkums!$O$23),2)</f>
        <v>1576.38</v>
      </c>
      <c r="L29" s="767" t="s">
        <v>962</v>
      </c>
      <c r="M29" s="769" t="s">
        <v>917</v>
      </c>
      <c r="N29" s="72" t="s">
        <v>738</v>
      </c>
      <c r="O29" s="766" t="s">
        <v>909</v>
      </c>
      <c r="P29" s="72"/>
    </row>
    <row r="30" spans="2:16" ht="60" x14ac:dyDescent="0.25">
      <c r="B30" s="885" t="s">
        <v>937</v>
      </c>
      <c r="C30" s="880" t="s">
        <v>936</v>
      </c>
      <c r="D30" s="886" t="s">
        <v>918</v>
      </c>
      <c r="E30" s="883">
        <v>1</v>
      </c>
      <c r="F30" s="884">
        <v>3072</v>
      </c>
      <c r="G30" s="884"/>
      <c r="H30" s="884"/>
      <c r="I30" s="880">
        <f t="shared" ref="I30:I136" si="0">E30*(F30+G30)+H30</f>
        <v>3072</v>
      </c>
      <c r="J30" s="120">
        <f>ROUND((F30+G30+H30)*(kopsavilkums!$O$12)*E30*12*(1+kopsavilkums!$O$23),2)</f>
        <v>2961.41</v>
      </c>
      <c r="L30" s="767" t="s">
        <v>963</v>
      </c>
      <c r="M30" s="769" t="s">
        <v>918</v>
      </c>
      <c r="N30" s="72" t="s">
        <v>738</v>
      </c>
      <c r="O30" s="768" t="s">
        <v>914</v>
      </c>
      <c r="P30" s="72"/>
    </row>
    <row r="31" spans="2:16" ht="72" x14ac:dyDescent="0.25">
      <c r="B31" s="885" t="s">
        <v>937</v>
      </c>
      <c r="C31" s="880" t="s">
        <v>936</v>
      </c>
      <c r="D31" s="886" t="s">
        <v>919</v>
      </c>
      <c r="E31" s="883">
        <v>1</v>
      </c>
      <c r="F31" s="884">
        <v>1952</v>
      </c>
      <c r="G31" s="884"/>
      <c r="H31" s="884"/>
      <c r="I31" s="880">
        <f t="shared" si="0"/>
        <v>1952</v>
      </c>
      <c r="J31" s="120">
        <f>ROUND((F31+G31+H31)*(kopsavilkums!$O$12)*E31*12*(1+kopsavilkums!$O$23),2)</f>
        <v>1881.73</v>
      </c>
      <c r="L31" s="767" t="s">
        <v>964</v>
      </c>
      <c r="M31" s="769" t="s">
        <v>919</v>
      </c>
      <c r="N31" s="72" t="s">
        <v>738</v>
      </c>
      <c r="O31" s="768" t="s">
        <v>911</v>
      </c>
      <c r="P31" s="72"/>
    </row>
    <row r="32" spans="2:16" ht="60" x14ac:dyDescent="0.25">
      <c r="B32" s="885" t="s">
        <v>937</v>
      </c>
      <c r="C32" s="880" t="s">
        <v>936</v>
      </c>
      <c r="D32" s="886" t="s">
        <v>918</v>
      </c>
      <c r="E32" s="883">
        <v>1</v>
      </c>
      <c r="F32" s="884">
        <v>1952</v>
      </c>
      <c r="G32" s="884"/>
      <c r="H32" s="884"/>
      <c r="I32" s="880">
        <f t="shared" si="0"/>
        <v>1952</v>
      </c>
      <c r="J32" s="120">
        <f>ROUND((F32+G32+H32)*(kopsavilkums!$O$12)*E32*12*(1+kopsavilkums!$O$23),2)</f>
        <v>1881.73</v>
      </c>
      <c r="L32" s="767" t="s">
        <v>963</v>
      </c>
      <c r="M32" s="769" t="s">
        <v>918</v>
      </c>
      <c r="N32" s="72" t="s">
        <v>738</v>
      </c>
      <c r="O32" s="768" t="s">
        <v>911</v>
      </c>
      <c r="P32" s="72"/>
    </row>
    <row r="33" spans="2:16" ht="75" x14ac:dyDescent="0.25">
      <c r="B33" s="885" t="s">
        <v>937</v>
      </c>
      <c r="C33" s="880" t="s">
        <v>936</v>
      </c>
      <c r="D33" s="886" t="s">
        <v>960</v>
      </c>
      <c r="E33" s="883">
        <v>1</v>
      </c>
      <c r="F33" s="884">
        <v>1952</v>
      </c>
      <c r="G33" s="884"/>
      <c r="H33" s="884"/>
      <c r="I33" s="880">
        <f t="shared" si="0"/>
        <v>1952</v>
      </c>
      <c r="J33" s="120">
        <f>ROUND((F33+G33+H33)*(kopsavilkums!$O$12)*E33*12*(1+kopsavilkums!$O$23),2)</f>
        <v>1881.73</v>
      </c>
      <c r="L33" s="767" t="s">
        <v>964</v>
      </c>
      <c r="M33" s="769" t="s">
        <v>960</v>
      </c>
      <c r="N33" s="72" t="s">
        <v>738</v>
      </c>
      <c r="O33" s="768" t="s">
        <v>959</v>
      </c>
      <c r="P33" s="72"/>
    </row>
    <row r="34" spans="2:16" ht="60" x14ac:dyDescent="0.25">
      <c r="B34" s="885" t="s">
        <v>937</v>
      </c>
      <c r="C34" s="880" t="s">
        <v>936</v>
      </c>
      <c r="D34" s="886" t="s">
        <v>918</v>
      </c>
      <c r="E34" s="883">
        <v>1</v>
      </c>
      <c r="F34" s="884">
        <v>2592</v>
      </c>
      <c r="G34" s="884"/>
      <c r="H34" s="884"/>
      <c r="I34" s="880">
        <f t="shared" si="0"/>
        <v>2592</v>
      </c>
      <c r="J34" s="120">
        <f>ROUND((F34+G34+H34)*(kopsavilkums!$O$12)*E34*12*(1+kopsavilkums!$O$23),2)</f>
        <v>2498.69</v>
      </c>
      <c r="L34" s="767" t="s">
        <v>963</v>
      </c>
      <c r="M34" s="769" t="s">
        <v>918</v>
      </c>
      <c r="N34" s="72" t="s">
        <v>738</v>
      </c>
      <c r="O34" s="768" t="s">
        <v>911</v>
      </c>
      <c r="P34" s="72"/>
    </row>
    <row r="35" spans="2:16" ht="72" x14ac:dyDescent="0.25">
      <c r="B35" s="885" t="s">
        <v>937</v>
      </c>
      <c r="C35" s="880" t="s">
        <v>936</v>
      </c>
      <c r="D35" s="886" t="s">
        <v>919</v>
      </c>
      <c r="E35" s="883">
        <v>1</v>
      </c>
      <c r="F35" s="884">
        <v>2201</v>
      </c>
      <c r="G35" s="884"/>
      <c r="H35" s="884"/>
      <c r="I35" s="880">
        <f t="shared" si="0"/>
        <v>2201</v>
      </c>
      <c r="J35" s="120">
        <f>ROUND((F35+G35+H35)*(kopsavilkums!$O$12)*E35*12*(1+kopsavilkums!$O$23),2)</f>
        <v>2121.77</v>
      </c>
      <c r="L35" s="767" t="s">
        <v>964</v>
      </c>
      <c r="M35" s="769" t="s">
        <v>919</v>
      </c>
      <c r="N35" s="72" t="s">
        <v>738</v>
      </c>
      <c r="O35" s="766" t="s">
        <v>910</v>
      </c>
      <c r="P35" s="72"/>
    </row>
    <row r="36" spans="2:16" ht="60" x14ac:dyDescent="0.25">
      <c r="B36" s="885" t="s">
        <v>938</v>
      </c>
      <c r="C36" s="880" t="s">
        <v>936</v>
      </c>
      <c r="D36" s="886" t="s">
        <v>917</v>
      </c>
      <c r="E36" s="883">
        <v>1</v>
      </c>
      <c r="F36" s="884">
        <v>3152</v>
      </c>
      <c r="G36" s="884"/>
      <c r="H36" s="884"/>
      <c r="I36" s="880">
        <f t="shared" si="0"/>
        <v>3152</v>
      </c>
      <c r="J36" s="120">
        <f>ROUND((F36+G36+H36)*(kopsavilkums!$O$12)*E36*12*(1+kopsavilkums!$O$23),2)</f>
        <v>3038.53</v>
      </c>
      <c r="L36" s="767" t="s">
        <v>962</v>
      </c>
      <c r="M36" s="769" t="s">
        <v>917</v>
      </c>
      <c r="N36" s="72" t="s">
        <v>738</v>
      </c>
      <c r="O36" s="766" t="s">
        <v>910</v>
      </c>
      <c r="P36" s="72"/>
    </row>
    <row r="37" spans="2:16" ht="72" x14ac:dyDescent="0.25">
      <c r="B37" s="885" t="s">
        <v>937</v>
      </c>
      <c r="C37" s="880" t="s">
        <v>936</v>
      </c>
      <c r="D37" s="886" t="s">
        <v>919</v>
      </c>
      <c r="E37" s="883">
        <v>1</v>
      </c>
      <c r="F37" s="884">
        <v>3072</v>
      </c>
      <c r="G37" s="884"/>
      <c r="H37" s="884"/>
      <c r="I37" s="880">
        <f t="shared" si="0"/>
        <v>3072</v>
      </c>
      <c r="J37" s="120">
        <f>ROUND((F37+G37+H37)*(kopsavilkums!$O$12)*E37*12*(1+kopsavilkums!$O$23),2)</f>
        <v>2961.41</v>
      </c>
      <c r="L37" s="767" t="s">
        <v>964</v>
      </c>
      <c r="M37" s="769" t="s">
        <v>919</v>
      </c>
      <c r="N37" s="72" t="s">
        <v>738</v>
      </c>
      <c r="O37" s="766" t="s">
        <v>910</v>
      </c>
      <c r="P37" s="72"/>
    </row>
    <row r="38" spans="2:16" ht="72" x14ac:dyDescent="0.25">
      <c r="B38" s="885" t="s">
        <v>937</v>
      </c>
      <c r="C38" s="880" t="s">
        <v>936</v>
      </c>
      <c r="D38" s="886" t="s">
        <v>919</v>
      </c>
      <c r="E38" s="883">
        <v>1</v>
      </c>
      <c r="F38" s="884">
        <v>3072</v>
      </c>
      <c r="G38" s="884"/>
      <c r="H38" s="884"/>
      <c r="I38" s="880">
        <f t="shared" si="0"/>
        <v>3072</v>
      </c>
      <c r="J38" s="120">
        <f>ROUND((F38+G38+H38)*(kopsavilkums!$O$12)*E38*12*(1+kopsavilkums!$O$23),2)</f>
        <v>2961.41</v>
      </c>
      <c r="L38" s="767" t="s">
        <v>964</v>
      </c>
      <c r="M38" s="769" t="s">
        <v>919</v>
      </c>
      <c r="N38" s="72" t="s">
        <v>738</v>
      </c>
      <c r="O38" s="768" t="s">
        <v>911</v>
      </c>
      <c r="P38" s="72"/>
    </row>
    <row r="39" spans="2:16" ht="60" x14ac:dyDescent="0.25">
      <c r="B39" s="885" t="s">
        <v>939</v>
      </c>
      <c r="C39" s="880" t="s">
        <v>936</v>
      </c>
      <c r="D39" s="886" t="s">
        <v>917</v>
      </c>
      <c r="E39" s="883">
        <v>1</v>
      </c>
      <c r="F39" s="884">
        <v>2123.5</v>
      </c>
      <c r="G39" s="884"/>
      <c r="H39" s="884"/>
      <c r="I39" s="880">
        <f t="shared" si="0"/>
        <v>2123.5</v>
      </c>
      <c r="J39" s="120">
        <f>ROUND((F39+G39+H39)*(kopsavilkums!$O$12)*E39*12*(1+kopsavilkums!$O$23),2)</f>
        <v>2047.06</v>
      </c>
      <c r="L39" s="767" t="s">
        <v>962</v>
      </c>
      <c r="M39" s="769" t="s">
        <v>917</v>
      </c>
      <c r="N39" s="72" t="s">
        <v>738</v>
      </c>
      <c r="O39" s="766" t="s">
        <v>912</v>
      </c>
      <c r="P39" s="72"/>
    </row>
    <row r="40" spans="2:16" ht="72" x14ac:dyDescent="0.25">
      <c r="B40" s="885" t="s">
        <v>940</v>
      </c>
      <c r="C40" s="880" t="s">
        <v>936</v>
      </c>
      <c r="D40" s="886" t="s">
        <v>919</v>
      </c>
      <c r="E40" s="883">
        <v>1</v>
      </c>
      <c r="F40" s="884">
        <v>2588.5</v>
      </c>
      <c r="G40" s="884"/>
      <c r="H40" s="884"/>
      <c r="I40" s="880">
        <f t="shared" si="0"/>
        <v>2588.5</v>
      </c>
      <c r="J40" s="120">
        <f>ROUND((F40+G40+H40)*(kopsavilkums!$O$12)*E40*12*(1+kopsavilkums!$O$23),2)</f>
        <v>2495.3200000000002</v>
      </c>
      <c r="L40" s="767" t="s">
        <v>964</v>
      </c>
      <c r="M40" s="769" t="s">
        <v>919</v>
      </c>
      <c r="N40" s="72" t="s">
        <v>738</v>
      </c>
      <c r="O40" s="766" t="s">
        <v>912</v>
      </c>
      <c r="P40" s="72"/>
    </row>
    <row r="41" spans="2:16" ht="60" x14ac:dyDescent="0.25">
      <c r="B41" s="885" t="s">
        <v>938</v>
      </c>
      <c r="C41" s="880" t="s">
        <v>936</v>
      </c>
      <c r="D41" s="886" t="s">
        <v>917</v>
      </c>
      <c r="E41" s="883">
        <v>1</v>
      </c>
      <c r="F41" s="884">
        <v>2992</v>
      </c>
      <c r="G41" s="884"/>
      <c r="H41" s="884"/>
      <c r="I41" s="880">
        <f t="shared" si="0"/>
        <v>2992</v>
      </c>
      <c r="J41" s="120">
        <f>ROUND((F41+G41+H41)*(kopsavilkums!$O$12)*E41*12*(1+kopsavilkums!$O$23),2)</f>
        <v>2884.29</v>
      </c>
      <c r="L41" s="767" t="s">
        <v>962</v>
      </c>
      <c r="M41" s="769" t="s">
        <v>917</v>
      </c>
      <c r="N41" s="72" t="s">
        <v>738</v>
      </c>
      <c r="O41" s="766" t="s">
        <v>913</v>
      </c>
      <c r="P41" s="72"/>
    </row>
    <row r="42" spans="2:16" ht="72" x14ac:dyDescent="0.25">
      <c r="B42" s="885" t="s">
        <v>937</v>
      </c>
      <c r="C42" s="880" t="s">
        <v>936</v>
      </c>
      <c r="D42" s="886" t="s">
        <v>919</v>
      </c>
      <c r="E42" s="883">
        <v>1</v>
      </c>
      <c r="F42" s="884">
        <v>2912</v>
      </c>
      <c r="G42" s="884"/>
      <c r="H42" s="884"/>
      <c r="I42" s="880">
        <f t="shared" si="0"/>
        <v>2912</v>
      </c>
      <c r="J42" s="120">
        <f>ROUND((F42+G42+H42)*(kopsavilkums!$O$12)*E42*12*(1+kopsavilkums!$O$23),2)</f>
        <v>2807.17</v>
      </c>
      <c r="L42" s="767" t="s">
        <v>964</v>
      </c>
      <c r="M42" s="769" t="s">
        <v>919</v>
      </c>
      <c r="N42" s="72" t="s">
        <v>738</v>
      </c>
      <c r="O42" s="766" t="s">
        <v>913</v>
      </c>
      <c r="P42" s="72"/>
    </row>
    <row r="43" spans="2:16" ht="72" x14ac:dyDescent="0.25">
      <c r="B43" s="885" t="s">
        <v>937</v>
      </c>
      <c r="C43" s="880" t="s">
        <v>936</v>
      </c>
      <c r="D43" s="886" t="s">
        <v>919</v>
      </c>
      <c r="E43" s="883">
        <v>1</v>
      </c>
      <c r="F43" s="884">
        <v>2821</v>
      </c>
      <c r="G43" s="884"/>
      <c r="H43" s="884"/>
      <c r="I43" s="880">
        <f t="shared" si="0"/>
        <v>2821</v>
      </c>
      <c r="J43" s="120">
        <f>ROUND((F43+G43+H43)*(kopsavilkums!$O$12)*E43*12*(1+kopsavilkums!$O$23),2)</f>
        <v>2719.45</v>
      </c>
      <c r="L43" s="767" t="s">
        <v>964</v>
      </c>
      <c r="M43" s="769" t="s">
        <v>919</v>
      </c>
      <c r="N43" s="72" t="s">
        <v>738</v>
      </c>
      <c r="O43" s="766" t="s">
        <v>913</v>
      </c>
      <c r="P43" s="72"/>
    </row>
    <row r="44" spans="2:16" ht="60" x14ac:dyDescent="0.25">
      <c r="B44" s="885" t="s">
        <v>938</v>
      </c>
      <c r="C44" s="880" t="s">
        <v>936</v>
      </c>
      <c r="D44" s="886" t="s">
        <v>917</v>
      </c>
      <c r="E44" s="883">
        <v>1</v>
      </c>
      <c r="F44" s="884">
        <v>3053.5</v>
      </c>
      <c r="G44" s="884"/>
      <c r="H44" s="884"/>
      <c r="I44" s="880">
        <f t="shared" si="0"/>
        <v>3053.5</v>
      </c>
      <c r="J44" s="120">
        <f>ROUND((F44+G44+H44)*(kopsavilkums!$O$12)*E44*12*(1+kopsavilkums!$O$23),2)</f>
        <v>2943.58</v>
      </c>
      <c r="L44" s="767" t="s">
        <v>962</v>
      </c>
      <c r="M44" s="769" t="s">
        <v>917</v>
      </c>
      <c r="N44" s="72" t="s">
        <v>738</v>
      </c>
      <c r="O44" s="768" t="s">
        <v>914</v>
      </c>
      <c r="P44" s="72"/>
    </row>
    <row r="45" spans="2:16" ht="72" x14ac:dyDescent="0.25">
      <c r="B45" s="885" t="s">
        <v>937</v>
      </c>
      <c r="C45" s="880" t="s">
        <v>936</v>
      </c>
      <c r="D45" s="886" t="s">
        <v>919</v>
      </c>
      <c r="E45" s="883">
        <v>1</v>
      </c>
      <c r="F45" s="884">
        <v>2512</v>
      </c>
      <c r="G45" s="884"/>
      <c r="H45" s="884"/>
      <c r="I45" s="880">
        <f t="shared" si="0"/>
        <v>2512</v>
      </c>
      <c r="J45" s="120">
        <f>ROUND((F45+G45+H45)*(kopsavilkums!$O$12)*E45*12*(1+kopsavilkums!$O$23),2)</f>
        <v>2421.5700000000002</v>
      </c>
      <c r="L45" s="767" t="s">
        <v>964</v>
      </c>
      <c r="M45" s="769" t="s">
        <v>919</v>
      </c>
      <c r="N45" s="72" t="s">
        <v>738</v>
      </c>
      <c r="O45" s="768" t="s">
        <v>914</v>
      </c>
      <c r="P45" s="72"/>
    </row>
    <row r="46" spans="2:16" ht="75" x14ac:dyDescent="0.25">
      <c r="B46" s="885" t="s">
        <v>937</v>
      </c>
      <c r="C46" s="880" t="s">
        <v>936</v>
      </c>
      <c r="D46" s="886" t="s">
        <v>961</v>
      </c>
      <c r="E46" s="883">
        <v>1</v>
      </c>
      <c r="F46" s="884">
        <v>3152</v>
      </c>
      <c r="G46" s="884"/>
      <c r="H46" s="884"/>
      <c r="I46" s="880">
        <f t="shared" si="0"/>
        <v>3152</v>
      </c>
      <c r="J46" s="120">
        <f>ROUND((F46+G46+H46)*(kopsavilkums!$O$12)*E46*12*(1+kopsavilkums!$O$23),2)</f>
        <v>3038.53</v>
      </c>
      <c r="L46" s="767" t="s">
        <v>963</v>
      </c>
      <c r="M46" s="769" t="s">
        <v>961</v>
      </c>
      <c r="N46" s="72" t="s">
        <v>738</v>
      </c>
      <c r="O46" s="768" t="s">
        <v>914</v>
      </c>
      <c r="P46" s="72"/>
    </row>
    <row r="47" spans="2:16" ht="72" x14ac:dyDescent="0.25">
      <c r="B47" s="885" t="s">
        <v>937</v>
      </c>
      <c r="C47" s="880" t="s">
        <v>936</v>
      </c>
      <c r="D47" s="886" t="s">
        <v>919</v>
      </c>
      <c r="E47" s="883">
        <v>1</v>
      </c>
      <c r="F47" s="884">
        <v>2592</v>
      </c>
      <c r="G47" s="884"/>
      <c r="H47" s="884"/>
      <c r="I47" s="880">
        <f t="shared" si="0"/>
        <v>2592</v>
      </c>
      <c r="J47" s="120">
        <f>ROUND((F47+G47+H47)*(kopsavilkums!$O$12)*E47*12*(1+kopsavilkums!$O$23),2)</f>
        <v>2498.69</v>
      </c>
      <c r="L47" s="767" t="s">
        <v>964</v>
      </c>
      <c r="M47" s="769" t="s">
        <v>919</v>
      </c>
      <c r="N47" s="72" t="s">
        <v>738</v>
      </c>
      <c r="O47" s="768" t="s">
        <v>914</v>
      </c>
      <c r="P47" s="72"/>
    </row>
    <row r="48" spans="2:16" ht="60" x14ac:dyDescent="0.25">
      <c r="B48" s="885" t="s">
        <v>937</v>
      </c>
      <c r="C48" s="880" t="s">
        <v>936</v>
      </c>
      <c r="D48" s="886" t="s">
        <v>918</v>
      </c>
      <c r="E48" s="883">
        <v>1</v>
      </c>
      <c r="F48" s="884">
        <v>1968.5</v>
      </c>
      <c r="G48" s="884"/>
      <c r="H48" s="884"/>
      <c r="I48" s="880">
        <f t="shared" si="0"/>
        <v>1968.5</v>
      </c>
      <c r="J48" s="120">
        <f>ROUND((F48+G48+H48)*(kopsavilkums!$O$12)*E48*12*(1+kopsavilkums!$O$23),2)</f>
        <v>1897.64</v>
      </c>
      <c r="L48" s="767" t="s">
        <v>963</v>
      </c>
      <c r="M48" s="769" t="s">
        <v>918</v>
      </c>
      <c r="N48" s="72" t="s">
        <v>738</v>
      </c>
      <c r="O48" s="768" t="s">
        <v>914</v>
      </c>
      <c r="P48" s="72"/>
    </row>
    <row r="49" spans="2:16" ht="60" x14ac:dyDescent="0.25">
      <c r="B49" s="885" t="s">
        <v>938</v>
      </c>
      <c r="C49" s="880" t="s">
        <v>936</v>
      </c>
      <c r="D49" s="886" t="s">
        <v>917</v>
      </c>
      <c r="E49" s="883">
        <v>1</v>
      </c>
      <c r="F49" s="884">
        <v>1968.5</v>
      </c>
      <c r="G49" s="884"/>
      <c r="H49" s="884"/>
      <c r="I49" s="880">
        <f t="shared" si="0"/>
        <v>1968.5</v>
      </c>
      <c r="J49" s="120">
        <f>ROUND((F49+G49+H49)*(kopsavilkums!$O$12)*E49*12*(1+kopsavilkums!$O$23),2)</f>
        <v>1897.64</v>
      </c>
      <c r="L49" s="767" t="s">
        <v>962</v>
      </c>
      <c r="M49" s="769" t="s">
        <v>917</v>
      </c>
      <c r="N49" s="72" t="s">
        <v>738</v>
      </c>
      <c r="O49" s="766" t="s">
        <v>913</v>
      </c>
      <c r="P49" s="72"/>
    </row>
    <row r="50" spans="2:16" ht="60" x14ac:dyDescent="0.25">
      <c r="B50" s="885" t="s">
        <v>941</v>
      </c>
      <c r="C50" s="880" t="s">
        <v>936</v>
      </c>
      <c r="D50" s="886" t="s">
        <v>919</v>
      </c>
      <c r="E50" s="883">
        <v>1</v>
      </c>
      <c r="F50" s="884">
        <v>2976</v>
      </c>
      <c r="G50" s="884"/>
      <c r="H50" s="884"/>
      <c r="I50" s="880">
        <f t="shared" si="0"/>
        <v>2976</v>
      </c>
      <c r="J50" s="120">
        <f>ROUND((F50+G50+H50)*(kopsavilkums!$O$12)*E50*12*(1+kopsavilkums!$O$23),2)</f>
        <v>2868.87</v>
      </c>
      <c r="L50" s="767" t="s">
        <v>963</v>
      </c>
      <c r="M50" s="769" t="s">
        <v>919</v>
      </c>
      <c r="N50" s="72" t="s">
        <v>738</v>
      </c>
      <c r="O50" s="766" t="s">
        <v>913</v>
      </c>
      <c r="P50" s="72"/>
    </row>
    <row r="51" spans="2:16" ht="60" x14ac:dyDescent="0.25">
      <c r="B51" s="885" t="s">
        <v>941</v>
      </c>
      <c r="C51" s="880" t="s">
        <v>936</v>
      </c>
      <c r="D51" s="886" t="s">
        <v>917</v>
      </c>
      <c r="E51" s="883">
        <v>1</v>
      </c>
      <c r="F51" s="884">
        <v>2356</v>
      </c>
      <c r="G51" s="884"/>
      <c r="H51" s="884"/>
      <c r="I51" s="880">
        <f t="shared" si="0"/>
        <v>2356</v>
      </c>
      <c r="J51" s="120">
        <f>ROUND((F51+G51+H51)*(kopsavilkums!$O$12)*E51*12*(1+kopsavilkums!$O$23),2)</f>
        <v>2271.19</v>
      </c>
      <c r="L51" s="767" t="s">
        <v>962</v>
      </c>
      <c r="M51" s="769" t="s">
        <v>917</v>
      </c>
      <c r="N51" s="72" t="s">
        <v>738</v>
      </c>
      <c r="O51" s="766" t="s">
        <v>913</v>
      </c>
      <c r="P51" s="72"/>
    </row>
    <row r="52" spans="2:16" ht="60" x14ac:dyDescent="0.25">
      <c r="B52" s="885" t="s">
        <v>937</v>
      </c>
      <c r="C52" s="880" t="s">
        <v>936</v>
      </c>
      <c r="D52" s="886" t="s">
        <v>919</v>
      </c>
      <c r="E52" s="883">
        <v>1</v>
      </c>
      <c r="F52" s="884">
        <v>2898.5</v>
      </c>
      <c r="G52" s="884"/>
      <c r="H52" s="884"/>
      <c r="I52" s="880">
        <f t="shared" si="0"/>
        <v>2898.5</v>
      </c>
      <c r="J52" s="120">
        <f>ROUND((F52+G52+H52)*(kopsavilkums!$O$12)*E52*12*(1+kopsavilkums!$O$23),2)</f>
        <v>2794.16</v>
      </c>
      <c r="L52" s="767" t="s">
        <v>963</v>
      </c>
      <c r="M52" s="769" t="s">
        <v>919</v>
      </c>
      <c r="N52" s="72" t="s">
        <v>738</v>
      </c>
      <c r="O52" s="766" t="s">
        <v>913</v>
      </c>
      <c r="P52" s="72"/>
    </row>
    <row r="53" spans="2:16" ht="60" x14ac:dyDescent="0.25">
      <c r="B53" s="885" t="s">
        <v>937</v>
      </c>
      <c r="C53" s="880" t="s">
        <v>936</v>
      </c>
      <c r="D53" s="886" t="s">
        <v>919</v>
      </c>
      <c r="E53" s="883">
        <v>1</v>
      </c>
      <c r="F53" s="884">
        <v>2588.5</v>
      </c>
      <c r="G53" s="884"/>
      <c r="H53" s="884"/>
      <c r="I53" s="880">
        <f t="shared" si="0"/>
        <v>2588.5</v>
      </c>
      <c r="J53" s="120">
        <f>ROUND((F53+G53+H53)*(kopsavilkums!$O$12)*E53*12*(1+kopsavilkums!$O$23),2)</f>
        <v>2495.3200000000002</v>
      </c>
      <c r="L53" s="767" t="s">
        <v>963</v>
      </c>
      <c r="M53" s="769" t="s">
        <v>919</v>
      </c>
      <c r="N53" s="72" t="s">
        <v>738</v>
      </c>
      <c r="O53" s="766" t="s">
        <v>913</v>
      </c>
      <c r="P53" s="72"/>
    </row>
    <row r="54" spans="2:16" ht="60" x14ac:dyDescent="0.25">
      <c r="B54" s="885" t="s">
        <v>937</v>
      </c>
      <c r="C54" s="880" t="s">
        <v>936</v>
      </c>
      <c r="D54" s="886" t="s">
        <v>918</v>
      </c>
      <c r="E54" s="883">
        <v>1</v>
      </c>
      <c r="F54" s="884">
        <v>2433.5</v>
      </c>
      <c r="G54" s="884"/>
      <c r="H54" s="884"/>
      <c r="I54" s="880">
        <f t="shared" si="0"/>
        <v>2433.5</v>
      </c>
      <c r="J54" s="120">
        <f>ROUND((F54+G54+H54)*(kopsavilkums!$O$12)*E54*12*(1+kopsavilkums!$O$23),2)</f>
        <v>2345.9</v>
      </c>
      <c r="L54" s="767" t="s">
        <v>963</v>
      </c>
      <c r="M54" s="769" t="s">
        <v>918</v>
      </c>
      <c r="N54" s="72" t="s">
        <v>738</v>
      </c>
      <c r="O54" s="766" t="s">
        <v>913</v>
      </c>
      <c r="P54" s="72"/>
    </row>
    <row r="55" spans="2:16" ht="60" x14ac:dyDescent="0.25">
      <c r="B55" s="885" t="s">
        <v>938</v>
      </c>
      <c r="C55" s="880" t="s">
        <v>936</v>
      </c>
      <c r="D55" s="886" t="s">
        <v>917</v>
      </c>
      <c r="E55" s="883">
        <v>1</v>
      </c>
      <c r="F55" s="884">
        <v>2123.5</v>
      </c>
      <c r="G55" s="884"/>
      <c r="H55" s="884"/>
      <c r="I55" s="880">
        <f t="shared" si="0"/>
        <v>2123.5</v>
      </c>
      <c r="J55" s="120">
        <f>ROUND((F55+G55+H55)*(kopsavilkums!$O$12)*E55*12*(1+kopsavilkums!$O$23),2)</f>
        <v>2047.06</v>
      </c>
      <c r="L55" s="767" t="s">
        <v>962</v>
      </c>
      <c r="M55" s="769" t="s">
        <v>917</v>
      </c>
      <c r="N55" s="72" t="s">
        <v>738</v>
      </c>
      <c r="O55" s="766" t="s">
        <v>915</v>
      </c>
      <c r="P55" s="72"/>
    </row>
    <row r="56" spans="2:16" ht="60" x14ac:dyDescent="0.25">
      <c r="B56" s="885" t="s">
        <v>937</v>
      </c>
      <c r="C56" s="880" t="s">
        <v>936</v>
      </c>
      <c r="D56" s="886" t="s">
        <v>918</v>
      </c>
      <c r="E56" s="883">
        <v>1</v>
      </c>
      <c r="F56" s="884">
        <v>2743.5</v>
      </c>
      <c r="G56" s="884"/>
      <c r="H56" s="884"/>
      <c r="I56" s="880">
        <f t="shared" si="0"/>
        <v>2743.5</v>
      </c>
      <c r="J56" s="120">
        <f>ROUND((F56+G56+H56)*(kopsavilkums!$O$12)*E56*12*(1+kopsavilkums!$O$23),2)</f>
        <v>2644.74</v>
      </c>
      <c r="L56" s="767" t="s">
        <v>963</v>
      </c>
      <c r="M56" s="769" t="s">
        <v>918</v>
      </c>
      <c r="N56" s="72" t="s">
        <v>738</v>
      </c>
      <c r="O56" s="766" t="s">
        <v>915</v>
      </c>
      <c r="P56" s="72"/>
    </row>
    <row r="57" spans="2:16" ht="60" x14ac:dyDescent="0.25">
      <c r="B57" s="885" t="s">
        <v>937</v>
      </c>
      <c r="C57" s="880" t="s">
        <v>936</v>
      </c>
      <c r="D57" s="886" t="s">
        <v>919</v>
      </c>
      <c r="E57" s="883">
        <v>1</v>
      </c>
      <c r="F57" s="884">
        <v>1968.5</v>
      </c>
      <c r="G57" s="884"/>
      <c r="H57" s="884"/>
      <c r="I57" s="880">
        <f t="shared" si="0"/>
        <v>1968.5</v>
      </c>
      <c r="J57" s="120">
        <f>ROUND((F57+G57+H57)*(kopsavilkums!$O$12)*E57*12*(1+kopsavilkums!$O$23),2)</f>
        <v>1897.64</v>
      </c>
      <c r="L57" s="767" t="s">
        <v>963</v>
      </c>
      <c r="M57" s="769" t="s">
        <v>919</v>
      </c>
      <c r="N57" s="72" t="s">
        <v>738</v>
      </c>
      <c r="O57" s="766" t="s">
        <v>915</v>
      </c>
      <c r="P57" s="72"/>
    </row>
    <row r="58" spans="2:16" ht="60" x14ac:dyDescent="0.25">
      <c r="B58" s="885" t="s">
        <v>938</v>
      </c>
      <c r="C58" s="880" t="s">
        <v>936</v>
      </c>
      <c r="D58" s="886" t="s">
        <v>918</v>
      </c>
      <c r="E58" s="883">
        <v>1</v>
      </c>
      <c r="F58" s="884">
        <v>1968.5</v>
      </c>
      <c r="G58" s="884"/>
      <c r="H58" s="884"/>
      <c r="I58" s="880">
        <f t="shared" si="0"/>
        <v>1968.5</v>
      </c>
      <c r="J58" s="120">
        <f>ROUND((F58+G58+H58)*(kopsavilkums!$O$12)*E58*12*(1+kopsavilkums!$O$23),2)</f>
        <v>1897.64</v>
      </c>
      <c r="L58" s="767" t="s">
        <v>962</v>
      </c>
      <c r="M58" s="769" t="s">
        <v>918</v>
      </c>
      <c r="N58" s="72" t="s">
        <v>738</v>
      </c>
      <c r="O58" s="766" t="s">
        <v>915</v>
      </c>
      <c r="P58" s="72"/>
    </row>
    <row r="59" spans="2:16" ht="60" x14ac:dyDescent="0.25">
      <c r="B59" s="885" t="s">
        <v>937</v>
      </c>
      <c r="C59" s="880" t="s">
        <v>936</v>
      </c>
      <c r="D59" s="886" t="s">
        <v>919</v>
      </c>
      <c r="E59" s="883">
        <v>1</v>
      </c>
      <c r="F59" s="884">
        <v>1968.5</v>
      </c>
      <c r="G59" s="884"/>
      <c r="H59" s="884"/>
      <c r="I59" s="880">
        <f t="shared" si="0"/>
        <v>1968.5</v>
      </c>
      <c r="J59" s="120">
        <f>ROUND((F59+G59+H59)*(kopsavilkums!$O$12)*E59*12*(1+kopsavilkums!$O$23),2)</f>
        <v>1897.64</v>
      </c>
      <c r="L59" s="767" t="s">
        <v>963</v>
      </c>
      <c r="M59" s="769" t="s">
        <v>919</v>
      </c>
      <c r="N59" s="72" t="s">
        <v>738</v>
      </c>
      <c r="O59" s="766" t="s">
        <v>915</v>
      </c>
      <c r="P59" s="72"/>
    </row>
    <row r="60" spans="2:16" ht="60" x14ac:dyDescent="0.25">
      <c r="B60" s="885" t="s">
        <v>937</v>
      </c>
      <c r="C60" s="880" t="s">
        <v>936</v>
      </c>
      <c r="D60" s="886" t="s">
        <v>919</v>
      </c>
      <c r="E60" s="883">
        <v>1</v>
      </c>
      <c r="F60" s="884">
        <v>1891</v>
      </c>
      <c r="G60" s="884"/>
      <c r="H60" s="884"/>
      <c r="I60" s="880">
        <f t="shared" si="0"/>
        <v>1891</v>
      </c>
      <c r="J60" s="120">
        <f>ROUND((F60+G60+H60)*(kopsavilkums!$O$12)*E60*12*(1+kopsavilkums!$O$23),2)</f>
        <v>1822.93</v>
      </c>
      <c r="L60" s="767" t="s">
        <v>963</v>
      </c>
      <c r="M60" s="769" t="s">
        <v>919</v>
      </c>
      <c r="N60" s="72" t="s">
        <v>738</v>
      </c>
      <c r="O60" s="766" t="s">
        <v>915</v>
      </c>
      <c r="P60" s="72"/>
    </row>
    <row r="61" spans="2:16" ht="60" x14ac:dyDescent="0.25">
      <c r="B61" s="885" t="s">
        <v>938</v>
      </c>
      <c r="C61" s="880" t="s">
        <v>936</v>
      </c>
      <c r="D61" s="886" t="s">
        <v>917</v>
      </c>
      <c r="E61" s="883">
        <v>1</v>
      </c>
      <c r="F61" s="884">
        <v>2666</v>
      </c>
      <c r="G61" s="884"/>
      <c r="H61" s="884"/>
      <c r="I61" s="880">
        <f t="shared" si="0"/>
        <v>2666</v>
      </c>
      <c r="J61" s="120">
        <f>ROUND((F61+G61+H61)*(kopsavilkums!$O$12)*E61*12*(1+kopsavilkums!$O$23),2)</f>
        <v>2570.0300000000002</v>
      </c>
      <c r="L61" s="767" t="s">
        <v>962</v>
      </c>
      <c r="M61" s="769" t="s">
        <v>917</v>
      </c>
      <c r="N61" s="72" t="s">
        <v>738</v>
      </c>
      <c r="O61" s="766" t="s">
        <v>915</v>
      </c>
      <c r="P61" s="72"/>
    </row>
    <row r="62" spans="2:16" ht="60" x14ac:dyDescent="0.25">
      <c r="B62" s="885" t="s">
        <v>862</v>
      </c>
      <c r="C62" s="880" t="s">
        <v>942</v>
      </c>
      <c r="D62" s="886" t="s">
        <v>917</v>
      </c>
      <c r="E62" s="883">
        <v>1</v>
      </c>
      <c r="F62" s="884">
        <v>2512</v>
      </c>
      <c r="G62" s="884"/>
      <c r="H62" s="884"/>
      <c r="I62" s="880">
        <f t="shared" si="0"/>
        <v>2512</v>
      </c>
      <c r="J62" s="120">
        <f>ROUND((F62+G62+H62)*(kopsavilkums!$O$12)*E62*12*(1+kopsavilkums!$O$23),2)</f>
        <v>2421.5700000000002</v>
      </c>
      <c r="L62" s="767" t="s">
        <v>965</v>
      </c>
      <c r="M62" s="769" t="s">
        <v>917</v>
      </c>
      <c r="N62" s="72" t="s">
        <v>738</v>
      </c>
      <c r="O62" s="768" t="s">
        <v>914</v>
      </c>
      <c r="P62" s="72"/>
    </row>
    <row r="63" spans="2:16" ht="60" x14ac:dyDescent="0.25">
      <c r="B63" s="885" t="s">
        <v>107</v>
      </c>
      <c r="C63" s="880" t="s">
        <v>942</v>
      </c>
      <c r="D63" s="886" t="s">
        <v>920</v>
      </c>
      <c r="E63" s="883">
        <v>1</v>
      </c>
      <c r="F63" s="884">
        <v>2836.5</v>
      </c>
      <c r="G63" s="884"/>
      <c r="H63" s="884"/>
      <c r="I63" s="880">
        <f t="shared" si="0"/>
        <v>2836.5</v>
      </c>
      <c r="J63" s="120">
        <f>ROUND((F63+G63+H63)*(kopsavilkums!$O$12)*E63*12*(1+kopsavilkums!$O$23),2)</f>
        <v>2734.39</v>
      </c>
      <c r="L63" s="767" t="s">
        <v>966</v>
      </c>
      <c r="M63" s="769" t="s">
        <v>920</v>
      </c>
      <c r="N63" s="72" t="s">
        <v>738</v>
      </c>
      <c r="O63" s="768" t="s">
        <v>911</v>
      </c>
      <c r="P63" s="72"/>
    </row>
    <row r="64" spans="2:16" ht="60" x14ac:dyDescent="0.25">
      <c r="B64" s="885" t="s">
        <v>107</v>
      </c>
      <c r="C64" s="880" t="s">
        <v>942</v>
      </c>
      <c r="D64" s="886" t="s">
        <v>918</v>
      </c>
      <c r="E64" s="883">
        <v>1</v>
      </c>
      <c r="F64" s="884">
        <v>1790.25</v>
      </c>
      <c r="G64" s="884"/>
      <c r="H64" s="884"/>
      <c r="I64" s="880">
        <f t="shared" si="0"/>
        <v>1790.25</v>
      </c>
      <c r="J64" s="120">
        <f>ROUND((F64+G64+H64)*(kopsavilkums!$O$12)*E64*12*(1+kopsavilkums!$O$23),2)</f>
        <v>1725.8</v>
      </c>
      <c r="L64" s="767" t="s">
        <v>966</v>
      </c>
      <c r="M64" s="769" t="s">
        <v>918</v>
      </c>
      <c r="N64" s="72" t="s">
        <v>738</v>
      </c>
      <c r="O64" s="768" t="s">
        <v>911</v>
      </c>
      <c r="P64" s="72"/>
    </row>
    <row r="65" spans="2:16" ht="60" x14ac:dyDescent="0.25">
      <c r="B65" s="885" t="s">
        <v>107</v>
      </c>
      <c r="C65" s="880" t="s">
        <v>942</v>
      </c>
      <c r="D65" s="886" t="s">
        <v>919</v>
      </c>
      <c r="E65" s="883">
        <v>1</v>
      </c>
      <c r="F65" s="884">
        <v>1929.75</v>
      </c>
      <c r="G65" s="884"/>
      <c r="H65" s="884"/>
      <c r="I65" s="880">
        <f t="shared" si="0"/>
        <v>1929.75</v>
      </c>
      <c r="J65" s="120">
        <f>ROUND((F65+G65+H65)*(kopsavilkums!$O$12)*E65*12*(1+kopsavilkums!$O$23),2)</f>
        <v>1860.28</v>
      </c>
      <c r="L65" s="767" t="s">
        <v>966</v>
      </c>
      <c r="M65" s="769" t="s">
        <v>919</v>
      </c>
      <c r="N65" s="72" t="s">
        <v>738</v>
      </c>
      <c r="O65" s="768" t="s">
        <v>911</v>
      </c>
      <c r="P65" s="72"/>
    </row>
    <row r="66" spans="2:16" ht="60" x14ac:dyDescent="0.25">
      <c r="B66" s="885" t="s">
        <v>107</v>
      </c>
      <c r="C66" s="880" t="s">
        <v>942</v>
      </c>
      <c r="D66" s="886" t="s">
        <v>919</v>
      </c>
      <c r="E66" s="883">
        <v>1</v>
      </c>
      <c r="F66" s="884">
        <v>1999.5</v>
      </c>
      <c r="G66" s="884"/>
      <c r="H66" s="884"/>
      <c r="I66" s="880">
        <f t="shared" si="0"/>
        <v>1999.5</v>
      </c>
      <c r="J66" s="120">
        <f>ROUND((F66+G66+H66)*(kopsavilkums!$O$12)*E66*12*(1+kopsavilkums!$O$23),2)</f>
        <v>1927.52</v>
      </c>
      <c r="L66" s="767" t="s">
        <v>966</v>
      </c>
      <c r="M66" s="769" t="s">
        <v>919</v>
      </c>
      <c r="N66" s="72" t="s">
        <v>738</v>
      </c>
      <c r="O66" s="768" t="s">
        <v>911</v>
      </c>
      <c r="P66" s="72"/>
    </row>
    <row r="67" spans="2:16" ht="60" x14ac:dyDescent="0.25">
      <c r="B67" s="885" t="s">
        <v>107</v>
      </c>
      <c r="C67" s="880" t="s">
        <v>942</v>
      </c>
      <c r="D67" s="886" t="s">
        <v>919</v>
      </c>
      <c r="E67" s="883">
        <v>1</v>
      </c>
      <c r="F67" s="884">
        <v>1860</v>
      </c>
      <c r="G67" s="884"/>
      <c r="H67" s="884"/>
      <c r="I67" s="880">
        <f t="shared" si="0"/>
        <v>1860</v>
      </c>
      <c r="J67" s="120">
        <f>ROUND((F67+G67+H67)*(kopsavilkums!$O$12)*E67*12*(1+kopsavilkums!$O$23),2)</f>
        <v>1793.04</v>
      </c>
      <c r="L67" s="767" t="s">
        <v>966</v>
      </c>
      <c r="M67" s="769" t="s">
        <v>919</v>
      </c>
      <c r="N67" s="72" t="s">
        <v>738</v>
      </c>
      <c r="O67" s="768" t="s">
        <v>959</v>
      </c>
      <c r="P67" s="72"/>
    </row>
    <row r="68" spans="2:16" ht="60" x14ac:dyDescent="0.25">
      <c r="B68" s="885" t="s">
        <v>862</v>
      </c>
      <c r="C68" s="880" t="s">
        <v>942</v>
      </c>
      <c r="D68" s="886" t="s">
        <v>917</v>
      </c>
      <c r="E68" s="883">
        <v>1</v>
      </c>
      <c r="F68" s="884">
        <v>1860</v>
      </c>
      <c r="G68" s="884"/>
      <c r="H68" s="884"/>
      <c r="I68" s="880">
        <f t="shared" si="0"/>
        <v>1860</v>
      </c>
      <c r="J68" s="120">
        <f>ROUND((F68+G68+H68)*(kopsavilkums!$O$12)*E68*12*(1+kopsavilkums!$O$23),2)</f>
        <v>1793.04</v>
      </c>
      <c r="L68" s="767" t="s">
        <v>965</v>
      </c>
      <c r="M68" s="769" t="s">
        <v>917</v>
      </c>
      <c r="N68" s="72" t="s">
        <v>738</v>
      </c>
      <c r="O68" s="768" t="s">
        <v>959</v>
      </c>
      <c r="P68" s="72"/>
    </row>
    <row r="69" spans="2:16" ht="60" x14ac:dyDescent="0.25">
      <c r="B69" s="885" t="s">
        <v>862</v>
      </c>
      <c r="C69" s="880" t="s">
        <v>942</v>
      </c>
      <c r="D69" s="886" t="s">
        <v>917</v>
      </c>
      <c r="E69" s="883">
        <v>1</v>
      </c>
      <c r="F69" s="884">
        <v>2697</v>
      </c>
      <c r="G69" s="884"/>
      <c r="H69" s="884"/>
      <c r="I69" s="880">
        <f t="shared" si="0"/>
        <v>2697</v>
      </c>
      <c r="J69" s="120">
        <f>ROUND((F69+G69+H69)*(kopsavilkums!$O$12)*E69*12*(1+kopsavilkums!$O$23),2)</f>
        <v>2599.91</v>
      </c>
      <c r="L69" s="767" t="s">
        <v>965</v>
      </c>
      <c r="M69" s="769" t="s">
        <v>917</v>
      </c>
      <c r="N69" s="72" t="s">
        <v>738</v>
      </c>
      <c r="O69" s="768" t="s">
        <v>911</v>
      </c>
      <c r="P69" s="72"/>
    </row>
    <row r="70" spans="2:16" ht="60" x14ac:dyDescent="0.25">
      <c r="B70" s="885" t="s">
        <v>107</v>
      </c>
      <c r="C70" s="880" t="s">
        <v>942</v>
      </c>
      <c r="D70" s="886" t="s">
        <v>919</v>
      </c>
      <c r="E70" s="883">
        <v>1</v>
      </c>
      <c r="F70" s="884">
        <v>2557.5</v>
      </c>
      <c r="G70" s="884"/>
      <c r="H70" s="884"/>
      <c r="I70" s="880">
        <f t="shared" si="0"/>
        <v>2557.5</v>
      </c>
      <c r="J70" s="120">
        <f>ROUND((F70+G70+H70)*(kopsavilkums!$O$12)*E70*12*(1+kopsavilkums!$O$23),2)</f>
        <v>2465.44</v>
      </c>
      <c r="L70" s="767" t="s">
        <v>966</v>
      </c>
      <c r="M70" s="769" t="s">
        <v>919</v>
      </c>
      <c r="N70" s="72" t="s">
        <v>738</v>
      </c>
      <c r="O70" s="766" t="s">
        <v>910</v>
      </c>
      <c r="P70" s="72"/>
    </row>
    <row r="71" spans="2:16" ht="60" x14ac:dyDescent="0.25">
      <c r="B71" s="885" t="s">
        <v>107</v>
      </c>
      <c r="C71" s="880" t="s">
        <v>942</v>
      </c>
      <c r="D71" s="886" t="s">
        <v>919</v>
      </c>
      <c r="E71" s="883">
        <v>1</v>
      </c>
      <c r="F71" s="884">
        <v>2418</v>
      </c>
      <c r="G71" s="884"/>
      <c r="H71" s="884"/>
      <c r="I71" s="880">
        <f t="shared" si="0"/>
        <v>2418</v>
      </c>
      <c r="J71" s="120">
        <f>ROUND((F71+G71+H71)*(kopsavilkums!$O$12)*E71*12*(1+kopsavilkums!$O$23),2)</f>
        <v>2330.96</v>
      </c>
      <c r="L71" s="767" t="s">
        <v>966</v>
      </c>
      <c r="M71" s="769" t="s">
        <v>919</v>
      </c>
      <c r="N71" s="72" t="s">
        <v>738</v>
      </c>
      <c r="O71" s="766" t="s">
        <v>910</v>
      </c>
      <c r="P71" s="72"/>
    </row>
    <row r="72" spans="2:16" ht="60" x14ac:dyDescent="0.25">
      <c r="B72" s="885" t="s">
        <v>943</v>
      </c>
      <c r="C72" s="880" t="s">
        <v>942</v>
      </c>
      <c r="D72" s="886" t="s">
        <v>917</v>
      </c>
      <c r="E72" s="883">
        <v>1</v>
      </c>
      <c r="F72" s="884">
        <v>2069.25</v>
      </c>
      <c r="G72" s="884"/>
      <c r="H72" s="884"/>
      <c r="I72" s="880">
        <f t="shared" si="0"/>
        <v>2069.25</v>
      </c>
      <c r="J72" s="120">
        <f>ROUND((F72+G72+H72)*(kopsavilkums!$O$12)*E72*12*(1+kopsavilkums!$O$23),2)</f>
        <v>1994.76</v>
      </c>
      <c r="L72" s="767" t="s">
        <v>965</v>
      </c>
      <c r="M72" s="769" t="s">
        <v>917</v>
      </c>
      <c r="N72" s="72" t="s">
        <v>738</v>
      </c>
      <c r="O72" s="766" t="s">
        <v>910</v>
      </c>
      <c r="P72" s="72"/>
    </row>
    <row r="73" spans="2:16" ht="60" x14ac:dyDescent="0.25">
      <c r="B73" s="885" t="s">
        <v>943</v>
      </c>
      <c r="C73" s="880" t="s">
        <v>942</v>
      </c>
      <c r="D73" s="886" t="s">
        <v>917</v>
      </c>
      <c r="E73" s="883">
        <v>1</v>
      </c>
      <c r="F73" s="884">
        <v>2418</v>
      </c>
      <c r="G73" s="884"/>
      <c r="H73" s="884"/>
      <c r="I73" s="880">
        <f t="shared" si="0"/>
        <v>2418</v>
      </c>
      <c r="J73" s="120">
        <f>ROUND((F73+G73+H73)*(kopsavilkums!$O$12)*E73*12*(1+kopsavilkums!$O$23),2)</f>
        <v>2330.96</v>
      </c>
      <c r="L73" s="767" t="s">
        <v>965</v>
      </c>
      <c r="M73" s="769" t="s">
        <v>917</v>
      </c>
      <c r="N73" s="72" t="s">
        <v>738</v>
      </c>
      <c r="O73" s="766" t="s">
        <v>910</v>
      </c>
      <c r="P73" s="72"/>
    </row>
    <row r="74" spans="2:16" ht="60" x14ac:dyDescent="0.25">
      <c r="B74" s="885" t="s">
        <v>943</v>
      </c>
      <c r="C74" s="880" t="s">
        <v>942</v>
      </c>
      <c r="D74" s="886" t="s">
        <v>917</v>
      </c>
      <c r="E74" s="883">
        <v>1</v>
      </c>
      <c r="F74" s="884">
        <v>2418</v>
      </c>
      <c r="G74" s="884"/>
      <c r="H74" s="884"/>
      <c r="I74" s="880">
        <f t="shared" si="0"/>
        <v>2418</v>
      </c>
      <c r="J74" s="120">
        <f>ROUND((F74+G74+H74)*(kopsavilkums!$O$12)*E74*12*(1+kopsavilkums!$O$23),2)</f>
        <v>2330.96</v>
      </c>
      <c r="L74" s="767" t="s">
        <v>965</v>
      </c>
      <c r="M74" s="769" t="s">
        <v>917</v>
      </c>
      <c r="N74" s="72" t="s">
        <v>738</v>
      </c>
      <c r="O74" s="766" t="s">
        <v>910</v>
      </c>
      <c r="P74" s="72"/>
    </row>
    <row r="75" spans="2:16" ht="60" x14ac:dyDescent="0.25">
      <c r="B75" s="885" t="s">
        <v>107</v>
      </c>
      <c r="C75" s="880" t="s">
        <v>942</v>
      </c>
      <c r="D75" s="886" t="s">
        <v>919</v>
      </c>
      <c r="E75" s="883">
        <v>1</v>
      </c>
      <c r="F75" s="884">
        <v>1929.75</v>
      </c>
      <c r="G75" s="884"/>
      <c r="H75" s="884"/>
      <c r="I75" s="880">
        <f t="shared" si="0"/>
        <v>1929.75</v>
      </c>
      <c r="J75" s="120">
        <f>ROUND((F75+G75+H75)*(kopsavilkums!$O$12)*E75*12*(1+kopsavilkums!$O$23),2)</f>
        <v>1860.28</v>
      </c>
      <c r="L75" s="767" t="s">
        <v>966</v>
      </c>
      <c r="M75" s="769" t="s">
        <v>919</v>
      </c>
      <c r="N75" s="72" t="s">
        <v>738</v>
      </c>
      <c r="O75" s="768" t="s">
        <v>911</v>
      </c>
      <c r="P75" s="72"/>
    </row>
    <row r="76" spans="2:16" ht="60" x14ac:dyDescent="0.25">
      <c r="B76" s="885" t="s">
        <v>862</v>
      </c>
      <c r="C76" s="880" t="s">
        <v>942</v>
      </c>
      <c r="D76" s="886" t="s">
        <v>917</v>
      </c>
      <c r="E76" s="883">
        <v>1</v>
      </c>
      <c r="F76" s="884">
        <v>2697</v>
      </c>
      <c r="G76" s="884"/>
      <c r="H76" s="884"/>
      <c r="I76" s="880">
        <f t="shared" si="0"/>
        <v>2697</v>
      </c>
      <c r="J76" s="120">
        <f>ROUND((F76+G76+H76)*(kopsavilkums!$O$12)*E76*12*(1+kopsavilkums!$O$23),2)</f>
        <v>2599.91</v>
      </c>
      <c r="L76" s="767" t="s">
        <v>965</v>
      </c>
      <c r="M76" s="769" t="s">
        <v>917</v>
      </c>
      <c r="N76" s="72" t="s">
        <v>738</v>
      </c>
      <c r="O76" s="768" t="s">
        <v>911</v>
      </c>
      <c r="P76" s="72"/>
    </row>
    <row r="77" spans="2:16" ht="60" x14ac:dyDescent="0.25">
      <c r="B77" s="885" t="s">
        <v>862</v>
      </c>
      <c r="C77" s="880" t="s">
        <v>942</v>
      </c>
      <c r="D77" s="886" t="s">
        <v>923</v>
      </c>
      <c r="E77" s="883">
        <v>1</v>
      </c>
      <c r="F77" s="884">
        <v>2712</v>
      </c>
      <c r="G77" s="884"/>
      <c r="H77" s="884"/>
      <c r="I77" s="880">
        <f t="shared" si="0"/>
        <v>2712</v>
      </c>
      <c r="J77" s="120">
        <f>ROUND((F77+G77+H77)*(kopsavilkums!$O$12)*E77*12*(1+kopsavilkums!$O$23),2)</f>
        <v>2614.37</v>
      </c>
      <c r="L77" s="767" t="s">
        <v>965</v>
      </c>
      <c r="M77" s="769" t="s">
        <v>923</v>
      </c>
      <c r="N77" s="72" t="s">
        <v>738</v>
      </c>
      <c r="O77" s="766" t="s">
        <v>912</v>
      </c>
      <c r="P77" s="72"/>
    </row>
    <row r="78" spans="2:16" ht="60" x14ac:dyDescent="0.25">
      <c r="B78" s="885" t="s">
        <v>243</v>
      </c>
      <c r="C78" s="880" t="s">
        <v>942</v>
      </c>
      <c r="D78" s="886" t="s">
        <v>918</v>
      </c>
      <c r="E78" s="883">
        <v>1</v>
      </c>
      <c r="F78" s="884">
        <v>2136</v>
      </c>
      <c r="G78" s="884"/>
      <c r="H78" s="884"/>
      <c r="I78" s="880">
        <f t="shared" si="0"/>
        <v>2136</v>
      </c>
      <c r="J78" s="120">
        <f>ROUND((F78+G78+H78)*(kopsavilkums!$O$12)*E78*12*(1+kopsavilkums!$O$23),2)</f>
        <v>2059.11</v>
      </c>
      <c r="L78" s="767" t="s">
        <v>966</v>
      </c>
      <c r="M78" s="769" t="s">
        <v>918</v>
      </c>
      <c r="N78" s="72" t="s">
        <v>738</v>
      </c>
      <c r="O78" s="766" t="s">
        <v>912</v>
      </c>
      <c r="P78" s="72"/>
    </row>
    <row r="79" spans="2:16" ht="60" x14ac:dyDescent="0.25">
      <c r="B79" s="885" t="s">
        <v>243</v>
      </c>
      <c r="C79" s="880" t="s">
        <v>942</v>
      </c>
      <c r="D79" s="886" t="s">
        <v>918</v>
      </c>
      <c r="E79" s="883">
        <v>1</v>
      </c>
      <c r="F79" s="884">
        <v>1860</v>
      </c>
      <c r="G79" s="884"/>
      <c r="H79" s="884"/>
      <c r="I79" s="880">
        <f t="shared" si="0"/>
        <v>1860</v>
      </c>
      <c r="J79" s="120">
        <f>ROUND((F79+G79+H79)*(kopsavilkums!$O$12)*E79*12*(1+kopsavilkums!$O$23),2)</f>
        <v>1793.04</v>
      </c>
      <c r="L79" s="767" t="s">
        <v>966</v>
      </c>
      <c r="M79" s="769" t="s">
        <v>918</v>
      </c>
      <c r="N79" s="72" t="s">
        <v>738</v>
      </c>
      <c r="O79" s="766" t="s">
        <v>912</v>
      </c>
      <c r="P79" s="72"/>
    </row>
    <row r="80" spans="2:16" ht="60" x14ac:dyDescent="0.25">
      <c r="B80" s="885" t="s">
        <v>243</v>
      </c>
      <c r="C80" s="880" t="s">
        <v>942</v>
      </c>
      <c r="D80" s="886" t="s">
        <v>918</v>
      </c>
      <c r="E80" s="883">
        <v>1</v>
      </c>
      <c r="F80" s="884">
        <v>1929.75</v>
      </c>
      <c r="G80" s="884"/>
      <c r="H80" s="884"/>
      <c r="I80" s="880">
        <f t="shared" si="0"/>
        <v>1929.75</v>
      </c>
      <c r="J80" s="120">
        <f>ROUND((F80+G80+H80)*(kopsavilkums!$O$12)*E80*12*(1+kopsavilkums!$O$23),2)</f>
        <v>1860.28</v>
      </c>
      <c r="L80" s="767" t="s">
        <v>966</v>
      </c>
      <c r="M80" s="769" t="s">
        <v>918</v>
      </c>
      <c r="N80" s="72" t="s">
        <v>738</v>
      </c>
      <c r="O80" s="766" t="s">
        <v>912</v>
      </c>
      <c r="P80" s="72"/>
    </row>
    <row r="81" spans="2:16" ht="60" x14ac:dyDescent="0.25">
      <c r="B81" s="885" t="s">
        <v>107</v>
      </c>
      <c r="C81" s="880" t="s">
        <v>942</v>
      </c>
      <c r="D81" s="886" t="s">
        <v>919</v>
      </c>
      <c r="E81" s="883">
        <v>1</v>
      </c>
      <c r="F81" s="884">
        <v>1999.5</v>
      </c>
      <c r="G81" s="884"/>
      <c r="H81" s="884"/>
      <c r="I81" s="880">
        <f t="shared" si="0"/>
        <v>1999.5</v>
      </c>
      <c r="J81" s="120">
        <f>ROUND((F81+G81+H81)*(kopsavilkums!$O$12)*E81*12*(1+kopsavilkums!$O$23),2)</f>
        <v>1927.52</v>
      </c>
      <c r="L81" s="767" t="s">
        <v>966</v>
      </c>
      <c r="M81" s="769" t="s">
        <v>919</v>
      </c>
      <c r="N81" s="72" t="s">
        <v>738</v>
      </c>
      <c r="O81" s="766" t="s">
        <v>913</v>
      </c>
      <c r="P81" s="72"/>
    </row>
    <row r="82" spans="2:16" ht="60" x14ac:dyDescent="0.25">
      <c r="B82" s="885" t="s">
        <v>862</v>
      </c>
      <c r="C82" s="880" t="s">
        <v>942</v>
      </c>
      <c r="D82" s="886" t="s">
        <v>917</v>
      </c>
      <c r="E82" s="883">
        <v>1</v>
      </c>
      <c r="F82" s="884">
        <v>2348.25</v>
      </c>
      <c r="G82" s="884"/>
      <c r="H82" s="884"/>
      <c r="I82" s="880">
        <f t="shared" si="0"/>
        <v>2348.25</v>
      </c>
      <c r="J82" s="120">
        <f>ROUND((F82+G82+H82)*(kopsavilkums!$O$12)*E82*12*(1+kopsavilkums!$O$23),2)</f>
        <v>2263.7199999999998</v>
      </c>
      <c r="L82" s="767" t="s">
        <v>965</v>
      </c>
      <c r="M82" s="769" t="s">
        <v>917</v>
      </c>
      <c r="N82" s="72" t="s">
        <v>738</v>
      </c>
      <c r="O82" s="766" t="s">
        <v>913</v>
      </c>
      <c r="P82" s="72"/>
    </row>
    <row r="83" spans="2:16" ht="60" x14ac:dyDescent="0.25">
      <c r="B83" s="885" t="s">
        <v>107</v>
      </c>
      <c r="C83" s="880" t="s">
        <v>942</v>
      </c>
      <c r="D83" s="886" t="s">
        <v>920</v>
      </c>
      <c r="E83" s="883">
        <v>1</v>
      </c>
      <c r="F83" s="884">
        <v>2348.25</v>
      </c>
      <c r="G83" s="884"/>
      <c r="H83" s="884"/>
      <c r="I83" s="880">
        <f t="shared" si="0"/>
        <v>2348.25</v>
      </c>
      <c r="J83" s="120">
        <f>ROUND((F83+G83+H83)*(kopsavilkums!$O$12)*E83*12*(1+kopsavilkums!$O$23),2)</f>
        <v>2263.7199999999998</v>
      </c>
      <c r="L83" s="767" t="s">
        <v>966</v>
      </c>
      <c r="M83" s="769" t="s">
        <v>920</v>
      </c>
      <c r="N83" s="72" t="s">
        <v>738</v>
      </c>
      <c r="O83" s="766" t="s">
        <v>913</v>
      </c>
      <c r="P83" s="72"/>
    </row>
    <row r="84" spans="2:16" ht="75" x14ac:dyDescent="0.25">
      <c r="B84" s="885" t="s">
        <v>107</v>
      </c>
      <c r="C84" s="880" t="s">
        <v>942</v>
      </c>
      <c r="D84" s="886" t="s">
        <v>961</v>
      </c>
      <c r="E84" s="883">
        <v>1</v>
      </c>
      <c r="F84" s="884">
        <v>1650.75</v>
      </c>
      <c r="G84" s="884"/>
      <c r="H84" s="884"/>
      <c r="I84" s="880">
        <f t="shared" si="0"/>
        <v>1650.75</v>
      </c>
      <c r="J84" s="120">
        <f>ROUND((F84+G84+H84)*(kopsavilkums!$O$12)*E84*12*(1+kopsavilkums!$O$23),2)</f>
        <v>1591.33</v>
      </c>
      <c r="L84" s="767" t="s">
        <v>966</v>
      </c>
      <c r="M84" s="769" t="s">
        <v>961</v>
      </c>
      <c r="N84" s="72" t="s">
        <v>738</v>
      </c>
      <c r="O84" s="766" t="s">
        <v>913</v>
      </c>
      <c r="P84" s="72"/>
    </row>
    <row r="85" spans="2:16" ht="60" x14ac:dyDescent="0.25">
      <c r="B85" s="885" t="s">
        <v>862</v>
      </c>
      <c r="C85" s="880" t="s">
        <v>942</v>
      </c>
      <c r="D85" s="886" t="s">
        <v>917</v>
      </c>
      <c r="E85" s="883">
        <v>1</v>
      </c>
      <c r="F85" s="884">
        <v>1929.75</v>
      </c>
      <c r="G85" s="884"/>
      <c r="H85" s="884"/>
      <c r="I85" s="880">
        <f t="shared" si="0"/>
        <v>1929.75</v>
      </c>
      <c r="J85" s="120">
        <f>ROUND((F85+G85+H85)*(kopsavilkums!$O$12)*E85*12*(1+kopsavilkums!$O$23),2)</f>
        <v>1860.28</v>
      </c>
      <c r="L85" s="767" t="s">
        <v>965</v>
      </c>
      <c r="M85" s="769" t="s">
        <v>917</v>
      </c>
      <c r="N85" s="72" t="s">
        <v>738</v>
      </c>
      <c r="O85" s="766" t="s">
        <v>913</v>
      </c>
      <c r="P85" s="72"/>
    </row>
    <row r="86" spans="2:16" ht="60" x14ac:dyDescent="0.25">
      <c r="B86" s="885" t="s">
        <v>862</v>
      </c>
      <c r="C86" s="880" t="s">
        <v>942</v>
      </c>
      <c r="D86" s="886" t="s">
        <v>917</v>
      </c>
      <c r="E86" s="883">
        <v>1</v>
      </c>
      <c r="F86" s="884">
        <v>2557.5</v>
      </c>
      <c r="G86" s="884"/>
      <c r="H86" s="884"/>
      <c r="I86" s="880">
        <f t="shared" si="0"/>
        <v>2557.5</v>
      </c>
      <c r="J86" s="120">
        <f>ROUND((F86+G86+H86)*(kopsavilkums!$O$12)*E86*12*(1+kopsavilkums!$O$23),2)</f>
        <v>2465.44</v>
      </c>
      <c r="L86" s="767" t="s">
        <v>965</v>
      </c>
      <c r="M86" s="769" t="s">
        <v>917</v>
      </c>
      <c r="N86" s="72" t="s">
        <v>738</v>
      </c>
      <c r="O86" s="768" t="s">
        <v>914</v>
      </c>
      <c r="P86" s="72"/>
    </row>
    <row r="87" spans="2:16" ht="60" x14ac:dyDescent="0.25">
      <c r="B87" s="885" t="s">
        <v>862</v>
      </c>
      <c r="C87" s="880" t="s">
        <v>942</v>
      </c>
      <c r="D87" s="886" t="s">
        <v>917</v>
      </c>
      <c r="E87" s="883">
        <v>1</v>
      </c>
      <c r="F87" s="884">
        <v>2712</v>
      </c>
      <c r="G87" s="884"/>
      <c r="H87" s="884"/>
      <c r="I87" s="880">
        <f t="shared" si="0"/>
        <v>2712</v>
      </c>
      <c r="J87" s="120">
        <f>ROUND((F87+G87+H87)*(kopsavilkums!$O$12)*E87*12*(1+kopsavilkums!$O$23),2)</f>
        <v>2614.37</v>
      </c>
      <c r="L87" s="767" t="s">
        <v>965</v>
      </c>
      <c r="M87" s="769" t="s">
        <v>917</v>
      </c>
      <c r="N87" s="72" t="s">
        <v>738</v>
      </c>
      <c r="O87" s="768" t="s">
        <v>914</v>
      </c>
      <c r="P87" s="72"/>
    </row>
    <row r="88" spans="2:16" ht="60" x14ac:dyDescent="0.25">
      <c r="B88" s="885" t="s">
        <v>862</v>
      </c>
      <c r="C88" s="880" t="s">
        <v>942</v>
      </c>
      <c r="D88" s="886" t="s">
        <v>917</v>
      </c>
      <c r="E88" s="883">
        <v>1</v>
      </c>
      <c r="F88" s="884">
        <v>3000</v>
      </c>
      <c r="G88" s="884"/>
      <c r="H88" s="884"/>
      <c r="I88" s="880">
        <f t="shared" si="0"/>
        <v>3000</v>
      </c>
      <c r="J88" s="120">
        <f>ROUND((F88+G88+H88)*(kopsavilkums!$O$12)*E88*12*(1+kopsavilkums!$O$23),2)</f>
        <v>2892.01</v>
      </c>
      <c r="L88" s="767" t="s">
        <v>965</v>
      </c>
      <c r="M88" s="769" t="s">
        <v>917</v>
      </c>
      <c r="N88" s="72" t="s">
        <v>738</v>
      </c>
      <c r="O88" s="768" t="s">
        <v>914</v>
      </c>
      <c r="P88" s="72"/>
    </row>
    <row r="89" spans="2:16" ht="60" x14ac:dyDescent="0.25">
      <c r="B89" s="885" t="s">
        <v>862</v>
      </c>
      <c r="C89" s="880" t="s">
        <v>942</v>
      </c>
      <c r="D89" s="886" t="s">
        <v>917</v>
      </c>
      <c r="E89" s="883">
        <v>1</v>
      </c>
      <c r="F89" s="884">
        <v>2856</v>
      </c>
      <c r="G89" s="884"/>
      <c r="H89" s="884"/>
      <c r="I89" s="880">
        <f t="shared" si="0"/>
        <v>2856</v>
      </c>
      <c r="J89" s="120">
        <f>ROUND((F89+G89+H89)*(kopsavilkums!$O$12)*E89*12*(1+kopsavilkums!$O$23),2)</f>
        <v>2753.19</v>
      </c>
      <c r="L89" s="767" t="s">
        <v>965</v>
      </c>
      <c r="M89" s="769" t="s">
        <v>917</v>
      </c>
      <c r="N89" s="72" t="s">
        <v>738</v>
      </c>
      <c r="O89" s="768" t="s">
        <v>914</v>
      </c>
      <c r="P89" s="72"/>
    </row>
    <row r="90" spans="2:16" ht="60" x14ac:dyDescent="0.25">
      <c r="B90" s="885" t="s">
        <v>107</v>
      </c>
      <c r="C90" s="880" t="s">
        <v>942</v>
      </c>
      <c r="D90" s="886" t="s">
        <v>918</v>
      </c>
      <c r="E90" s="883">
        <v>1</v>
      </c>
      <c r="F90" s="884">
        <v>2352</v>
      </c>
      <c r="G90" s="884"/>
      <c r="H90" s="884"/>
      <c r="I90" s="880">
        <f t="shared" si="0"/>
        <v>2352</v>
      </c>
      <c r="J90" s="120">
        <f>ROUND((F90+G90+H90)*(kopsavilkums!$O$12)*E90*12*(1+kopsavilkums!$O$23),2)</f>
        <v>2267.33</v>
      </c>
      <c r="L90" s="767" t="s">
        <v>966</v>
      </c>
      <c r="M90" s="769" t="s">
        <v>918</v>
      </c>
      <c r="N90" s="72" t="s">
        <v>738</v>
      </c>
      <c r="O90" s="768" t="s">
        <v>914</v>
      </c>
      <c r="P90" s="72"/>
    </row>
    <row r="91" spans="2:16" ht="60" x14ac:dyDescent="0.25">
      <c r="B91" s="885" t="s">
        <v>107</v>
      </c>
      <c r="C91" s="880" t="s">
        <v>942</v>
      </c>
      <c r="D91" s="886" t="s">
        <v>918</v>
      </c>
      <c r="E91" s="883">
        <v>1</v>
      </c>
      <c r="F91" s="884">
        <v>1720.5</v>
      </c>
      <c r="G91" s="884"/>
      <c r="H91" s="884"/>
      <c r="I91" s="880">
        <f t="shared" si="0"/>
        <v>1720.5</v>
      </c>
      <c r="J91" s="120">
        <f>ROUND((F91+G91+H91)*(kopsavilkums!$O$12)*E91*12*(1+kopsavilkums!$O$23),2)</f>
        <v>1658.57</v>
      </c>
      <c r="L91" s="767" t="s">
        <v>966</v>
      </c>
      <c r="M91" s="769" t="s">
        <v>918</v>
      </c>
      <c r="N91" s="72" t="s">
        <v>738</v>
      </c>
      <c r="O91" s="768" t="s">
        <v>914</v>
      </c>
      <c r="P91" s="72"/>
    </row>
    <row r="92" spans="2:16" ht="60" x14ac:dyDescent="0.25">
      <c r="B92" s="885" t="s">
        <v>107</v>
      </c>
      <c r="C92" s="880" t="s">
        <v>942</v>
      </c>
      <c r="D92" s="886" t="s">
        <v>918</v>
      </c>
      <c r="E92" s="883">
        <v>1</v>
      </c>
      <c r="F92" s="884">
        <v>1999.5</v>
      </c>
      <c r="G92" s="884"/>
      <c r="H92" s="884"/>
      <c r="I92" s="880">
        <f t="shared" si="0"/>
        <v>1999.5</v>
      </c>
      <c r="J92" s="120">
        <f>ROUND((F92+G92+H92)*(kopsavilkums!$O$12)*E92*12*(1+kopsavilkums!$O$23),2)</f>
        <v>1927.52</v>
      </c>
      <c r="L92" s="767" t="s">
        <v>966</v>
      </c>
      <c r="M92" s="769" t="s">
        <v>918</v>
      </c>
      <c r="N92" s="72" t="s">
        <v>738</v>
      </c>
      <c r="O92" s="768" t="s">
        <v>914</v>
      </c>
      <c r="P92" s="72"/>
    </row>
    <row r="93" spans="2:16" ht="48" x14ac:dyDescent="0.25">
      <c r="B93" s="885" t="s">
        <v>18</v>
      </c>
      <c r="C93" s="880" t="s">
        <v>942</v>
      </c>
      <c r="D93" s="886" t="s">
        <v>917</v>
      </c>
      <c r="E93" s="883">
        <v>1</v>
      </c>
      <c r="F93" s="884">
        <v>1860</v>
      </c>
      <c r="G93" s="884"/>
      <c r="H93" s="884"/>
      <c r="I93" s="880">
        <f t="shared" si="0"/>
        <v>1860</v>
      </c>
      <c r="J93" s="120">
        <f>ROUND((F93+G93+H93)*(kopsavilkums!$O$12)*E93*12*(1+kopsavilkums!$O$23),2)</f>
        <v>1793.04</v>
      </c>
      <c r="L93" s="767" t="s">
        <v>967</v>
      </c>
      <c r="M93" s="769" t="s">
        <v>917</v>
      </c>
      <c r="N93" s="72" t="s">
        <v>738</v>
      </c>
      <c r="O93" s="766" t="s">
        <v>913</v>
      </c>
      <c r="P93" s="72"/>
    </row>
    <row r="94" spans="2:16" ht="60" x14ac:dyDescent="0.25">
      <c r="B94" s="885" t="s">
        <v>937</v>
      </c>
      <c r="C94" s="880" t="s">
        <v>936</v>
      </c>
      <c r="D94" s="886" t="s">
        <v>919</v>
      </c>
      <c r="E94" s="883">
        <v>1</v>
      </c>
      <c r="F94" s="884">
        <v>2348.25</v>
      </c>
      <c r="G94" s="884"/>
      <c r="H94" s="884"/>
      <c r="I94" s="880">
        <f t="shared" si="0"/>
        <v>2348.25</v>
      </c>
      <c r="J94" s="120">
        <f>ROUND((F94+G94+H94)*(kopsavilkums!$O$12)*E94*12*(1+kopsavilkums!$O$23),2)</f>
        <v>2263.7199999999998</v>
      </c>
      <c r="L94" s="767" t="s">
        <v>963</v>
      </c>
      <c r="M94" s="769" t="s">
        <v>919</v>
      </c>
      <c r="N94" s="72" t="s">
        <v>738</v>
      </c>
      <c r="O94" s="766" t="s">
        <v>913</v>
      </c>
      <c r="P94" s="72"/>
    </row>
    <row r="95" spans="2:16" ht="48" x14ac:dyDescent="0.25">
      <c r="B95" s="885" t="s">
        <v>18</v>
      </c>
      <c r="C95" s="880" t="s">
        <v>942</v>
      </c>
      <c r="D95" s="886" t="s">
        <v>917</v>
      </c>
      <c r="E95" s="883">
        <v>1</v>
      </c>
      <c r="F95" s="884">
        <v>2046</v>
      </c>
      <c r="G95" s="884"/>
      <c r="H95" s="884"/>
      <c r="I95" s="880">
        <f t="shared" si="0"/>
        <v>2046</v>
      </c>
      <c r="J95" s="120">
        <f>ROUND((F95+G95+H95)*(kopsavilkums!$O$12)*E95*12*(1+kopsavilkums!$O$23),2)</f>
        <v>1972.35</v>
      </c>
      <c r="L95" s="767" t="s">
        <v>967</v>
      </c>
      <c r="M95" s="769" t="s">
        <v>917</v>
      </c>
      <c r="N95" s="72" t="s">
        <v>738</v>
      </c>
      <c r="O95" s="766" t="s">
        <v>913</v>
      </c>
      <c r="P95" s="72"/>
    </row>
    <row r="96" spans="2:16" ht="60" x14ac:dyDescent="0.25">
      <c r="B96" s="885" t="s">
        <v>107</v>
      </c>
      <c r="C96" s="880" t="s">
        <v>942</v>
      </c>
      <c r="D96" s="886" t="s">
        <v>918</v>
      </c>
      <c r="E96" s="883">
        <v>1</v>
      </c>
      <c r="F96" s="884">
        <v>2139</v>
      </c>
      <c r="G96" s="884"/>
      <c r="H96" s="884"/>
      <c r="I96" s="880">
        <f t="shared" si="0"/>
        <v>2139</v>
      </c>
      <c r="J96" s="120">
        <f>ROUND((F96+G96+H96)*(kopsavilkums!$O$12)*E96*12*(1+kopsavilkums!$O$23),2)</f>
        <v>2062</v>
      </c>
      <c r="L96" s="767" t="s">
        <v>966</v>
      </c>
      <c r="M96" s="769" t="s">
        <v>918</v>
      </c>
      <c r="N96" s="72" t="s">
        <v>738</v>
      </c>
      <c r="O96" s="766" t="s">
        <v>913</v>
      </c>
      <c r="P96" s="72"/>
    </row>
    <row r="97" spans="2:16" ht="60" x14ac:dyDescent="0.25">
      <c r="B97" s="885" t="s">
        <v>107</v>
      </c>
      <c r="C97" s="880" t="s">
        <v>942</v>
      </c>
      <c r="D97" s="886" t="s">
        <v>918</v>
      </c>
      <c r="E97" s="883">
        <v>1</v>
      </c>
      <c r="F97" s="884">
        <v>1929.75</v>
      </c>
      <c r="G97" s="884"/>
      <c r="H97" s="884"/>
      <c r="I97" s="880">
        <f t="shared" si="0"/>
        <v>1929.75</v>
      </c>
      <c r="J97" s="120">
        <f>ROUND((F97+G97+H97)*(kopsavilkums!$O$12)*E97*12*(1+kopsavilkums!$O$23),2)</f>
        <v>1860.28</v>
      </c>
      <c r="L97" s="767" t="s">
        <v>966</v>
      </c>
      <c r="M97" s="769" t="s">
        <v>918</v>
      </c>
      <c r="N97" s="72" t="s">
        <v>738</v>
      </c>
      <c r="O97" s="766" t="s">
        <v>913</v>
      </c>
      <c r="P97" s="72"/>
    </row>
    <row r="98" spans="2:16" ht="60" x14ac:dyDescent="0.25">
      <c r="B98" s="885" t="s">
        <v>107</v>
      </c>
      <c r="C98" s="880" t="s">
        <v>942</v>
      </c>
      <c r="D98" s="886" t="s">
        <v>920</v>
      </c>
      <c r="E98" s="883">
        <v>1</v>
      </c>
      <c r="F98" s="884">
        <v>1720.5</v>
      </c>
      <c r="G98" s="884"/>
      <c r="H98" s="884"/>
      <c r="I98" s="880">
        <f t="shared" si="0"/>
        <v>1720.5</v>
      </c>
      <c r="J98" s="120">
        <f>ROUND((F98+G98+H98)*(kopsavilkums!$O$12)*E98*12*(1+kopsavilkums!$O$23),2)</f>
        <v>1658.57</v>
      </c>
      <c r="L98" s="767" t="s">
        <v>966</v>
      </c>
      <c r="M98" s="769" t="s">
        <v>920</v>
      </c>
      <c r="N98" s="72" t="s">
        <v>738</v>
      </c>
      <c r="O98" s="766" t="s">
        <v>913</v>
      </c>
      <c r="P98" s="72"/>
    </row>
    <row r="99" spans="2:16" ht="48" x14ac:dyDescent="0.25">
      <c r="B99" s="885" t="s">
        <v>18</v>
      </c>
      <c r="C99" s="880" t="s">
        <v>942</v>
      </c>
      <c r="D99" s="886" t="s">
        <v>918</v>
      </c>
      <c r="E99" s="883">
        <v>1</v>
      </c>
      <c r="F99" s="884">
        <v>1720.5</v>
      </c>
      <c r="G99" s="884"/>
      <c r="H99" s="884"/>
      <c r="I99" s="880">
        <f t="shared" si="0"/>
        <v>1720.5</v>
      </c>
      <c r="J99" s="120">
        <f>ROUND((F99+G99+H99)*(kopsavilkums!$O$12)*E99*12*(1+kopsavilkums!$O$23),2)</f>
        <v>1658.57</v>
      </c>
      <c r="L99" s="767" t="s">
        <v>967</v>
      </c>
      <c r="M99" s="769" t="s">
        <v>918</v>
      </c>
      <c r="N99" s="72" t="s">
        <v>738</v>
      </c>
      <c r="O99" s="766" t="s">
        <v>913</v>
      </c>
      <c r="P99" s="72"/>
    </row>
    <row r="100" spans="2:16" ht="60" x14ac:dyDescent="0.25">
      <c r="B100" s="885" t="s">
        <v>107</v>
      </c>
      <c r="C100" s="880" t="s">
        <v>942</v>
      </c>
      <c r="D100" s="886" t="s">
        <v>918</v>
      </c>
      <c r="E100" s="883">
        <v>1</v>
      </c>
      <c r="F100" s="884">
        <v>1860</v>
      </c>
      <c r="G100" s="884"/>
      <c r="H100" s="884"/>
      <c r="I100" s="880">
        <f t="shared" si="0"/>
        <v>1860</v>
      </c>
      <c r="J100" s="120">
        <f>ROUND((F100+G100+H100)*(kopsavilkums!$O$12)*E100*12*(1+kopsavilkums!$O$23),2)</f>
        <v>1793.04</v>
      </c>
      <c r="L100" s="767" t="s">
        <v>966</v>
      </c>
      <c r="M100" s="769" t="s">
        <v>918</v>
      </c>
      <c r="N100" s="72" t="s">
        <v>738</v>
      </c>
      <c r="O100" s="766" t="s">
        <v>915</v>
      </c>
      <c r="P100" s="72"/>
    </row>
    <row r="101" spans="2:16" ht="60" x14ac:dyDescent="0.25">
      <c r="B101" s="885" t="s">
        <v>862</v>
      </c>
      <c r="C101" s="880" t="s">
        <v>942</v>
      </c>
      <c r="D101" s="886" t="s">
        <v>917</v>
      </c>
      <c r="E101" s="883">
        <v>1</v>
      </c>
      <c r="F101" s="884">
        <v>1790.25</v>
      </c>
      <c r="G101" s="884"/>
      <c r="H101" s="884"/>
      <c r="I101" s="880">
        <f t="shared" si="0"/>
        <v>1790.25</v>
      </c>
      <c r="J101" s="120">
        <f>ROUND((F101+G101+H101)*(kopsavilkums!$O$12)*E101*12*(1+kopsavilkums!$O$23),2)</f>
        <v>1725.8</v>
      </c>
      <c r="L101" s="767" t="s">
        <v>965</v>
      </c>
      <c r="M101" s="769" t="s">
        <v>917</v>
      </c>
      <c r="N101" s="72" t="s">
        <v>738</v>
      </c>
      <c r="O101" s="766" t="s">
        <v>915</v>
      </c>
      <c r="P101" s="72"/>
    </row>
    <row r="102" spans="2:16" ht="60" x14ac:dyDescent="0.25">
      <c r="B102" s="885" t="s">
        <v>862</v>
      </c>
      <c r="C102" s="880" t="s">
        <v>942</v>
      </c>
      <c r="D102" s="886" t="s">
        <v>917</v>
      </c>
      <c r="E102" s="883">
        <v>1</v>
      </c>
      <c r="F102" s="884">
        <v>2557.5</v>
      </c>
      <c r="G102" s="884"/>
      <c r="H102" s="884"/>
      <c r="I102" s="880">
        <f t="shared" si="0"/>
        <v>2557.5</v>
      </c>
      <c r="J102" s="120">
        <f>ROUND((F102+G102+H102)*(kopsavilkums!$O$12)*E102*12*(1+kopsavilkums!$O$23),2)</f>
        <v>2465.44</v>
      </c>
      <c r="L102" s="767" t="s">
        <v>965</v>
      </c>
      <c r="M102" s="769" t="s">
        <v>917</v>
      </c>
      <c r="N102" s="72" t="s">
        <v>738</v>
      </c>
      <c r="O102" s="766" t="s">
        <v>915</v>
      </c>
      <c r="P102" s="72"/>
    </row>
    <row r="103" spans="2:16" ht="60" x14ac:dyDescent="0.25">
      <c r="B103" s="885" t="s">
        <v>862</v>
      </c>
      <c r="C103" s="880" t="s">
        <v>942</v>
      </c>
      <c r="D103" s="886" t="s">
        <v>917</v>
      </c>
      <c r="E103" s="883">
        <v>1</v>
      </c>
      <c r="F103" s="884">
        <v>1720.5</v>
      </c>
      <c r="G103" s="884"/>
      <c r="H103" s="884"/>
      <c r="I103" s="880">
        <f t="shared" si="0"/>
        <v>1720.5</v>
      </c>
      <c r="J103" s="120">
        <f>ROUND((F103+G103+H103)*(kopsavilkums!$O$12)*E103*12*(1+kopsavilkums!$O$23),2)</f>
        <v>1658.57</v>
      </c>
      <c r="L103" s="767" t="s">
        <v>965</v>
      </c>
      <c r="M103" s="769" t="s">
        <v>917</v>
      </c>
      <c r="N103" s="72" t="s">
        <v>738</v>
      </c>
      <c r="O103" s="766" t="s">
        <v>915</v>
      </c>
      <c r="P103" s="72"/>
    </row>
    <row r="104" spans="2:16" ht="60" x14ac:dyDescent="0.25">
      <c r="B104" s="885" t="s">
        <v>107</v>
      </c>
      <c r="C104" s="880" t="s">
        <v>942</v>
      </c>
      <c r="D104" s="886" t="s">
        <v>920</v>
      </c>
      <c r="E104" s="883">
        <v>1</v>
      </c>
      <c r="F104" s="884">
        <v>2139</v>
      </c>
      <c r="G104" s="884"/>
      <c r="H104" s="884"/>
      <c r="I104" s="880">
        <f t="shared" si="0"/>
        <v>2139</v>
      </c>
      <c r="J104" s="120">
        <f>ROUND((F104+G104+H104)*(kopsavilkums!$O$12)*E104*12*(1+kopsavilkums!$O$23),2)</f>
        <v>2062</v>
      </c>
      <c r="L104" s="767" t="s">
        <v>966</v>
      </c>
      <c r="M104" s="769" t="s">
        <v>920</v>
      </c>
      <c r="N104" s="72" t="s">
        <v>738</v>
      </c>
      <c r="O104" s="766" t="s">
        <v>915</v>
      </c>
      <c r="P104" s="72"/>
    </row>
    <row r="105" spans="2:16" ht="60" x14ac:dyDescent="0.25">
      <c r="B105" s="885" t="s">
        <v>862</v>
      </c>
      <c r="C105" s="880" t="s">
        <v>942</v>
      </c>
      <c r="D105" s="886" t="s">
        <v>917</v>
      </c>
      <c r="E105" s="883">
        <v>1</v>
      </c>
      <c r="F105" s="884">
        <v>1720.5</v>
      </c>
      <c r="G105" s="884"/>
      <c r="H105" s="884"/>
      <c r="I105" s="880">
        <f t="shared" si="0"/>
        <v>1720.5</v>
      </c>
      <c r="J105" s="120">
        <f>ROUND((F105+G105+H105)*(kopsavilkums!$O$12)*E105*12*(1+kopsavilkums!$O$23),2)</f>
        <v>1658.57</v>
      </c>
      <c r="L105" s="767" t="s">
        <v>965</v>
      </c>
      <c r="M105" s="769" t="s">
        <v>917</v>
      </c>
      <c r="N105" s="72" t="s">
        <v>738</v>
      </c>
      <c r="O105" s="766" t="s">
        <v>915</v>
      </c>
      <c r="P105" s="72"/>
    </row>
    <row r="106" spans="2:16" ht="60" x14ac:dyDescent="0.25">
      <c r="B106" s="885" t="s">
        <v>107</v>
      </c>
      <c r="C106" s="880" t="s">
        <v>942</v>
      </c>
      <c r="D106" s="886" t="s">
        <v>918</v>
      </c>
      <c r="E106" s="883">
        <v>1</v>
      </c>
      <c r="F106" s="884">
        <v>1650.75</v>
      </c>
      <c r="G106" s="884"/>
      <c r="H106" s="884"/>
      <c r="I106" s="880">
        <f t="shared" si="0"/>
        <v>1650.75</v>
      </c>
      <c r="J106" s="120">
        <f>ROUND((F106+G106+H106)*(kopsavilkums!$O$12)*E106*12*(1+kopsavilkums!$O$23),2)</f>
        <v>1591.33</v>
      </c>
      <c r="L106" s="767" t="s">
        <v>966</v>
      </c>
      <c r="M106" s="769" t="s">
        <v>918</v>
      </c>
      <c r="N106" s="72" t="s">
        <v>738</v>
      </c>
      <c r="O106" s="766" t="s">
        <v>915</v>
      </c>
      <c r="P106" s="72"/>
    </row>
    <row r="107" spans="2:16" ht="60" x14ac:dyDescent="0.25">
      <c r="B107" s="885" t="s">
        <v>107</v>
      </c>
      <c r="C107" s="880" t="s">
        <v>942</v>
      </c>
      <c r="D107" s="886" t="s">
        <v>920</v>
      </c>
      <c r="E107" s="883">
        <v>1</v>
      </c>
      <c r="F107" s="884">
        <v>1790.25</v>
      </c>
      <c r="G107" s="884"/>
      <c r="H107" s="884"/>
      <c r="I107" s="880">
        <f t="shared" si="0"/>
        <v>1790.25</v>
      </c>
      <c r="J107" s="120">
        <f>ROUND((F107+G107+H107)*(kopsavilkums!$O$12)*E107*12*(1+kopsavilkums!$O$23),2)</f>
        <v>1725.8</v>
      </c>
      <c r="L107" s="767" t="s">
        <v>966</v>
      </c>
      <c r="M107" s="769" t="s">
        <v>920</v>
      </c>
      <c r="N107" s="72" t="s">
        <v>738</v>
      </c>
      <c r="O107" s="766" t="s">
        <v>915</v>
      </c>
      <c r="P107" s="72"/>
    </row>
    <row r="108" spans="2:16" ht="60" x14ac:dyDescent="0.25">
      <c r="B108" s="885" t="s">
        <v>107</v>
      </c>
      <c r="C108" s="880" t="s">
        <v>942</v>
      </c>
      <c r="D108" s="886" t="s">
        <v>919</v>
      </c>
      <c r="E108" s="883">
        <v>1</v>
      </c>
      <c r="F108" s="884">
        <v>1581</v>
      </c>
      <c r="G108" s="884"/>
      <c r="H108" s="884"/>
      <c r="I108" s="880">
        <f t="shared" si="0"/>
        <v>1581</v>
      </c>
      <c r="J108" s="120">
        <f>ROUND((F108+G108+H108)*(kopsavilkums!$O$12)*E108*12*(1+kopsavilkums!$O$23),2)</f>
        <v>1524.09</v>
      </c>
      <c r="L108" s="767" t="s">
        <v>966</v>
      </c>
      <c r="M108" s="769" t="s">
        <v>919</v>
      </c>
      <c r="N108" s="72" t="s">
        <v>738</v>
      </c>
      <c r="O108" s="766" t="s">
        <v>915</v>
      </c>
      <c r="P108" s="72"/>
    </row>
    <row r="109" spans="2:16" ht="60" x14ac:dyDescent="0.25">
      <c r="B109" s="885" t="s">
        <v>107</v>
      </c>
      <c r="C109" s="880" t="s">
        <v>942</v>
      </c>
      <c r="D109" s="886" t="s">
        <v>918</v>
      </c>
      <c r="E109" s="883">
        <v>1</v>
      </c>
      <c r="F109" s="884">
        <v>1860</v>
      </c>
      <c r="G109" s="884"/>
      <c r="H109" s="884"/>
      <c r="I109" s="880">
        <f t="shared" si="0"/>
        <v>1860</v>
      </c>
      <c r="J109" s="120">
        <f>ROUND((F109+G109+H109)*(kopsavilkums!$O$12)*E109*12*(1+kopsavilkums!$O$23),2)</f>
        <v>1793.04</v>
      </c>
      <c r="L109" s="767" t="s">
        <v>966</v>
      </c>
      <c r="M109" s="769" t="s">
        <v>918</v>
      </c>
      <c r="N109" s="72" t="s">
        <v>738</v>
      </c>
      <c r="O109" s="766" t="s">
        <v>915</v>
      </c>
      <c r="P109" s="72"/>
    </row>
    <row r="110" spans="2:16" ht="60" x14ac:dyDescent="0.25">
      <c r="B110" s="885" t="s">
        <v>107</v>
      </c>
      <c r="C110" s="880" t="s">
        <v>942</v>
      </c>
      <c r="D110" s="886" t="s">
        <v>919</v>
      </c>
      <c r="E110" s="883">
        <v>1</v>
      </c>
      <c r="F110" s="884">
        <v>1790.25</v>
      </c>
      <c r="G110" s="884"/>
      <c r="H110" s="884"/>
      <c r="I110" s="880">
        <f t="shared" si="0"/>
        <v>1790.25</v>
      </c>
      <c r="J110" s="120">
        <f>ROUND((F110+G110+H110)*(kopsavilkums!$O$12)*E110*12*(1+kopsavilkums!$O$23),2)</f>
        <v>1725.8</v>
      </c>
      <c r="L110" s="767" t="s">
        <v>966</v>
      </c>
      <c r="M110" s="769" t="s">
        <v>919</v>
      </c>
      <c r="N110" s="72" t="s">
        <v>738</v>
      </c>
      <c r="O110" s="766" t="s">
        <v>915</v>
      </c>
      <c r="P110" s="72"/>
    </row>
    <row r="111" spans="2:16" ht="48" x14ac:dyDescent="0.25">
      <c r="B111" s="885" t="s">
        <v>886</v>
      </c>
      <c r="C111" s="880" t="s">
        <v>545</v>
      </c>
      <c r="D111" s="886" t="s">
        <v>917</v>
      </c>
      <c r="E111" s="883">
        <v>1</v>
      </c>
      <c r="F111" s="884">
        <v>1860</v>
      </c>
      <c r="G111" s="884"/>
      <c r="H111" s="884"/>
      <c r="I111" s="880">
        <f t="shared" si="0"/>
        <v>1860</v>
      </c>
      <c r="J111" s="120">
        <f>ROUND((F111+G111+H111)*(kopsavilkums!$O$12)*E111*12*(1+kopsavilkums!$O$23),2)</f>
        <v>1793.04</v>
      </c>
      <c r="L111" s="767" t="s">
        <v>968</v>
      </c>
      <c r="M111" s="769" t="s">
        <v>917</v>
      </c>
      <c r="N111" s="72" t="s">
        <v>738</v>
      </c>
      <c r="O111" s="768" t="s">
        <v>914</v>
      </c>
      <c r="P111" s="72"/>
    </row>
    <row r="112" spans="2:16" ht="48" x14ac:dyDescent="0.25">
      <c r="B112" s="885" t="s">
        <v>886</v>
      </c>
      <c r="C112" s="880" t="s">
        <v>545</v>
      </c>
      <c r="D112" s="886" t="s">
        <v>917</v>
      </c>
      <c r="E112" s="883">
        <v>1</v>
      </c>
      <c r="F112" s="884">
        <v>1875.5</v>
      </c>
      <c r="G112" s="884"/>
      <c r="H112" s="884"/>
      <c r="I112" s="880">
        <f t="shared" si="0"/>
        <v>1875.5</v>
      </c>
      <c r="J112" s="120">
        <f>ROUND((F112+G112+H112)*(kopsavilkums!$O$12)*E112*12*(1+kopsavilkums!$O$23),2)</f>
        <v>1807.99</v>
      </c>
      <c r="L112" s="767" t="s">
        <v>968</v>
      </c>
      <c r="M112" s="769" t="s">
        <v>917</v>
      </c>
      <c r="N112" s="72" t="s">
        <v>738</v>
      </c>
      <c r="O112" s="766" t="s">
        <v>910</v>
      </c>
      <c r="P112" s="72"/>
    </row>
    <row r="113" spans="2:16" ht="48" x14ac:dyDescent="0.25">
      <c r="B113" s="885" t="s">
        <v>886</v>
      </c>
      <c r="C113" s="880" t="s">
        <v>545</v>
      </c>
      <c r="D113" s="886" t="s">
        <v>917</v>
      </c>
      <c r="E113" s="883">
        <v>1</v>
      </c>
      <c r="F113" s="884">
        <v>1875.5</v>
      </c>
      <c r="G113" s="884"/>
      <c r="H113" s="884"/>
      <c r="I113" s="880">
        <f t="shared" si="0"/>
        <v>1875.5</v>
      </c>
      <c r="J113" s="120">
        <f>ROUND((F113+G113+H113)*(kopsavilkums!$O$12)*E113*12*(1+kopsavilkums!$O$23),2)</f>
        <v>1807.99</v>
      </c>
      <c r="L113" s="767" t="s">
        <v>968</v>
      </c>
      <c r="M113" s="769" t="s">
        <v>917</v>
      </c>
      <c r="N113" s="72" t="s">
        <v>738</v>
      </c>
      <c r="O113" s="766" t="s">
        <v>910</v>
      </c>
      <c r="P113" s="72"/>
    </row>
    <row r="114" spans="2:16" ht="48" x14ac:dyDescent="0.25">
      <c r="B114" s="885" t="s">
        <v>944</v>
      </c>
      <c r="C114" s="880" t="s">
        <v>545</v>
      </c>
      <c r="D114" s="886" t="s">
        <v>917</v>
      </c>
      <c r="E114" s="883">
        <v>1</v>
      </c>
      <c r="F114" s="884">
        <v>1875.5</v>
      </c>
      <c r="G114" s="884"/>
      <c r="H114" s="884"/>
      <c r="I114" s="880">
        <f t="shared" si="0"/>
        <v>1875.5</v>
      </c>
      <c r="J114" s="120">
        <f>ROUND((F114+G114+H114)*(kopsavilkums!$O$12)*E114*12*(1+kopsavilkums!$O$23),2)</f>
        <v>1807.99</v>
      </c>
      <c r="L114" s="767" t="s">
        <v>968</v>
      </c>
      <c r="M114" s="769" t="s">
        <v>917</v>
      </c>
      <c r="N114" s="72" t="s">
        <v>738</v>
      </c>
      <c r="O114" s="766" t="s">
        <v>910</v>
      </c>
      <c r="P114" s="72"/>
    </row>
    <row r="115" spans="2:16" ht="48" x14ac:dyDescent="0.25">
      <c r="B115" s="885" t="s">
        <v>944</v>
      </c>
      <c r="C115" s="880" t="s">
        <v>545</v>
      </c>
      <c r="D115" s="886" t="s">
        <v>917</v>
      </c>
      <c r="E115" s="883">
        <v>1</v>
      </c>
      <c r="F115" s="884">
        <v>1937.5</v>
      </c>
      <c r="G115" s="884"/>
      <c r="H115" s="884"/>
      <c r="I115" s="880">
        <f t="shared" si="0"/>
        <v>1937.5</v>
      </c>
      <c r="J115" s="120">
        <f>ROUND((F115+G115+H115)*(kopsavilkums!$O$12)*E115*12*(1+kopsavilkums!$O$23),2)</f>
        <v>1867.75</v>
      </c>
      <c r="L115" s="767" t="s">
        <v>968</v>
      </c>
      <c r="M115" s="769" t="s">
        <v>917</v>
      </c>
      <c r="N115" s="72" t="s">
        <v>738</v>
      </c>
      <c r="O115" s="766" t="s">
        <v>910</v>
      </c>
      <c r="P115" s="72"/>
    </row>
    <row r="116" spans="2:16" ht="48" x14ac:dyDescent="0.25">
      <c r="B116" s="885" t="s">
        <v>944</v>
      </c>
      <c r="C116" s="880" t="s">
        <v>545</v>
      </c>
      <c r="D116" s="886" t="s">
        <v>917</v>
      </c>
      <c r="E116" s="883">
        <v>1</v>
      </c>
      <c r="F116" s="884">
        <v>1813.5</v>
      </c>
      <c r="G116" s="884"/>
      <c r="H116" s="884"/>
      <c r="I116" s="880">
        <f t="shared" si="0"/>
        <v>1813.5</v>
      </c>
      <c r="J116" s="120">
        <f>ROUND((F116+G116+H116)*(kopsavilkums!$O$12)*E116*12*(1+kopsavilkums!$O$23),2)</f>
        <v>1748.22</v>
      </c>
      <c r="L116" s="767" t="s">
        <v>968</v>
      </c>
      <c r="M116" s="769" t="s">
        <v>917</v>
      </c>
      <c r="N116" s="72" t="s">
        <v>738</v>
      </c>
      <c r="O116" s="766" t="s">
        <v>910</v>
      </c>
      <c r="P116" s="72"/>
    </row>
    <row r="117" spans="2:16" ht="48" x14ac:dyDescent="0.25">
      <c r="B117" s="885" t="s">
        <v>944</v>
      </c>
      <c r="C117" s="880" t="s">
        <v>545</v>
      </c>
      <c r="D117" s="886" t="s">
        <v>917</v>
      </c>
      <c r="E117" s="883">
        <v>1</v>
      </c>
      <c r="F117" s="884">
        <v>1751.5</v>
      </c>
      <c r="G117" s="884"/>
      <c r="H117" s="884"/>
      <c r="I117" s="880">
        <f t="shared" si="0"/>
        <v>1751.5</v>
      </c>
      <c r="J117" s="120">
        <f>ROUND((F117+G117+H117)*(kopsavilkums!$O$12)*E117*12*(1+kopsavilkums!$O$23),2)</f>
        <v>1688.45</v>
      </c>
      <c r="L117" s="767" t="s">
        <v>968</v>
      </c>
      <c r="M117" s="769" t="s">
        <v>917</v>
      </c>
      <c r="N117" s="72" t="s">
        <v>738</v>
      </c>
      <c r="O117" s="766" t="s">
        <v>910</v>
      </c>
      <c r="P117" s="72"/>
    </row>
    <row r="118" spans="2:16" ht="48" x14ac:dyDescent="0.25">
      <c r="B118" s="885" t="s">
        <v>886</v>
      </c>
      <c r="C118" s="880" t="s">
        <v>545</v>
      </c>
      <c r="D118" s="886" t="s">
        <v>917</v>
      </c>
      <c r="E118" s="883">
        <v>1</v>
      </c>
      <c r="F118" s="884">
        <v>1875.5</v>
      </c>
      <c r="G118" s="884"/>
      <c r="H118" s="884"/>
      <c r="I118" s="880">
        <f t="shared" si="0"/>
        <v>1875.5</v>
      </c>
      <c r="J118" s="120">
        <f>ROUND((F118+G118+H118)*(kopsavilkums!$O$12)*E118*12*(1+kopsavilkums!$O$23),2)</f>
        <v>1807.99</v>
      </c>
      <c r="L118" s="767" t="s">
        <v>968</v>
      </c>
      <c r="M118" s="769" t="s">
        <v>917</v>
      </c>
      <c r="N118" s="72" t="s">
        <v>738</v>
      </c>
      <c r="O118" s="768" t="s">
        <v>911</v>
      </c>
      <c r="P118" s="72"/>
    </row>
    <row r="119" spans="2:16" ht="48" x14ac:dyDescent="0.25">
      <c r="B119" s="885" t="s">
        <v>886</v>
      </c>
      <c r="C119" s="880" t="s">
        <v>545</v>
      </c>
      <c r="D119" s="886" t="s">
        <v>917</v>
      </c>
      <c r="E119" s="883">
        <v>1</v>
      </c>
      <c r="F119" s="884">
        <v>2433.5</v>
      </c>
      <c r="G119" s="884"/>
      <c r="H119" s="884"/>
      <c r="I119" s="880">
        <f t="shared" si="0"/>
        <v>2433.5</v>
      </c>
      <c r="J119" s="120">
        <f>ROUND((F119+G119+H119)*(kopsavilkums!$O$12)*E119*12*(1+kopsavilkums!$O$23),2)</f>
        <v>2345.9</v>
      </c>
      <c r="L119" s="767" t="s">
        <v>968</v>
      </c>
      <c r="M119" s="769" t="s">
        <v>917</v>
      </c>
      <c r="N119" s="72" t="s">
        <v>738</v>
      </c>
      <c r="O119" s="768" t="s">
        <v>911</v>
      </c>
      <c r="P119" s="72"/>
    </row>
    <row r="120" spans="2:16" ht="48" x14ac:dyDescent="0.25">
      <c r="B120" s="885" t="s">
        <v>945</v>
      </c>
      <c r="C120" s="880" t="s">
        <v>545</v>
      </c>
      <c r="D120" s="886" t="s">
        <v>917</v>
      </c>
      <c r="E120" s="883">
        <v>1</v>
      </c>
      <c r="F120" s="884">
        <v>1875.5</v>
      </c>
      <c r="G120" s="884"/>
      <c r="H120" s="884"/>
      <c r="I120" s="880">
        <f t="shared" si="0"/>
        <v>1875.5</v>
      </c>
      <c r="J120" s="120">
        <f>ROUND((F120+G120+H120)*(kopsavilkums!$O$12)*E120*12*(1+kopsavilkums!$O$23),2)</f>
        <v>1807.99</v>
      </c>
      <c r="L120" s="767" t="s">
        <v>968</v>
      </c>
      <c r="M120" s="769" t="s">
        <v>917</v>
      </c>
      <c r="N120" s="72" t="s">
        <v>738</v>
      </c>
      <c r="O120" s="766" t="s">
        <v>912</v>
      </c>
      <c r="P120" s="72"/>
    </row>
    <row r="121" spans="2:16" ht="48" x14ac:dyDescent="0.25">
      <c r="B121" s="885" t="s">
        <v>886</v>
      </c>
      <c r="C121" s="880" t="s">
        <v>545</v>
      </c>
      <c r="D121" s="886" t="s">
        <v>917</v>
      </c>
      <c r="E121" s="883">
        <v>1</v>
      </c>
      <c r="F121" s="884">
        <v>1813.5</v>
      </c>
      <c r="G121" s="884"/>
      <c r="H121" s="884"/>
      <c r="I121" s="880">
        <f t="shared" si="0"/>
        <v>1813.5</v>
      </c>
      <c r="J121" s="120">
        <f>ROUND((F121+G121+H121)*(kopsavilkums!$O$12)*E121*12*(1+kopsavilkums!$O$23),2)</f>
        <v>1748.22</v>
      </c>
      <c r="L121" s="767" t="s">
        <v>968</v>
      </c>
      <c r="M121" s="769" t="s">
        <v>917</v>
      </c>
      <c r="N121" s="72" t="s">
        <v>738</v>
      </c>
      <c r="O121" s="766" t="s">
        <v>913</v>
      </c>
      <c r="P121" s="72"/>
    </row>
    <row r="122" spans="2:16" ht="48" x14ac:dyDescent="0.25">
      <c r="B122" s="885" t="s">
        <v>886</v>
      </c>
      <c r="C122" s="880" t="s">
        <v>545</v>
      </c>
      <c r="D122" s="886" t="s">
        <v>917</v>
      </c>
      <c r="E122" s="883">
        <v>1</v>
      </c>
      <c r="F122" s="884">
        <v>1875.5</v>
      </c>
      <c r="G122" s="884"/>
      <c r="H122" s="884"/>
      <c r="I122" s="880">
        <f t="shared" si="0"/>
        <v>1875.5</v>
      </c>
      <c r="J122" s="120">
        <f>ROUND((F122+G122+H122)*(kopsavilkums!$O$12)*E122*12*(1+kopsavilkums!$O$23),2)</f>
        <v>1807.99</v>
      </c>
      <c r="L122" s="767" t="s">
        <v>968</v>
      </c>
      <c r="M122" s="769" t="s">
        <v>917</v>
      </c>
      <c r="N122" s="72" t="s">
        <v>738</v>
      </c>
      <c r="O122" s="766" t="s">
        <v>913</v>
      </c>
      <c r="P122" s="72"/>
    </row>
    <row r="123" spans="2:16" ht="48" x14ac:dyDescent="0.25">
      <c r="B123" s="885" t="s">
        <v>886</v>
      </c>
      <c r="C123" s="880" t="s">
        <v>545</v>
      </c>
      <c r="D123" s="886" t="s">
        <v>917</v>
      </c>
      <c r="E123" s="883">
        <v>1</v>
      </c>
      <c r="F123" s="884">
        <v>1751.5</v>
      </c>
      <c r="G123" s="884"/>
      <c r="H123" s="884"/>
      <c r="I123" s="880">
        <f t="shared" si="0"/>
        <v>1751.5</v>
      </c>
      <c r="J123" s="120">
        <f>ROUND((F123+G123+H123)*(kopsavilkums!$O$12)*E123*12*(1+kopsavilkums!$O$23),2)</f>
        <v>1688.45</v>
      </c>
      <c r="L123" s="767" t="s">
        <v>968</v>
      </c>
      <c r="M123" s="769" t="s">
        <v>917</v>
      </c>
      <c r="N123" s="72" t="s">
        <v>738</v>
      </c>
      <c r="O123" s="766" t="s">
        <v>913</v>
      </c>
      <c r="P123" s="72"/>
    </row>
    <row r="124" spans="2:16" ht="48" x14ac:dyDescent="0.25">
      <c r="B124" s="885" t="s">
        <v>886</v>
      </c>
      <c r="C124" s="880" t="s">
        <v>545</v>
      </c>
      <c r="D124" s="886" t="s">
        <v>917</v>
      </c>
      <c r="E124" s="883">
        <v>1</v>
      </c>
      <c r="F124" s="884">
        <v>2185.5</v>
      </c>
      <c r="G124" s="884"/>
      <c r="H124" s="884"/>
      <c r="I124" s="880">
        <f t="shared" si="0"/>
        <v>2185.5</v>
      </c>
      <c r="J124" s="120">
        <f>ROUND((F124+G124+H124)*(kopsavilkums!$O$12)*E124*12*(1+kopsavilkums!$O$23),2)</f>
        <v>2106.83</v>
      </c>
      <c r="L124" s="767" t="s">
        <v>968</v>
      </c>
      <c r="M124" s="769" t="s">
        <v>917</v>
      </c>
      <c r="N124" s="72" t="s">
        <v>738</v>
      </c>
      <c r="O124" s="766" t="s">
        <v>913</v>
      </c>
      <c r="P124" s="72"/>
    </row>
    <row r="125" spans="2:16" ht="48" x14ac:dyDescent="0.25">
      <c r="B125" s="885" t="s">
        <v>886</v>
      </c>
      <c r="C125" s="880" t="s">
        <v>545</v>
      </c>
      <c r="D125" s="886" t="s">
        <v>917</v>
      </c>
      <c r="E125" s="883">
        <v>1</v>
      </c>
      <c r="F125" s="884">
        <v>1875.5</v>
      </c>
      <c r="G125" s="884"/>
      <c r="H125" s="884"/>
      <c r="I125" s="880">
        <f t="shared" si="0"/>
        <v>1875.5</v>
      </c>
      <c r="J125" s="120">
        <f>ROUND((F125+G125+H125)*(kopsavilkums!$O$12)*E125*12*(1+kopsavilkums!$O$23),2)</f>
        <v>1807.99</v>
      </c>
      <c r="L125" s="767" t="s">
        <v>968</v>
      </c>
      <c r="M125" s="769" t="s">
        <v>917</v>
      </c>
      <c r="N125" s="72" t="s">
        <v>738</v>
      </c>
      <c r="O125" s="766" t="s">
        <v>913</v>
      </c>
      <c r="P125" s="72"/>
    </row>
    <row r="126" spans="2:16" ht="48" x14ac:dyDescent="0.25">
      <c r="B126" s="885" t="s">
        <v>886</v>
      </c>
      <c r="C126" s="880" t="s">
        <v>545</v>
      </c>
      <c r="D126" s="886" t="s">
        <v>917</v>
      </c>
      <c r="E126" s="883">
        <v>1</v>
      </c>
      <c r="F126" s="884">
        <v>1689.5</v>
      </c>
      <c r="G126" s="884"/>
      <c r="H126" s="884"/>
      <c r="I126" s="880">
        <f t="shared" si="0"/>
        <v>1689.5</v>
      </c>
      <c r="J126" s="120">
        <f>ROUND((F126+G126+H126)*(kopsavilkums!$O$12)*E126*12*(1+kopsavilkums!$O$23),2)</f>
        <v>1628.68</v>
      </c>
      <c r="L126" s="767" t="s">
        <v>968</v>
      </c>
      <c r="M126" s="769" t="s">
        <v>917</v>
      </c>
      <c r="N126" s="72" t="s">
        <v>738</v>
      </c>
      <c r="O126" s="766" t="s">
        <v>913</v>
      </c>
      <c r="P126" s="72"/>
    </row>
    <row r="127" spans="2:16" ht="48" x14ac:dyDescent="0.25">
      <c r="B127" s="885" t="s">
        <v>886</v>
      </c>
      <c r="C127" s="880" t="s">
        <v>545</v>
      </c>
      <c r="D127" s="886" t="s">
        <v>917</v>
      </c>
      <c r="E127" s="883">
        <v>1</v>
      </c>
      <c r="F127" s="884">
        <v>2247.5</v>
      </c>
      <c r="G127" s="884"/>
      <c r="H127" s="884"/>
      <c r="I127" s="880">
        <f t="shared" si="0"/>
        <v>2247.5</v>
      </c>
      <c r="J127" s="120">
        <f>ROUND((F127+G127+H127)*(kopsavilkums!$O$12)*E127*12*(1+kopsavilkums!$O$23),2)</f>
        <v>2166.59</v>
      </c>
      <c r="L127" s="767" t="s">
        <v>968</v>
      </c>
      <c r="M127" s="769" t="s">
        <v>917</v>
      </c>
      <c r="N127" s="72" t="s">
        <v>738</v>
      </c>
      <c r="O127" s="766" t="s">
        <v>913</v>
      </c>
      <c r="P127" s="72"/>
    </row>
    <row r="128" spans="2:16" ht="48" x14ac:dyDescent="0.25">
      <c r="B128" s="885" t="s">
        <v>886</v>
      </c>
      <c r="C128" s="880" t="s">
        <v>545</v>
      </c>
      <c r="D128" s="886" t="s">
        <v>917</v>
      </c>
      <c r="E128" s="883">
        <v>1</v>
      </c>
      <c r="F128" s="884">
        <v>1937.5</v>
      </c>
      <c r="G128" s="884"/>
      <c r="H128" s="884"/>
      <c r="I128" s="880">
        <f t="shared" si="0"/>
        <v>1937.5</v>
      </c>
      <c r="J128" s="120">
        <f>ROUND((F128+G128+H128)*(kopsavilkums!$O$12)*E128*12*(1+kopsavilkums!$O$23),2)</f>
        <v>1867.75</v>
      </c>
      <c r="L128" s="767" t="s">
        <v>968</v>
      </c>
      <c r="M128" s="769" t="s">
        <v>917</v>
      </c>
      <c r="N128" s="72" t="s">
        <v>738</v>
      </c>
      <c r="O128" s="766" t="s">
        <v>913</v>
      </c>
      <c r="P128" s="72"/>
    </row>
    <row r="129" spans="2:16" ht="48" x14ac:dyDescent="0.25">
      <c r="B129" s="885" t="s">
        <v>886</v>
      </c>
      <c r="C129" s="880" t="s">
        <v>545</v>
      </c>
      <c r="D129" s="886" t="s">
        <v>917</v>
      </c>
      <c r="E129" s="883">
        <v>1</v>
      </c>
      <c r="F129" s="884">
        <v>2061.5</v>
      </c>
      <c r="G129" s="884"/>
      <c r="H129" s="884"/>
      <c r="I129" s="880">
        <f t="shared" si="0"/>
        <v>2061.5</v>
      </c>
      <c r="J129" s="120">
        <f>ROUND((F129+G129+H129)*(kopsavilkums!$O$12)*E129*12*(1+kopsavilkums!$O$23),2)</f>
        <v>1987.29</v>
      </c>
      <c r="L129" s="767" t="s">
        <v>968</v>
      </c>
      <c r="M129" s="769" t="s">
        <v>917</v>
      </c>
      <c r="N129" s="72" t="s">
        <v>738</v>
      </c>
      <c r="O129" s="766" t="s">
        <v>913</v>
      </c>
      <c r="P129" s="72"/>
    </row>
    <row r="130" spans="2:16" ht="48" x14ac:dyDescent="0.25">
      <c r="B130" s="885" t="s">
        <v>886</v>
      </c>
      <c r="C130" s="880" t="s">
        <v>545</v>
      </c>
      <c r="D130" s="886" t="s">
        <v>917</v>
      </c>
      <c r="E130" s="883">
        <v>1</v>
      </c>
      <c r="F130" s="884">
        <v>1751.5</v>
      </c>
      <c r="G130" s="884"/>
      <c r="H130" s="884"/>
      <c r="I130" s="880">
        <f t="shared" si="0"/>
        <v>1751.5</v>
      </c>
      <c r="J130" s="120">
        <f>ROUND((F130+G130+H130)*(kopsavilkums!$O$12)*E130*12*(1+kopsavilkums!$O$23),2)</f>
        <v>1688.45</v>
      </c>
      <c r="L130" s="767" t="s">
        <v>968</v>
      </c>
      <c r="M130" s="769" t="s">
        <v>917</v>
      </c>
      <c r="N130" s="72" t="s">
        <v>738</v>
      </c>
      <c r="O130" s="766" t="s">
        <v>913</v>
      </c>
      <c r="P130" s="72"/>
    </row>
    <row r="131" spans="2:16" ht="48" x14ac:dyDescent="0.25">
      <c r="B131" s="885" t="s">
        <v>886</v>
      </c>
      <c r="C131" s="880" t="s">
        <v>545</v>
      </c>
      <c r="D131" s="886" t="s">
        <v>917</v>
      </c>
      <c r="E131" s="883">
        <v>1</v>
      </c>
      <c r="F131" s="884">
        <v>1813.5</v>
      </c>
      <c r="G131" s="884"/>
      <c r="H131" s="884"/>
      <c r="I131" s="880">
        <f t="shared" si="0"/>
        <v>1813.5</v>
      </c>
      <c r="J131" s="120">
        <f>ROUND((F131+G131+H131)*(kopsavilkums!$O$12)*E131*12*(1+kopsavilkums!$O$23),2)</f>
        <v>1748.22</v>
      </c>
      <c r="L131" s="767" t="s">
        <v>968</v>
      </c>
      <c r="M131" s="769" t="s">
        <v>917</v>
      </c>
      <c r="N131" s="72" t="s">
        <v>738</v>
      </c>
      <c r="O131" s="766" t="s">
        <v>915</v>
      </c>
      <c r="P131" s="72"/>
    </row>
    <row r="132" spans="2:16" ht="48" x14ac:dyDescent="0.25">
      <c r="B132" s="885" t="s">
        <v>886</v>
      </c>
      <c r="C132" s="880" t="s">
        <v>545</v>
      </c>
      <c r="D132" s="886" t="s">
        <v>917</v>
      </c>
      <c r="E132" s="883">
        <v>1</v>
      </c>
      <c r="F132" s="884">
        <v>1503.5</v>
      </c>
      <c r="G132" s="884"/>
      <c r="H132" s="884"/>
      <c r="I132" s="880">
        <f t="shared" si="0"/>
        <v>1503.5</v>
      </c>
      <c r="J132" s="120">
        <f>ROUND((F132+G132+H132)*(kopsavilkums!$O$12)*E132*12*(1+kopsavilkums!$O$23),2)</f>
        <v>1449.38</v>
      </c>
      <c r="L132" s="767" t="s">
        <v>968</v>
      </c>
      <c r="M132" s="769" t="s">
        <v>917</v>
      </c>
      <c r="N132" s="72" t="s">
        <v>738</v>
      </c>
      <c r="O132" s="766" t="s">
        <v>915</v>
      </c>
      <c r="P132" s="72"/>
    </row>
    <row r="133" spans="2:16" ht="60" x14ac:dyDescent="0.25">
      <c r="B133" s="885" t="s">
        <v>886</v>
      </c>
      <c r="C133" s="880" t="s">
        <v>545</v>
      </c>
      <c r="D133" s="886" t="s">
        <v>923</v>
      </c>
      <c r="E133" s="883">
        <v>1</v>
      </c>
      <c r="F133" s="884">
        <v>1875.5</v>
      </c>
      <c r="G133" s="884"/>
      <c r="H133" s="884"/>
      <c r="I133" s="880">
        <f t="shared" si="0"/>
        <v>1875.5</v>
      </c>
      <c r="J133" s="120">
        <f>ROUND((F133+G133+H133)*(kopsavilkums!$O$12)*E133*12*(1+kopsavilkums!$O$23),2)</f>
        <v>1807.99</v>
      </c>
      <c r="L133" s="767" t="s">
        <v>968</v>
      </c>
      <c r="M133" s="769" t="s">
        <v>923</v>
      </c>
      <c r="N133" s="72" t="s">
        <v>738</v>
      </c>
      <c r="O133" s="766" t="s">
        <v>915</v>
      </c>
      <c r="P133" s="72"/>
    </row>
    <row r="134" spans="2:16" ht="36" x14ac:dyDescent="0.25">
      <c r="B134" s="885" t="s">
        <v>946</v>
      </c>
      <c r="C134" s="880" t="s">
        <v>947</v>
      </c>
      <c r="D134" s="886" t="s">
        <v>919</v>
      </c>
      <c r="E134" s="883">
        <v>1</v>
      </c>
      <c r="F134" s="884">
        <v>1503.5</v>
      </c>
      <c r="G134" s="884"/>
      <c r="H134" s="884"/>
      <c r="I134" s="880">
        <f t="shared" si="0"/>
        <v>1503.5</v>
      </c>
      <c r="J134" s="120">
        <f>ROUND((F134+G134+H134)*(kopsavilkums!$O$12)*E134*12*(1+kopsavilkums!$O$23),2)</f>
        <v>1449.38</v>
      </c>
      <c r="L134" s="767" t="s">
        <v>969</v>
      </c>
      <c r="M134" s="769" t="s">
        <v>919</v>
      </c>
      <c r="N134" s="72" t="s">
        <v>738</v>
      </c>
      <c r="O134" s="766" t="s">
        <v>910</v>
      </c>
      <c r="P134" s="72"/>
    </row>
    <row r="135" spans="2:16" ht="45.75" thickBot="1" x14ac:dyDescent="0.3">
      <c r="B135" s="885" t="s">
        <v>946</v>
      </c>
      <c r="C135" s="880" t="s">
        <v>947</v>
      </c>
      <c r="D135" s="886" t="s">
        <v>918</v>
      </c>
      <c r="E135" s="883">
        <v>1</v>
      </c>
      <c r="F135" s="884">
        <v>1588.75</v>
      </c>
      <c r="G135" s="884"/>
      <c r="H135" s="884"/>
      <c r="I135" s="880">
        <f t="shared" si="0"/>
        <v>1588.75</v>
      </c>
      <c r="J135" s="120">
        <f>ROUND((F135+G135+H135)*(kopsavilkums!$O$12)*E135*12*(1+kopsavilkums!$O$23),2)</f>
        <v>1531.56</v>
      </c>
      <c r="L135" s="767" t="s">
        <v>969</v>
      </c>
      <c r="M135" s="769" t="s">
        <v>918</v>
      </c>
      <c r="N135" s="72" t="s">
        <v>738</v>
      </c>
      <c r="O135" s="766" t="s">
        <v>910</v>
      </c>
      <c r="P135" s="72"/>
    </row>
    <row r="136" spans="2:16" ht="15.75" thickBot="1" x14ac:dyDescent="0.3">
      <c r="B136" s="761" t="s">
        <v>32</v>
      </c>
      <c r="C136" s="762"/>
      <c r="D136" s="762"/>
      <c r="E136" s="763">
        <f>E28+E11</f>
        <v>123</v>
      </c>
      <c r="F136" s="764">
        <v>1643</v>
      </c>
      <c r="G136" s="764"/>
      <c r="H136" s="764"/>
      <c r="I136" s="765">
        <f t="shared" si="0"/>
        <v>202089</v>
      </c>
      <c r="J136" s="284">
        <f>SUM(J12:J135)</f>
        <v>297929.69999999995</v>
      </c>
    </row>
    <row r="140" spans="2:16" x14ac:dyDescent="0.25">
      <c r="J140" s="332"/>
    </row>
  </sheetData>
  <mergeCells count="14">
    <mergeCell ref="B9:J9"/>
    <mergeCell ref="H1:I1"/>
    <mergeCell ref="J6:J7"/>
    <mergeCell ref="B8:I8"/>
    <mergeCell ref="B3:I3"/>
    <mergeCell ref="B5:I5"/>
    <mergeCell ref="B6:B7"/>
    <mergeCell ref="E6:E7"/>
    <mergeCell ref="F6:F7"/>
    <mergeCell ref="G6:G7"/>
    <mergeCell ref="H6:H7"/>
    <mergeCell ref="I6:I7"/>
    <mergeCell ref="C6:C7"/>
    <mergeCell ref="D6:D7"/>
  </mergeCells>
  <phoneticPr fontId="80" type="noConversion"/>
  <pageMargins left="0.70866141732283472" right="0.70866141732283472" top="0.74803149606299213" bottom="0.74803149606299213" header="0.31496062992125984" footer="0.31496062992125984"/>
  <pageSetup paperSize="9" scale="4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2E17D-5D1F-4A95-BCCD-EC0040C63AD5}">
  <sheetPr>
    <tabColor rgb="FFFFFF00"/>
  </sheetPr>
  <dimension ref="A1:AY252"/>
  <sheetViews>
    <sheetView view="pageBreakPreview" zoomScale="60" zoomScaleNormal="85" workbookViewId="0">
      <pane ySplit="4" topLeftCell="A241" activePane="bottomLeft" state="frozen"/>
      <selection activeCell="W12" sqref="W12"/>
      <selection pane="bottomLeft" activeCell="Z216" sqref="Z216:Z232"/>
    </sheetView>
  </sheetViews>
  <sheetFormatPr defaultRowHeight="15" x14ac:dyDescent="0.25"/>
  <cols>
    <col min="1" max="1" width="35.85546875" customWidth="1"/>
    <col min="2" max="2" width="15.85546875" customWidth="1"/>
    <col min="3" max="3" width="15" customWidth="1"/>
    <col min="7" max="7" width="18.28515625" customWidth="1"/>
    <col min="8" max="8" width="23.140625" customWidth="1"/>
    <col min="9" max="9" width="19.85546875" customWidth="1"/>
    <col min="11" max="11" width="9.140625" customWidth="1"/>
    <col min="12" max="12" width="10.85546875" bestFit="1" customWidth="1"/>
    <col min="14" max="14" width="11.85546875" customWidth="1"/>
    <col min="15" max="15" width="12.28515625" customWidth="1"/>
    <col min="16" max="16" width="9.28515625" customWidth="1"/>
    <col min="17" max="17" width="11.28515625" customWidth="1"/>
    <col min="18" max="19" width="10" customWidth="1"/>
    <col min="20" max="20" width="9.5703125" customWidth="1"/>
    <col min="21" max="21" width="13" customWidth="1"/>
    <col min="22" max="22" width="11.42578125" bestFit="1" customWidth="1"/>
    <col min="23" max="23" width="17.7109375" customWidth="1"/>
    <col min="24" max="24" width="20.7109375" customWidth="1"/>
    <col min="25" max="25" width="16.85546875" customWidth="1"/>
    <col min="26" max="26" width="28" customWidth="1"/>
    <col min="27" max="27" width="13.28515625" customWidth="1"/>
    <col min="33" max="33" width="10" bestFit="1" customWidth="1"/>
    <col min="35" max="37" width="10" bestFit="1" customWidth="1"/>
    <col min="48" max="50" width="10" bestFit="1" customWidth="1"/>
  </cols>
  <sheetData>
    <row r="1" spans="1:51" ht="15" customHeight="1" x14ac:dyDescent="0.25">
      <c r="T1" s="927"/>
      <c r="U1" s="926" t="s">
        <v>980</v>
      </c>
    </row>
    <row r="2" spans="1:51" ht="33.75" customHeight="1" x14ac:dyDescent="0.25">
      <c r="A2" s="1005" t="s">
        <v>330</v>
      </c>
      <c r="B2" s="1005"/>
      <c r="C2" s="1005"/>
      <c r="D2" s="1005"/>
      <c r="E2" s="1005"/>
      <c r="F2" s="1005"/>
      <c r="G2" s="1005"/>
      <c r="H2" s="1005"/>
      <c r="I2" s="1005"/>
      <c r="J2" s="1005"/>
      <c r="K2" s="1005"/>
      <c r="L2" s="1005"/>
      <c r="M2" s="1005"/>
      <c r="N2" s="1005"/>
      <c r="O2" s="1005"/>
      <c r="P2" s="1005"/>
      <c r="Q2" s="1005"/>
      <c r="R2" s="1005"/>
      <c r="S2" s="1005"/>
      <c r="T2" s="1005"/>
      <c r="U2" s="1005"/>
      <c r="V2" s="241"/>
    </row>
    <row r="3" spans="1:51" ht="15" customHeight="1" thickBot="1" x14ac:dyDescent="0.3">
      <c r="A3" s="181"/>
      <c r="B3" s="181"/>
      <c r="C3" s="181"/>
      <c r="D3" s="181"/>
      <c r="E3" s="181"/>
      <c r="F3" s="181"/>
      <c r="G3" s="181"/>
      <c r="H3" s="181"/>
      <c r="I3" s="181"/>
      <c r="J3" s="181"/>
      <c r="K3" s="181"/>
      <c r="L3" s="181"/>
      <c r="M3" s="181"/>
      <c r="N3" s="181"/>
      <c r="O3" s="181"/>
      <c r="P3" s="181"/>
      <c r="Q3" s="181"/>
      <c r="R3" s="181"/>
      <c r="S3" s="181"/>
      <c r="T3" s="181"/>
      <c r="U3" s="242" t="s">
        <v>225</v>
      </c>
      <c r="V3" s="181"/>
      <c r="AB3" s="220"/>
      <c r="AC3" s="220"/>
      <c r="AD3" s="220"/>
      <c r="AE3" s="220"/>
      <c r="AF3" s="220"/>
      <c r="AG3" s="220"/>
      <c r="AH3" s="220"/>
      <c r="AI3" s="220"/>
      <c r="AJ3" s="220"/>
      <c r="AK3" s="220"/>
      <c r="AL3" s="220"/>
      <c r="AO3" s="220"/>
      <c r="AP3" s="220"/>
      <c r="AQ3" s="220"/>
      <c r="AR3" s="220"/>
      <c r="AS3" s="220"/>
      <c r="AT3" s="220"/>
      <c r="AU3" s="220"/>
      <c r="AV3" s="220"/>
      <c r="AW3" s="220"/>
      <c r="AX3" s="220"/>
      <c r="AY3" s="220"/>
    </row>
    <row r="4" spans="1:51" ht="95.25" customHeight="1" thickBot="1" x14ac:dyDescent="0.3">
      <c r="A4" s="59" t="s">
        <v>1</v>
      </c>
      <c r="B4" s="523" t="s">
        <v>461</v>
      </c>
      <c r="C4" s="523" t="s">
        <v>462</v>
      </c>
      <c r="D4" s="60" t="s">
        <v>2</v>
      </c>
      <c r="E4" s="60" t="s">
        <v>3</v>
      </c>
      <c r="F4" s="60" t="s">
        <v>4</v>
      </c>
      <c r="G4" s="400" t="s">
        <v>367</v>
      </c>
      <c r="H4" s="400" t="s">
        <v>368</v>
      </c>
      <c r="I4" s="400" t="s">
        <v>369</v>
      </c>
      <c r="J4" s="60" t="s">
        <v>5</v>
      </c>
      <c r="K4" s="353" t="s">
        <v>261</v>
      </c>
      <c r="L4" s="353" t="s">
        <v>263</v>
      </c>
      <c r="M4" s="227" t="s">
        <v>6</v>
      </c>
      <c r="N4" s="147" t="s">
        <v>848</v>
      </c>
      <c r="O4" s="148" t="s">
        <v>219</v>
      </c>
      <c r="P4" s="148" t="s">
        <v>220</v>
      </c>
      <c r="Q4" s="148" t="s">
        <v>221</v>
      </c>
      <c r="R4" s="148" t="s">
        <v>222</v>
      </c>
      <c r="S4" s="149" t="s">
        <v>223</v>
      </c>
      <c r="T4" s="149" t="s">
        <v>259</v>
      </c>
      <c r="U4" s="150" t="s">
        <v>224</v>
      </c>
      <c r="V4" s="14"/>
      <c r="W4" s="599" t="s">
        <v>678</v>
      </c>
      <c r="X4" s="599" t="s">
        <v>462</v>
      </c>
      <c r="Y4" s="599" t="s">
        <v>679</v>
      </c>
      <c r="Z4" s="600" t="s">
        <v>680</v>
      </c>
      <c r="AA4" s="219"/>
      <c r="AB4" s="14"/>
      <c r="AC4" s="14"/>
      <c r="AD4" s="14"/>
      <c r="AE4" s="134"/>
      <c r="AF4" s="14"/>
      <c r="AG4" s="14"/>
      <c r="AH4" s="14"/>
      <c r="AI4" s="14"/>
      <c r="AJ4" s="138"/>
      <c r="AK4" s="138"/>
      <c r="AL4" s="14"/>
      <c r="AO4" s="14"/>
      <c r="AP4" s="14"/>
      <c r="AQ4" s="14"/>
      <c r="AR4" s="134"/>
      <c r="AS4" s="14"/>
      <c r="AT4" s="14"/>
      <c r="AU4" s="14"/>
      <c r="AV4" s="14"/>
      <c r="AW4" s="138"/>
      <c r="AX4" s="138"/>
      <c r="AY4" s="14"/>
    </row>
    <row r="5" spans="1:51" ht="16.5" customHeight="1" x14ac:dyDescent="0.25">
      <c r="A5" s="221" t="s">
        <v>46</v>
      </c>
      <c r="B5" s="222"/>
      <c r="C5" s="222"/>
      <c r="D5" s="222"/>
      <c r="E5" s="222"/>
      <c r="F5" s="222"/>
      <c r="G5" s="222"/>
      <c r="H5" s="222"/>
      <c r="I5" s="222"/>
      <c r="J5" s="222"/>
      <c r="K5" s="222"/>
      <c r="L5" s="222"/>
      <c r="M5" s="222"/>
      <c r="N5" s="130"/>
      <c r="O5" s="131"/>
      <c r="P5" s="131"/>
      <c r="Q5" s="131"/>
      <c r="R5" s="131"/>
      <c r="S5" s="131"/>
      <c r="T5" s="131"/>
      <c r="U5" s="231"/>
      <c r="V5" s="140"/>
      <c r="W5" s="72"/>
      <c r="X5" s="72"/>
      <c r="Y5" s="72"/>
      <c r="Z5" s="72"/>
      <c r="AB5" s="132"/>
      <c r="AC5" s="132"/>
      <c r="AD5" s="132"/>
      <c r="AE5" s="132"/>
      <c r="AF5" s="132"/>
      <c r="AG5" s="132"/>
      <c r="AH5" s="132"/>
      <c r="AI5" s="132"/>
      <c r="AJ5" s="132"/>
      <c r="AK5" s="132"/>
      <c r="AL5" s="132"/>
      <c r="AO5" s="132"/>
      <c r="AP5" s="132"/>
      <c r="AQ5" s="132"/>
      <c r="AR5" s="132"/>
      <c r="AS5" s="132"/>
      <c r="AT5" s="132"/>
      <c r="AU5" s="132"/>
      <c r="AV5" s="132"/>
      <c r="AW5" s="132"/>
      <c r="AX5" s="132"/>
      <c r="AY5" s="132"/>
    </row>
    <row r="6" spans="1:51" x14ac:dyDescent="0.25">
      <c r="A6" s="1060" t="s">
        <v>54</v>
      </c>
      <c r="B6" s="1061"/>
      <c r="C6" s="1061"/>
      <c r="D6" s="1061"/>
      <c r="E6" s="1061"/>
      <c r="F6" s="1061"/>
      <c r="G6" s="1061"/>
      <c r="H6" s="1061"/>
      <c r="I6" s="1061"/>
      <c r="J6" s="1061"/>
      <c r="K6" s="1061"/>
      <c r="L6" s="1061"/>
      <c r="M6" s="1062"/>
      <c r="N6" s="232"/>
      <c r="O6" s="229"/>
      <c r="P6" s="229"/>
      <c r="Q6" s="229"/>
      <c r="R6" s="229"/>
      <c r="S6" s="229"/>
      <c r="T6" s="229"/>
      <c r="U6" s="233"/>
      <c r="V6" s="225"/>
      <c r="W6" s="72"/>
      <c r="X6" s="72"/>
      <c r="Y6" s="72"/>
      <c r="Z6" s="72"/>
    </row>
    <row r="7" spans="1:51" x14ac:dyDescent="0.25">
      <c r="A7" s="223" t="s">
        <v>435</v>
      </c>
      <c r="B7" s="224"/>
      <c r="C7" s="224"/>
      <c r="D7" s="224"/>
      <c r="E7" s="224"/>
      <c r="F7" s="224"/>
      <c r="G7" s="224"/>
      <c r="H7" s="224"/>
      <c r="I7" s="224"/>
      <c r="J7" s="224"/>
      <c r="K7" s="224"/>
      <c r="L7" s="224"/>
      <c r="M7" s="224"/>
      <c r="N7" s="234"/>
      <c r="O7" s="230"/>
      <c r="P7" s="230"/>
      <c r="Q7" s="230"/>
      <c r="R7" s="230"/>
      <c r="S7" s="230"/>
      <c r="T7" s="230"/>
      <c r="U7" s="235"/>
      <c r="V7" s="226"/>
      <c r="W7" s="72"/>
      <c r="X7" s="72"/>
      <c r="Y7" s="72"/>
      <c r="Z7" s="72"/>
    </row>
    <row r="8" spans="1:51" ht="24" customHeight="1" x14ac:dyDescent="0.25">
      <c r="A8" s="620" t="s">
        <v>399</v>
      </c>
      <c r="B8" s="584" t="s">
        <v>464</v>
      </c>
      <c r="C8" s="584" t="s">
        <v>613</v>
      </c>
      <c r="D8" s="621">
        <v>6.4</v>
      </c>
      <c r="E8" s="621" t="s">
        <v>255</v>
      </c>
      <c r="F8" s="621">
        <v>14</v>
      </c>
      <c r="G8" s="622">
        <v>3225.8365599999997</v>
      </c>
      <c r="H8" s="622">
        <v>4606.7129999999997</v>
      </c>
      <c r="I8" s="622">
        <v>5528.0556000000006</v>
      </c>
      <c r="J8" s="623">
        <v>3230</v>
      </c>
      <c r="K8" s="623">
        <v>0</v>
      </c>
      <c r="L8" s="624">
        <v>0</v>
      </c>
      <c r="M8" s="615">
        <v>1</v>
      </c>
      <c r="N8" s="151">
        <f>ROUND(J8*(1+kopsavilkums!$O$8),2)</f>
        <v>3572.38</v>
      </c>
      <c r="O8" s="61">
        <f>P8-L8</f>
        <v>0</v>
      </c>
      <c r="P8" s="61">
        <f>ROUND(L8*(1+kopsavilkums!$O$8),2)</f>
        <v>0</v>
      </c>
      <c r="Q8" s="61">
        <f t="shared" ref="Q8:Q15" si="0">(N8+P8)-(J8+L8)</f>
        <v>342.38000000000011</v>
      </c>
      <c r="R8" s="61">
        <f>Q8*M8</f>
        <v>342.38000000000011</v>
      </c>
      <c r="S8" s="61">
        <f t="shared" ref="S8:S10" si="1">R8*12</f>
        <v>4108.5600000000013</v>
      </c>
      <c r="T8" s="61">
        <f>ROUND(S8*(kopsavilkums!$O$23),2)</f>
        <v>969.21</v>
      </c>
      <c r="U8" s="152">
        <f>SUM(S8:T8)</f>
        <v>5077.7700000000013</v>
      </c>
      <c r="V8" s="73"/>
      <c r="W8" s="619" t="s">
        <v>752</v>
      </c>
      <c r="X8" s="605" t="s">
        <v>613</v>
      </c>
      <c r="Y8" s="605" t="s">
        <v>698</v>
      </c>
      <c r="Z8" s="769" t="s">
        <v>829</v>
      </c>
      <c r="AB8" s="57"/>
      <c r="AC8" s="57"/>
      <c r="AD8" s="57"/>
      <c r="AE8" s="57"/>
      <c r="AF8" s="57"/>
      <c r="AG8" s="57"/>
      <c r="AH8" s="57"/>
      <c r="AI8" s="57"/>
      <c r="AJ8" s="57"/>
      <c r="AK8" s="57"/>
      <c r="AL8" s="136"/>
      <c r="AO8" s="57"/>
      <c r="AP8" s="57"/>
      <c r="AQ8" s="57"/>
      <c r="AR8" s="57"/>
      <c r="AS8" s="57"/>
      <c r="AT8" s="57"/>
      <c r="AU8" s="57"/>
      <c r="AV8" s="57"/>
      <c r="AW8" s="57"/>
      <c r="AX8" s="57"/>
      <c r="AY8" s="136"/>
    </row>
    <row r="9" spans="1:51" ht="75" x14ac:dyDescent="0.25">
      <c r="A9" s="620" t="s">
        <v>256</v>
      </c>
      <c r="B9" s="625" t="s">
        <v>464</v>
      </c>
      <c r="C9" s="626" t="s">
        <v>606</v>
      </c>
      <c r="D9" s="621">
        <v>6.4</v>
      </c>
      <c r="E9" s="621" t="s">
        <v>11</v>
      </c>
      <c r="F9" s="621">
        <v>12</v>
      </c>
      <c r="G9" s="622">
        <v>2173.68606</v>
      </c>
      <c r="H9" s="622">
        <v>3105.2658000000001</v>
      </c>
      <c r="I9" s="622">
        <v>3726.3189600000001</v>
      </c>
      <c r="J9" s="623">
        <v>2175</v>
      </c>
      <c r="K9" s="623">
        <v>0</v>
      </c>
      <c r="L9" s="624">
        <v>0</v>
      </c>
      <c r="M9" s="615">
        <v>1</v>
      </c>
      <c r="N9" s="151">
        <f>ROUND(J9*(1+kopsavilkums!$O$8),2)</f>
        <v>2405.5500000000002</v>
      </c>
      <c r="O9" s="61">
        <f t="shared" ref="O9:O15" si="2">P9-L9</f>
        <v>0</v>
      </c>
      <c r="P9" s="61">
        <f>ROUND(L9*(1+kopsavilkums!$O$8),2)</f>
        <v>0</v>
      </c>
      <c r="Q9" s="61">
        <f t="shared" si="0"/>
        <v>230.55000000000018</v>
      </c>
      <c r="R9" s="61">
        <f t="shared" ref="R9:R10" si="3">Q9*M9</f>
        <v>230.55000000000018</v>
      </c>
      <c r="S9" s="61">
        <f t="shared" si="1"/>
        <v>2766.6000000000022</v>
      </c>
      <c r="T9" s="61">
        <f>ROUND(S9*(kopsavilkums!$O$23),2)</f>
        <v>652.64</v>
      </c>
      <c r="U9" s="152">
        <f t="shared" ref="U9:U10" si="4">SUM(S9:T9)</f>
        <v>3419.2400000000021</v>
      </c>
      <c r="V9" s="73"/>
      <c r="W9" s="619" t="s">
        <v>752</v>
      </c>
      <c r="X9" s="605" t="s">
        <v>606</v>
      </c>
      <c r="Y9" s="605" t="s">
        <v>698</v>
      </c>
      <c r="Z9" s="769" t="s">
        <v>829</v>
      </c>
      <c r="AB9" s="57"/>
      <c r="AC9" s="57"/>
      <c r="AD9" s="57"/>
      <c r="AE9" s="57"/>
      <c r="AF9" s="57"/>
      <c r="AG9" s="57"/>
      <c r="AH9" s="57"/>
      <c r="AI9" s="57"/>
      <c r="AJ9" s="57"/>
      <c r="AK9" s="57"/>
      <c r="AL9" s="136"/>
      <c r="AO9" s="57"/>
      <c r="AP9" s="57"/>
      <c r="AQ9" s="57"/>
      <c r="AR9" s="57"/>
      <c r="AS9" s="57"/>
      <c r="AT9" s="57"/>
      <c r="AU9" s="57"/>
      <c r="AV9" s="57"/>
      <c r="AW9" s="57"/>
      <c r="AX9" s="57"/>
      <c r="AY9" s="136"/>
    </row>
    <row r="10" spans="1:51" ht="75" x14ac:dyDescent="0.25">
      <c r="A10" s="620" t="s">
        <v>48</v>
      </c>
      <c r="B10" s="584" t="s">
        <v>576</v>
      </c>
      <c r="C10" s="584" t="s">
        <v>606</v>
      </c>
      <c r="D10" s="621">
        <v>6.4</v>
      </c>
      <c r="E10" s="621" t="s">
        <v>9</v>
      </c>
      <c r="F10" s="621">
        <v>13</v>
      </c>
      <c r="G10" s="622">
        <v>2694.6427400000002</v>
      </c>
      <c r="H10" s="622">
        <v>3850.3020999999999</v>
      </c>
      <c r="I10" s="622">
        <v>4620.3625200000006</v>
      </c>
      <c r="J10" s="623">
        <v>2750</v>
      </c>
      <c r="K10" s="623">
        <v>0</v>
      </c>
      <c r="L10" s="624">
        <v>0</v>
      </c>
      <c r="M10" s="615">
        <v>1</v>
      </c>
      <c r="N10" s="151">
        <f>ROUND(J10*(1+kopsavilkums!$O$8),2)</f>
        <v>3041.5</v>
      </c>
      <c r="O10" s="61">
        <f t="shared" si="2"/>
        <v>0</v>
      </c>
      <c r="P10" s="61">
        <f>ROUND(L10*(1+kopsavilkums!$O$8),2)</f>
        <v>0</v>
      </c>
      <c r="Q10" s="61">
        <f t="shared" si="0"/>
        <v>291.5</v>
      </c>
      <c r="R10" s="61">
        <f t="shared" si="3"/>
        <v>291.5</v>
      </c>
      <c r="S10" s="61">
        <f t="shared" si="1"/>
        <v>3498</v>
      </c>
      <c r="T10" s="61">
        <f>ROUND(S10*(kopsavilkums!$O$23),2)</f>
        <v>825.18</v>
      </c>
      <c r="U10" s="152">
        <f t="shared" si="4"/>
        <v>4323.18</v>
      </c>
      <c r="V10" s="73"/>
      <c r="W10" s="619" t="s">
        <v>752</v>
      </c>
      <c r="X10" s="605" t="s">
        <v>606</v>
      </c>
      <c r="Y10" s="605" t="s">
        <v>698</v>
      </c>
      <c r="Z10" s="769" t="s">
        <v>829</v>
      </c>
      <c r="AB10" s="57"/>
      <c r="AC10" s="57"/>
      <c r="AD10" s="57"/>
      <c r="AE10" s="57"/>
      <c r="AF10" s="57"/>
      <c r="AG10" s="57"/>
      <c r="AH10" s="57"/>
      <c r="AI10" s="57"/>
      <c r="AJ10" s="57"/>
      <c r="AK10" s="57"/>
      <c r="AL10" s="136"/>
      <c r="AO10" s="57"/>
      <c r="AP10" s="57"/>
      <c r="AQ10" s="57"/>
      <c r="AR10" s="57"/>
      <c r="AS10" s="57"/>
      <c r="AT10" s="57"/>
      <c r="AU10" s="57"/>
      <c r="AV10" s="57"/>
      <c r="AW10" s="57"/>
      <c r="AX10" s="57"/>
      <c r="AY10" s="136"/>
    </row>
    <row r="11" spans="1:51" ht="120" x14ac:dyDescent="0.25">
      <c r="A11" s="620" t="s">
        <v>49</v>
      </c>
      <c r="B11" s="584" t="s">
        <v>464</v>
      </c>
      <c r="C11" s="584" t="s">
        <v>606</v>
      </c>
      <c r="D11" s="621">
        <v>6.4</v>
      </c>
      <c r="E11" s="621" t="s">
        <v>11</v>
      </c>
      <c r="F11" s="621">
        <v>12</v>
      </c>
      <c r="G11" s="622">
        <v>2173.68606</v>
      </c>
      <c r="H11" s="622">
        <v>3105.2658000000001</v>
      </c>
      <c r="I11" s="622">
        <v>3726.3189600000001</v>
      </c>
      <c r="J11" s="623">
        <v>2175</v>
      </c>
      <c r="K11" s="623">
        <v>0</v>
      </c>
      <c r="L11" s="624">
        <v>0</v>
      </c>
      <c r="M11" s="615">
        <v>1</v>
      </c>
      <c r="N11" s="151">
        <f>ROUND(J11*(1+kopsavilkums!$O$8),2)</f>
        <v>2405.5500000000002</v>
      </c>
      <c r="O11" s="61">
        <f t="shared" si="2"/>
        <v>0</v>
      </c>
      <c r="P11" s="61">
        <f>ROUND(L11*(1+kopsavilkums!$O$8),2)</f>
        <v>0</v>
      </c>
      <c r="Q11" s="61">
        <f t="shared" si="0"/>
        <v>230.55000000000018</v>
      </c>
      <c r="R11" s="61">
        <f>Q11*M11</f>
        <v>230.55000000000018</v>
      </c>
      <c r="S11" s="61">
        <f>R11*12</f>
        <v>2766.6000000000022</v>
      </c>
      <c r="T11" s="61">
        <f>ROUND(S11*(kopsavilkums!$O$23),2)</f>
        <v>652.64</v>
      </c>
      <c r="U11" s="152">
        <f>SUM(S11:T11)</f>
        <v>3419.2400000000021</v>
      </c>
      <c r="V11" s="73"/>
      <c r="W11" s="619" t="s">
        <v>830</v>
      </c>
      <c r="X11" s="605" t="s">
        <v>606</v>
      </c>
      <c r="Y11" s="605" t="s">
        <v>698</v>
      </c>
      <c r="Z11" s="769" t="s">
        <v>829</v>
      </c>
      <c r="AB11" s="57"/>
      <c r="AC11" s="57"/>
      <c r="AD11" s="57"/>
      <c r="AE11" s="57"/>
      <c r="AF11" s="57"/>
      <c r="AG11" s="57"/>
      <c r="AH11" s="57"/>
      <c r="AI11" s="57"/>
      <c r="AJ11" s="57"/>
      <c r="AK11" s="57"/>
      <c r="AL11" s="136"/>
      <c r="AO11" s="57"/>
      <c r="AP11" s="57"/>
      <c r="AQ11" s="57"/>
      <c r="AR11" s="57"/>
      <c r="AS11" s="57"/>
      <c r="AT11" s="57"/>
      <c r="AU11" s="57"/>
      <c r="AV11" s="57"/>
      <c r="AW11" s="57"/>
      <c r="AX11" s="57"/>
      <c r="AY11" s="136"/>
    </row>
    <row r="12" spans="1:51" ht="75" x14ac:dyDescent="0.25">
      <c r="A12" s="620" t="s">
        <v>50</v>
      </c>
      <c r="B12" s="584" t="s">
        <v>576</v>
      </c>
      <c r="C12" s="584" t="s">
        <v>606</v>
      </c>
      <c r="D12" s="621">
        <v>6.4</v>
      </c>
      <c r="E12" s="621" t="s">
        <v>255</v>
      </c>
      <c r="F12" s="621">
        <v>14</v>
      </c>
      <c r="G12" s="622">
        <v>3225.8365599999997</v>
      </c>
      <c r="H12" s="622">
        <v>4606.7129999999997</v>
      </c>
      <c r="I12" s="622">
        <v>5528.0556000000006</v>
      </c>
      <c r="J12" s="623">
        <v>3250</v>
      </c>
      <c r="K12" s="623">
        <v>0</v>
      </c>
      <c r="L12" s="624">
        <v>0</v>
      </c>
      <c r="M12" s="615">
        <v>1</v>
      </c>
      <c r="N12" s="151">
        <f>ROUND(J12*(1+kopsavilkums!$O$8),2)</f>
        <v>3594.5</v>
      </c>
      <c r="O12" s="61">
        <f t="shared" si="2"/>
        <v>0</v>
      </c>
      <c r="P12" s="61">
        <f>ROUND(L12*(1+kopsavilkums!$O$8),2)</f>
        <v>0</v>
      </c>
      <c r="Q12" s="61">
        <f t="shared" si="0"/>
        <v>344.5</v>
      </c>
      <c r="R12" s="61">
        <f t="shared" ref="R12:R15" si="5">Q12*M12</f>
        <v>344.5</v>
      </c>
      <c r="S12" s="61">
        <f t="shared" ref="S12:S15" si="6">R12*12</f>
        <v>4134</v>
      </c>
      <c r="T12" s="61">
        <f>ROUND(S12*(kopsavilkums!$O$23),2)</f>
        <v>975.21</v>
      </c>
      <c r="U12" s="152">
        <f t="shared" ref="U12:U15" si="7">SUM(S12:T12)</f>
        <v>5109.21</v>
      </c>
      <c r="V12" s="73"/>
      <c r="W12" s="619" t="s">
        <v>752</v>
      </c>
      <c r="X12" s="605" t="s">
        <v>606</v>
      </c>
      <c r="Y12" s="605" t="s">
        <v>698</v>
      </c>
      <c r="Z12" s="769" t="s">
        <v>829</v>
      </c>
      <c r="AB12" s="57"/>
      <c r="AC12" s="57"/>
      <c r="AD12" s="57"/>
      <c r="AE12" s="57"/>
      <c r="AF12" s="57"/>
      <c r="AG12" s="57"/>
      <c r="AH12" s="57"/>
      <c r="AI12" s="57"/>
      <c r="AJ12" s="57"/>
      <c r="AK12" s="57"/>
      <c r="AL12" s="136"/>
      <c r="AO12" s="57"/>
      <c r="AP12" s="57"/>
      <c r="AQ12" s="57"/>
      <c r="AR12" s="57"/>
      <c r="AS12" s="57"/>
      <c r="AT12" s="57"/>
      <c r="AU12" s="57"/>
      <c r="AV12" s="57"/>
      <c r="AW12" s="57"/>
      <c r="AX12" s="57"/>
      <c r="AY12" s="136"/>
    </row>
    <row r="13" spans="1:51" ht="120" x14ac:dyDescent="0.25">
      <c r="A13" s="620" t="s">
        <v>51</v>
      </c>
      <c r="B13" s="584" t="s">
        <v>464</v>
      </c>
      <c r="C13" s="584" t="s">
        <v>828</v>
      </c>
      <c r="D13" s="621">
        <v>6.4</v>
      </c>
      <c r="E13" s="621" t="s">
        <v>9</v>
      </c>
      <c r="F13" s="621">
        <v>13</v>
      </c>
      <c r="G13" s="622">
        <v>2694.6427400000002</v>
      </c>
      <c r="H13" s="622">
        <v>3850.3020999999999</v>
      </c>
      <c r="I13" s="622">
        <v>4620.3625200000006</v>
      </c>
      <c r="J13" s="623">
        <v>2695</v>
      </c>
      <c r="K13" s="623">
        <v>0</v>
      </c>
      <c r="L13" s="624">
        <v>0</v>
      </c>
      <c r="M13" s="615">
        <v>1</v>
      </c>
      <c r="N13" s="151">
        <f>ROUND(J13*(1+kopsavilkums!$O$8),2)</f>
        <v>2980.67</v>
      </c>
      <c r="O13" s="61">
        <f t="shared" si="2"/>
        <v>0</v>
      </c>
      <c r="P13" s="61">
        <f>ROUND(L13*(1+kopsavilkums!$O$8),2)</f>
        <v>0</v>
      </c>
      <c r="Q13" s="61">
        <f t="shared" si="0"/>
        <v>285.67000000000007</v>
      </c>
      <c r="R13" s="61">
        <f t="shared" si="5"/>
        <v>285.67000000000007</v>
      </c>
      <c r="S13" s="61">
        <f t="shared" si="6"/>
        <v>3428.0400000000009</v>
      </c>
      <c r="T13" s="61">
        <f>ROUND(S13*(kopsavilkums!$O$23),2)</f>
        <v>808.67</v>
      </c>
      <c r="U13" s="152">
        <f t="shared" si="7"/>
        <v>4236.7100000000009</v>
      </c>
      <c r="V13" s="73"/>
      <c r="W13" s="619" t="s">
        <v>830</v>
      </c>
      <c r="X13" s="605" t="s">
        <v>828</v>
      </c>
      <c r="Y13" s="605" t="s">
        <v>698</v>
      </c>
      <c r="Z13" s="769" t="s">
        <v>829</v>
      </c>
      <c r="AB13" s="57"/>
      <c r="AC13" s="57"/>
      <c r="AD13" s="57"/>
      <c r="AE13" s="57"/>
      <c r="AF13" s="57"/>
      <c r="AG13" s="57"/>
      <c r="AH13" s="57"/>
      <c r="AI13" s="57"/>
      <c r="AJ13" s="57"/>
      <c r="AK13" s="57"/>
      <c r="AL13" s="136"/>
      <c r="AO13" s="57"/>
      <c r="AP13" s="57"/>
      <c r="AQ13" s="57"/>
      <c r="AR13" s="57"/>
      <c r="AS13" s="57"/>
      <c r="AT13" s="57"/>
      <c r="AU13" s="57"/>
      <c r="AV13" s="57"/>
      <c r="AW13" s="57"/>
      <c r="AX13" s="57"/>
      <c r="AY13" s="136"/>
    </row>
    <row r="14" spans="1:51" ht="45" x14ac:dyDescent="0.25">
      <c r="A14" s="620" t="s">
        <v>52</v>
      </c>
      <c r="B14" s="584" t="s">
        <v>607</v>
      </c>
      <c r="C14" s="584" t="s">
        <v>733</v>
      </c>
      <c r="D14" s="621">
        <v>6.4</v>
      </c>
      <c r="E14" s="621" t="s">
        <v>11</v>
      </c>
      <c r="F14" s="621">
        <v>12</v>
      </c>
      <c r="G14" s="622">
        <v>2173.68606</v>
      </c>
      <c r="H14" s="622">
        <v>3105.2658000000001</v>
      </c>
      <c r="I14" s="622">
        <v>3726.3189600000001</v>
      </c>
      <c r="J14" s="623">
        <v>2175</v>
      </c>
      <c r="K14" s="623">
        <v>0</v>
      </c>
      <c r="L14" s="624">
        <v>0</v>
      </c>
      <c r="M14" s="615">
        <v>1</v>
      </c>
      <c r="N14" s="151">
        <f>ROUND(J14*(1+kopsavilkums!$O$8),2)</f>
        <v>2405.5500000000002</v>
      </c>
      <c r="O14" s="61">
        <f t="shared" si="2"/>
        <v>0</v>
      </c>
      <c r="P14" s="61">
        <f>ROUND(L14*(1+kopsavilkums!$O$8),2)</f>
        <v>0</v>
      </c>
      <c r="Q14" s="61">
        <f t="shared" si="0"/>
        <v>230.55000000000018</v>
      </c>
      <c r="R14" s="61">
        <f t="shared" si="5"/>
        <v>230.55000000000018</v>
      </c>
      <c r="S14" s="61">
        <f t="shared" si="6"/>
        <v>2766.6000000000022</v>
      </c>
      <c r="T14" s="61">
        <f>ROUND(S14*(kopsavilkums!$O$23),2)</f>
        <v>652.64</v>
      </c>
      <c r="U14" s="152">
        <f t="shared" si="7"/>
        <v>3419.2400000000021</v>
      </c>
      <c r="V14" s="73"/>
      <c r="W14" s="619" t="s">
        <v>831</v>
      </c>
      <c r="X14" s="605" t="s">
        <v>733</v>
      </c>
      <c r="Y14" s="605" t="s">
        <v>698</v>
      </c>
      <c r="Z14" s="769" t="s">
        <v>829</v>
      </c>
      <c r="AB14" s="57"/>
      <c r="AC14" s="57"/>
      <c r="AD14" s="57"/>
      <c r="AE14" s="57"/>
      <c r="AF14" s="57"/>
      <c r="AG14" s="57"/>
      <c r="AH14" s="57"/>
      <c r="AI14" s="57"/>
      <c r="AJ14" s="57"/>
      <c r="AK14" s="57"/>
      <c r="AL14" s="136"/>
      <c r="AO14" s="57"/>
      <c r="AP14" s="57"/>
      <c r="AQ14" s="57"/>
      <c r="AR14" s="57"/>
      <c r="AS14" s="57"/>
      <c r="AT14" s="57"/>
      <c r="AU14" s="57"/>
      <c r="AV14" s="57"/>
      <c r="AW14" s="57"/>
      <c r="AX14" s="57"/>
      <c r="AY14" s="136"/>
    </row>
    <row r="15" spans="1:51" ht="120" x14ac:dyDescent="0.25">
      <c r="A15" s="620" t="s">
        <v>400</v>
      </c>
      <c r="B15" s="584" t="s">
        <v>576</v>
      </c>
      <c r="C15" s="584" t="s">
        <v>609</v>
      </c>
      <c r="D15" s="621">
        <v>6.4</v>
      </c>
      <c r="E15" s="621" t="s">
        <v>9</v>
      </c>
      <c r="F15" s="621">
        <v>13</v>
      </c>
      <c r="G15" s="622">
        <v>2694.6427400000002</v>
      </c>
      <c r="H15" s="622">
        <v>3850.3020999999999</v>
      </c>
      <c r="I15" s="622">
        <v>4620.3625200000006</v>
      </c>
      <c r="J15" s="623">
        <v>2750</v>
      </c>
      <c r="K15" s="623">
        <v>0</v>
      </c>
      <c r="L15" s="624">
        <v>0</v>
      </c>
      <c r="M15" s="615">
        <v>1</v>
      </c>
      <c r="N15" s="151">
        <f>ROUND(J15*(1+kopsavilkums!$O$8),2)</f>
        <v>3041.5</v>
      </c>
      <c r="O15" s="61">
        <f t="shared" si="2"/>
        <v>0</v>
      </c>
      <c r="P15" s="61">
        <f>ROUND(L15*(1+kopsavilkums!$O$8),2)</f>
        <v>0</v>
      </c>
      <c r="Q15" s="61">
        <f t="shared" si="0"/>
        <v>291.5</v>
      </c>
      <c r="R15" s="61">
        <f t="shared" si="5"/>
        <v>291.5</v>
      </c>
      <c r="S15" s="61">
        <f t="shared" si="6"/>
        <v>3498</v>
      </c>
      <c r="T15" s="61">
        <f>ROUND(S15*(kopsavilkums!$O$23),2)</f>
        <v>825.18</v>
      </c>
      <c r="U15" s="152">
        <f t="shared" si="7"/>
        <v>4323.18</v>
      </c>
      <c r="V15" s="73"/>
      <c r="W15" s="619" t="s">
        <v>830</v>
      </c>
      <c r="X15" s="605" t="s">
        <v>609</v>
      </c>
      <c r="Y15" s="605" t="s">
        <v>698</v>
      </c>
      <c r="Z15" s="769" t="s">
        <v>829</v>
      </c>
      <c r="AB15" s="57"/>
      <c r="AC15" s="57"/>
      <c r="AD15" s="57"/>
      <c r="AE15" s="57"/>
      <c r="AF15" s="57"/>
      <c r="AG15" s="57"/>
      <c r="AH15" s="57"/>
      <c r="AI15" s="57"/>
      <c r="AJ15" s="57"/>
      <c r="AK15" s="57"/>
      <c r="AL15" s="136"/>
      <c r="AO15" s="57"/>
      <c r="AP15" s="57"/>
      <c r="AQ15" s="57"/>
      <c r="AR15" s="57"/>
      <c r="AS15" s="57"/>
      <c r="AT15" s="57"/>
      <c r="AU15" s="57"/>
      <c r="AV15" s="57"/>
      <c r="AW15" s="57"/>
      <c r="AX15" s="57"/>
      <c r="AY15" s="136"/>
    </row>
    <row r="16" spans="1:51" ht="15.75" thickBot="1" x14ac:dyDescent="0.3">
      <c r="A16" s="4" t="s">
        <v>32</v>
      </c>
      <c r="B16" s="487"/>
      <c r="C16" s="487"/>
      <c r="D16" s="2" t="s">
        <v>29</v>
      </c>
      <c r="E16" s="3" t="s">
        <v>29</v>
      </c>
      <c r="F16" s="3" t="s">
        <v>29</v>
      </c>
      <c r="G16" s="3"/>
      <c r="H16" s="3"/>
      <c r="I16" s="3" t="s">
        <v>29</v>
      </c>
      <c r="J16" s="3" t="s">
        <v>29</v>
      </c>
      <c r="K16" s="3" t="s">
        <v>29</v>
      </c>
      <c r="L16" s="117"/>
      <c r="M16" s="228">
        <f>SUM(M8:M15)</f>
        <v>8</v>
      </c>
      <c r="N16" s="164"/>
      <c r="O16" s="165"/>
      <c r="P16" s="165"/>
      <c r="Q16" s="236"/>
      <c r="R16" s="165"/>
      <c r="S16" s="165"/>
      <c r="T16" s="339"/>
      <c r="U16" s="237"/>
      <c r="W16" s="72"/>
      <c r="X16" s="72"/>
      <c r="Y16" s="72"/>
      <c r="Z16" s="769"/>
    </row>
    <row r="17" spans="1:51" ht="15.75" thickBot="1" x14ac:dyDescent="0.3">
      <c r="A17" s="8" t="s">
        <v>34</v>
      </c>
      <c r="B17" s="521"/>
      <c r="C17" s="521"/>
      <c r="D17" s="9"/>
      <c r="E17" s="9"/>
      <c r="F17" s="9"/>
      <c r="G17" s="9"/>
      <c r="H17" s="9"/>
      <c r="I17" s="9"/>
      <c r="J17" s="9"/>
      <c r="K17" s="9"/>
      <c r="L17" s="384"/>
      <c r="M17" s="183">
        <f>SUM(M16)</f>
        <v>8</v>
      </c>
      <c r="N17" s="238"/>
      <c r="O17" s="199"/>
      <c r="P17" s="199"/>
      <c r="Q17" s="199"/>
      <c r="R17" s="199"/>
      <c r="S17" s="199"/>
      <c r="T17" s="239"/>
      <c r="U17" s="240">
        <f>SUM(U8:U15)</f>
        <v>33327.770000000004</v>
      </c>
      <c r="W17" s="72"/>
      <c r="X17" s="72"/>
      <c r="Y17" s="72"/>
      <c r="Z17" s="769"/>
      <c r="AI17" s="65"/>
      <c r="AJ17" s="65"/>
      <c r="AK17" s="65"/>
      <c r="AV17" s="65"/>
      <c r="AW17" s="65"/>
      <c r="AX17" s="65"/>
    </row>
    <row r="18" spans="1:51" ht="15.75" thickBot="1" x14ac:dyDescent="0.3">
      <c r="A18" s="478"/>
      <c r="B18" s="478"/>
      <c r="C18" s="478"/>
      <c r="D18" s="479"/>
      <c r="E18" s="479"/>
      <c r="F18" s="479"/>
      <c r="G18" s="479"/>
      <c r="H18" s="479"/>
      <c r="I18" s="479"/>
      <c r="J18" s="479"/>
      <c r="K18" s="479"/>
      <c r="L18" s="479"/>
      <c r="M18" s="480"/>
      <c r="N18" s="481"/>
      <c r="O18" s="481"/>
      <c r="P18" s="481"/>
      <c r="Q18" s="481"/>
      <c r="R18" s="481"/>
      <c r="S18" s="481"/>
      <c r="T18" s="481"/>
      <c r="U18" s="482"/>
      <c r="W18" s="72"/>
      <c r="X18" s="72"/>
      <c r="Y18" s="72"/>
      <c r="Z18" s="769"/>
      <c r="AI18" s="65"/>
      <c r="AJ18" s="65"/>
      <c r="AK18" s="65"/>
      <c r="AV18" s="65"/>
      <c r="AW18" s="65"/>
      <c r="AX18" s="65"/>
    </row>
    <row r="19" spans="1:51" x14ac:dyDescent="0.25">
      <c r="A19" s="1071" t="s">
        <v>33</v>
      </c>
      <c r="B19" s="1072"/>
      <c r="C19" s="1072"/>
      <c r="D19" s="1072"/>
      <c r="E19" s="1072"/>
      <c r="F19" s="1072"/>
      <c r="G19" s="1072"/>
      <c r="H19" s="1072"/>
      <c r="I19" s="1072"/>
      <c r="J19" s="1072"/>
      <c r="K19" s="1072"/>
      <c r="L19" s="1072"/>
      <c r="M19" s="1072"/>
      <c r="N19" s="184"/>
      <c r="O19" s="185"/>
      <c r="P19" s="185"/>
      <c r="Q19" s="185"/>
      <c r="R19" s="185"/>
      <c r="S19" s="185"/>
      <c r="T19" s="185"/>
      <c r="U19" s="186"/>
      <c r="W19" s="72"/>
      <c r="X19" s="72"/>
      <c r="Y19" s="72"/>
      <c r="Z19" s="769"/>
      <c r="AK19" s="133"/>
      <c r="AX19" s="133"/>
    </row>
    <row r="20" spans="1:51" x14ac:dyDescent="0.25">
      <c r="A20" s="1060" t="s">
        <v>7</v>
      </c>
      <c r="B20" s="1061"/>
      <c r="C20" s="1061"/>
      <c r="D20" s="1061"/>
      <c r="E20" s="1061"/>
      <c r="F20" s="1061"/>
      <c r="G20" s="1061"/>
      <c r="H20" s="1061"/>
      <c r="I20" s="1061"/>
      <c r="J20" s="1061"/>
      <c r="K20" s="1061"/>
      <c r="L20" s="1061"/>
      <c r="M20" s="1061"/>
      <c r="N20" s="68"/>
      <c r="O20" s="72"/>
      <c r="P20" s="72"/>
      <c r="Q20" s="72"/>
      <c r="R20" s="72"/>
      <c r="S20" s="72"/>
      <c r="T20" s="72"/>
      <c r="U20" s="69"/>
      <c r="W20" s="72"/>
      <c r="X20" s="72"/>
      <c r="Y20" s="72"/>
      <c r="Z20" s="769"/>
    </row>
    <row r="21" spans="1:51" x14ac:dyDescent="0.25">
      <c r="A21" s="1073" t="s">
        <v>436</v>
      </c>
      <c r="B21" s="1074"/>
      <c r="C21" s="1074"/>
      <c r="D21" s="1074"/>
      <c r="E21" s="1074"/>
      <c r="F21" s="1074"/>
      <c r="G21" s="1074"/>
      <c r="H21" s="1074"/>
      <c r="I21" s="1074"/>
      <c r="J21" s="1074"/>
      <c r="K21" s="1074"/>
      <c r="L21" s="1074"/>
      <c r="M21" s="1074"/>
      <c r="N21" s="157"/>
      <c r="O21" s="155"/>
      <c r="P21" s="155"/>
      <c r="Q21" s="155"/>
      <c r="R21" s="155"/>
      <c r="S21" s="155"/>
      <c r="T21" s="155"/>
      <c r="U21" s="158"/>
      <c r="W21" s="72"/>
      <c r="X21" s="72"/>
      <c r="Y21" s="72"/>
      <c r="Z21" s="769"/>
    </row>
    <row r="22" spans="1:51" x14ac:dyDescent="0.25">
      <c r="A22" s="572" t="s">
        <v>19</v>
      </c>
      <c r="B22" s="587" t="s">
        <v>597</v>
      </c>
      <c r="C22" s="588"/>
      <c r="D22" s="573">
        <v>25</v>
      </c>
      <c r="E22" s="552" t="s">
        <v>9</v>
      </c>
      <c r="F22" s="552">
        <v>9</v>
      </c>
      <c r="G22" s="552">
        <v>1157</v>
      </c>
      <c r="H22" s="552">
        <v>1653</v>
      </c>
      <c r="I22" s="577">
        <v>2067</v>
      </c>
      <c r="J22" s="552">
        <v>1467</v>
      </c>
      <c r="K22" s="585">
        <v>61.125</v>
      </c>
      <c r="L22" s="589">
        <v>61.125</v>
      </c>
      <c r="M22" s="590">
        <v>1</v>
      </c>
      <c r="N22" s="151">
        <f>ROUND(J22*(1+kopsavilkums!$O$12),2)</f>
        <v>1562.36</v>
      </c>
      <c r="O22" s="61">
        <f>P22-L22</f>
        <v>3.973124999999996</v>
      </c>
      <c r="P22" s="61">
        <f>L22*(1+kopsavilkums!$O$12)</f>
        <v>65.098124999999996</v>
      </c>
      <c r="Q22" s="61">
        <f t="shared" ref="Q22:Q28" si="8">(N22+P22)-(J22+L22)</f>
        <v>99.333124999999882</v>
      </c>
      <c r="R22" s="61">
        <f>Q22*M22</f>
        <v>99.333124999999882</v>
      </c>
      <c r="S22" s="61">
        <f t="shared" ref="S22:S23" si="9">R22*12</f>
        <v>1191.9974999999986</v>
      </c>
      <c r="T22" s="61">
        <f>ROUND(S22*kopsavilkums!$O$23,2)</f>
        <v>281.19</v>
      </c>
      <c r="U22" s="152">
        <f t="shared" ref="U22:U23" si="10">SUM(S22:T22)</f>
        <v>1473.1874999999986</v>
      </c>
      <c r="V22" s="73"/>
      <c r="W22" s="604"/>
      <c r="X22" s="605" t="s">
        <v>568</v>
      </c>
      <c r="Y22" s="630">
        <v>10015701</v>
      </c>
      <c r="Z22" s="769"/>
      <c r="AB22" s="57"/>
      <c r="AC22" s="57"/>
      <c r="AD22" s="57"/>
      <c r="AE22" s="57"/>
      <c r="AF22" s="57"/>
      <c r="AG22" s="57"/>
      <c r="AH22" s="57"/>
      <c r="AI22" s="57"/>
      <c r="AJ22" s="57"/>
      <c r="AK22" s="57"/>
      <c r="AL22" s="137"/>
      <c r="AO22" s="57"/>
      <c r="AP22" s="57"/>
      <c r="AQ22" s="57"/>
      <c r="AR22" s="57"/>
      <c r="AS22" s="57"/>
      <c r="AT22" s="57"/>
      <c r="AU22" s="57"/>
      <c r="AV22" s="57"/>
      <c r="AW22" s="57"/>
      <c r="AX22" s="57"/>
      <c r="AY22" s="137"/>
    </row>
    <row r="23" spans="1:51" x14ac:dyDescent="0.25">
      <c r="A23" s="591" t="s">
        <v>23</v>
      </c>
      <c r="B23" s="592" t="s">
        <v>598</v>
      </c>
      <c r="C23" s="593"/>
      <c r="D23" s="573">
        <v>25</v>
      </c>
      <c r="E23" s="552" t="s">
        <v>9</v>
      </c>
      <c r="F23" s="552">
        <v>9</v>
      </c>
      <c r="G23" s="552">
        <v>1157</v>
      </c>
      <c r="H23" s="552">
        <v>1653</v>
      </c>
      <c r="I23" s="577">
        <v>2067</v>
      </c>
      <c r="J23" s="552">
        <v>1134</v>
      </c>
      <c r="K23" s="552">
        <v>47.25</v>
      </c>
      <c r="L23" s="594">
        <v>47.25</v>
      </c>
      <c r="M23" s="590">
        <v>2</v>
      </c>
      <c r="N23" s="151">
        <f>ROUND(J23*(1+kopsavilkums!$O$12),2)</f>
        <v>1207.71</v>
      </c>
      <c r="O23" s="61">
        <f t="shared" ref="O23" si="11">P23-L23</f>
        <v>3.0712499999999991</v>
      </c>
      <c r="P23" s="61">
        <f>L23*(1+kopsavilkums!$O$12)</f>
        <v>50.321249999999999</v>
      </c>
      <c r="Q23" s="61">
        <f t="shared" si="8"/>
        <v>76.78125</v>
      </c>
      <c r="R23" s="61">
        <f t="shared" ref="R23" si="12">Q23*M23</f>
        <v>153.5625</v>
      </c>
      <c r="S23" s="61">
        <f t="shared" si="9"/>
        <v>1842.75</v>
      </c>
      <c r="T23" s="61">
        <f>ROUND(S23*kopsavilkums!$O$23,2)</f>
        <v>434.7</v>
      </c>
      <c r="U23" s="152">
        <f t="shared" si="10"/>
        <v>2277.4499999999998</v>
      </c>
      <c r="V23" s="73"/>
      <c r="W23" s="604"/>
      <c r="X23" s="605" t="s">
        <v>568</v>
      </c>
      <c r="Y23" s="630">
        <v>10015701</v>
      </c>
      <c r="Z23" s="769"/>
      <c r="AB23" s="57"/>
      <c r="AC23" s="57"/>
      <c r="AD23" s="57"/>
      <c r="AE23" s="57"/>
      <c r="AF23" s="57"/>
      <c r="AG23" s="57"/>
      <c r="AH23" s="57"/>
      <c r="AI23" s="57"/>
      <c r="AJ23" s="57"/>
      <c r="AK23" s="57"/>
      <c r="AL23" s="137"/>
      <c r="AO23" s="57"/>
      <c r="AP23" s="57"/>
      <c r="AQ23" s="57"/>
      <c r="AR23" s="57"/>
      <c r="AS23" s="57"/>
      <c r="AT23" s="57"/>
      <c r="AU23" s="57"/>
      <c r="AV23" s="57"/>
      <c r="AW23" s="57"/>
      <c r="AX23" s="57"/>
      <c r="AY23" s="137"/>
    </row>
    <row r="24" spans="1:51" x14ac:dyDescent="0.25">
      <c r="A24" s="572" t="s">
        <v>27</v>
      </c>
      <c r="B24" s="564" t="s">
        <v>599</v>
      </c>
      <c r="C24" s="564"/>
      <c r="D24" s="573">
        <v>25</v>
      </c>
      <c r="E24" s="552" t="s">
        <v>13</v>
      </c>
      <c r="F24" s="552">
        <v>7</v>
      </c>
      <c r="G24" s="552">
        <v>905</v>
      </c>
      <c r="H24" s="552">
        <v>1293</v>
      </c>
      <c r="I24" s="577">
        <v>1682</v>
      </c>
      <c r="J24" s="552">
        <v>1017</v>
      </c>
      <c r="K24" s="585">
        <v>42.375</v>
      </c>
      <c r="L24" s="589">
        <v>42.375</v>
      </c>
      <c r="M24" s="590">
        <v>14</v>
      </c>
      <c r="N24" s="151">
        <f>ROUND(J24*(1+kopsavilkums!$O$15),2)</f>
        <v>1087.17</v>
      </c>
      <c r="O24" s="61">
        <f t="shared" ref="O24:O28" si="13">P24-L24</f>
        <v>2.754374999999996</v>
      </c>
      <c r="P24" s="61">
        <f>L24*(1+kopsavilkums!$O$12)</f>
        <v>45.129374999999996</v>
      </c>
      <c r="Q24" s="61">
        <f t="shared" si="8"/>
        <v>72.924375000000055</v>
      </c>
      <c r="R24" s="61">
        <f>Q24*M24</f>
        <v>1020.9412500000008</v>
      </c>
      <c r="S24" s="61">
        <f t="shared" ref="S24:S28" si="14">R24*12</f>
        <v>12251.295000000009</v>
      </c>
      <c r="T24" s="61">
        <f>ROUND(S24*kopsavilkums!$O$23,2)</f>
        <v>2890.08</v>
      </c>
      <c r="U24" s="152">
        <f t="shared" ref="U24:U28" si="15">SUM(S24:T24)</f>
        <v>15141.375000000009</v>
      </c>
      <c r="V24" s="73"/>
      <c r="W24" s="604"/>
      <c r="X24" s="605" t="s">
        <v>568</v>
      </c>
      <c r="Y24" s="630">
        <v>10015701</v>
      </c>
      <c r="Z24" s="769"/>
      <c r="AB24" s="57"/>
      <c r="AC24" s="57"/>
      <c r="AD24" s="57"/>
      <c r="AE24" s="57"/>
      <c r="AF24" s="57"/>
      <c r="AG24" s="57"/>
      <c r="AH24" s="57"/>
      <c r="AI24" s="57"/>
      <c r="AJ24" s="57"/>
      <c r="AK24" s="57"/>
      <c r="AL24" s="137"/>
      <c r="AO24" s="57"/>
      <c r="AP24" s="57"/>
      <c r="AQ24" s="57"/>
      <c r="AR24" s="57"/>
      <c r="AS24" s="57"/>
      <c r="AT24" s="57"/>
      <c r="AU24" s="57"/>
      <c r="AV24" s="57"/>
      <c r="AW24" s="57"/>
      <c r="AX24" s="57"/>
      <c r="AY24" s="137"/>
    </row>
    <row r="25" spans="1:51" x14ac:dyDescent="0.25">
      <c r="A25" s="572" t="s">
        <v>28</v>
      </c>
      <c r="B25" s="595" t="s">
        <v>569</v>
      </c>
      <c r="C25" s="564"/>
      <c r="D25" s="573">
        <v>16</v>
      </c>
      <c r="E25" s="552" t="s">
        <v>22</v>
      </c>
      <c r="F25" s="552">
        <v>2</v>
      </c>
      <c r="G25" s="552">
        <v>584</v>
      </c>
      <c r="H25" s="552">
        <v>673</v>
      </c>
      <c r="I25" s="577">
        <v>875</v>
      </c>
      <c r="J25" s="552">
        <v>814</v>
      </c>
      <c r="K25" s="585">
        <v>33.916666666666664</v>
      </c>
      <c r="L25" s="589">
        <v>33.916666666666664</v>
      </c>
      <c r="M25" s="590">
        <v>13</v>
      </c>
      <c r="N25" s="151">
        <f>ROUND(J25*(1+kopsavilkums!$O$15),2)</f>
        <v>870.17</v>
      </c>
      <c r="O25" s="61">
        <f t="shared" si="13"/>
        <v>2.204583333333332</v>
      </c>
      <c r="P25" s="61">
        <f>L25*(1+kopsavilkums!$O$12)</f>
        <v>36.121249999999996</v>
      </c>
      <c r="Q25" s="61">
        <f t="shared" si="8"/>
        <v>58.374583333333362</v>
      </c>
      <c r="R25" s="61">
        <f t="shared" ref="R25:R28" si="16">Q25*M25</f>
        <v>758.86958333333371</v>
      </c>
      <c r="S25" s="61">
        <f t="shared" si="14"/>
        <v>9106.4350000000049</v>
      </c>
      <c r="T25" s="61">
        <f>ROUND(S25*kopsavilkums!$O$23,2)</f>
        <v>2148.21</v>
      </c>
      <c r="U25" s="152">
        <f t="shared" si="15"/>
        <v>11254.645000000004</v>
      </c>
      <c r="V25" s="73"/>
      <c r="W25" s="604"/>
      <c r="X25" s="605" t="s">
        <v>664</v>
      </c>
      <c r="Y25" s="630">
        <v>10015701</v>
      </c>
      <c r="Z25" s="769"/>
      <c r="AB25" s="57"/>
      <c r="AC25" s="57"/>
      <c r="AD25" s="57"/>
      <c r="AE25" s="57"/>
      <c r="AF25" s="57"/>
      <c r="AG25" s="57"/>
      <c r="AH25" s="57"/>
      <c r="AI25" s="57"/>
      <c r="AJ25" s="57"/>
      <c r="AK25" s="57"/>
      <c r="AL25" s="137"/>
      <c r="AO25" s="57"/>
      <c r="AP25" s="57"/>
      <c r="AQ25" s="57"/>
      <c r="AR25" s="57"/>
      <c r="AS25" s="57"/>
      <c r="AT25" s="57"/>
      <c r="AU25" s="57"/>
      <c r="AV25" s="57"/>
      <c r="AW25" s="57"/>
      <c r="AX25" s="57"/>
      <c r="AY25" s="137"/>
    </row>
    <row r="26" spans="1:51" x14ac:dyDescent="0.25">
      <c r="A26" s="572" t="s">
        <v>401</v>
      </c>
      <c r="B26" s="596" t="s">
        <v>580</v>
      </c>
      <c r="C26" s="564"/>
      <c r="D26" s="573" t="s">
        <v>708</v>
      </c>
      <c r="E26" s="552" t="s">
        <v>13</v>
      </c>
      <c r="F26" s="552">
        <v>11</v>
      </c>
      <c r="G26" s="552">
        <v>1746</v>
      </c>
      <c r="H26" s="552">
        <v>2496</v>
      </c>
      <c r="I26" s="577">
        <v>3120</v>
      </c>
      <c r="J26" s="552">
        <v>1600</v>
      </c>
      <c r="K26" s="585">
        <v>66.666666666666671</v>
      </c>
      <c r="L26" s="589">
        <v>66.666666666666671</v>
      </c>
      <c r="M26" s="590">
        <v>1</v>
      </c>
      <c r="N26" s="151">
        <f>ROUND(J26*(1+kopsavilkums!$O$15),2)</f>
        <v>1710.4</v>
      </c>
      <c r="O26" s="61">
        <f t="shared" ref="O26" si="17">P26-L26</f>
        <v>4.3333333333333286</v>
      </c>
      <c r="P26" s="61">
        <f>L26*(1+kopsavilkums!$O$12)</f>
        <v>71</v>
      </c>
      <c r="Q26" s="61">
        <f t="shared" si="8"/>
        <v>114.73333333333335</v>
      </c>
      <c r="R26" s="61">
        <f t="shared" ref="R26" si="18">Q26*M26</f>
        <v>114.73333333333335</v>
      </c>
      <c r="S26" s="61">
        <f t="shared" ref="S26" si="19">R26*12</f>
        <v>1376.8000000000002</v>
      </c>
      <c r="T26" s="61">
        <f>ROUND(S26*kopsavilkums!$O$23,2)</f>
        <v>324.79000000000002</v>
      </c>
      <c r="U26" s="152">
        <f t="shared" ref="U26" si="20">SUM(S26:T26)</f>
        <v>1701.5900000000001</v>
      </c>
      <c r="V26" s="73"/>
      <c r="W26" s="604"/>
      <c r="X26" s="605" t="s">
        <v>662</v>
      </c>
      <c r="Y26" s="630">
        <v>10015701</v>
      </c>
      <c r="Z26" s="769"/>
      <c r="AB26" s="57"/>
      <c r="AC26" s="57"/>
      <c r="AD26" s="57"/>
      <c r="AE26" s="57"/>
      <c r="AF26" s="57"/>
      <c r="AG26" s="57"/>
      <c r="AH26" s="57"/>
      <c r="AI26" s="57"/>
      <c r="AJ26" s="57"/>
      <c r="AK26" s="57"/>
      <c r="AL26" s="137"/>
      <c r="AO26" s="57"/>
      <c r="AP26" s="57"/>
      <c r="AQ26" s="57"/>
      <c r="AR26" s="57"/>
      <c r="AS26" s="57"/>
      <c r="AT26" s="57"/>
      <c r="AU26" s="57"/>
      <c r="AV26" s="57"/>
      <c r="AW26" s="57"/>
      <c r="AX26" s="57"/>
      <c r="AY26" s="137"/>
    </row>
    <row r="27" spans="1:51" x14ac:dyDescent="0.25">
      <c r="A27" s="572" t="s">
        <v>401</v>
      </c>
      <c r="B27" s="597" t="s">
        <v>580</v>
      </c>
      <c r="C27" s="564"/>
      <c r="D27" s="573" t="s">
        <v>708</v>
      </c>
      <c r="E27" s="552" t="s">
        <v>13</v>
      </c>
      <c r="F27" s="552">
        <v>11</v>
      </c>
      <c r="G27" s="552">
        <v>1746</v>
      </c>
      <c r="H27" s="552">
        <v>2496</v>
      </c>
      <c r="I27" s="577">
        <v>3120</v>
      </c>
      <c r="J27" s="552">
        <v>1500</v>
      </c>
      <c r="K27" s="585">
        <v>62.5</v>
      </c>
      <c r="L27" s="589">
        <v>62.5</v>
      </c>
      <c r="M27" s="590">
        <v>1</v>
      </c>
      <c r="N27" s="151">
        <f>ROUND(J27*(1+kopsavilkums!$O$15),2)</f>
        <v>1603.5</v>
      </c>
      <c r="O27" s="61">
        <f t="shared" si="13"/>
        <v>4.0625</v>
      </c>
      <c r="P27" s="61">
        <f>L27*(1+kopsavilkums!$O$12)</f>
        <v>66.5625</v>
      </c>
      <c r="Q27" s="61">
        <f t="shared" si="8"/>
        <v>107.5625</v>
      </c>
      <c r="R27" s="61">
        <f t="shared" si="16"/>
        <v>107.5625</v>
      </c>
      <c r="S27" s="61">
        <f t="shared" si="14"/>
        <v>1290.75</v>
      </c>
      <c r="T27" s="61">
        <f>ROUND(S27*kopsavilkums!$O$23,2)</f>
        <v>304.49</v>
      </c>
      <c r="U27" s="152">
        <f t="shared" si="15"/>
        <v>1595.24</v>
      </c>
      <c r="V27" s="73"/>
      <c r="W27" s="604"/>
      <c r="X27" s="605" t="s">
        <v>662</v>
      </c>
      <c r="Y27" s="630">
        <v>10015701</v>
      </c>
      <c r="Z27" s="769"/>
      <c r="AB27" s="57"/>
      <c r="AC27" s="57"/>
      <c r="AD27" s="57"/>
      <c r="AE27" s="57"/>
      <c r="AF27" s="57"/>
      <c r="AG27" s="57"/>
      <c r="AH27" s="57"/>
      <c r="AI27" s="57"/>
      <c r="AJ27" s="57"/>
      <c r="AK27" s="57"/>
      <c r="AL27" s="137"/>
      <c r="AO27" s="57"/>
      <c r="AP27" s="57"/>
      <c r="AQ27" s="57"/>
      <c r="AR27" s="57"/>
      <c r="AS27" s="57"/>
      <c r="AT27" s="57"/>
      <c r="AU27" s="57"/>
      <c r="AV27" s="57"/>
      <c r="AW27" s="57"/>
      <c r="AX27" s="57"/>
      <c r="AY27" s="137"/>
    </row>
    <row r="28" spans="1:51" x14ac:dyDescent="0.25">
      <c r="A28" s="572" t="s">
        <v>301</v>
      </c>
      <c r="B28" s="598" t="s">
        <v>600</v>
      </c>
      <c r="C28" s="564"/>
      <c r="D28" s="573">
        <v>2</v>
      </c>
      <c r="E28" s="552" t="s">
        <v>22</v>
      </c>
      <c r="F28" s="552">
        <v>7</v>
      </c>
      <c r="G28" s="552">
        <v>905</v>
      </c>
      <c r="H28" s="552">
        <v>1293</v>
      </c>
      <c r="I28" s="577">
        <v>1682</v>
      </c>
      <c r="J28" s="552">
        <v>950</v>
      </c>
      <c r="K28" s="585">
        <v>39.583333333333336</v>
      </c>
      <c r="L28" s="589">
        <v>39.583333333333336</v>
      </c>
      <c r="M28" s="590">
        <v>1</v>
      </c>
      <c r="N28" s="151">
        <f>ROUND(J28*(1+kopsavilkums!$O$15),2)</f>
        <v>1015.55</v>
      </c>
      <c r="O28" s="61">
        <f t="shared" si="13"/>
        <v>2.5729166666666643</v>
      </c>
      <c r="P28" s="61">
        <f>L28*(1+kopsavilkums!$O$12)</f>
        <v>42.15625</v>
      </c>
      <c r="Q28" s="61">
        <f t="shared" si="8"/>
        <v>68.122916666666583</v>
      </c>
      <c r="R28" s="61">
        <f t="shared" si="16"/>
        <v>68.122916666666583</v>
      </c>
      <c r="S28" s="61">
        <f t="shared" si="14"/>
        <v>817.474999999999</v>
      </c>
      <c r="T28" s="61">
        <f>ROUND(S28*kopsavilkums!$O$23,2)</f>
        <v>192.84</v>
      </c>
      <c r="U28" s="152">
        <f t="shared" si="15"/>
        <v>1010.314999999999</v>
      </c>
      <c r="V28" s="73"/>
      <c r="W28" s="604"/>
      <c r="X28" s="605" t="s">
        <v>664</v>
      </c>
      <c r="Y28" s="630">
        <v>10015701</v>
      </c>
      <c r="Z28" s="769"/>
      <c r="AB28" s="57"/>
      <c r="AC28" s="57"/>
      <c r="AD28" s="57"/>
      <c r="AE28" s="57"/>
      <c r="AF28" s="57"/>
      <c r="AG28" s="57"/>
      <c r="AH28" s="57"/>
      <c r="AI28" s="57"/>
      <c r="AJ28" s="57"/>
      <c r="AK28" s="57"/>
      <c r="AL28" s="137"/>
      <c r="AO28" s="57"/>
      <c r="AP28" s="57"/>
      <c r="AQ28" s="57"/>
      <c r="AR28" s="57"/>
      <c r="AS28" s="57"/>
      <c r="AT28" s="57"/>
      <c r="AU28" s="57"/>
      <c r="AV28" s="57"/>
      <c r="AW28" s="57"/>
      <c r="AX28" s="57"/>
      <c r="AY28" s="137"/>
    </row>
    <row r="29" spans="1:51" ht="15.75" thickBot="1" x14ac:dyDescent="0.3">
      <c r="A29" s="5" t="s">
        <v>32</v>
      </c>
      <c r="B29" s="490"/>
      <c r="C29" s="490"/>
      <c r="D29" s="6" t="s">
        <v>29</v>
      </c>
      <c r="E29" s="7" t="s">
        <v>29</v>
      </c>
      <c r="F29" s="7" t="s">
        <v>29</v>
      </c>
      <c r="G29" s="7"/>
      <c r="H29" s="7"/>
      <c r="I29" s="7" t="s">
        <v>29</v>
      </c>
      <c r="J29" s="7" t="s">
        <v>29</v>
      </c>
      <c r="K29" s="7" t="s">
        <v>29</v>
      </c>
      <c r="L29" s="350"/>
      <c r="M29" s="182">
        <f>SUM(M22:M28)</f>
        <v>33</v>
      </c>
      <c r="N29" s="176"/>
      <c r="O29" s="177"/>
      <c r="P29" s="177"/>
      <c r="Q29" s="177"/>
      <c r="R29" s="177"/>
      <c r="S29" s="177"/>
      <c r="T29" s="177"/>
      <c r="U29" s="178"/>
      <c r="W29" s="72"/>
      <c r="X29" s="72"/>
      <c r="Y29" s="72"/>
      <c r="Z29" s="769"/>
    </row>
    <row r="30" spans="1:51" ht="15.75" thickBot="1" x14ac:dyDescent="0.3">
      <c r="A30" s="8" t="s">
        <v>34</v>
      </c>
      <c r="B30" s="521"/>
      <c r="C30" s="521"/>
      <c r="D30" s="9"/>
      <c r="E30" s="9"/>
      <c r="F30" s="9"/>
      <c r="G30" s="9"/>
      <c r="H30" s="9"/>
      <c r="I30" s="9"/>
      <c r="J30" s="9"/>
      <c r="K30" s="9"/>
      <c r="L30" s="384"/>
      <c r="M30" s="183">
        <f>SUM(M29)</f>
        <v>33</v>
      </c>
      <c r="N30" s="179"/>
      <c r="O30" s="180"/>
      <c r="P30" s="180"/>
      <c r="Q30" s="180"/>
      <c r="R30" s="180"/>
      <c r="S30" s="180"/>
      <c r="T30" s="188"/>
      <c r="U30" s="187">
        <f>SUM(U22:U23,U24:U28)</f>
        <v>34453.802500000013</v>
      </c>
      <c r="W30" s="72"/>
      <c r="X30" s="72"/>
      <c r="Y30" s="72"/>
      <c r="Z30" s="769"/>
    </row>
    <row r="31" spans="1:51" ht="15.75" thickBot="1" x14ac:dyDescent="0.3">
      <c r="A31" s="217"/>
      <c r="B31" s="217"/>
      <c r="C31" s="217"/>
      <c r="D31" s="12"/>
      <c r="E31" s="12"/>
      <c r="F31" s="12"/>
      <c r="G31" s="12"/>
      <c r="H31" s="12"/>
      <c r="I31" s="12"/>
      <c r="J31" s="12"/>
      <c r="K31" s="12"/>
      <c r="L31" s="12"/>
      <c r="M31" s="204"/>
      <c r="N31" s="527"/>
      <c r="O31" s="527"/>
      <c r="P31" s="527"/>
      <c r="Q31" s="527"/>
      <c r="R31" s="527"/>
      <c r="S31" s="527"/>
      <c r="T31" s="527"/>
      <c r="U31" s="528"/>
      <c r="W31" s="72"/>
      <c r="X31" s="72"/>
      <c r="Y31" s="72"/>
      <c r="Z31" s="769"/>
    </row>
    <row r="32" spans="1:51" x14ac:dyDescent="0.25">
      <c r="A32" s="1067" t="s">
        <v>35</v>
      </c>
      <c r="B32" s="1068"/>
      <c r="C32" s="1068"/>
      <c r="D32" s="1069"/>
      <c r="E32" s="1069"/>
      <c r="F32" s="1069"/>
      <c r="G32" s="1069"/>
      <c r="H32" s="1069"/>
      <c r="I32" s="1069"/>
      <c r="J32" s="1069"/>
      <c r="K32" s="1069"/>
      <c r="L32" s="1070"/>
      <c r="M32" s="1070"/>
      <c r="N32" s="184"/>
      <c r="O32" s="185"/>
      <c r="P32" s="185"/>
      <c r="Q32" s="185"/>
      <c r="R32" s="192"/>
      <c r="S32" s="185"/>
      <c r="T32" s="185"/>
      <c r="U32" s="193"/>
      <c r="V32" s="65"/>
      <c r="W32" s="72"/>
      <c r="X32" s="72"/>
      <c r="Y32" s="606"/>
      <c r="Z32" s="769"/>
      <c r="AK32" s="135"/>
      <c r="AX32" s="135"/>
    </row>
    <row r="33" spans="1:51" x14ac:dyDescent="0.25">
      <c r="A33" s="1063" t="s">
        <v>45</v>
      </c>
      <c r="B33" s="1064"/>
      <c r="C33" s="1064"/>
      <c r="D33" s="1065"/>
      <c r="E33" s="1065"/>
      <c r="F33" s="1065"/>
      <c r="G33" s="1065"/>
      <c r="H33" s="1065"/>
      <c r="I33" s="1065"/>
      <c r="J33" s="1065"/>
      <c r="K33" s="1065"/>
      <c r="L33" s="1066"/>
      <c r="M33" s="1066"/>
      <c r="N33" s="68"/>
      <c r="O33" s="72"/>
      <c r="P33" s="72"/>
      <c r="Q33" s="72"/>
      <c r="R33" s="190"/>
      <c r="S33" s="72"/>
      <c r="T33" s="72"/>
      <c r="U33" s="153"/>
      <c r="W33" s="72"/>
      <c r="X33" s="72"/>
      <c r="Y33" s="72"/>
      <c r="Z33" s="769"/>
    </row>
    <row r="34" spans="1:51" x14ac:dyDescent="0.25">
      <c r="A34" s="1075" t="s">
        <v>8</v>
      </c>
      <c r="B34" s="1076"/>
      <c r="C34" s="1076"/>
      <c r="D34" s="1077"/>
      <c r="E34" s="1077"/>
      <c r="F34" s="1077"/>
      <c r="G34" s="1077"/>
      <c r="H34" s="1077"/>
      <c r="I34" s="1077"/>
      <c r="J34" s="1077"/>
      <c r="K34" s="1077"/>
      <c r="L34" s="1078"/>
      <c r="M34" s="1078"/>
      <c r="N34" s="157"/>
      <c r="O34" s="155"/>
      <c r="P34" s="155"/>
      <c r="Q34" s="155"/>
      <c r="R34" s="191"/>
      <c r="S34" s="155"/>
      <c r="T34" s="155"/>
      <c r="U34" s="194"/>
      <c r="W34" s="72"/>
      <c r="X34" s="72"/>
      <c r="Y34" s="72"/>
      <c r="Z34" s="769"/>
    </row>
    <row r="35" spans="1:51" x14ac:dyDescent="0.25">
      <c r="A35" s="620" t="s">
        <v>402</v>
      </c>
      <c r="B35" s="770" t="s">
        <v>571</v>
      </c>
      <c r="C35" s="771"/>
      <c r="D35" s="771" t="s">
        <v>403</v>
      </c>
      <c r="E35" s="771" t="s">
        <v>13</v>
      </c>
      <c r="F35" s="771">
        <v>15</v>
      </c>
      <c r="G35" s="772">
        <v>3633</v>
      </c>
      <c r="H35" s="772">
        <v>5189</v>
      </c>
      <c r="I35" s="772">
        <v>6228</v>
      </c>
      <c r="J35" s="773">
        <v>4200</v>
      </c>
      <c r="K35" s="552"/>
      <c r="L35" s="552"/>
      <c r="M35" s="594">
        <v>1</v>
      </c>
      <c r="N35" s="151">
        <f>ROUND(J35*(1+kopsavilkums!$O$8),2)</f>
        <v>4645.2</v>
      </c>
      <c r="O35" s="61">
        <f t="shared" ref="O35" si="21">P35-L35</f>
        <v>0</v>
      </c>
      <c r="P35" s="61">
        <f>ROUND(L35*(1+kopsavilkums!$O$8),2)</f>
        <v>0</v>
      </c>
      <c r="Q35" s="61">
        <f t="shared" ref="Q35:Q66" si="22">(N35+P35)-(J35+L35)</f>
        <v>445.19999999999982</v>
      </c>
      <c r="R35" s="61">
        <f t="shared" ref="R35" si="23">Q35*M35</f>
        <v>445.19999999999982</v>
      </c>
      <c r="S35" s="61">
        <f t="shared" ref="S35:S91" si="24">R35*12</f>
        <v>5342.3999999999978</v>
      </c>
      <c r="T35" s="61">
        <f>ROUND(S35*kopsavilkums!$O$23,2)</f>
        <v>1260.27</v>
      </c>
      <c r="U35" s="152">
        <f t="shared" ref="U35" si="25">SUM(S35:T35)</f>
        <v>6602.6699999999983</v>
      </c>
      <c r="V35" s="73"/>
      <c r="W35" s="604"/>
      <c r="X35" s="605"/>
      <c r="Y35" s="605"/>
      <c r="Z35" s="769"/>
      <c r="AB35" s="57"/>
      <c r="AC35" s="57"/>
      <c r="AD35" s="57"/>
      <c r="AE35" s="57"/>
      <c r="AF35" s="57"/>
      <c r="AG35" s="57"/>
      <c r="AH35" s="57"/>
      <c r="AI35" s="57"/>
      <c r="AJ35" s="57"/>
      <c r="AK35" s="57"/>
      <c r="AL35" s="137"/>
      <c r="AO35" s="57"/>
      <c r="AP35" s="57"/>
      <c r="AQ35" s="57"/>
      <c r="AR35" s="57"/>
      <c r="AS35" s="57"/>
      <c r="AT35" s="57"/>
      <c r="AU35" s="57"/>
      <c r="AV35" s="57"/>
      <c r="AW35" s="57"/>
      <c r="AX35" s="57"/>
      <c r="AY35" s="137"/>
    </row>
    <row r="36" spans="1:51" x14ac:dyDescent="0.25">
      <c r="A36" s="620" t="s">
        <v>38</v>
      </c>
      <c r="B36" s="770" t="s">
        <v>464</v>
      </c>
      <c r="C36" s="771"/>
      <c r="D36" s="771">
        <v>36</v>
      </c>
      <c r="E36" s="771" t="s">
        <v>9</v>
      </c>
      <c r="F36" s="771">
        <v>11</v>
      </c>
      <c r="G36" s="772">
        <v>1746</v>
      </c>
      <c r="H36" s="772">
        <v>2496</v>
      </c>
      <c r="I36" s="772">
        <v>3120</v>
      </c>
      <c r="J36" s="773">
        <v>2257</v>
      </c>
      <c r="K36" s="552"/>
      <c r="L36" s="552"/>
      <c r="M36" s="594">
        <v>1</v>
      </c>
      <c r="N36" s="151">
        <f>ROUND(J36*(1+kopsavilkums!$O$8),2)</f>
        <v>2496.2399999999998</v>
      </c>
      <c r="O36" s="61">
        <f t="shared" ref="O36:O99" si="26">P36-L36</f>
        <v>0</v>
      </c>
      <c r="P36" s="61">
        <f>ROUND(L36*(1+kopsavilkums!$O$8),2)</f>
        <v>0</v>
      </c>
      <c r="Q36" s="61">
        <f t="shared" si="22"/>
        <v>239.23999999999978</v>
      </c>
      <c r="R36" s="61">
        <f t="shared" ref="R36:R74" si="27">Q36*M36</f>
        <v>239.23999999999978</v>
      </c>
      <c r="S36" s="61">
        <f t="shared" ref="S36:S74" si="28">R36*12</f>
        <v>2870.8799999999974</v>
      </c>
      <c r="T36" s="61">
        <f>ROUND(S36*kopsavilkums!$O$23,2)</f>
        <v>677.24</v>
      </c>
      <c r="U36" s="152">
        <f t="shared" ref="U36:U74" si="29">SUM(S36:T36)</f>
        <v>3548.1199999999972</v>
      </c>
      <c r="V36" s="73"/>
      <c r="W36" s="604"/>
      <c r="X36" s="605"/>
      <c r="Y36" s="605"/>
      <c r="Z36" s="769"/>
      <c r="AB36" s="57"/>
      <c r="AC36" s="57"/>
      <c r="AD36" s="57"/>
      <c r="AE36" s="57"/>
      <c r="AF36" s="57"/>
      <c r="AG36" s="57"/>
      <c r="AH36" s="57"/>
      <c r="AI36" s="57"/>
      <c r="AJ36" s="57"/>
      <c r="AK36" s="57"/>
      <c r="AL36" s="137"/>
      <c r="AO36" s="57"/>
      <c r="AP36" s="57"/>
      <c r="AQ36" s="57"/>
      <c r="AR36" s="57"/>
      <c r="AS36" s="57"/>
      <c r="AT36" s="57"/>
      <c r="AU36" s="57"/>
      <c r="AV36" s="57"/>
      <c r="AW36" s="57"/>
      <c r="AX36" s="57"/>
      <c r="AY36" s="137"/>
    </row>
    <row r="37" spans="1:51" x14ac:dyDescent="0.25">
      <c r="A37" s="620" t="s">
        <v>404</v>
      </c>
      <c r="B37" s="770" t="s">
        <v>577</v>
      </c>
      <c r="C37" s="771"/>
      <c r="D37" s="771">
        <v>36</v>
      </c>
      <c r="E37" s="771" t="s">
        <v>22</v>
      </c>
      <c r="F37" s="771">
        <v>8</v>
      </c>
      <c r="G37" s="772">
        <v>967</v>
      </c>
      <c r="H37" s="772">
        <v>1388</v>
      </c>
      <c r="I37" s="772">
        <v>1796</v>
      </c>
      <c r="J37" s="773">
        <v>1388</v>
      </c>
      <c r="K37" s="552"/>
      <c r="L37" s="552"/>
      <c r="M37" s="594">
        <v>1</v>
      </c>
      <c r="N37" s="151">
        <f>ROUND(J37*(1+kopsavilkums!$O$8),2)</f>
        <v>1535.13</v>
      </c>
      <c r="O37" s="61">
        <f t="shared" si="26"/>
        <v>0</v>
      </c>
      <c r="P37" s="61">
        <f>ROUND(L37*(1+kopsavilkums!$O$8),2)</f>
        <v>0</v>
      </c>
      <c r="Q37" s="61">
        <f t="shared" si="22"/>
        <v>147.13000000000011</v>
      </c>
      <c r="R37" s="61">
        <f t="shared" si="27"/>
        <v>147.13000000000011</v>
      </c>
      <c r="S37" s="61">
        <f t="shared" si="28"/>
        <v>1765.5600000000013</v>
      </c>
      <c r="T37" s="61">
        <f>ROUND(S37*kopsavilkums!$O$23,2)</f>
        <v>416.5</v>
      </c>
      <c r="U37" s="152">
        <f t="shared" si="29"/>
        <v>2182.0600000000013</v>
      </c>
      <c r="V37" s="73"/>
      <c r="W37" s="604"/>
      <c r="X37" s="605"/>
      <c r="Y37" s="605"/>
      <c r="Z37" s="769"/>
      <c r="AB37" s="57"/>
      <c r="AC37" s="57"/>
      <c r="AD37" s="57"/>
      <c r="AE37" s="57"/>
      <c r="AF37" s="57"/>
      <c r="AG37" s="57"/>
      <c r="AH37" s="57"/>
      <c r="AI37" s="57"/>
      <c r="AJ37" s="57"/>
      <c r="AK37" s="57"/>
      <c r="AL37" s="137"/>
      <c r="AO37" s="57"/>
      <c r="AP37" s="57"/>
      <c r="AQ37" s="57"/>
      <c r="AR37" s="57"/>
      <c r="AS37" s="57"/>
      <c r="AT37" s="57"/>
      <c r="AU37" s="57"/>
      <c r="AV37" s="57"/>
      <c r="AW37" s="57"/>
      <c r="AX37" s="57"/>
      <c r="AY37" s="137"/>
    </row>
    <row r="38" spans="1:51" x14ac:dyDescent="0.25">
      <c r="A38" s="620" t="s">
        <v>405</v>
      </c>
      <c r="B38" s="770" t="s">
        <v>578</v>
      </c>
      <c r="C38" s="771"/>
      <c r="D38" s="771">
        <v>36</v>
      </c>
      <c r="E38" s="771" t="s">
        <v>22</v>
      </c>
      <c r="F38" s="771">
        <v>8</v>
      </c>
      <c r="G38" s="772">
        <v>967</v>
      </c>
      <c r="H38" s="772">
        <v>1388</v>
      </c>
      <c r="I38" s="772">
        <v>1796</v>
      </c>
      <c r="J38" s="773">
        <v>1388</v>
      </c>
      <c r="K38" s="552"/>
      <c r="L38" s="552"/>
      <c r="M38" s="594">
        <v>1</v>
      </c>
      <c r="N38" s="151">
        <f>ROUND(J38*(1+kopsavilkums!$O$8),2)</f>
        <v>1535.13</v>
      </c>
      <c r="O38" s="61">
        <f t="shared" si="26"/>
        <v>0</v>
      </c>
      <c r="P38" s="61">
        <f>ROUND(L38*(1+kopsavilkums!$O$8),2)</f>
        <v>0</v>
      </c>
      <c r="Q38" s="61">
        <f t="shared" si="22"/>
        <v>147.13000000000011</v>
      </c>
      <c r="R38" s="61">
        <f t="shared" si="27"/>
        <v>147.13000000000011</v>
      </c>
      <c r="S38" s="61">
        <f t="shared" si="28"/>
        <v>1765.5600000000013</v>
      </c>
      <c r="T38" s="61">
        <f>ROUND(S38*kopsavilkums!$O$23,2)</f>
        <v>416.5</v>
      </c>
      <c r="U38" s="152">
        <f t="shared" si="29"/>
        <v>2182.0600000000013</v>
      </c>
      <c r="V38" s="73"/>
      <c r="W38" s="604"/>
      <c r="X38" s="605"/>
      <c r="Y38" s="605"/>
      <c r="Z38" s="769"/>
      <c r="AB38" s="57"/>
      <c r="AC38" s="57"/>
      <c r="AD38" s="57"/>
      <c r="AE38" s="57"/>
      <c r="AF38" s="57"/>
      <c r="AG38" s="57"/>
      <c r="AH38" s="57"/>
      <c r="AI38" s="57"/>
      <c r="AJ38" s="57"/>
      <c r="AK38" s="57"/>
      <c r="AL38" s="137"/>
      <c r="AO38" s="57"/>
      <c r="AP38" s="57"/>
      <c r="AQ38" s="57"/>
      <c r="AR38" s="57"/>
      <c r="AS38" s="57"/>
      <c r="AT38" s="57"/>
      <c r="AU38" s="57"/>
      <c r="AV38" s="57"/>
      <c r="AW38" s="57"/>
      <c r="AX38" s="57"/>
      <c r="AY38" s="137"/>
    </row>
    <row r="39" spans="1:51" x14ac:dyDescent="0.25">
      <c r="A39" s="620" t="s">
        <v>406</v>
      </c>
      <c r="B39" s="770" t="s">
        <v>464</v>
      </c>
      <c r="C39" s="771"/>
      <c r="D39" s="771" t="s">
        <v>407</v>
      </c>
      <c r="E39" s="771" t="s">
        <v>408</v>
      </c>
      <c r="F39" s="771">
        <v>12</v>
      </c>
      <c r="G39" s="772">
        <v>2174</v>
      </c>
      <c r="H39" s="772">
        <v>3105</v>
      </c>
      <c r="I39" s="772">
        <v>3726</v>
      </c>
      <c r="J39" s="773">
        <v>3000</v>
      </c>
      <c r="K39" s="552"/>
      <c r="L39" s="552"/>
      <c r="M39" s="594">
        <v>1</v>
      </c>
      <c r="N39" s="151">
        <f>ROUND(J39*(1+kopsavilkums!$O$8),2)</f>
        <v>3318</v>
      </c>
      <c r="O39" s="61">
        <f t="shared" si="26"/>
        <v>0</v>
      </c>
      <c r="P39" s="61">
        <f>ROUND(L39*(1+kopsavilkums!$O$8),2)</f>
        <v>0</v>
      </c>
      <c r="Q39" s="61">
        <f t="shared" si="22"/>
        <v>318</v>
      </c>
      <c r="R39" s="61">
        <f t="shared" si="27"/>
        <v>318</v>
      </c>
      <c r="S39" s="61">
        <f t="shared" si="28"/>
        <v>3816</v>
      </c>
      <c r="T39" s="61">
        <f>ROUND(S39*kopsavilkums!$O$23,2)</f>
        <v>900.19</v>
      </c>
      <c r="U39" s="152">
        <f t="shared" si="29"/>
        <v>4716.1900000000005</v>
      </c>
      <c r="V39" s="73"/>
      <c r="W39" s="604"/>
      <c r="X39" s="605"/>
      <c r="Y39" s="605"/>
      <c r="Z39" s="769"/>
      <c r="AB39" s="57"/>
      <c r="AC39" s="57"/>
      <c r="AD39" s="57"/>
      <c r="AE39" s="57"/>
      <c r="AF39" s="57"/>
      <c r="AG39" s="57"/>
      <c r="AH39" s="57"/>
      <c r="AI39" s="57"/>
      <c r="AJ39" s="57"/>
      <c r="AK39" s="57"/>
      <c r="AL39" s="137"/>
      <c r="AO39" s="57"/>
      <c r="AP39" s="57"/>
      <c r="AQ39" s="57"/>
      <c r="AR39" s="57"/>
      <c r="AS39" s="57"/>
      <c r="AT39" s="57"/>
      <c r="AU39" s="57"/>
      <c r="AV39" s="57"/>
      <c r="AW39" s="57"/>
      <c r="AX39" s="57"/>
      <c r="AY39" s="137"/>
    </row>
    <row r="40" spans="1:51" x14ac:dyDescent="0.25">
      <c r="A40" s="620" t="s">
        <v>409</v>
      </c>
      <c r="B40" s="770" t="s">
        <v>579</v>
      </c>
      <c r="C40" s="771"/>
      <c r="D40" s="771">
        <v>36</v>
      </c>
      <c r="E40" s="771" t="s">
        <v>22</v>
      </c>
      <c r="F40" s="771">
        <v>8</v>
      </c>
      <c r="G40" s="772">
        <v>967</v>
      </c>
      <c r="H40" s="772">
        <v>1388</v>
      </c>
      <c r="I40" s="772">
        <v>1796</v>
      </c>
      <c r="J40" s="773">
        <v>1600</v>
      </c>
      <c r="K40" s="552"/>
      <c r="L40" s="552"/>
      <c r="M40" s="594">
        <v>1</v>
      </c>
      <c r="N40" s="151">
        <f>ROUND(J40*(1+kopsavilkums!$O$8),2)</f>
        <v>1769.6</v>
      </c>
      <c r="O40" s="61">
        <f t="shared" si="26"/>
        <v>0</v>
      </c>
      <c r="P40" s="61">
        <f>ROUND(L40*(1+kopsavilkums!$O$8),2)</f>
        <v>0</v>
      </c>
      <c r="Q40" s="61">
        <f t="shared" si="22"/>
        <v>169.59999999999991</v>
      </c>
      <c r="R40" s="61">
        <f t="shared" si="27"/>
        <v>169.59999999999991</v>
      </c>
      <c r="S40" s="61">
        <f t="shared" si="28"/>
        <v>2035.1999999999989</v>
      </c>
      <c r="T40" s="61">
        <f>ROUND(S40*kopsavilkums!$O$23,2)</f>
        <v>480.1</v>
      </c>
      <c r="U40" s="152">
        <f t="shared" si="29"/>
        <v>2515.2999999999988</v>
      </c>
      <c r="V40" s="73"/>
      <c r="W40" s="604"/>
      <c r="X40" s="605"/>
      <c r="Y40" s="605"/>
      <c r="Z40" s="769"/>
      <c r="AB40" s="57"/>
      <c r="AC40" s="57"/>
      <c r="AD40" s="57"/>
      <c r="AE40" s="57"/>
      <c r="AF40" s="57"/>
      <c r="AG40" s="57"/>
      <c r="AH40" s="57"/>
      <c r="AI40" s="57"/>
      <c r="AJ40" s="57"/>
      <c r="AK40" s="57"/>
      <c r="AL40" s="137"/>
      <c r="AO40" s="57"/>
      <c r="AP40" s="57"/>
      <c r="AQ40" s="57"/>
      <c r="AR40" s="57"/>
      <c r="AS40" s="57"/>
      <c r="AT40" s="57"/>
      <c r="AU40" s="57"/>
      <c r="AV40" s="57"/>
      <c r="AW40" s="57"/>
      <c r="AX40" s="57"/>
      <c r="AY40" s="137"/>
    </row>
    <row r="41" spans="1:51" x14ac:dyDescent="0.25">
      <c r="A41" s="774" t="s">
        <v>372</v>
      </c>
      <c r="B41" s="770" t="s">
        <v>575</v>
      </c>
      <c r="C41" s="626"/>
      <c r="D41" s="626">
        <v>13</v>
      </c>
      <c r="E41" s="626" t="s">
        <v>11</v>
      </c>
      <c r="F41" s="626">
        <v>11</v>
      </c>
      <c r="G41" s="772">
        <v>1746</v>
      </c>
      <c r="H41" s="772">
        <v>2496</v>
      </c>
      <c r="I41" s="772">
        <v>3120</v>
      </c>
      <c r="J41" s="773">
        <v>2650</v>
      </c>
      <c r="K41" s="552"/>
      <c r="L41" s="552"/>
      <c r="M41" s="594">
        <v>1</v>
      </c>
      <c r="N41" s="151">
        <f>ROUND(J41*(1+kopsavilkums!$O$8),2)</f>
        <v>2930.9</v>
      </c>
      <c r="O41" s="61">
        <f t="shared" si="26"/>
        <v>0</v>
      </c>
      <c r="P41" s="61">
        <f>ROUND(L41*(1+kopsavilkums!$O$8),2)</f>
        <v>0</v>
      </c>
      <c r="Q41" s="61">
        <f t="shared" si="22"/>
        <v>280.90000000000009</v>
      </c>
      <c r="R41" s="61">
        <f t="shared" si="27"/>
        <v>280.90000000000009</v>
      </c>
      <c r="S41" s="61">
        <f t="shared" si="28"/>
        <v>3370.8000000000011</v>
      </c>
      <c r="T41" s="61">
        <f>ROUND(S41*kopsavilkums!$O$23,2)</f>
        <v>795.17</v>
      </c>
      <c r="U41" s="152">
        <f t="shared" si="29"/>
        <v>4165.9700000000012</v>
      </c>
      <c r="V41" s="73"/>
      <c r="W41" s="604"/>
      <c r="X41" s="605"/>
      <c r="Y41" s="605"/>
      <c r="Z41" s="769"/>
      <c r="AB41" s="57"/>
      <c r="AC41" s="57"/>
      <c r="AD41" s="57"/>
      <c r="AE41" s="57"/>
      <c r="AF41" s="57"/>
      <c r="AG41" s="57"/>
      <c r="AH41" s="57"/>
      <c r="AI41" s="57"/>
      <c r="AJ41" s="57"/>
      <c r="AK41" s="57"/>
      <c r="AL41" s="137"/>
      <c r="AO41" s="57"/>
      <c r="AP41" s="57"/>
      <c r="AQ41" s="57"/>
      <c r="AR41" s="57"/>
      <c r="AS41" s="57"/>
      <c r="AT41" s="57"/>
      <c r="AU41" s="57"/>
      <c r="AV41" s="57"/>
      <c r="AW41" s="57"/>
      <c r="AX41" s="57"/>
      <c r="AY41" s="137"/>
    </row>
    <row r="42" spans="1:51" x14ac:dyDescent="0.25">
      <c r="A42" s="620" t="s">
        <v>372</v>
      </c>
      <c r="B42" s="770" t="s">
        <v>575</v>
      </c>
      <c r="C42" s="771"/>
      <c r="D42" s="771">
        <v>13</v>
      </c>
      <c r="E42" s="771" t="s">
        <v>11</v>
      </c>
      <c r="F42" s="771">
        <v>11</v>
      </c>
      <c r="G42" s="772">
        <v>1746</v>
      </c>
      <c r="H42" s="772">
        <v>2496</v>
      </c>
      <c r="I42" s="772">
        <v>3120</v>
      </c>
      <c r="J42" s="773">
        <v>2650</v>
      </c>
      <c r="K42" s="552"/>
      <c r="L42" s="552"/>
      <c r="M42" s="594">
        <v>1</v>
      </c>
      <c r="N42" s="151">
        <f>ROUND(J42*(1+kopsavilkums!$O$8),2)</f>
        <v>2930.9</v>
      </c>
      <c r="O42" s="61">
        <f t="shared" si="26"/>
        <v>0</v>
      </c>
      <c r="P42" s="61">
        <f>ROUND(L42*(1+kopsavilkums!$O$8),2)</f>
        <v>0</v>
      </c>
      <c r="Q42" s="61">
        <f t="shared" si="22"/>
        <v>280.90000000000009</v>
      </c>
      <c r="R42" s="61">
        <f t="shared" si="27"/>
        <v>280.90000000000009</v>
      </c>
      <c r="S42" s="61">
        <f t="shared" si="28"/>
        <v>3370.8000000000011</v>
      </c>
      <c r="T42" s="61">
        <f>ROUND(S42*kopsavilkums!$O$23,2)</f>
        <v>795.17</v>
      </c>
      <c r="U42" s="152">
        <f t="shared" si="29"/>
        <v>4165.9700000000012</v>
      </c>
      <c r="V42" s="73"/>
      <c r="W42" s="604"/>
      <c r="X42" s="605"/>
      <c r="Y42" s="605"/>
      <c r="Z42" s="769"/>
      <c r="AB42" s="57"/>
      <c r="AC42" s="57"/>
      <c r="AD42" s="57"/>
      <c r="AE42" s="57"/>
      <c r="AF42" s="57"/>
      <c r="AG42" s="57"/>
      <c r="AH42" s="57"/>
      <c r="AI42" s="57"/>
      <c r="AJ42" s="57"/>
      <c r="AK42" s="57"/>
      <c r="AL42" s="137"/>
      <c r="AO42" s="57"/>
      <c r="AP42" s="57"/>
      <c r="AQ42" s="57"/>
      <c r="AR42" s="57"/>
      <c r="AS42" s="57"/>
      <c r="AT42" s="57"/>
      <c r="AU42" s="57"/>
      <c r="AV42" s="57"/>
      <c r="AW42" s="57"/>
      <c r="AX42" s="57"/>
      <c r="AY42" s="137"/>
    </row>
    <row r="43" spans="1:51" x14ac:dyDescent="0.25">
      <c r="A43" s="620" t="s">
        <v>372</v>
      </c>
      <c r="B43" s="770" t="s">
        <v>575</v>
      </c>
      <c r="C43" s="771"/>
      <c r="D43" s="771">
        <v>13</v>
      </c>
      <c r="E43" s="771" t="s">
        <v>11</v>
      </c>
      <c r="F43" s="771">
        <v>11</v>
      </c>
      <c r="G43" s="772">
        <v>1746</v>
      </c>
      <c r="H43" s="772">
        <v>2496</v>
      </c>
      <c r="I43" s="772">
        <v>3120</v>
      </c>
      <c r="J43" s="773">
        <v>2650</v>
      </c>
      <c r="K43" s="552"/>
      <c r="L43" s="552"/>
      <c r="M43" s="594">
        <v>1</v>
      </c>
      <c r="N43" s="151">
        <f>ROUND(J43*(1+kopsavilkums!$O$8),2)</f>
        <v>2930.9</v>
      </c>
      <c r="O43" s="61">
        <f t="shared" si="26"/>
        <v>0</v>
      </c>
      <c r="P43" s="61">
        <f>ROUND(L43*(1+kopsavilkums!$O$8),2)</f>
        <v>0</v>
      </c>
      <c r="Q43" s="61">
        <f t="shared" si="22"/>
        <v>280.90000000000009</v>
      </c>
      <c r="R43" s="61">
        <f t="shared" si="27"/>
        <v>280.90000000000009</v>
      </c>
      <c r="S43" s="61">
        <f t="shared" si="28"/>
        <v>3370.8000000000011</v>
      </c>
      <c r="T43" s="61">
        <f>ROUND(S43*kopsavilkums!$O$23,2)</f>
        <v>795.17</v>
      </c>
      <c r="U43" s="152">
        <f t="shared" si="29"/>
        <v>4165.9700000000012</v>
      </c>
      <c r="V43" s="73"/>
      <c r="W43" s="604"/>
      <c r="X43" s="605"/>
      <c r="Y43" s="605"/>
      <c r="Z43" s="769"/>
      <c r="AB43" s="57"/>
      <c r="AC43" s="57"/>
      <c r="AD43" s="57"/>
      <c r="AE43" s="57"/>
      <c r="AF43" s="57"/>
      <c r="AG43" s="57"/>
      <c r="AH43" s="57"/>
      <c r="AI43" s="57"/>
      <c r="AJ43" s="57"/>
      <c r="AK43" s="57"/>
      <c r="AL43" s="137"/>
      <c r="AO43" s="57"/>
      <c r="AP43" s="57"/>
      <c r="AQ43" s="57"/>
      <c r="AR43" s="57"/>
      <c r="AS43" s="57"/>
      <c r="AT43" s="57"/>
      <c r="AU43" s="57"/>
      <c r="AV43" s="57"/>
      <c r="AW43" s="57"/>
      <c r="AX43" s="57"/>
      <c r="AY43" s="137"/>
    </row>
    <row r="44" spans="1:51" x14ac:dyDescent="0.25">
      <c r="A44" s="620" t="s">
        <v>372</v>
      </c>
      <c r="B44" s="770" t="s">
        <v>575</v>
      </c>
      <c r="C44" s="771"/>
      <c r="D44" s="771">
        <v>13</v>
      </c>
      <c r="E44" s="771" t="s">
        <v>11</v>
      </c>
      <c r="F44" s="771">
        <v>11</v>
      </c>
      <c r="G44" s="772">
        <v>1746</v>
      </c>
      <c r="H44" s="772">
        <v>2496</v>
      </c>
      <c r="I44" s="772">
        <v>3120</v>
      </c>
      <c r="J44" s="773">
        <v>2650</v>
      </c>
      <c r="K44" s="552"/>
      <c r="L44" s="552"/>
      <c r="M44" s="594">
        <v>1</v>
      </c>
      <c r="N44" s="151">
        <f>ROUND(J44*(1+kopsavilkums!$O$8),2)</f>
        <v>2930.9</v>
      </c>
      <c r="O44" s="61">
        <f t="shared" si="26"/>
        <v>0</v>
      </c>
      <c r="P44" s="61">
        <f>ROUND(L44*(1+kopsavilkums!$O$8),2)</f>
        <v>0</v>
      </c>
      <c r="Q44" s="61">
        <f t="shared" si="22"/>
        <v>280.90000000000009</v>
      </c>
      <c r="R44" s="61">
        <f t="shared" si="27"/>
        <v>280.90000000000009</v>
      </c>
      <c r="S44" s="61">
        <f t="shared" si="28"/>
        <v>3370.8000000000011</v>
      </c>
      <c r="T44" s="61">
        <f>ROUND(S44*kopsavilkums!$O$23,2)</f>
        <v>795.17</v>
      </c>
      <c r="U44" s="152">
        <f t="shared" si="29"/>
        <v>4165.9700000000012</v>
      </c>
      <c r="V44" s="73"/>
      <c r="W44" s="604"/>
      <c r="X44" s="605"/>
      <c r="Y44" s="605"/>
      <c r="Z44" s="769"/>
      <c r="AB44" s="57"/>
      <c r="AC44" s="57"/>
      <c r="AD44" s="57"/>
      <c r="AE44" s="57"/>
      <c r="AF44" s="57"/>
      <c r="AG44" s="57"/>
      <c r="AH44" s="57"/>
      <c r="AI44" s="57"/>
      <c r="AJ44" s="57"/>
      <c r="AK44" s="57"/>
      <c r="AL44" s="137"/>
      <c r="AO44" s="57"/>
      <c r="AP44" s="57"/>
      <c r="AQ44" s="57"/>
      <c r="AR44" s="57"/>
      <c r="AS44" s="57"/>
      <c r="AT44" s="57"/>
      <c r="AU44" s="57"/>
      <c r="AV44" s="57"/>
      <c r="AW44" s="57"/>
      <c r="AX44" s="57"/>
      <c r="AY44" s="137"/>
    </row>
    <row r="45" spans="1:51" x14ac:dyDescent="0.25">
      <c r="A45" s="620" t="s">
        <v>372</v>
      </c>
      <c r="B45" s="770" t="s">
        <v>575</v>
      </c>
      <c r="C45" s="771"/>
      <c r="D45" s="771">
        <v>13</v>
      </c>
      <c r="E45" s="771" t="s">
        <v>11</v>
      </c>
      <c r="F45" s="771">
        <v>11</v>
      </c>
      <c r="G45" s="772">
        <v>1746</v>
      </c>
      <c r="H45" s="772">
        <v>2496</v>
      </c>
      <c r="I45" s="772">
        <v>3120</v>
      </c>
      <c r="J45" s="773">
        <v>2650</v>
      </c>
      <c r="K45" s="552"/>
      <c r="L45" s="552"/>
      <c r="M45" s="594">
        <v>1</v>
      </c>
      <c r="N45" s="151">
        <f>ROUND(J45*(1+kopsavilkums!$O$8),2)</f>
        <v>2930.9</v>
      </c>
      <c r="O45" s="61">
        <f t="shared" si="26"/>
        <v>0</v>
      </c>
      <c r="P45" s="61">
        <f>ROUND(L45*(1+kopsavilkums!$O$8),2)</f>
        <v>0</v>
      </c>
      <c r="Q45" s="61">
        <f t="shared" si="22"/>
        <v>280.90000000000009</v>
      </c>
      <c r="R45" s="61">
        <f t="shared" si="27"/>
        <v>280.90000000000009</v>
      </c>
      <c r="S45" s="61">
        <f t="shared" si="28"/>
        <v>3370.8000000000011</v>
      </c>
      <c r="T45" s="61">
        <f>ROUND(S45*kopsavilkums!$O$23,2)</f>
        <v>795.17</v>
      </c>
      <c r="U45" s="152">
        <f t="shared" si="29"/>
        <v>4165.9700000000012</v>
      </c>
      <c r="V45" s="73"/>
      <c r="W45" s="604"/>
      <c r="X45" s="605"/>
      <c r="Y45" s="605"/>
      <c r="Z45" s="769"/>
      <c r="AB45" s="57"/>
      <c r="AC45" s="57"/>
      <c r="AD45" s="57"/>
      <c r="AE45" s="57"/>
      <c r="AF45" s="57"/>
      <c r="AG45" s="57"/>
      <c r="AH45" s="57"/>
      <c r="AI45" s="57"/>
      <c r="AJ45" s="57"/>
      <c r="AK45" s="57"/>
      <c r="AL45" s="137"/>
      <c r="AO45" s="57"/>
      <c r="AP45" s="57"/>
      <c r="AQ45" s="57"/>
      <c r="AR45" s="57"/>
      <c r="AS45" s="57"/>
      <c r="AT45" s="57"/>
      <c r="AU45" s="57"/>
      <c r="AV45" s="57"/>
      <c r="AW45" s="57"/>
      <c r="AX45" s="57"/>
      <c r="AY45" s="137"/>
    </row>
    <row r="46" spans="1:51" x14ac:dyDescent="0.25">
      <c r="A46" s="620" t="s">
        <v>372</v>
      </c>
      <c r="B46" s="770" t="s">
        <v>575</v>
      </c>
      <c r="C46" s="771"/>
      <c r="D46" s="771">
        <v>13</v>
      </c>
      <c r="E46" s="771" t="s">
        <v>11</v>
      </c>
      <c r="F46" s="771">
        <v>11</v>
      </c>
      <c r="G46" s="772">
        <v>1746</v>
      </c>
      <c r="H46" s="772">
        <v>2496</v>
      </c>
      <c r="I46" s="772">
        <v>3120</v>
      </c>
      <c r="J46" s="773">
        <v>2650</v>
      </c>
      <c r="K46" s="552"/>
      <c r="L46" s="552"/>
      <c r="M46" s="594">
        <v>1</v>
      </c>
      <c r="N46" s="151">
        <f>ROUND(J46*(1+kopsavilkums!$O$8),2)</f>
        <v>2930.9</v>
      </c>
      <c r="O46" s="61">
        <f t="shared" si="26"/>
        <v>0</v>
      </c>
      <c r="P46" s="61">
        <f>ROUND(L46*(1+kopsavilkums!$O$8),2)</f>
        <v>0</v>
      </c>
      <c r="Q46" s="61">
        <f t="shared" si="22"/>
        <v>280.90000000000009</v>
      </c>
      <c r="R46" s="61">
        <f t="shared" si="27"/>
        <v>280.90000000000009</v>
      </c>
      <c r="S46" s="61">
        <f t="shared" si="28"/>
        <v>3370.8000000000011</v>
      </c>
      <c r="T46" s="61">
        <f>ROUND(S46*kopsavilkums!$O$23,2)</f>
        <v>795.17</v>
      </c>
      <c r="U46" s="152">
        <f t="shared" si="29"/>
        <v>4165.9700000000012</v>
      </c>
      <c r="V46" s="73"/>
      <c r="W46" s="604"/>
      <c r="X46" s="605"/>
      <c r="Y46" s="605"/>
      <c r="Z46" s="769"/>
      <c r="AB46" s="57"/>
      <c r="AC46" s="57"/>
      <c r="AD46" s="57"/>
      <c r="AE46" s="57"/>
      <c r="AF46" s="57"/>
      <c r="AG46" s="57"/>
      <c r="AH46" s="57"/>
      <c r="AI46" s="57"/>
      <c r="AJ46" s="57"/>
      <c r="AK46" s="57"/>
      <c r="AL46" s="137"/>
      <c r="AO46" s="57"/>
      <c r="AP46" s="57"/>
      <c r="AQ46" s="57"/>
      <c r="AR46" s="57"/>
      <c r="AS46" s="57"/>
      <c r="AT46" s="57"/>
      <c r="AU46" s="57"/>
      <c r="AV46" s="57"/>
      <c r="AW46" s="57"/>
      <c r="AX46" s="57"/>
      <c r="AY46" s="137"/>
    </row>
    <row r="47" spans="1:51" x14ac:dyDescent="0.25">
      <c r="A47" s="620" t="s">
        <v>372</v>
      </c>
      <c r="B47" s="770" t="s">
        <v>575</v>
      </c>
      <c r="C47" s="771"/>
      <c r="D47" s="771">
        <v>13</v>
      </c>
      <c r="E47" s="771" t="s">
        <v>11</v>
      </c>
      <c r="F47" s="771">
        <v>11</v>
      </c>
      <c r="G47" s="772">
        <v>1746</v>
      </c>
      <c r="H47" s="772">
        <v>2496</v>
      </c>
      <c r="I47" s="772">
        <v>3120</v>
      </c>
      <c r="J47" s="773">
        <v>2650</v>
      </c>
      <c r="K47" s="552"/>
      <c r="L47" s="552"/>
      <c r="M47" s="594">
        <v>1</v>
      </c>
      <c r="N47" s="151">
        <f>ROUND(J47*(1+kopsavilkums!$O$8),2)</f>
        <v>2930.9</v>
      </c>
      <c r="O47" s="61">
        <f t="shared" si="26"/>
        <v>0</v>
      </c>
      <c r="P47" s="61">
        <f>ROUND(L47*(1+kopsavilkums!$O$8),2)</f>
        <v>0</v>
      </c>
      <c r="Q47" s="61">
        <f t="shared" si="22"/>
        <v>280.90000000000009</v>
      </c>
      <c r="R47" s="61">
        <f t="shared" si="27"/>
        <v>280.90000000000009</v>
      </c>
      <c r="S47" s="61">
        <f t="shared" si="28"/>
        <v>3370.8000000000011</v>
      </c>
      <c r="T47" s="61">
        <f>ROUND(S47*kopsavilkums!$O$23,2)</f>
        <v>795.17</v>
      </c>
      <c r="U47" s="152">
        <f t="shared" si="29"/>
        <v>4165.9700000000012</v>
      </c>
      <c r="V47" s="73"/>
      <c r="W47" s="604"/>
      <c r="X47" s="605"/>
      <c r="Y47" s="605"/>
      <c r="Z47" s="769"/>
      <c r="AB47" s="57"/>
      <c r="AC47" s="57"/>
      <c r="AD47" s="57"/>
      <c r="AE47" s="57"/>
      <c r="AF47" s="57"/>
      <c r="AG47" s="57"/>
      <c r="AH47" s="57"/>
      <c r="AI47" s="57"/>
      <c r="AJ47" s="57"/>
      <c r="AK47" s="57"/>
      <c r="AL47" s="137"/>
      <c r="AO47" s="57"/>
      <c r="AP47" s="57"/>
      <c r="AQ47" s="57"/>
      <c r="AR47" s="57"/>
      <c r="AS47" s="57"/>
      <c r="AT47" s="57"/>
      <c r="AU47" s="57"/>
      <c r="AV47" s="57"/>
      <c r="AW47" s="57"/>
      <c r="AX47" s="57"/>
      <c r="AY47" s="137"/>
    </row>
    <row r="48" spans="1:51" x14ac:dyDescent="0.25">
      <c r="A48" s="620" t="s">
        <v>372</v>
      </c>
      <c r="B48" s="770" t="s">
        <v>575</v>
      </c>
      <c r="C48" s="771"/>
      <c r="D48" s="771">
        <v>13</v>
      </c>
      <c r="E48" s="771" t="s">
        <v>11</v>
      </c>
      <c r="F48" s="771">
        <v>11</v>
      </c>
      <c r="G48" s="772">
        <v>1746</v>
      </c>
      <c r="H48" s="772">
        <v>2496</v>
      </c>
      <c r="I48" s="772">
        <v>3120</v>
      </c>
      <c r="J48" s="773">
        <v>2650</v>
      </c>
      <c r="K48" s="552"/>
      <c r="L48" s="552"/>
      <c r="M48" s="594">
        <v>1</v>
      </c>
      <c r="N48" s="151">
        <f>ROUND(J48*(1+kopsavilkums!$O$8),2)</f>
        <v>2930.9</v>
      </c>
      <c r="O48" s="61">
        <f t="shared" si="26"/>
        <v>0</v>
      </c>
      <c r="P48" s="61">
        <f>ROUND(L48*(1+kopsavilkums!$O$8),2)</f>
        <v>0</v>
      </c>
      <c r="Q48" s="61">
        <f t="shared" si="22"/>
        <v>280.90000000000009</v>
      </c>
      <c r="R48" s="61">
        <f t="shared" si="27"/>
        <v>280.90000000000009</v>
      </c>
      <c r="S48" s="61">
        <f t="shared" si="28"/>
        <v>3370.8000000000011</v>
      </c>
      <c r="T48" s="61">
        <f>ROUND(S48*kopsavilkums!$O$23,2)</f>
        <v>795.17</v>
      </c>
      <c r="U48" s="152">
        <f t="shared" si="29"/>
        <v>4165.9700000000012</v>
      </c>
      <c r="V48" s="73"/>
      <c r="W48" s="604"/>
      <c r="X48" s="605"/>
      <c r="Y48" s="605"/>
      <c r="Z48" s="769"/>
      <c r="AB48" s="57"/>
      <c r="AC48" s="57"/>
      <c r="AD48" s="57"/>
      <c r="AE48" s="57"/>
      <c r="AF48" s="57"/>
      <c r="AG48" s="57"/>
      <c r="AH48" s="57"/>
      <c r="AI48" s="57"/>
      <c r="AJ48" s="57"/>
      <c r="AK48" s="57"/>
      <c r="AL48" s="137"/>
      <c r="AO48" s="57"/>
      <c r="AP48" s="57"/>
      <c r="AQ48" s="57"/>
      <c r="AR48" s="57"/>
      <c r="AS48" s="57"/>
      <c r="AT48" s="57"/>
      <c r="AU48" s="57"/>
      <c r="AV48" s="57"/>
      <c r="AW48" s="57"/>
      <c r="AX48" s="57"/>
      <c r="AY48" s="137"/>
    </row>
    <row r="49" spans="1:51" x14ac:dyDescent="0.25">
      <c r="A49" s="620" t="s">
        <v>372</v>
      </c>
      <c r="B49" s="770" t="s">
        <v>575</v>
      </c>
      <c r="C49" s="771"/>
      <c r="D49" s="771">
        <v>13</v>
      </c>
      <c r="E49" s="771" t="s">
        <v>11</v>
      </c>
      <c r="F49" s="771">
        <v>11</v>
      </c>
      <c r="G49" s="772">
        <v>1746</v>
      </c>
      <c r="H49" s="772">
        <v>2496</v>
      </c>
      <c r="I49" s="772">
        <v>3120</v>
      </c>
      <c r="J49" s="773">
        <v>2650</v>
      </c>
      <c r="K49" s="552"/>
      <c r="L49" s="552"/>
      <c r="M49" s="594">
        <v>1</v>
      </c>
      <c r="N49" s="151">
        <f>ROUND(J49*(1+kopsavilkums!$O$8),2)</f>
        <v>2930.9</v>
      </c>
      <c r="O49" s="61">
        <f t="shared" si="26"/>
        <v>0</v>
      </c>
      <c r="P49" s="61">
        <f>ROUND(L49*(1+kopsavilkums!$O$8),2)</f>
        <v>0</v>
      </c>
      <c r="Q49" s="61">
        <f t="shared" si="22"/>
        <v>280.90000000000009</v>
      </c>
      <c r="R49" s="61">
        <f t="shared" si="27"/>
        <v>280.90000000000009</v>
      </c>
      <c r="S49" s="61">
        <f t="shared" si="28"/>
        <v>3370.8000000000011</v>
      </c>
      <c r="T49" s="61">
        <f>ROUND(S49*kopsavilkums!$O$23,2)</f>
        <v>795.17</v>
      </c>
      <c r="U49" s="152">
        <f t="shared" si="29"/>
        <v>4165.9700000000012</v>
      </c>
      <c r="V49" s="73"/>
      <c r="W49" s="604"/>
      <c r="X49" s="605"/>
      <c r="Y49" s="605"/>
      <c r="Z49" s="769"/>
      <c r="AB49" s="57"/>
      <c r="AC49" s="57"/>
      <c r="AD49" s="57"/>
      <c r="AE49" s="57"/>
      <c r="AF49" s="57"/>
      <c r="AG49" s="57"/>
      <c r="AH49" s="57"/>
      <c r="AI49" s="57"/>
      <c r="AJ49" s="57"/>
      <c r="AK49" s="57"/>
      <c r="AL49" s="137"/>
      <c r="AO49" s="57"/>
      <c r="AP49" s="57"/>
      <c r="AQ49" s="57"/>
      <c r="AR49" s="57"/>
      <c r="AS49" s="57"/>
      <c r="AT49" s="57"/>
      <c r="AU49" s="57"/>
      <c r="AV49" s="57"/>
      <c r="AW49" s="57"/>
      <c r="AX49" s="57"/>
      <c r="AY49" s="137"/>
    </row>
    <row r="50" spans="1:51" x14ac:dyDescent="0.25">
      <c r="A50" s="620" t="s">
        <v>36</v>
      </c>
      <c r="B50" s="770" t="s">
        <v>580</v>
      </c>
      <c r="C50" s="771"/>
      <c r="D50" s="771">
        <v>13</v>
      </c>
      <c r="E50" s="771" t="s">
        <v>13</v>
      </c>
      <c r="F50" s="771">
        <v>9</v>
      </c>
      <c r="G50" s="772">
        <v>1157</v>
      </c>
      <c r="H50" s="772">
        <v>1653</v>
      </c>
      <c r="I50" s="772">
        <v>2067</v>
      </c>
      <c r="J50" s="773">
        <v>1900</v>
      </c>
      <c r="K50" s="552"/>
      <c r="L50" s="552"/>
      <c r="M50" s="594">
        <v>1</v>
      </c>
      <c r="N50" s="151">
        <f>ROUND(J50*(1+kopsavilkums!$O$8),2)</f>
        <v>2101.4</v>
      </c>
      <c r="O50" s="61">
        <f t="shared" si="26"/>
        <v>0</v>
      </c>
      <c r="P50" s="61">
        <f>ROUND(L50*(1+kopsavilkums!$O$8),2)</f>
        <v>0</v>
      </c>
      <c r="Q50" s="61">
        <f t="shared" si="22"/>
        <v>201.40000000000009</v>
      </c>
      <c r="R50" s="61">
        <f t="shared" si="27"/>
        <v>201.40000000000009</v>
      </c>
      <c r="S50" s="61">
        <f t="shared" si="28"/>
        <v>2416.8000000000011</v>
      </c>
      <c r="T50" s="61">
        <f>ROUND(S50*kopsavilkums!$O$23,2)</f>
        <v>570.12</v>
      </c>
      <c r="U50" s="152">
        <f t="shared" si="29"/>
        <v>2986.920000000001</v>
      </c>
      <c r="V50" s="73"/>
      <c r="W50" s="604"/>
      <c r="X50" s="605"/>
      <c r="Y50" s="605"/>
      <c r="Z50" s="769"/>
      <c r="AB50" s="57"/>
      <c r="AC50" s="57"/>
      <c r="AD50" s="57"/>
      <c r="AE50" s="57"/>
      <c r="AF50" s="57"/>
      <c r="AG50" s="57"/>
      <c r="AH50" s="57"/>
      <c r="AI50" s="57"/>
      <c r="AJ50" s="57"/>
      <c r="AK50" s="57"/>
      <c r="AL50" s="137"/>
      <c r="AO50" s="57"/>
      <c r="AP50" s="57"/>
      <c r="AQ50" s="57"/>
      <c r="AR50" s="57"/>
      <c r="AS50" s="57"/>
      <c r="AT50" s="57"/>
      <c r="AU50" s="57"/>
      <c r="AV50" s="57"/>
      <c r="AW50" s="57"/>
      <c r="AX50" s="57"/>
      <c r="AY50" s="137"/>
    </row>
    <row r="51" spans="1:51" x14ac:dyDescent="0.25">
      <c r="A51" s="620" t="s">
        <v>36</v>
      </c>
      <c r="B51" s="770" t="s">
        <v>580</v>
      </c>
      <c r="C51" s="771"/>
      <c r="D51" s="771">
        <v>13</v>
      </c>
      <c r="E51" s="771" t="s">
        <v>13</v>
      </c>
      <c r="F51" s="771">
        <v>9</v>
      </c>
      <c r="G51" s="772">
        <v>1157</v>
      </c>
      <c r="H51" s="772">
        <v>1653</v>
      </c>
      <c r="I51" s="772">
        <v>2067</v>
      </c>
      <c r="J51" s="773">
        <v>1900</v>
      </c>
      <c r="K51" s="552"/>
      <c r="L51" s="552"/>
      <c r="M51" s="594">
        <v>1</v>
      </c>
      <c r="N51" s="151">
        <f>ROUND(J51*(1+kopsavilkums!$O$8),2)</f>
        <v>2101.4</v>
      </c>
      <c r="O51" s="61">
        <f t="shared" si="26"/>
        <v>0</v>
      </c>
      <c r="P51" s="61">
        <f>ROUND(L51*(1+kopsavilkums!$O$8),2)</f>
        <v>0</v>
      </c>
      <c r="Q51" s="61">
        <f t="shared" si="22"/>
        <v>201.40000000000009</v>
      </c>
      <c r="R51" s="61">
        <f t="shared" si="27"/>
        <v>201.40000000000009</v>
      </c>
      <c r="S51" s="61">
        <f t="shared" si="28"/>
        <v>2416.8000000000011</v>
      </c>
      <c r="T51" s="61">
        <f>ROUND(S51*kopsavilkums!$O$23,2)</f>
        <v>570.12</v>
      </c>
      <c r="U51" s="152">
        <f t="shared" si="29"/>
        <v>2986.920000000001</v>
      </c>
      <c r="V51" s="73"/>
      <c r="W51" s="604"/>
      <c r="X51" s="605"/>
      <c r="Y51" s="605"/>
      <c r="Z51" s="769"/>
      <c r="AB51" s="57"/>
      <c r="AC51" s="57"/>
      <c r="AD51" s="57"/>
      <c r="AE51" s="57"/>
      <c r="AF51" s="57"/>
      <c r="AG51" s="57"/>
      <c r="AH51" s="57"/>
      <c r="AI51" s="57"/>
      <c r="AJ51" s="57"/>
      <c r="AK51" s="57"/>
      <c r="AL51" s="137"/>
      <c r="AO51" s="57"/>
      <c r="AP51" s="57"/>
      <c r="AQ51" s="57"/>
      <c r="AR51" s="57"/>
      <c r="AS51" s="57"/>
      <c r="AT51" s="57"/>
      <c r="AU51" s="57"/>
      <c r="AV51" s="57"/>
      <c r="AW51" s="57"/>
      <c r="AX51" s="57"/>
      <c r="AY51" s="137"/>
    </row>
    <row r="52" spans="1:51" x14ac:dyDescent="0.25">
      <c r="A52" s="620" t="s">
        <v>36</v>
      </c>
      <c r="B52" s="770" t="s">
        <v>580</v>
      </c>
      <c r="C52" s="771"/>
      <c r="D52" s="771">
        <v>13</v>
      </c>
      <c r="E52" s="771" t="s">
        <v>13</v>
      </c>
      <c r="F52" s="771">
        <v>9</v>
      </c>
      <c r="G52" s="772">
        <v>1157</v>
      </c>
      <c r="H52" s="772">
        <v>1653</v>
      </c>
      <c r="I52" s="772">
        <v>2067</v>
      </c>
      <c r="J52" s="773">
        <v>1900</v>
      </c>
      <c r="K52" s="552"/>
      <c r="L52" s="552"/>
      <c r="M52" s="594">
        <v>1</v>
      </c>
      <c r="N52" s="151">
        <f>ROUND(J52*(1+kopsavilkums!$O$8),2)</f>
        <v>2101.4</v>
      </c>
      <c r="O52" s="61">
        <f t="shared" si="26"/>
        <v>0</v>
      </c>
      <c r="P52" s="61">
        <f>ROUND(L52*(1+kopsavilkums!$O$8),2)</f>
        <v>0</v>
      </c>
      <c r="Q52" s="61">
        <f t="shared" si="22"/>
        <v>201.40000000000009</v>
      </c>
      <c r="R52" s="61">
        <f t="shared" si="27"/>
        <v>201.40000000000009</v>
      </c>
      <c r="S52" s="61">
        <f t="shared" si="28"/>
        <v>2416.8000000000011</v>
      </c>
      <c r="T52" s="61">
        <f>ROUND(S52*kopsavilkums!$O$23,2)</f>
        <v>570.12</v>
      </c>
      <c r="U52" s="152">
        <f t="shared" si="29"/>
        <v>2986.920000000001</v>
      </c>
      <c r="V52" s="73"/>
      <c r="W52" s="604"/>
      <c r="X52" s="605"/>
      <c r="Y52" s="605"/>
      <c r="Z52" s="769"/>
      <c r="AB52" s="57"/>
      <c r="AC52" s="57"/>
      <c r="AD52" s="57"/>
      <c r="AE52" s="57"/>
      <c r="AF52" s="57"/>
      <c r="AG52" s="57"/>
      <c r="AH52" s="57"/>
      <c r="AI52" s="57"/>
      <c r="AJ52" s="57"/>
      <c r="AK52" s="57"/>
      <c r="AL52" s="137"/>
      <c r="AO52" s="57"/>
      <c r="AP52" s="57"/>
      <c r="AQ52" s="57"/>
      <c r="AR52" s="57"/>
      <c r="AS52" s="57"/>
      <c r="AT52" s="57"/>
      <c r="AU52" s="57"/>
      <c r="AV52" s="57"/>
      <c r="AW52" s="57"/>
      <c r="AX52" s="57"/>
      <c r="AY52" s="137"/>
    </row>
    <row r="53" spans="1:51" x14ac:dyDescent="0.25">
      <c r="A53" s="620" t="s">
        <v>36</v>
      </c>
      <c r="B53" s="770" t="s">
        <v>580</v>
      </c>
      <c r="C53" s="771"/>
      <c r="D53" s="771">
        <v>13</v>
      </c>
      <c r="E53" s="771" t="s">
        <v>13</v>
      </c>
      <c r="F53" s="771">
        <v>9</v>
      </c>
      <c r="G53" s="772">
        <v>1157</v>
      </c>
      <c r="H53" s="772">
        <v>1653</v>
      </c>
      <c r="I53" s="772">
        <v>2067</v>
      </c>
      <c r="J53" s="773">
        <v>1900</v>
      </c>
      <c r="K53" s="552"/>
      <c r="L53" s="552"/>
      <c r="M53" s="594">
        <v>1</v>
      </c>
      <c r="N53" s="151">
        <f>ROUND(J53*(1+kopsavilkums!$O$8),2)</f>
        <v>2101.4</v>
      </c>
      <c r="O53" s="61">
        <f t="shared" si="26"/>
        <v>0</v>
      </c>
      <c r="P53" s="61">
        <f>ROUND(L53*(1+kopsavilkums!$O$8),2)</f>
        <v>0</v>
      </c>
      <c r="Q53" s="61">
        <f t="shared" si="22"/>
        <v>201.40000000000009</v>
      </c>
      <c r="R53" s="61">
        <f t="shared" si="27"/>
        <v>201.40000000000009</v>
      </c>
      <c r="S53" s="61">
        <f t="shared" si="28"/>
        <v>2416.8000000000011</v>
      </c>
      <c r="T53" s="61">
        <f>ROUND(S53*kopsavilkums!$O$23,2)</f>
        <v>570.12</v>
      </c>
      <c r="U53" s="152">
        <f t="shared" si="29"/>
        <v>2986.920000000001</v>
      </c>
      <c r="V53" s="73"/>
      <c r="W53" s="604"/>
      <c r="X53" s="605"/>
      <c r="Y53" s="605"/>
      <c r="Z53" s="769"/>
      <c r="AB53" s="57"/>
      <c r="AC53" s="57"/>
      <c r="AD53" s="57"/>
      <c r="AE53" s="57"/>
      <c r="AF53" s="57"/>
      <c r="AG53" s="57"/>
      <c r="AH53" s="57"/>
      <c r="AI53" s="57"/>
      <c r="AJ53" s="57"/>
      <c r="AK53" s="57"/>
      <c r="AL53" s="137"/>
      <c r="AO53" s="57"/>
      <c r="AP53" s="57"/>
      <c r="AQ53" s="57"/>
      <c r="AR53" s="57"/>
      <c r="AS53" s="57"/>
      <c r="AT53" s="57"/>
      <c r="AU53" s="57"/>
      <c r="AV53" s="57"/>
      <c r="AW53" s="57"/>
      <c r="AX53" s="57"/>
      <c r="AY53" s="137"/>
    </row>
    <row r="54" spans="1:51" x14ac:dyDescent="0.25">
      <c r="A54" s="620" t="s">
        <v>36</v>
      </c>
      <c r="B54" s="770" t="s">
        <v>580</v>
      </c>
      <c r="C54" s="771"/>
      <c r="D54" s="771">
        <v>13</v>
      </c>
      <c r="E54" s="771" t="s">
        <v>13</v>
      </c>
      <c r="F54" s="771">
        <v>9</v>
      </c>
      <c r="G54" s="772">
        <v>1157</v>
      </c>
      <c r="H54" s="772">
        <v>1653</v>
      </c>
      <c r="I54" s="772">
        <v>2067</v>
      </c>
      <c r="J54" s="773">
        <v>1900</v>
      </c>
      <c r="K54" s="552"/>
      <c r="L54" s="552"/>
      <c r="M54" s="594">
        <v>1</v>
      </c>
      <c r="N54" s="151">
        <f>ROUND(J54*(1+kopsavilkums!$O$8),2)</f>
        <v>2101.4</v>
      </c>
      <c r="O54" s="61">
        <f t="shared" si="26"/>
        <v>0</v>
      </c>
      <c r="P54" s="61">
        <f>ROUND(L54*(1+kopsavilkums!$O$8),2)</f>
        <v>0</v>
      </c>
      <c r="Q54" s="61">
        <f t="shared" si="22"/>
        <v>201.40000000000009</v>
      </c>
      <c r="R54" s="61">
        <f t="shared" si="27"/>
        <v>201.40000000000009</v>
      </c>
      <c r="S54" s="61">
        <f t="shared" si="28"/>
        <v>2416.8000000000011</v>
      </c>
      <c r="T54" s="61">
        <f>ROUND(S54*kopsavilkums!$O$23,2)</f>
        <v>570.12</v>
      </c>
      <c r="U54" s="152">
        <f t="shared" si="29"/>
        <v>2986.920000000001</v>
      </c>
      <c r="V54" s="73"/>
      <c r="W54" s="604"/>
      <c r="X54" s="605"/>
      <c r="Y54" s="605"/>
      <c r="Z54" s="769"/>
      <c r="AB54" s="57"/>
      <c r="AC54" s="57"/>
      <c r="AD54" s="57"/>
      <c r="AE54" s="57"/>
      <c r="AF54" s="57"/>
      <c r="AG54" s="57"/>
      <c r="AH54" s="57"/>
      <c r="AI54" s="57"/>
      <c r="AJ54" s="57"/>
      <c r="AK54" s="57"/>
      <c r="AL54" s="137"/>
      <c r="AO54" s="57"/>
      <c r="AP54" s="57"/>
      <c r="AQ54" s="57"/>
      <c r="AR54" s="57"/>
      <c r="AS54" s="57"/>
      <c r="AT54" s="57"/>
      <c r="AU54" s="57"/>
      <c r="AV54" s="57"/>
      <c r="AW54" s="57"/>
      <c r="AX54" s="57"/>
      <c r="AY54" s="137"/>
    </row>
    <row r="55" spans="1:51" x14ac:dyDescent="0.25">
      <c r="A55" s="620" t="s">
        <v>36</v>
      </c>
      <c r="B55" s="770" t="s">
        <v>580</v>
      </c>
      <c r="C55" s="771"/>
      <c r="D55" s="771">
        <v>13</v>
      </c>
      <c r="E55" s="771" t="s">
        <v>13</v>
      </c>
      <c r="F55" s="771">
        <v>9</v>
      </c>
      <c r="G55" s="772">
        <v>1157</v>
      </c>
      <c r="H55" s="772">
        <v>1653</v>
      </c>
      <c r="I55" s="772">
        <v>2067</v>
      </c>
      <c r="J55" s="773">
        <v>1900</v>
      </c>
      <c r="K55" s="552"/>
      <c r="L55" s="552"/>
      <c r="M55" s="594">
        <v>1</v>
      </c>
      <c r="N55" s="151">
        <f>ROUND(J55*(1+kopsavilkums!$O$8),2)</f>
        <v>2101.4</v>
      </c>
      <c r="O55" s="61">
        <f t="shared" si="26"/>
        <v>0</v>
      </c>
      <c r="P55" s="61">
        <f>ROUND(L55*(1+kopsavilkums!$O$8),2)</f>
        <v>0</v>
      </c>
      <c r="Q55" s="61">
        <f t="shared" si="22"/>
        <v>201.40000000000009</v>
      </c>
      <c r="R55" s="61">
        <f t="shared" si="27"/>
        <v>201.40000000000009</v>
      </c>
      <c r="S55" s="61">
        <f t="shared" si="28"/>
        <v>2416.8000000000011</v>
      </c>
      <c r="T55" s="61">
        <f>ROUND(S55*kopsavilkums!$O$23,2)</f>
        <v>570.12</v>
      </c>
      <c r="U55" s="152">
        <f t="shared" si="29"/>
        <v>2986.920000000001</v>
      </c>
      <c r="V55" s="73"/>
      <c r="W55" s="604"/>
      <c r="X55" s="605"/>
      <c r="Y55" s="605"/>
      <c r="Z55" s="769"/>
      <c r="AB55" s="57"/>
      <c r="AC55" s="57"/>
      <c r="AD55" s="57"/>
      <c r="AE55" s="57"/>
      <c r="AF55" s="57"/>
      <c r="AG55" s="57"/>
      <c r="AH55" s="57"/>
      <c r="AI55" s="57"/>
      <c r="AJ55" s="57"/>
      <c r="AK55" s="57"/>
      <c r="AL55" s="137"/>
      <c r="AO55" s="57"/>
      <c r="AP55" s="57"/>
      <c r="AQ55" s="57"/>
      <c r="AR55" s="57"/>
      <c r="AS55" s="57"/>
      <c r="AT55" s="57"/>
      <c r="AU55" s="57"/>
      <c r="AV55" s="57"/>
      <c r="AW55" s="57"/>
      <c r="AX55" s="57"/>
      <c r="AY55" s="137"/>
    </row>
    <row r="56" spans="1:51" x14ac:dyDescent="0.25">
      <c r="A56" s="774" t="s">
        <v>36</v>
      </c>
      <c r="B56" s="770" t="s">
        <v>580</v>
      </c>
      <c r="C56" s="626"/>
      <c r="D56" s="626">
        <v>13</v>
      </c>
      <c r="E56" s="626" t="s">
        <v>13</v>
      </c>
      <c r="F56" s="626">
        <v>9</v>
      </c>
      <c r="G56" s="772">
        <v>1157</v>
      </c>
      <c r="H56" s="772">
        <v>1653</v>
      </c>
      <c r="I56" s="772">
        <v>2067</v>
      </c>
      <c r="J56" s="773">
        <v>1900</v>
      </c>
      <c r="K56" s="552"/>
      <c r="L56" s="552"/>
      <c r="M56" s="594">
        <v>1</v>
      </c>
      <c r="N56" s="151">
        <f>ROUND(J56*(1+kopsavilkums!$O$8),2)</f>
        <v>2101.4</v>
      </c>
      <c r="O56" s="61">
        <f t="shared" si="26"/>
        <v>0</v>
      </c>
      <c r="P56" s="61">
        <f>ROUND(L56*(1+kopsavilkums!$O$8),2)</f>
        <v>0</v>
      </c>
      <c r="Q56" s="61">
        <f t="shared" si="22"/>
        <v>201.40000000000009</v>
      </c>
      <c r="R56" s="61">
        <f t="shared" si="27"/>
        <v>201.40000000000009</v>
      </c>
      <c r="S56" s="61">
        <f t="shared" si="28"/>
        <v>2416.8000000000011</v>
      </c>
      <c r="T56" s="61">
        <f>ROUND(S56*kopsavilkums!$O$23,2)</f>
        <v>570.12</v>
      </c>
      <c r="U56" s="152">
        <f t="shared" si="29"/>
        <v>2986.920000000001</v>
      </c>
      <c r="V56" s="73"/>
      <c r="W56" s="604"/>
      <c r="X56" s="605"/>
      <c r="Y56" s="605"/>
      <c r="Z56" s="769"/>
      <c r="AB56" s="57"/>
      <c r="AC56" s="57"/>
      <c r="AD56" s="57"/>
      <c r="AE56" s="57"/>
      <c r="AF56" s="57"/>
      <c r="AG56" s="57"/>
      <c r="AH56" s="57"/>
      <c r="AI56" s="57"/>
      <c r="AJ56" s="57"/>
      <c r="AK56" s="57"/>
      <c r="AL56" s="137"/>
      <c r="AO56" s="57"/>
      <c r="AP56" s="57"/>
      <c r="AQ56" s="57"/>
      <c r="AR56" s="57"/>
      <c r="AS56" s="57"/>
      <c r="AT56" s="57"/>
      <c r="AU56" s="57"/>
      <c r="AV56" s="57"/>
      <c r="AW56" s="57"/>
      <c r="AX56" s="57"/>
      <c r="AY56" s="137"/>
    </row>
    <row r="57" spans="1:51" x14ac:dyDescent="0.25">
      <c r="A57" s="620" t="s">
        <v>38</v>
      </c>
      <c r="B57" s="770" t="s">
        <v>464</v>
      </c>
      <c r="C57" s="771"/>
      <c r="D57" s="771" t="s">
        <v>407</v>
      </c>
      <c r="E57" s="771" t="s">
        <v>255</v>
      </c>
      <c r="F57" s="771">
        <v>11</v>
      </c>
      <c r="G57" s="772">
        <v>1746</v>
      </c>
      <c r="H57" s="772">
        <v>2496</v>
      </c>
      <c r="I57" s="772">
        <v>3120</v>
      </c>
      <c r="J57" s="773">
        <v>2257</v>
      </c>
      <c r="K57" s="552"/>
      <c r="L57" s="552"/>
      <c r="M57" s="594">
        <v>1</v>
      </c>
      <c r="N57" s="151">
        <f>ROUND(J57*(1+kopsavilkums!$O$8),2)</f>
        <v>2496.2399999999998</v>
      </c>
      <c r="O57" s="61">
        <f t="shared" si="26"/>
        <v>0</v>
      </c>
      <c r="P57" s="61">
        <f>ROUND(L57*(1+kopsavilkums!$O$8),2)</f>
        <v>0</v>
      </c>
      <c r="Q57" s="61">
        <f t="shared" si="22"/>
        <v>239.23999999999978</v>
      </c>
      <c r="R57" s="61">
        <f t="shared" si="27"/>
        <v>239.23999999999978</v>
      </c>
      <c r="S57" s="61">
        <f t="shared" si="28"/>
        <v>2870.8799999999974</v>
      </c>
      <c r="T57" s="61">
        <f>ROUND(S57*kopsavilkums!$O$23,2)</f>
        <v>677.24</v>
      </c>
      <c r="U57" s="152">
        <f t="shared" si="29"/>
        <v>3548.1199999999972</v>
      </c>
      <c r="V57" s="73"/>
      <c r="W57" s="604"/>
      <c r="X57" s="605"/>
      <c r="Y57" s="605"/>
      <c r="Z57" s="769"/>
      <c r="AB57" s="57"/>
      <c r="AC57" s="57"/>
      <c r="AD57" s="57"/>
      <c r="AE57" s="57"/>
      <c r="AF57" s="57"/>
      <c r="AG57" s="57"/>
      <c r="AH57" s="57"/>
      <c r="AI57" s="57"/>
      <c r="AJ57" s="57"/>
      <c r="AK57" s="57"/>
      <c r="AL57" s="137"/>
      <c r="AO57" s="57"/>
      <c r="AP57" s="57"/>
      <c r="AQ57" s="57"/>
      <c r="AR57" s="57"/>
      <c r="AS57" s="57"/>
      <c r="AT57" s="57"/>
      <c r="AU57" s="57"/>
      <c r="AV57" s="57"/>
      <c r="AW57" s="57"/>
      <c r="AX57" s="57"/>
      <c r="AY57" s="137"/>
    </row>
    <row r="58" spans="1:51" x14ac:dyDescent="0.25">
      <c r="A58" s="620" t="s">
        <v>410</v>
      </c>
      <c r="B58" s="770" t="s">
        <v>581</v>
      </c>
      <c r="C58" s="771"/>
      <c r="D58" s="771" t="s">
        <v>407</v>
      </c>
      <c r="E58" s="771" t="s">
        <v>11</v>
      </c>
      <c r="F58" s="771">
        <v>9</v>
      </c>
      <c r="G58" s="772">
        <v>1157</v>
      </c>
      <c r="H58" s="772">
        <v>1653</v>
      </c>
      <c r="I58" s="772">
        <v>2067</v>
      </c>
      <c r="J58" s="773">
        <v>1577</v>
      </c>
      <c r="K58" s="552"/>
      <c r="L58" s="552"/>
      <c r="M58" s="594">
        <v>1</v>
      </c>
      <c r="N58" s="151">
        <f>ROUND(J58*(1+kopsavilkums!$O$8),2)</f>
        <v>1744.16</v>
      </c>
      <c r="O58" s="61">
        <f t="shared" si="26"/>
        <v>0</v>
      </c>
      <c r="P58" s="61">
        <f>ROUND(L58*(1+kopsavilkums!$O$8),2)</f>
        <v>0</v>
      </c>
      <c r="Q58" s="61">
        <f t="shared" si="22"/>
        <v>167.16000000000008</v>
      </c>
      <c r="R58" s="61">
        <f t="shared" si="27"/>
        <v>167.16000000000008</v>
      </c>
      <c r="S58" s="61">
        <f t="shared" si="28"/>
        <v>2005.920000000001</v>
      </c>
      <c r="T58" s="61">
        <f>ROUND(S58*kopsavilkums!$O$23,2)</f>
        <v>473.2</v>
      </c>
      <c r="U58" s="152">
        <f t="shared" si="29"/>
        <v>2479.1200000000008</v>
      </c>
      <c r="V58" s="73"/>
      <c r="W58" s="604"/>
      <c r="X58" s="605"/>
      <c r="Y58" s="605"/>
      <c r="Z58" s="769"/>
      <c r="AB58" s="57"/>
      <c r="AC58" s="57"/>
      <c r="AD58" s="57"/>
      <c r="AE58" s="57"/>
      <c r="AF58" s="57"/>
      <c r="AG58" s="57"/>
      <c r="AH58" s="57"/>
      <c r="AI58" s="57"/>
      <c r="AJ58" s="57"/>
      <c r="AK58" s="57"/>
      <c r="AL58" s="137"/>
      <c r="AO58" s="57"/>
      <c r="AP58" s="57"/>
      <c r="AQ58" s="57"/>
      <c r="AR58" s="57"/>
      <c r="AS58" s="57"/>
      <c r="AT58" s="57"/>
      <c r="AU58" s="57"/>
      <c r="AV58" s="57"/>
      <c r="AW58" s="57"/>
      <c r="AX58" s="57"/>
      <c r="AY58" s="137"/>
    </row>
    <row r="59" spans="1:51" x14ac:dyDescent="0.25">
      <c r="A59" s="620" t="s">
        <v>410</v>
      </c>
      <c r="B59" s="770" t="s">
        <v>581</v>
      </c>
      <c r="C59" s="771"/>
      <c r="D59" s="771" t="s">
        <v>407</v>
      </c>
      <c r="E59" s="771" t="s">
        <v>11</v>
      </c>
      <c r="F59" s="771">
        <v>9</v>
      </c>
      <c r="G59" s="772">
        <v>1157</v>
      </c>
      <c r="H59" s="772">
        <v>1653</v>
      </c>
      <c r="I59" s="772">
        <v>2067</v>
      </c>
      <c r="J59" s="773">
        <v>1577</v>
      </c>
      <c r="K59" s="552"/>
      <c r="L59" s="552"/>
      <c r="M59" s="594">
        <v>1</v>
      </c>
      <c r="N59" s="151">
        <f>ROUND(J59*(1+kopsavilkums!$O$8),2)</f>
        <v>1744.16</v>
      </c>
      <c r="O59" s="61">
        <f t="shared" si="26"/>
        <v>0</v>
      </c>
      <c r="P59" s="61">
        <f>ROUND(L59*(1+kopsavilkums!$O$8),2)</f>
        <v>0</v>
      </c>
      <c r="Q59" s="61">
        <f t="shared" si="22"/>
        <v>167.16000000000008</v>
      </c>
      <c r="R59" s="61">
        <f t="shared" si="27"/>
        <v>167.16000000000008</v>
      </c>
      <c r="S59" s="61">
        <f t="shared" si="28"/>
        <v>2005.920000000001</v>
      </c>
      <c r="T59" s="61">
        <f>ROUND(S59*kopsavilkums!$O$23,2)</f>
        <v>473.2</v>
      </c>
      <c r="U59" s="152">
        <f t="shared" si="29"/>
        <v>2479.1200000000008</v>
      </c>
      <c r="V59" s="73"/>
      <c r="W59" s="604"/>
      <c r="X59" s="605"/>
      <c r="Y59" s="605"/>
      <c r="Z59" s="769"/>
      <c r="AB59" s="57"/>
      <c r="AC59" s="57"/>
      <c r="AD59" s="57"/>
      <c r="AE59" s="57"/>
      <c r="AF59" s="57"/>
      <c r="AG59" s="57"/>
      <c r="AH59" s="57"/>
      <c r="AI59" s="57"/>
      <c r="AJ59" s="57"/>
      <c r="AK59" s="57"/>
      <c r="AL59" s="137"/>
      <c r="AO59" s="57"/>
      <c r="AP59" s="57"/>
      <c r="AQ59" s="57"/>
      <c r="AR59" s="57"/>
      <c r="AS59" s="57"/>
      <c r="AT59" s="57"/>
      <c r="AU59" s="57"/>
      <c r="AV59" s="57"/>
      <c r="AW59" s="57"/>
      <c r="AX59" s="57"/>
      <c r="AY59" s="137"/>
    </row>
    <row r="60" spans="1:51" x14ac:dyDescent="0.25">
      <c r="A60" s="620" t="s">
        <v>410</v>
      </c>
      <c r="B60" s="770" t="s">
        <v>581</v>
      </c>
      <c r="C60" s="771"/>
      <c r="D60" s="771" t="s">
        <v>407</v>
      </c>
      <c r="E60" s="771" t="s">
        <v>11</v>
      </c>
      <c r="F60" s="771">
        <v>9</v>
      </c>
      <c r="G60" s="772">
        <v>1157</v>
      </c>
      <c r="H60" s="772">
        <v>1653</v>
      </c>
      <c r="I60" s="772">
        <v>2067</v>
      </c>
      <c r="J60" s="773">
        <v>1577</v>
      </c>
      <c r="K60" s="552"/>
      <c r="L60" s="552"/>
      <c r="M60" s="594">
        <v>1</v>
      </c>
      <c r="N60" s="151">
        <f>ROUND(J60*(1+kopsavilkums!$O$8),2)</f>
        <v>1744.16</v>
      </c>
      <c r="O60" s="61">
        <f t="shared" si="26"/>
        <v>0</v>
      </c>
      <c r="P60" s="61">
        <f>ROUND(L60*(1+kopsavilkums!$O$8),2)</f>
        <v>0</v>
      </c>
      <c r="Q60" s="61">
        <f t="shared" si="22"/>
        <v>167.16000000000008</v>
      </c>
      <c r="R60" s="61">
        <f t="shared" si="27"/>
        <v>167.16000000000008</v>
      </c>
      <c r="S60" s="61">
        <f t="shared" si="28"/>
        <v>2005.920000000001</v>
      </c>
      <c r="T60" s="61">
        <f>ROUND(S60*kopsavilkums!$O$23,2)</f>
        <v>473.2</v>
      </c>
      <c r="U60" s="152">
        <f t="shared" si="29"/>
        <v>2479.1200000000008</v>
      </c>
      <c r="V60" s="73"/>
      <c r="W60" s="604"/>
      <c r="X60" s="605"/>
      <c r="Y60" s="605"/>
      <c r="Z60" s="769"/>
      <c r="AB60" s="57"/>
      <c r="AC60" s="57"/>
      <c r="AD60" s="57"/>
      <c r="AE60" s="57"/>
      <c r="AF60" s="57"/>
      <c r="AG60" s="57"/>
      <c r="AH60" s="57"/>
      <c r="AI60" s="57"/>
      <c r="AJ60" s="57"/>
      <c r="AK60" s="57"/>
      <c r="AL60" s="137"/>
      <c r="AO60" s="57"/>
      <c r="AP60" s="57"/>
      <c r="AQ60" s="57"/>
      <c r="AR60" s="57"/>
      <c r="AS60" s="57"/>
      <c r="AT60" s="57"/>
      <c r="AU60" s="57"/>
      <c r="AV60" s="57"/>
      <c r="AW60" s="57"/>
      <c r="AX60" s="57"/>
      <c r="AY60" s="137"/>
    </row>
    <row r="61" spans="1:51" x14ac:dyDescent="0.25">
      <c r="A61" s="620" t="s">
        <v>410</v>
      </c>
      <c r="B61" s="770" t="s">
        <v>581</v>
      </c>
      <c r="C61" s="771"/>
      <c r="D61" s="771" t="s">
        <v>407</v>
      </c>
      <c r="E61" s="771" t="s">
        <v>11</v>
      </c>
      <c r="F61" s="771">
        <v>9</v>
      </c>
      <c r="G61" s="772">
        <v>1157</v>
      </c>
      <c r="H61" s="772">
        <v>1653</v>
      </c>
      <c r="I61" s="772">
        <v>2067</v>
      </c>
      <c r="J61" s="773">
        <v>1577</v>
      </c>
      <c r="K61" s="552"/>
      <c r="L61" s="552"/>
      <c r="M61" s="594">
        <v>1</v>
      </c>
      <c r="N61" s="151">
        <f>ROUND(J61*(1+kopsavilkums!$O$8),2)</f>
        <v>1744.16</v>
      </c>
      <c r="O61" s="61">
        <f t="shared" si="26"/>
        <v>0</v>
      </c>
      <c r="P61" s="61">
        <f>ROUND(L61*(1+kopsavilkums!$O$8),2)</f>
        <v>0</v>
      </c>
      <c r="Q61" s="61">
        <f t="shared" si="22"/>
        <v>167.16000000000008</v>
      </c>
      <c r="R61" s="61">
        <f t="shared" si="27"/>
        <v>167.16000000000008</v>
      </c>
      <c r="S61" s="61">
        <f t="shared" si="28"/>
        <v>2005.920000000001</v>
      </c>
      <c r="T61" s="61">
        <f>ROUND(S61*kopsavilkums!$O$23,2)</f>
        <v>473.2</v>
      </c>
      <c r="U61" s="152">
        <f t="shared" si="29"/>
        <v>2479.1200000000008</v>
      </c>
      <c r="V61" s="73"/>
      <c r="W61" s="604"/>
      <c r="X61" s="605"/>
      <c r="Y61" s="605"/>
      <c r="Z61" s="769"/>
      <c r="AB61" s="57"/>
      <c r="AC61" s="57"/>
      <c r="AD61" s="57"/>
      <c r="AE61" s="57"/>
      <c r="AF61" s="57"/>
      <c r="AG61" s="57"/>
      <c r="AH61" s="57"/>
      <c r="AI61" s="57"/>
      <c r="AJ61" s="57"/>
      <c r="AK61" s="57"/>
      <c r="AL61" s="137"/>
      <c r="AO61" s="57"/>
      <c r="AP61" s="57"/>
      <c r="AQ61" s="57"/>
      <c r="AR61" s="57"/>
      <c r="AS61" s="57"/>
      <c r="AT61" s="57"/>
      <c r="AU61" s="57"/>
      <c r="AV61" s="57"/>
      <c r="AW61" s="57"/>
      <c r="AX61" s="57"/>
      <c r="AY61" s="137"/>
    </row>
    <row r="62" spans="1:51" x14ac:dyDescent="0.25">
      <c r="A62" s="620" t="s">
        <v>410</v>
      </c>
      <c r="B62" s="770" t="s">
        <v>581</v>
      </c>
      <c r="C62" s="771"/>
      <c r="D62" s="771" t="s">
        <v>407</v>
      </c>
      <c r="E62" s="771" t="s">
        <v>11</v>
      </c>
      <c r="F62" s="771">
        <v>9</v>
      </c>
      <c r="G62" s="772">
        <v>1157</v>
      </c>
      <c r="H62" s="772">
        <v>1653</v>
      </c>
      <c r="I62" s="772">
        <v>2067</v>
      </c>
      <c r="J62" s="773">
        <v>1577</v>
      </c>
      <c r="K62" s="552"/>
      <c r="L62" s="552"/>
      <c r="M62" s="594">
        <v>1</v>
      </c>
      <c r="N62" s="151">
        <f>ROUND(J62*(1+kopsavilkums!$O$8),2)</f>
        <v>1744.16</v>
      </c>
      <c r="O62" s="61">
        <f t="shared" si="26"/>
        <v>0</v>
      </c>
      <c r="P62" s="61">
        <f>ROUND(L62*(1+kopsavilkums!$O$8),2)</f>
        <v>0</v>
      </c>
      <c r="Q62" s="61">
        <f t="shared" si="22"/>
        <v>167.16000000000008</v>
      </c>
      <c r="R62" s="61">
        <f t="shared" si="27"/>
        <v>167.16000000000008</v>
      </c>
      <c r="S62" s="61">
        <f t="shared" si="28"/>
        <v>2005.920000000001</v>
      </c>
      <c r="T62" s="61">
        <f>ROUND(S62*kopsavilkums!$O$23,2)</f>
        <v>473.2</v>
      </c>
      <c r="U62" s="152">
        <f t="shared" si="29"/>
        <v>2479.1200000000008</v>
      </c>
      <c r="V62" s="73"/>
      <c r="W62" s="604"/>
      <c r="X62" s="605"/>
      <c r="Y62" s="605"/>
      <c r="Z62" s="769"/>
      <c r="AB62" s="57"/>
      <c r="AC62" s="57"/>
      <c r="AD62" s="57"/>
      <c r="AE62" s="57"/>
      <c r="AF62" s="57"/>
      <c r="AG62" s="57"/>
      <c r="AH62" s="57"/>
      <c r="AI62" s="57"/>
      <c r="AJ62" s="57"/>
      <c r="AK62" s="57"/>
      <c r="AL62" s="137"/>
      <c r="AO62" s="57"/>
      <c r="AP62" s="57"/>
      <c r="AQ62" s="57"/>
      <c r="AR62" s="57"/>
      <c r="AS62" s="57"/>
      <c r="AT62" s="57"/>
      <c r="AU62" s="57"/>
      <c r="AV62" s="57"/>
      <c r="AW62" s="57"/>
      <c r="AX62" s="57"/>
      <c r="AY62" s="137"/>
    </row>
    <row r="63" spans="1:51" x14ac:dyDescent="0.25">
      <c r="A63" s="775" t="s">
        <v>410</v>
      </c>
      <c r="B63" s="770" t="s">
        <v>581</v>
      </c>
      <c r="C63" s="771"/>
      <c r="D63" s="771" t="s">
        <v>407</v>
      </c>
      <c r="E63" s="771" t="s">
        <v>11</v>
      </c>
      <c r="F63" s="771">
        <v>9</v>
      </c>
      <c r="G63" s="772">
        <v>1157</v>
      </c>
      <c r="H63" s="772">
        <v>1653</v>
      </c>
      <c r="I63" s="772">
        <v>2067</v>
      </c>
      <c r="J63" s="773">
        <v>1577</v>
      </c>
      <c r="K63" s="552"/>
      <c r="L63" s="552"/>
      <c r="M63" s="594">
        <v>1</v>
      </c>
      <c r="N63" s="151">
        <f>ROUND(J63*(1+kopsavilkums!$O$8),2)</f>
        <v>1744.16</v>
      </c>
      <c r="O63" s="61">
        <f t="shared" si="26"/>
        <v>0</v>
      </c>
      <c r="P63" s="61">
        <f>ROUND(L63*(1+kopsavilkums!$O$8),2)</f>
        <v>0</v>
      </c>
      <c r="Q63" s="61">
        <f t="shared" si="22"/>
        <v>167.16000000000008</v>
      </c>
      <c r="R63" s="61">
        <f t="shared" si="27"/>
        <v>167.16000000000008</v>
      </c>
      <c r="S63" s="61">
        <f t="shared" si="28"/>
        <v>2005.920000000001</v>
      </c>
      <c r="T63" s="61">
        <f>ROUND(S63*kopsavilkums!$O$23,2)</f>
        <v>473.2</v>
      </c>
      <c r="U63" s="152">
        <f t="shared" si="29"/>
        <v>2479.1200000000008</v>
      </c>
      <c r="V63" s="73"/>
      <c r="W63" s="604"/>
      <c r="X63" s="605"/>
      <c r="Y63" s="605"/>
      <c r="Z63" s="769"/>
      <c r="AB63" s="57"/>
      <c r="AC63" s="57"/>
      <c r="AD63" s="57"/>
      <c r="AE63" s="57"/>
      <c r="AF63" s="57"/>
      <c r="AG63" s="57"/>
      <c r="AH63" s="57"/>
      <c r="AI63" s="57"/>
      <c r="AJ63" s="57"/>
      <c r="AK63" s="57"/>
      <c r="AL63" s="137"/>
      <c r="AO63" s="57"/>
      <c r="AP63" s="57"/>
      <c r="AQ63" s="57"/>
      <c r="AR63" s="57"/>
      <c r="AS63" s="57"/>
      <c r="AT63" s="57"/>
      <c r="AU63" s="57"/>
      <c r="AV63" s="57"/>
      <c r="AW63" s="57"/>
      <c r="AX63" s="57"/>
      <c r="AY63" s="137"/>
    </row>
    <row r="64" spans="1:51" x14ac:dyDescent="0.25">
      <c r="A64" s="775" t="s">
        <v>410</v>
      </c>
      <c r="B64" s="770" t="s">
        <v>581</v>
      </c>
      <c r="C64" s="771"/>
      <c r="D64" s="771" t="s">
        <v>407</v>
      </c>
      <c r="E64" s="771" t="s">
        <v>11</v>
      </c>
      <c r="F64" s="771">
        <v>9</v>
      </c>
      <c r="G64" s="772">
        <v>1157</v>
      </c>
      <c r="H64" s="772">
        <v>1653</v>
      </c>
      <c r="I64" s="772">
        <v>2067</v>
      </c>
      <c r="J64" s="773">
        <v>1577</v>
      </c>
      <c r="K64" s="552"/>
      <c r="L64" s="552"/>
      <c r="M64" s="594">
        <v>1</v>
      </c>
      <c r="N64" s="151">
        <f>ROUND(J64*(1+kopsavilkums!$O$8),2)</f>
        <v>1744.16</v>
      </c>
      <c r="O64" s="61">
        <f t="shared" si="26"/>
        <v>0</v>
      </c>
      <c r="P64" s="61">
        <f>ROUND(L64*(1+kopsavilkums!$O$8),2)</f>
        <v>0</v>
      </c>
      <c r="Q64" s="61">
        <f t="shared" si="22"/>
        <v>167.16000000000008</v>
      </c>
      <c r="R64" s="61">
        <f t="shared" si="27"/>
        <v>167.16000000000008</v>
      </c>
      <c r="S64" s="61">
        <f t="shared" si="28"/>
        <v>2005.920000000001</v>
      </c>
      <c r="T64" s="61">
        <f>ROUND(S64*kopsavilkums!$O$23,2)</f>
        <v>473.2</v>
      </c>
      <c r="U64" s="152">
        <f t="shared" si="29"/>
        <v>2479.1200000000008</v>
      </c>
      <c r="V64" s="73"/>
      <c r="W64" s="604"/>
      <c r="X64" s="605"/>
      <c r="Y64" s="605"/>
      <c r="Z64" s="769"/>
      <c r="AB64" s="57"/>
      <c r="AC64" s="57"/>
      <c r="AD64" s="57"/>
      <c r="AE64" s="57"/>
      <c r="AF64" s="57"/>
      <c r="AG64" s="57"/>
      <c r="AH64" s="57"/>
      <c r="AI64" s="57"/>
      <c r="AJ64" s="57"/>
      <c r="AK64" s="57"/>
      <c r="AL64" s="137"/>
      <c r="AO64" s="57"/>
      <c r="AP64" s="57"/>
      <c r="AQ64" s="57"/>
      <c r="AR64" s="57"/>
      <c r="AS64" s="57"/>
      <c r="AT64" s="57"/>
      <c r="AU64" s="57"/>
      <c r="AV64" s="57"/>
      <c r="AW64" s="57"/>
      <c r="AX64" s="57"/>
      <c r="AY64" s="137"/>
    </row>
    <row r="65" spans="1:51" x14ac:dyDescent="0.25">
      <c r="A65" s="775" t="s">
        <v>411</v>
      </c>
      <c r="B65" s="770" t="s">
        <v>582</v>
      </c>
      <c r="C65" s="771"/>
      <c r="D65" s="771" t="s">
        <v>407</v>
      </c>
      <c r="E65" s="771" t="s">
        <v>13</v>
      </c>
      <c r="F65" s="771">
        <v>8</v>
      </c>
      <c r="G65" s="772">
        <v>967</v>
      </c>
      <c r="H65" s="772">
        <v>1388</v>
      </c>
      <c r="I65" s="772">
        <v>1796</v>
      </c>
      <c r="J65" s="773">
        <v>1427</v>
      </c>
      <c r="K65" s="552"/>
      <c r="L65" s="552"/>
      <c r="M65" s="594">
        <v>1</v>
      </c>
      <c r="N65" s="151">
        <f>ROUND(J65*(1+kopsavilkums!$O$8),2)</f>
        <v>1578.26</v>
      </c>
      <c r="O65" s="61">
        <f t="shared" si="26"/>
        <v>0</v>
      </c>
      <c r="P65" s="61">
        <f>ROUND(L65*(1+kopsavilkums!$O$8),2)</f>
        <v>0</v>
      </c>
      <c r="Q65" s="61">
        <f t="shared" si="22"/>
        <v>151.26</v>
      </c>
      <c r="R65" s="61">
        <f t="shared" si="27"/>
        <v>151.26</v>
      </c>
      <c r="S65" s="61">
        <f t="shared" si="28"/>
        <v>1815.12</v>
      </c>
      <c r="T65" s="61">
        <f>ROUND(S65*kopsavilkums!$O$23,2)</f>
        <v>428.19</v>
      </c>
      <c r="U65" s="152">
        <f t="shared" si="29"/>
        <v>2243.31</v>
      </c>
      <c r="V65" s="73"/>
      <c r="W65" s="604"/>
      <c r="X65" s="605"/>
      <c r="Y65" s="605"/>
      <c r="Z65" s="769"/>
      <c r="AB65" s="57"/>
      <c r="AC65" s="57"/>
      <c r="AD65" s="57"/>
      <c r="AE65" s="57"/>
      <c r="AF65" s="57"/>
      <c r="AG65" s="57"/>
      <c r="AH65" s="57"/>
      <c r="AI65" s="57"/>
      <c r="AJ65" s="57"/>
      <c r="AK65" s="57"/>
      <c r="AL65" s="137"/>
      <c r="AO65" s="57"/>
      <c r="AP65" s="57"/>
      <c r="AQ65" s="57"/>
      <c r="AR65" s="57"/>
      <c r="AS65" s="57"/>
      <c r="AT65" s="57"/>
      <c r="AU65" s="57"/>
      <c r="AV65" s="57"/>
      <c r="AW65" s="57"/>
      <c r="AX65" s="57"/>
      <c r="AY65" s="137"/>
    </row>
    <row r="66" spans="1:51" x14ac:dyDescent="0.25">
      <c r="A66" s="775" t="s">
        <v>411</v>
      </c>
      <c r="B66" s="770" t="s">
        <v>582</v>
      </c>
      <c r="C66" s="771"/>
      <c r="D66" s="771" t="s">
        <v>407</v>
      </c>
      <c r="E66" s="771" t="s">
        <v>13</v>
      </c>
      <c r="F66" s="771">
        <v>8</v>
      </c>
      <c r="G66" s="772">
        <v>967</v>
      </c>
      <c r="H66" s="772">
        <v>1388</v>
      </c>
      <c r="I66" s="772">
        <v>1796</v>
      </c>
      <c r="J66" s="773">
        <v>1427</v>
      </c>
      <c r="K66" s="552"/>
      <c r="L66" s="552"/>
      <c r="M66" s="594">
        <v>1</v>
      </c>
      <c r="N66" s="151">
        <f>ROUND(J66*(1+kopsavilkums!$O$8),2)</f>
        <v>1578.26</v>
      </c>
      <c r="O66" s="61">
        <f t="shared" si="26"/>
        <v>0</v>
      </c>
      <c r="P66" s="61">
        <f>ROUND(L66*(1+kopsavilkums!$O$8),2)</f>
        <v>0</v>
      </c>
      <c r="Q66" s="61">
        <f t="shared" si="22"/>
        <v>151.26</v>
      </c>
      <c r="R66" s="61">
        <f t="shared" si="27"/>
        <v>151.26</v>
      </c>
      <c r="S66" s="61">
        <f t="shared" si="28"/>
        <v>1815.12</v>
      </c>
      <c r="T66" s="61">
        <f>ROUND(S66*kopsavilkums!$O$23,2)</f>
        <v>428.19</v>
      </c>
      <c r="U66" s="152">
        <f t="shared" si="29"/>
        <v>2243.31</v>
      </c>
      <c r="V66" s="73"/>
      <c r="W66" s="604"/>
      <c r="X66" s="605"/>
      <c r="Y66" s="605"/>
      <c r="Z66" s="769"/>
      <c r="AB66" s="57"/>
      <c r="AC66" s="57"/>
      <c r="AD66" s="57"/>
      <c r="AE66" s="57"/>
      <c r="AF66" s="57"/>
      <c r="AG66" s="57"/>
      <c r="AH66" s="57"/>
      <c r="AI66" s="57"/>
      <c r="AJ66" s="57"/>
      <c r="AK66" s="57"/>
      <c r="AL66" s="137"/>
      <c r="AO66" s="57"/>
      <c r="AP66" s="57"/>
      <c r="AQ66" s="57"/>
      <c r="AR66" s="57"/>
      <c r="AS66" s="57"/>
      <c r="AT66" s="57"/>
      <c r="AU66" s="57"/>
      <c r="AV66" s="57"/>
      <c r="AW66" s="57"/>
      <c r="AX66" s="57"/>
      <c r="AY66" s="137"/>
    </row>
    <row r="67" spans="1:51" x14ac:dyDescent="0.25">
      <c r="A67" s="775" t="s">
        <v>411</v>
      </c>
      <c r="B67" s="770" t="s">
        <v>582</v>
      </c>
      <c r="C67" s="771"/>
      <c r="D67" s="771" t="s">
        <v>407</v>
      </c>
      <c r="E67" s="771" t="s">
        <v>13</v>
      </c>
      <c r="F67" s="771">
        <v>8</v>
      </c>
      <c r="G67" s="772">
        <v>967</v>
      </c>
      <c r="H67" s="772">
        <v>1388</v>
      </c>
      <c r="I67" s="772">
        <v>1796</v>
      </c>
      <c r="J67" s="773">
        <v>1427</v>
      </c>
      <c r="K67" s="552"/>
      <c r="L67" s="552"/>
      <c r="M67" s="594">
        <v>1</v>
      </c>
      <c r="N67" s="151">
        <f>ROUND(J67*(1+kopsavilkums!$O$8),2)</f>
        <v>1578.26</v>
      </c>
      <c r="O67" s="61">
        <f t="shared" si="26"/>
        <v>0</v>
      </c>
      <c r="P67" s="61">
        <f>ROUND(L67*(1+kopsavilkums!$O$8),2)</f>
        <v>0</v>
      </c>
      <c r="Q67" s="61">
        <f t="shared" ref="Q67:Q98" si="30">(N67+P67)-(J67+L67)</f>
        <v>151.26</v>
      </c>
      <c r="R67" s="61">
        <f t="shared" si="27"/>
        <v>151.26</v>
      </c>
      <c r="S67" s="61">
        <f t="shared" si="28"/>
        <v>1815.12</v>
      </c>
      <c r="T67" s="61">
        <f>ROUND(S67*kopsavilkums!$O$23,2)</f>
        <v>428.19</v>
      </c>
      <c r="U67" s="152">
        <f t="shared" si="29"/>
        <v>2243.31</v>
      </c>
      <c r="V67" s="73"/>
      <c r="W67" s="604"/>
      <c r="X67" s="605"/>
      <c r="Y67" s="605"/>
      <c r="Z67" s="769"/>
      <c r="AB67" s="57"/>
      <c r="AC67" s="57"/>
      <c r="AD67" s="57"/>
      <c r="AE67" s="57"/>
      <c r="AF67" s="57"/>
      <c r="AG67" s="57"/>
      <c r="AH67" s="57"/>
      <c r="AI67" s="57"/>
      <c r="AJ67" s="57"/>
      <c r="AK67" s="57"/>
      <c r="AL67" s="137"/>
      <c r="AO67" s="57"/>
      <c r="AP67" s="57"/>
      <c r="AQ67" s="57"/>
      <c r="AR67" s="57"/>
      <c r="AS67" s="57"/>
      <c r="AT67" s="57"/>
      <c r="AU67" s="57"/>
      <c r="AV67" s="57"/>
      <c r="AW67" s="57"/>
      <c r="AX67" s="57"/>
      <c r="AY67" s="137"/>
    </row>
    <row r="68" spans="1:51" x14ac:dyDescent="0.25">
      <c r="A68" s="620" t="s">
        <v>411</v>
      </c>
      <c r="B68" s="770" t="s">
        <v>582</v>
      </c>
      <c r="C68" s="771"/>
      <c r="D68" s="771" t="s">
        <v>407</v>
      </c>
      <c r="E68" s="771" t="s">
        <v>13</v>
      </c>
      <c r="F68" s="771">
        <v>8</v>
      </c>
      <c r="G68" s="772">
        <v>967</v>
      </c>
      <c r="H68" s="772">
        <v>1388</v>
      </c>
      <c r="I68" s="772">
        <v>1796</v>
      </c>
      <c r="J68" s="773">
        <v>1427</v>
      </c>
      <c r="K68" s="552"/>
      <c r="L68" s="552"/>
      <c r="M68" s="594">
        <v>1</v>
      </c>
      <c r="N68" s="151">
        <f>ROUND(J68*(1+kopsavilkums!$O$8),2)</f>
        <v>1578.26</v>
      </c>
      <c r="O68" s="61">
        <f t="shared" si="26"/>
        <v>0</v>
      </c>
      <c r="P68" s="61">
        <f>ROUND(L68*(1+kopsavilkums!$O$8),2)</f>
        <v>0</v>
      </c>
      <c r="Q68" s="61">
        <f t="shared" si="30"/>
        <v>151.26</v>
      </c>
      <c r="R68" s="61">
        <f t="shared" si="27"/>
        <v>151.26</v>
      </c>
      <c r="S68" s="61">
        <f t="shared" si="28"/>
        <v>1815.12</v>
      </c>
      <c r="T68" s="61">
        <f>ROUND(S68*kopsavilkums!$O$23,2)</f>
        <v>428.19</v>
      </c>
      <c r="U68" s="152">
        <f t="shared" si="29"/>
        <v>2243.31</v>
      </c>
      <c r="V68" s="73"/>
      <c r="W68" s="604"/>
      <c r="X68" s="605"/>
      <c r="Y68" s="605"/>
      <c r="Z68" s="769"/>
      <c r="AB68" s="57"/>
      <c r="AC68" s="57"/>
      <c r="AD68" s="57"/>
      <c r="AE68" s="57"/>
      <c r="AF68" s="57"/>
      <c r="AG68" s="57"/>
      <c r="AH68" s="57"/>
      <c r="AI68" s="57"/>
      <c r="AJ68" s="57"/>
      <c r="AK68" s="57"/>
      <c r="AL68" s="137"/>
      <c r="AO68" s="57"/>
      <c r="AP68" s="57"/>
      <c r="AQ68" s="57"/>
      <c r="AR68" s="57"/>
      <c r="AS68" s="57"/>
      <c r="AT68" s="57"/>
      <c r="AU68" s="57"/>
      <c r="AV68" s="57"/>
      <c r="AW68" s="57"/>
      <c r="AX68" s="57"/>
      <c r="AY68" s="137"/>
    </row>
    <row r="69" spans="1:51" x14ac:dyDescent="0.25">
      <c r="A69" s="620" t="s">
        <v>412</v>
      </c>
      <c r="B69" s="770" t="s">
        <v>581</v>
      </c>
      <c r="C69" s="771"/>
      <c r="D69" s="771" t="s">
        <v>407</v>
      </c>
      <c r="E69" s="771" t="s">
        <v>11</v>
      </c>
      <c r="F69" s="771">
        <v>9</v>
      </c>
      <c r="G69" s="772">
        <v>1157</v>
      </c>
      <c r="H69" s="772">
        <v>1653</v>
      </c>
      <c r="I69" s="772">
        <v>2067</v>
      </c>
      <c r="J69" s="773">
        <v>1500</v>
      </c>
      <c r="K69" s="552"/>
      <c r="L69" s="552"/>
      <c r="M69" s="594">
        <v>1</v>
      </c>
      <c r="N69" s="151">
        <f>ROUND(J69*(1+kopsavilkums!$O$8),2)</f>
        <v>1659</v>
      </c>
      <c r="O69" s="61">
        <f t="shared" si="26"/>
        <v>0</v>
      </c>
      <c r="P69" s="61">
        <f>ROUND(L69*(1+kopsavilkums!$O$8),2)</f>
        <v>0</v>
      </c>
      <c r="Q69" s="61">
        <f t="shared" si="30"/>
        <v>159</v>
      </c>
      <c r="R69" s="61">
        <f t="shared" si="27"/>
        <v>159</v>
      </c>
      <c r="S69" s="61">
        <f t="shared" si="28"/>
        <v>1908</v>
      </c>
      <c r="T69" s="61">
        <f>ROUND(S69*kopsavilkums!$O$23,2)</f>
        <v>450.1</v>
      </c>
      <c r="U69" s="152">
        <f t="shared" si="29"/>
        <v>2358.1</v>
      </c>
      <c r="V69" s="73"/>
      <c r="W69" s="604"/>
      <c r="X69" s="605"/>
      <c r="Y69" s="605"/>
      <c r="Z69" s="769"/>
      <c r="AB69" s="57"/>
      <c r="AC69" s="57"/>
      <c r="AD69" s="57"/>
      <c r="AE69" s="57"/>
      <c r="AF69" s="57"/>
      <c r="AG69" s="57"/>
      <c r="AH69" s="57"/>
      <c r="AI69" s="57"/>
      <c r="AJ69" s="57"/>
      <c r="AK69" s="57"/>
      <c r="AL69" s="137"/>
      <c r="AO69" s="57"/>
      <c r="AP69" s="57"/>
      <c r="AQ69" s="57"/>
      <c r="AR69" s="57"/>
      <c r="AS69" s="57"/>
      <c r="AT69" s="57"/>
      <c r="AU69" s="57"/>
      <c r="AV69" s="57"/>
      <c r="AW69" s="57"/>
      <c r="AX69" s="57"/>
      <c r="AY69" s="137"/>
    </row>
    <row r="70" spans="1:51" x14ac:dyDescent="0.25">
      <c r="A70" s="620" t="s">
        <v>413</v>
      </c>
      <c r="B70" s="770" t="s">
        <v>583</v>
      </c>
      <c r="C70" s="771"/>
      <c r="D70" s="771" t="s">
        <v>407</v>
      </c>
      <c r="E70" s="771" t="s">
        <v>13</v>
      </c>
      <c r="F70" s="771">
        <v>8</v>
      </c>
      <c r="G70" s="772">
        <v>967</v>
      </c>
      <c r="H70" s="772">
        <v>1388</v>
      </c>
      <c r="I70" s="772">
        <v>1796</v>
      </c>
      <c r="J70" s="773">
        <v>1388</v>
      </c>
      <c r="K70" s="552"/>
      <c r="L70" s="552"/>
      <c r="M70" s="594">
        <v>1</v>
      </c>
      <c r="N70" s="151">
        <f>ROUND(J70*(1+kopsavilkums!$O$8),2)</f>
        <v>1535.13</v>
      </c>
      <c r="O70" s="61">
        <f t="shared" si="26"/>
        <v>0</v>
      </c>
      <c r="P70" s="61">
        <f>ROUND(L70*(1+kopsavilkums!$O$8),2)</f>
        <v>0</v>
      </c>
      <c r="Q70" s="61">
        <f t="shared" si="30"/>
        <v>147.13000000000011</v>
      </c>
      <c r="R70" s="61">
        <f t="shared" si="27"/>
        <v>147.13000000000011</v>
      </c>
      <c r="S70" s="61">
        <f t="shared" si="28"/>
        <v>1765.5600000000013</v>
      </c>
      <c r="T70" s="61">
        <f>ROUND(S70*kopsavilkums!$O$23,2)</f>
        <v>416.5</v>
      </c>
      <c r="U70" s="152">
        <f t="shared" si="29"/>
        <v>2182.0600000000013</v>
      </c>
      <c r="V70" s="73"/>
      <c r="W70" s="604"/>
      <c r="X70" s="605"/>
      <c r="Y70" s="605"/>
      <c r="Z70" s="769"/>
      <c r="AB70" s="57"/>
      <c r="AC70" s="57"/>
      <c r="AD70" s="57"/>
      <c r="AE70" s="57"/>
      <c r="AF70" s="57"/>
      <c r="AG70" s="57"/>
      <c r="AH70" s="57"/>
      <c r="AI70" s="57"/>
      <c r="AJ70" s="57"/>
      <c r="AK70" s="57"/>
      <c r="AL70" s="137"/>
      <c r="AO70" s="57"/>
      <c r="AP70" s="57"/>
      <c r="AQ70" s="57"/>
      <c r="AR70" s="57"/>
      <c r="AS70" s="57"/>
      <c r="AT70" s="57"/>
      <c r="AU70" s="57"/>
      <c r="AV70" s="57"/>
      <c r="AW70" s="57"/>
      <c r="AX70" s="57"/>
      <c r="AY70" s="137"/>
    </row>
    <row r="71" spans="1:51" x14ac:dyDescent="0.25">
      <c r="A71" s="620" t="s">
        <v>38</v>
      </c>
      <c r="B71" s="770" t="s">
        <v>464</v>
      </c>
      <c r="C71" s="771"/>
      <c r="D71" s="771">
        <v>36</v>
      </c>
      <c r="E71" s="771" t="s">
        <v>9</v>
      </c>
      <c r="F71" s="771">
        <v>11</v>
      </c>
      <c r="G71" s="772">
        <v>1746</v>
      </c>
      <c r="H71" s="772">
        <v>2496</v>
      </c>
      <c r="I71" s="772">
        <v>3120</v>
      </c>
      <c r="J71" s="773">
        <v>2197</v>
      </c>
      <c r="K71" s="552"/>
      <c r="L71" s="552"/>
      <c r="M71" s="594">
        <v>1</v>
      </c>
      <c r="N71" s="151">
        <f>ROUND(J71*(1+kopsavilkums!$O$8),2)</f>
        <v>2429.88</v>
      </c>
      <c r="O71" s="61">
        <f t="shared" si="26"/>
        <v>0</v>
      </c>
      <c r="P71" s="61">
        <f>ROUND(L71*(1+kopsavilkums!$O$8),2)</f>
        <v>0</v>
      </c>
      <c r="Q71" s="61">
        <f t="shared" si="30"/>
        <v>232.88000000000011</v>
      </c>
      <c r="R71" s="61">
        <f t="shared" si="27"/>
        <v>232.88000000000011</v>
      </c>
      <c r="S71" s="61">
        <f t="shared" si="28"/>
        <v>2794.5600000000013</v>
      </c>
      <c r="T71" s="61">
        <f>ROUND(S71*kopsavilkums!$O$23,2)</f>
        <v>659.24</v>
      </c>
      <c r="U71" s="152">
        <f t="shared" si="29"/>
        <v>3453.8000000000011</v>
      </c>
      <c r="V71" s="73"/>
      <c r="W71" s="604"/>
      <c r="X71" s="605"/>
      <c r="Y71" s="605"/>
      <c r="Z71" s="769"/>
      <c r="AB71" s="57"/>
      <c r="AC71" s="57"/>
      <c r="AD71" s="57"/>
      <c r="AE71" s="57"/>
      <c r="AF71" s="57"/>
      <c r="AG71" s="57"/>
      <c r="AH71" s="57"/>
      <c r="AI71" s="57"/>
      <c r="AJ71" s="57"/>
      <c r="AK71" s="57"/>
      <c r="AL71" s="137"/>
      <c r="AO71" s="57"/>
      <c r="AP71" s="57"/>
      <c r="AQ71" s="57"/>
      <c r="AR71" s="57"/>
      <c r="AS71" s="57"/>
      <c r="AT71" s="57"/>
      <c r="AU71" s="57"/>
      <c r="AV71" s="57"/>
      <c r="AW71" s="57"/>
      <c r="AX71" s="57"/>
      <c r="AY71" s="137"/>
    </row>
    <row r="72" spans="1:51" x14ac:dyDescent="0.25">
      <c r="A72" s="620" t="s">
        <v>409</v>
      </c>
      <c r="B72" s="770" t="s">
        <v>579</v>
      </c>
      <c r="C72" s="771"/>
      <c r="D72" s="771">
        <v>36</v>
      </c>
      <c r="E72" s="771" t="s">
        <v>22</v>
      </c>
      <c r="F72" s="771">
        <v>8</v>
      </c>
      <c r="G72" s="772">
        <v>967</v>
      </c>
      <c r="H72" s="772">
        <v>1388</v>
      </c>
      <c r="I72" s="772">
        <v>1796</v>
      </c>
      <c r="J72" s="773">
        <v>1388</v>
      </c>
      <c r="K72" s="552"/>
      <c r="L72" s="552"/>
      <c r="M72" s="594">
        <v>1</v>
      </c>
      <c r="N72" s="151">
        <f>ROUND(J72*(1+kopsavilkums!$O$8),2)</f>
        <v>1535.13</v>
      </c>
      <c r="O72" s="61">
        <f t="shared" si="26"/>
        <v>0</v>
      </c>
      <c r="P72" s="61">
        <f>ROUND(L72*(1+kopsavilkums!$O$8),2)</f>
        <v>0</v>
      </c>
      <c r="Q72" s="61">
        <f t="shared" si="30"/>
        <v>147.13000000000011</v>
      </c>
      <c r="R72" s="61">
        <f t="shared" si="27"/>
        <v>147.13000000000011</v>
      </c>
      <c r="S72" s="61">
        <f t="shared" si="28"/>
        <v>1765.5600000000013</v>
      </c>
      <c r="T72" s="61">
        <f>ROUND(S72*kopsavilkums!$O$23,2)</f>
        <v>416.5</v>
      </c>
      <c r="U72" s="152">
        <f t="shared" si="29"/>
        <v>2182.0600000000013</v>
      </c>
      <c r="V72" s="73"/>
      <c r="W72" s="604"/>
      <c r="X72" s="605"/>
      <c r="Y72" s="605"/>
      <c r="Z72" s="769"/>
      <c r="AB72" s="57"/>
      <c r="AC72" s="57"/>
      <c r="AD72" s="57"/>
      <c r="AE72" s="57"/>
      <c r="AF72" s="57"/>
      <c r="AG72" s="57"/>
      <c r="AH72" s="57"/>
      <c r="AI72" s="57"/>
      <c r="AJ72" s="57"/>
      <c r="AK72" s="57"/>
      <c r="AL72" s="137"/>
      <c r="AO72" s="57"/>
      <c r="AP72" s="57"/>
      <c r="AQ72" s="57"/>
      <c r="AR72" s="57"/>
      <c r="AS72" s="57"/>
      <c r="AT72" s="57"/>
      <c r="AU72" s="57"/>
      <c r="AV72" s="57"/>
      <c r="AW72" s="57"/>
      <c r="AX72" s="57"/>
      <c r="AY72" s="137"/>
    </row>
    <row r="73" spans="1:51" x14ac:dyDescent="0.25">
      <c r="A73" s="620" t="s">
        <v>409</v>
      </c>
      <c r="B73" s="770" t="s">
        <v>579</v>
      </c>
      <c r="C73" s="771"/>
      <c r="D73" s="771">
        <v>36</v>
      </c>
      <c r="E73" s="771" t="s">
        <v>22</v>
      </c>
      <c r="F73" s="771">
        <v>8</v>
      </c>
      <c r="G73" s="772">
        <v>967</v>
      </c>
      <c r="H73" s="772">
        <v>1388</v>
      </c>
      <c r="I73" s="772">
        <v>1796</v>
      </c>
      <c r="J73" s="773">
        <v>1388</v>
      </c>
      <c r="K73" s="552"/>
      <c r="L73" s="552"/>
      <c r="M73" s="594">
        <v>1</v>
      </c>
      <c r="N73" s="151">
        <f>ROUND(J73*(1+kopsavilkums!$O$8),2)</f>
        <v>1535.13</v>
      </c>
      <c r="O73" s="61">
        <f t="shared" si="26"/>
        <v>0</v>
      </c>
      <c r="P73" s="61">
        <f>ROUND(L73*(1+kopsavilkums!$O$8),2)</f>
        <v>0</v>
      </c>
      <c r="Q73" s="61">
        <f t="shared" si="30"/>
        <v>147.13000000000011</v>
      </c>
      <c r="R73" s="61">
        <f t="shared" si="27"/>
        <v>147.13000000000011</v>
      </c>
      <c r="S73" s="61">
        <f t="shared" si="28"/>
        <v>1765.5600000000013</v>
      </c>
      <c r="T73" s="61">
        <f>ROUND(S73*kopsavilkums!$O$23,2)</f>
        <v>416.5</v>
      </c>
      <c r="U73" s="152">
        <f t="shared" si="29"/>
        <v>2182.0600000000013</v>
      </c>
      <c r="V73" s="73"/>
      <c r="W73" s="604"/>
      <c r="X73" s="605"/>
      <c r="Y73" s="605"/>
      <c r="Z73" s="769"/>
      <c r="AB73" s="57"/>
      <c r="AC73" s="57"/>
      <c r="AD73" s="57"/>
      <c r="AE73" s="57"/>
      <c r="AF73" s="57"/>
      <c r="AG73" s="57"/>
      <c r="AH73" s="57"/>
      <c r="AI73" s="57"/>
      <c r="AJ73" s="57"/>
      <c r="AK73" s="57"/>
      <c r="AL73" s="137"/>
      <c r="AO73" s="57"/>
      <c r="AP73" s="57"/>
      <c r="AQ73" s="57"/>
      <c r="AR73" s="57"/>
      <c r="AS73" s="57"/>
      <c r="AT73" s="57"/>
      <c r="AU73" s="57"/>
      <c r="AV73" s="57"/>
      <c r="AW73" s="57"/>
      <c r="AX73" s="57"/>
      <c r="AY73" s="137"/>
    </row>
    <row r="74" spans="1:51" x14ac:dyDescent="0.25">
      <c r="A74" s="620" t="s">
        <v>414</v>
      </c>
      <c r="B74" s="770" t="s">
        <v>584</v>
      </c>
      <c r="C74" s="771"/>
      <c r="D74" s="771">
        <v>36</v>
      </c>
      <c r="E74" s="771" t="s">
        <v>20</v>
      </c>
      <c r="F74" s="771">
        <v>6</v>
      </c>
      <c r="G74" s="772">
        <v>758</v>
      </c>
      <c r="H74" s="772">
        <v>1081</v>
      </c>
      <c r="I74" s="772">
        <v>1406</v>
      </c>
      <c r="J74" s="773">
        <v>1200</v>
      </c>
      <c r="K74" s="552"/>
      <c r="L74" s="552"/>
      <c r="M74" s="594">
        <v>1</v>
      </c>
      <c r="N74" s="151">
        <f>ROUND(J74*(1+kopsavilkums!$O$8),2)</f>
        <v>1327.2</v>
      </c>
      <c r="O74" s="61">
        <f t="shared" si="26"/>
        <v>0</v>
      </c>
      <c r="P74" s="61">
        <f>ROUND(L74*(1+kopsavilkums!$O$8),2)</f>
        <v>0</v>
      </c>
      <c r="Q74" s="61">
        <f t="shared" si="30"/>
        <v>127.20000000000005</v>
      </c>
      <c r="R74" s="61">
        <f t="shared" si="27"/>
        <v>127.20000000000005</v>
      </c>
      <c r="S74" s="61">
        <f t="shared" si="28"/>
        <v>1526.4000000000005</v>
      </c>
      <c r="T74" s="61">
        <f>ROUND(S74*kopsavilkums!$O$23,2)</f>
        <v>360.08</v>
      </c>
      <c r="U74" s="152">
        <f t="shared" si="29"/>
        <v>1886.4800000000005</v>
      </c>
      <c r="V74" s="73"/>
      <c r="W74" s="604"/>
      <c r="X74" s="605"/>
      <c r="Y74" s="605"/>
      <c r="Z74" s="769"/>
      <c r="AB74" s="57"/>
      <c r="AC74" s="57"/>
      <c r="AD74" s="57"/>
      <c r="AE74" s="57"/>
      <c r="AF74" s="57"/>
      <c r="AG74" s="57"/>
      <c r="AH74" s="57"/>
      <c r="AI74" s="57"/>
      <c r="AJ74" s="57"/>
      <c r="AK74" s="57"/>
      <c r="AL74" s="137"/>
      <c r="AO74" s="57"/>
      <c r="AP74" s="57"/>
      <c r="AQ74" s="57"/>
      <c r="AR74" s="57"/>
      <c r="AS74" s="57"/>
      <c r="AT74" s="57"/>
      <c r="AU74" s="57"/>
      <c r="AV74" s="57"/>
      <c r="AW74" s="57"/>
      <c r="AX74" s="57"/>
      <c r="AY74" s="137"/>
    </row>
    <row r="75" spans="1:51" x14ac:dyDescent="0.25">
      <c r="A75" s="620" t="s">
        <v>406</v>
      </c>
      <c r="B75" s="770" t="s">
        <v>464</v>
      </c>
      <c r="C75" s="771"/>
      <c r="D75" s="771" t="s">
        <v>407</v>
      </c>
      <c r="E75" s="771" t="s">
        <v>408</v>
      </c>
      <c r="F75" s="771">
        <v>12</v>
      </c>
      <c r="G75" s="772">
        <v>2174</v>
      </c>
      <c r="H75" s="772">
        <v>3105</v>
      </c>
      <c r="I75" s="772">
        <v>3726</v>
      </c>
      <c r="J75" s="773">
        <v>3000</v>
      </c>
      <c r="K75" s="552"/>
      <c r="L75" s="552"/>
      <c r="M75" s="594">
        <v>1</v>
      </c>
      <c r="N75" s="151">
        <f>ROUND(J75*(1+kopsavilkums!$O$8),2)</f>
        <v>3318</v>
      </c>
      <c r="O75" s="61">
        <f t="shared" si="26"/>
        <v>0</v>
      </c>
      <c r="P75" s="61">
        <f>ROUND(L75*(1+kopsavilkums!$O$8),2)</f>
        <v>0</v>
      </c>
      <c r="Q75" s="61">
        <f t="shared" si="30"/>
        <v>318</v>
      </c>
      <c r="R75" s="61">
        <f t="shared" ref="R75:R91" si="31">Q75*M75</f>
        <v>318</v>
      </c>
      <c r="S75" s="61">
        <f t="shared" si="24"/>
        <v>3816</v>
      </c>
      <c r="T75" s="61">
        <f>ROUND(S75*kopsavilkums!$O$23,2)</f>
        <v>900.19</v>
      </c>
      <c r="U75" s="152">
        <f t="shared" ref="U75:U91" si="32">SUM(S75:T75)</f>
        <v>4716.1900000000005</v>
      </c>
      <c r="V75" s="73"/>
      <c r="W75" s="604"/>
      <c r="X75" s="605"/>
      <c r="Y75" s="605"/>
      <c r="Z75" s="769"/>
      <c r="AB75" s="57"/>
      <c r="AC75" s="57"/>
      <c r="AD75" s="57"/>
      <c r="AE75" s="57"/>
      <c r="AF75" s="57"/>
      <c r="AG75" s="57"/>
      <c r="AH75" s="57"/>
      <c r="AI75" s="57"/>
      <c r="AJ75" s="57"/>
      <c r="AK75" s="57"/>
      <c r="AL75" s="137"/>
      <c r="AO75" s="57"/>
      <c r="AP75" s="57"/>
      <c r="AQ75" s="57"/>
      <c r="AR75" s="57"/>
      <c r="AS75" s="57"/>
      <c r="AT75" s="57"/>
      <c r="AU75" s="57"/>
      <c r="AV75" s="57"/>
      <c r="AW75" s="57"/>
      <c r="AX75" s="57"/>
      <c r="AY75" s="137"/>
    </row>
    <row r="76" spans="1:51" x14ac:dyDescent="0.25">
      <c r="A76" s="620" t="s">
        <v>38</v>
      </c>
      <c r="B76" s="770" t="s">
        <v>464</v>
      </c>
      <c r="C76" s="771"/>
      <c r="D76" s="771">
        <v>13</v>
      </c>
      <c r="E76" s="771" t="s">
        <v>11</v>
      </c>
      <c r="F76" s="771">
        <v>11</v>
      </c>
      <c r="G76" s="772">
        <v>1746</v>
      </c>
      <c r="H76" s="772">
        <v>2496</v>
      </c>
      <c r="I76" s="772">
        <v>3120</v>
      </c>
      <c r="J76" s="773">
        <v>2257</v>
      </c>
      <c r="K76" s="552"/>
      <c r="L76" s="552"/>
      <c r="M76" s="594">
        <v>1</v>
      </c>
      <c r="N76" s="151">
        <f>ROUND(J76*(1+kopsavilkums!$O$8),2)</f>
        <v>2496.2399999999998</v>
      </c>
      <c r="O76" s="61">
        <f t="shared" si="26"/>
        <v>0</v>
      </c>
      <c r="P76" s="61">
        <f>ROUND(L76*(1+kopsavilkums!$O$8),2)</f>
        <v>0</v>
      </c>
      <c r="Q76" s="61">
        <f t="shared" si="30"/>
        <v>239.23999999999978</v>
      </c>
      <c r="R76" s="61">
        <f t="shared" si="31"/>
        <v>239.23999999999978</v>
      </c>
      <c r="S76" s="61">
        <f t="shared" si="24"/>
        <v>2870.8799999999974</v>
      </c>
      <c r="T76" s="61">
        <f>ROUND(S76*kopsavilkums!$O$23,2)</f>
        <v>677.24</v>
      </c>
      <c r="U76" s="152">
        <f t="shared" si="32"/>
        <v>3548.1199999999972</v>
      </c>
      <c r="V76" s="73"/>
      <c r="W76" s="604"/>
      <c r="X76" s="605"/>
      <c r="Y76" s="605"/>
      <c r="Z76" s="769"/>
      <c r="AB76" s="57"/>
      <c r="AC76" s="57"/>
      <c r="AD76" s="57"/>
      <c r="AE76" s="57"/>
      <c r="AF76" s="57"/>
      <c r="AG76" s="57"/>
      <c r="AH76" s="57"/>
      <c r="AI76" s="57"/>
      <c r="AJ76" s="57"/>
      <c r="AK76" s="57"/>
      <c r="AL76" s="137"/>
      <c r="AO76" s="57"/>
      <c r="AP76" s="57"/>
      <c r="AQ76" s="57"/>
      <c r="AR76" s="57"/>
      <c r="AS76" s="57"/>
      <c r="AT76" s="57"/>
      <c r="AU76" s="57"/>
      <c r="AV76" s="57"/>
      <c r="AW76" s="57"/>
      <c r="AX76" s="57"/>
      <c r="AY76" s="137"/>
    </row>
    <row r="77" spans="1:51" x14ac:dyDescent="0.25">
      <c r="A77" s="620" t="s">
        <v>415</v>
      </c>
      <c r="B77" s="770" t="s">
        <v>585</v>
      </c>
      <c r="C77" s="771"/>
      <c r="D77" s="771">
        <v>13</v>
      </c>
      <c r="E77" s="771" t="s">
        <v>13</v>
      </c>
      <c r="F77" s="771">
        <v>9</v>
      </c>
      <c r="G77" s="772">
        <v>1157</v>
      </c>
      <c r="H77" s="772">
        <v>1653</v>
      </c>
      <c r="I77" s="772">
        <v>2067</v>
      </c>
      <c r="J77" s="773">
        <v>1577</v>
      </c>
      <c r="K77" s="552"/>
      <c r="L77" s="552"/>
      <c r="M77" s="594">
        <v>1</v>
      </c>
      <c r="N77" s="151">
        <f>ROUND(J77*(1+kopsavilkums!$O$8),2)</f>
        <v>1744.16</v>
      </c>
      <c r="O77" s="61">
        <f t="shared" si="26"/>
        <v>0</v>
      </c>
      <c r="P77" s="61">
        <f>ROUND(L77*(1+kopsavilkums!$O$8),2)</f>
        <v>0</v>
      </c>
      <c r="Q77" s="61">
        <f t="shared" si="30"/>
        <v>167.16000000000008</v>
      </c>
      <c r="R77" s="61">
        <f t="shared" si="31"/>
        <v>167.16000000000008</v>
      </c>
      <c r="S77" s="61">
        <f t="shared" si="24"/>
        <v>2005.920000000001</v>
      </c>
      <c r="T77" s="61">
        <f>ROUND(S77*kopsavilkums!$O$23,2)</f>
        <v>473.2</v>
      </c>
      <c r="U77" s="152">
        <f t="shared" si="32"/>
        <v>2479.1200000000008</v>
      </c>
      <c r="V77" s="73"/>
      <c r="W77" s="604"/>
      <c r="X77" s="605"/>
      <c r="Y77" s="605"/>
      <c r="Z77" s="769"/>
      <c r="AB77" s="57"/>
      <c r="AC77" s="57"/>
      <c r="AD77" s="57"/>
      <c r="AE77" s="57"/>
      <c r="AF77" s="57"/>
      <c r="AG77" s="57"/>
      <c r="AH77" s="57"/>
      <c r="AI77" s="57"/>
      <c r="AJ77" s="57"/>
      <c r="AK77" s="57"/>
      <c r="AL77" s="137"/>
      <c r="AO77" s="57"/>
      <c r="AP77" s="57"/>
      <c r="AQ77" s="57"/>
      <c r="AR77" s="57"/>
      <c r="AS77" s="57"/>
      <c r="AT77" s="57"/>
      <c r="AU77" s="57"/>
      <c r="AV77" s="57"/>
      <c r="AW77" s="57"/>
      <c r="AX77" s="57"/>
      <c r="AY77" s="137"/>
    </row>
    <row r="78" spans="1:51" x14ac:dyDescent="0.25">
      <c r="A78" s="620" t="s">
        <v>415</v>
      </c>
      <c r="B78" s="770" t="s">
        <v>585</v>
      </c>
      <c r="C78" s="771"/>
      <c r="D78" s="771">
        <v>13</v>
      </c>
      <c r="E78" s="771" t="s">
        <v>13</v>
      </c>
      <c r="F78" s="771">
        <v>9</v>
      </c>
      <c r="G78" s="772">
        <v>1157</v>
      </c>
      <c r="H78" s="772">
        <v>1653</v>
      </c>
      <c r="I78" s="772">
        <v>2067</v>
      </c>
      <c r="J78" s="773">
        <v>1577</v>
      </c>
      <c r="K78" s="552"/>
      <c r="L78" s="552"/>
      <c r="M78" s="594">
        <v>1</v>
      </c>
      <c r="N78" s="151">
        <f>ROUND(J78*(1+kopsavilkums!$O$8),2)</f>
        <v>1744.16</v>
      </c>
      <c r="O78" s="61">
        <f t="shared" si="26"/>
        <v>0</v>
      </c>
      <c r="P78" s="61">
        <f>ROUND(L78*(1+kopsavilkums!$O$8),2)</f>
        <v>0</v>
      </c>
      <c r="Q78" s="61">
        <f t="shared" si="30"/>
        <v>167.16000000000008</v>
      </c>
      <c r="R78" s="61">
        <f t="shared" si="31"/>
        <v>167.16000000000008</v>
      </c>
      <c r="S78" s="61">
        <f t="shared" si="24"/>
        <v>2005.920000000001</v>
      </c>
      <c r="T78" s="61">
        <f>ROUND(S78*kopsavilkums!$O$23,2)</f>
        <v>473.2</v>
      </c>
      <c r="U78" s="152">
        <f t="shared" si="32"/>
        <v>2479.1200000000008</v>
      </c>
      <c r="V78" s="73"/>
      <c r="W78" s="604"/>
      <c r="X78" s="605"/>
      <c r="Y78" s="605"/>
      <c r="Z78" s="769"/>
      <c r="AB78" s="57"/>
      <c r="AC78" s="57"/>
      <c r="AD78" s="57"/>
      <c r="AE78" s="57"/>
      <c r="AF78" s="57"/>
      <c r="AG78" s="57"/>
      <c r="AH78" s="57"/>
      <c r="AI78" s="57"/>
      <c r="AJ78" s="57"/>
      <c r="AK78" s="57"/>
      <c r="AL78" s="137"/>
      <c r="AO78" s="57"/>
      <c r="AP78" s="57"/>
      <c r="AQ78" s="57"/>
      <c r="AR78" s="57"/>
      <c r="AS78" s="57"/>
      <c r="AT78" s="57"/>
      <c r="AU78" s="57"/>
      <c r="AV78" s="57"/>
      <c r="AW78" s="57"/>
      <c r="AX78" s="57"/>
      <c r="AY78" s="137"/>
    </row>
    <row r="79" spans="1:51" x14ac:dyDescent="0.25">
      <c r="A79" s="620" t="s">
        <v>415</v>
      </c>
      <c r="B79" s="770" t="s">
        <v>585</v>
      </c>
      <c r="C79" s="771"/>
      <c r="D79" s="771">
        <v>13</v>
      </c>
      <c r="E79" s="771" t="s">
        <v>13</v>
      </c>
      <c r="F79" s="771">
        <v>9</v>
      </c>
      <c r="G79" s="772">
        <v>1157</v>
      </c>
      <c r="H79" s="772">
        <v>1653</v>
      </c>
      <c r="I79" s="772">
        <v>2067</v>
      </c>
      <c r="J79" s="773">
        <v>1577</v>
      </c>
      <c r="K79" s="552"/>
      <c r="L79" s="552"/>
      <c r="M79" s="594">
        <v>1</v>
      </c>
      <c r="N79" s="151">
        <f>ROUND(J79*(1+kopsavilkums!$O$8),2)</f>
        <v>1744.16</v>
      </c>
      <c r="O79" s="61">
        <f t="shared" si="26"/>
        <v>0</v>
      </c>
      <c r="P79" s="61">
        <f>ROUND(L79*(1+kopsavilkums!$O$8),2)</f>
        <v>0</v>
      </c>
      <c r="Q79" s="61">
        <f t="shared" si="30"/>
        <v>167.16000000000008</v>
      </c>
      <c r="R79" s="61">
        <f t="shared" si="31"/>
        <v>167.16000000000008</v>
      </c>
      <c r="S79" s="61">
        <f t="shared" si="24"/>
        <v>2005.920000000001</v>
      </c>
      <c r="T79" s="61">
        <f>ROUND(S79*kopsavilkums!$O$23,2)</f>
        <v>473.2</v>
      </c>
      <c r="U79" s="152">
        <f t="shared" si="32"/>
        <v>2479.1200000000008</v>
      </c>
      <c r="V79" s="73"/>
      <c r="W79" s="604"/>
      <c r="X79" s="605"/>
      <c r="Y79" s="605"/>
      <c r="Z79" s="769"/>
      <c r="AB79" s="57"/>
      <c r="AC79" s="57"/>
      <c r="AD79" s="57"/>
      <c r="AE79" s="57"/>
      <c r="AF79" s="57"/>
      <c r="AG79" s="57"/>
      <c r="AH79" s="57"/>
      <c r="AI79" s="57"/>
      <c r="AJ79" s="57"/>
      <c r="AK79" s="57"/>
      <c r="AL79" s="137"/>
      <c r="AO79" s="57"/>
      <c r="AP79" s="57"/>
      <c r="AQ79" s="57"/>
      <c r="AR79" s="57"/>
      <c r="AS79" s="57"/>
      <c r="AT79" s="57"/>
      <c r="AU79" s="57"/>
      <c r="AV79" s="57"/>
      <c r="AW79" s="57"/>
      <c r="AX79" s="57"/>
      <c r="AY79" s="137"/>
    </row>
    <row r="80" spans="1:51" x14ac:dyDescent="0.25">
      <c r="A80" s="620" t="s">
        <v>415</v>
      </c>
      <c r="B80" s="770" t="s">
        <v>585</v>
      </c>
      <c r="C80" s="771"/>
      <c r="D80" s="771">
        <v>13</v>
      </c>
      <c r="E80" s="771" t="s">
        <v>13</v>
      </c>
      <c r="F80" s="771">
        <v>9</v>
      </c>
      <c r="G80" s="772">
        <v>1157</v>
      </c>
      <c r="H80" s="772">
        <v>1653</v>
      </c>
      <c r="I80" s="772">
        <v>2067</v>
      </c>
      <c r="J80" s="773">
        <v>1577</v>
      </c>
      <c r="K80" s="552"/>
      <c r="L80" s="552"/>
      <c r="M80" s="594">
        <v>1</v>
      </c>
      <c r="N80" s="151">
        <f>ROUND(J80*(1+kopsavilkums!$O$8),2)</f>
        <v>1744.16</v>
      </c>
      <c r="O80" s="61">
        <f t="shared" si="26"/>
        <v>0</v>
      </c>
      <c r="P80" s="61">
        <f>ROUND(L80*(1+kopsavilkums!$O$8),2)</f>
        <v>0</v>
      </c>
      <c r="Q80" s="61">
        <f t="shared" si="30"/>
        <v>167.16000000000008</v>
      </c>
      <c r="R80" s="61">
        <f t="shared" si="31"/>
        <v>167.16000000000008</v>
      </c>
      <c r="S80" s="61">
        <f t="shared" si="24"/>
        <v>2005.920000000001</v>
      </c>
      <c r="T80" s="61">
        <f>ROUND(S80*kopsavilkums!$O$23,2)</f>
        <v>473.2</v>
      </c>
      <c r="U80" s="152">
        <f t="shared" si="32"/>
        <v>2479.1200000000008</v>
      </c>
      <c r="V80" s="73"/>
      <c r="W80" s="604"/>
      <c r="X80" s="605"/>
      <c r="Y80" s="605"/>
      <c r="Z80" s="769"/>
      <c r="AB80" s="57"/>
      <c r="AC80" s="57"/>
      <c r="AD80" s="57"/>
      <c r="AE80" s="57"/>
      <c r="AF80" s="57"/>
      <c r="AG80" s="57"/>
      <c r="AH80" s="57"/>
      <c r="AI80" s="57"/>
      <c r="AJ80" s="57"/>
      <c r="AK80" s="57"/>
      <c r="AL80" s="137"/>
      <c r="AO80" s="57"/>
      <c r="AP80" s="57"/>
      <c r="AQ80" s="57"/>
      <c r="AR80" s="57"/>
      <c r="AS80" s="57"/>
      <c r="AT80" s="57"/>
      <c r="AU80" s="57"/>
      <c r="AV80" s="57"/>
      <c r="AW80" s="57"/>
      <c r="AX80" s="57"/>
      <c r="AY80" s="137"/>
    </row>
    <row r="81" spans="1:51" x14ac:dyDescent="0.25">
      <c r="A81" s="620" t="s">
        <v>415</v>
      </c>
      <c r="B81" s="770" t="s">
        <v>585</v>
      </c>
      <c r="C81" s="771"/>
      <c r="D81" s="771">
        <v>13</v>
      </c>
      <c r="E81" s="771" t="s">
        <v>13</v>
      </c>
      <c r="F81" s="771">
        <v>9</v>
      </c>
      <c r="G81" s="772">
        <v>1157</v>
      </c>
      <c r="H81" s="772">
        <v>1653</v>
      </c>
      <c r="I81" s="772">
        <v>2067</v>
      </c>
      <c r="J81" s="773">
        <v>1577</v>
      </c>
      <c r="K81" s="552"/>
      <c r="L81" s="552"/>
      <c r="M81" s="594">
        <v>1</v>
      </c>
      <c r="N81" s="151">
        <f>ROUND(J81*(1+kopsavilkums!$O$8),2)</f>
        <v>1744.16</v>
      </c>
      <c r="O81" s="61">
        <f t="shared" si="26"/>
        <v>0</v>
      </c>
      <c r="P81" s="61">
        <f>ROUND(L81*(1+kopsavilkums!$O$8),2)</f>
        <v>0</v>
      </c>
      <c r="Q81" s="61">
        <f t="shared" si="30"/>
        <v>167.16000000000008</v>
      </c>
      <c r="R81" s="61">
        <f t="shared" si="31"/>
        <v>167.16000000000008</v>
      </c>
      <c r="S81" s="61">
        <f t="shared" si="24"/>
        <v>2005.920000000001</v>
      </c>
      <c r="T81" s="61">
        <f>ROUND(S81*kopsavilkums!$O$23,2)</f>
        <v>473.2</v>
      </c>
      <c r="U81" s="152">
        <f t="shared" si="32"/>
        <v>2479.1200000000008</v>
      </c>
      <c r="V81" s="73"/>
      <c r="W81" s="604"/>
      <c r="X81" s="605"/>
      <c r="Y81" s="605"/>
      <c r="Z81" s="769"/>
      <c r="AB81" s="57"/>
      <c r="AC81" s="57"/>
      <c r="AD81" s="57"/>
      <c r="AE81" s="57"/>
      <c r="AF81" s="57"/>
      <c r="AG81" s="57"/>
      <c r="AH81" s="57"/>
      <c r="AI81" s="57"/>
      <c r="AJ81" s="57"/>
      <c r="AK81" s="57"/>
      <c r="AL81" s="137"/>
      <c r="AO81" s="57"/>
      <c r="AP81" s="57"/>
      <c r="AQ81" s="57"/>
      <c r="AR81" s="57"/>
      <c r="AS81" s="57"/>
      <c r="AT81" s="57"/>
      <c r="AU81" s="57"/>
      <c r="AV81" s="57"/>
      <c r="AW81" s="57"/>
      <c r="AX81" s="57"/>
      <c r="AY81" s="137"/>
    </row>
    <row r="82" spans="1:51" x14ac:dyDescent="0.25">
      <c r="A82" s="620" t="s">
        <v>416</v>
      </c>
      <c r="B82" s="770" t="s">
        <v>585</v>
      </c>
      <c r="C82" s="771"/>
      <c r="D82" s="771">
        <v>13</v>
      </c>
      <c r="E82" s="771" t="s">
        <v>13</v>
      </c>
      <c r="F82" s="771">
        <v>9</v>
      </c>
      <c r="G82" s="772">
        <v>1157</v>
      </c>
      <c r="H82" s="772">
        <v>1653</v>
      </c>
      <c r="I82" s="772">
        <v>2067</v>
      </c>
      <c r="J82" s="773">
        <v>1664</v>
      </c>
      <c r="K82" s="552"/>
      <c r="L82" s="552"/>
      <c r="M82" s="594">
        <v>1</v>
      </c>
      <c r="N82" s="151">
        <f>ROUND(J82*(1+kopsavilkums!$O$8),2)</f>
        <v>1840.38</v>
      </c>
      <c r="O82" s="61">
        <f t="shared" si="26"/>
        <v>0</v>
      </c>
      <c r="P82" s="61">
        <f>ROUND(L82*(1+kopsavilkums!$O$8),2)</f>
        <v>0</v>
      </c>
      <c r="Q82" s="61">
        <f t="shared" si="30"/>
        <v>176.38000000000011</v>
      </c>
      <c r="R82" s="61">
        <f t="shared" si="31"/>
        <v>176.38000000000011</v>
      </c>
      <c r="S82" s="61">
        <f t="shared" si="24"/>
        <v>2116.5600000000013</v>
      </c>
      <c r="T82" s="61">
        <f>ROUND(S82*kopsavilkums!$O$23,2)</f>
        <v>499.3</v>
      </c>
      <c r="U82" s="152">
        <f t="shared" si="32"/>
        <v>2615.8600000000015</v>
      </c>
      <c r="V82" s="73"/>
      <c r="W82" s="604"/>
      <c r="X82" s="605"/>
      <c r="Y82" s="605"/>
      <c r="Z82" s="769"/>
      <c r="AB82" s="57"/>
      <c r="AC82" s="57"/>
      <c r="AD82" s="57"/>
      <c r="AE82" s="57"/>
      <c r="AF82" s="57"/>
      <c r="AG82" s="57"/>
      <c r="AH82" s="57"/>
      <c r="AI82" s="57"/>
      <c r="AJ82" s="57"/>
      <c r="AK82" s="57"/>
      <c r="AL82" s="137"/>
      <c r="AO82" s="57"/>
      <c r="AP82" s="57"/>
      <c r="AQ82" s="57"/>
      <c r="AR82" s="57"/>
      <c r="AS82" s="57"/>
      <c r="AT82" s="57"/>
      <c r="AU82" s="57"/>
      <c r="AV82" s="57"/>
      <c r="AW82" s="57"/>
      <c r="AX82" s="57"/>
      <c r="AY82" s="137"/>
    </row>
    <row r="83" spans="1:51" x14ac:dyDescent="0.25">
      <c r="A83" s="620" t="s">
        <v>416</v>
      </c>
      <c r="B83" s="770" t="s">
        <v>585</v>
      </c>
      <c r="C83" s="771"/>
      <c r="D83" s="771">
        <v>13</v>
      </c>
      <c r="E83" s="771" t="s">
        <v>13</v>
      </c>
      <c r="F83" s="771">
        <v>9</v>
      </c>
      <c r="G83" s="772">
        <v>1157</v>
      </c>
      <c r="H83" s="772">
        <v>1653</v>
      </c>
      <c r="I83" s="772">
        <v>2067</v>
      </c>
      <c r="J83" s="773">
        <v>1664</v>
      </c>
      <c r="K83" s="552"/>
      <c r="L83" s="552"/>
      <c r="M83" s="594">
        <v>1</v>
      </c>
      <c r="N83" s="151">
        <f>ROUND(J83*(1+kopsavilkums!$O$8),2)</f>
        <v>1840.38</v>
      </c>
      <c r="O83" s="61">
        <f t="shared" si="26"/>
        <v>0</v>
      </c>
      <c r="P83" s="61">
        <f>ROUND(L83*(1+kopsavilkums!$O$8),2)</f>
        <v>0</v>
      </c>
      <c r="Q83" s="61">
        <f t="shared" si="30"/>
        <v>176.38000000000011</v>
      </c>
      <c r="R83" s="61">
        <f t="shared" si="31"/>
        <v>176.38000000000011</v>
      </c>
      <c r="S83" s="61">
        <f t="shared" si="24"/>
        <v>2116.5600000000013</v>
      </c>
      <c r="T83" s="61">
        <f>ROUND(S83*kopsavilkums!$O$23,2)</f>
        <v>499.3</v>
      </c>
      <c r="U83" s="152">
        <f t="shared" si="32"/>
        <v>2615.8600000000015</v>
      </c>
      <c r="V83" s="73"/>
      <c r="W83" s="604"/>
      <c r="X83" s="605"/>
      <c r="Y83" s="605"/>
      <c r="Z83" s="769"/>
      <c r="AB83" s="57"/>
      <c r="AC83" s="57"/>
      <c r="AD83" s="57"/>
      <c r="AE83" s="57"/>
      <c r="AF83" s="57"/>
      <c r="AG83" s="57"/>
      <c r="AH83" s="57"/>
      <c r="AI83" s="57"/>
      <c r="AJ83" s="57"/>
      <c r="AK83" s="57"/>
      <c r="AL83" s="137"/>
      <c r="AO83" s="57"/>
      <c r="AP83" s="57"/>
      <c r="AQ83" s="57"/>
      <c r="AR83" s="57"/>
      <c r="AS83" s="57"/>
      <c r="AT83" s="57"/>
      <c r="AU83" s="57"/>
      <c r="AV83" s="57"/>
      <c r="AW83" s="57"/>
      <c r="AX83" s="57"/>
      <c r="AY83" s="137"/>
    </row>
    <row r="84" spans="1:51" x14ac:dyDescent="0.25">
      <c r="A84" s="620" t="s">
        <v>40</v>
      </c>
      <c r="B84" s="770" t="s">
        <v>586</v>
      </c>
      <c r="C84" s="771"/>
      <c r="D84" s="771">
        <v>36</v>
      </c>
      <c r="E84" s="771" t="s">
        <v>22</v>
      </c>
      <c r="F84" s="771">
        <v>8</v>
      </c>
      <c r="G84" s="772">
        <v>967</v>
      </c>
      <c r="H84" s="772">
        <v>1388</v>
      </c>
      <c r="I84" s="772">
        <v>1796</v>
      </c>
      <c r="J84" s="773">
        <v>1388</v>
      </c>
      <c r="K84" s="552"/>
      <c r="L84" s="552"/>
      <c r="M84" s="594">
        <v>1</v>
      </c>
      <c r="N84" s="151">
        <f>ROUND(J84*(1+kopsavilkums!$O$8),2)</f>
        <v>1535.13</v>
      </c>
      <c r="O84" s="61">
        <f t="shared" si="26"/>
        <v>0</v>
      </c>
      <c r="P84" s="61">
        <f>ROUND(L84*(1+kopsavilkums!$O$8),2)</f>
        <v>0</v>
      </c>
      <c r="Q84" s="61">
        <f t="shared" si="30"/>
        <v>147.13000000000011</v>
      </c>
      <c r="R84" s="61">
        <f t="shared" si="31"/>
        <v>147.13000000000011</v>
      </c>
      <c r="S84" s="61">
        <f t="shared" si="24"/>
        <v>1765.5600000000013</v>
      </c>
      <c r="T84" s="61">
        <f>ROUND(S84*kopsavilkums!$O$23,2)</f>
        <v>416.5</v>
      </c>
      <c r="U84" s="152">
        <f t="shared" si="32"/>
        <v>2182.0600000000013</v>
      </c>
      <c r="V84" s="73"/>
      <c r="W84" s="604"/>
      <c r="X84" s="605"/>
      <c r="Y84" s="605"/>
      <c r="Z84" s="769"/>
      <c r="AB84" s="57"/>
      <c r="AC84" s="57"/>
      <c r="AD84" s="57"/>
      <c r="AE84" s="57"/>
      <c r="AF84" s="57"/>
      <c r="AG84" s="57"/>
      <c r="AH84" s="57"/>
      <c r="AI84" s="57"/>
      <c r="AJ84" s="57"/>
      <c r="AK84" s="57"/>
      <c r="AL84" s="137"/>
      <c r="AO84" s="57"/>
      <c r="AP84" s="57"/>
      <c r="AQ84" s="57"/>
      <c r="AR84" s="57"/>
      <c r="AS84" s="57"/>
      <c r="AT84" s="57"/>
      <c r="AU84" s="57"/>
      <c r="AV84" s="57"/>
      <c r="AW84" s="57"/>
      <c r="AX84" s="57"/>
      <c r="AY84" s="137"/>
    </row>
    <row r="85" spans="1:51" x14ac:dyDescent="0.25">
      <c r="A85" s="620" t="s">
        <v>38</v>
      </c>
      <c r="B85" s="770" t="s">
        <v>464</v>
      </c>
      <c r="C85" s="771"/>
      <c r="D85" s="771" t="s">
        <v>407</v>
      </c>
      <c r="E85" s="771" t="s">
        <v>255</v>
      </c>
      <c r="F85" s="771">
        <v>11</v>
      </c>
      <c r="G85" s="772">
        <v>1746</v>
      </c>
      <c r="H85" s="772">
        <v>2496</v>
      </c>
      <c r="I85" s="772">
        <v>3120</v>
      </c>
      <c r="J85" s="773">
        <v>2257</v>
      </c>
      <c r="K85" s="552"/>
      <c r="L85" s="552"/>
      <c r="M85" s="594">
        <v>1</v>
      </c>
      <c r="N85" s="151">
        <f>ROUND(J85*(1+kopsavilkums!$O$8),2)</f>
        <v>2496.2399999999998</v>
      </c>
      <c r="O85" s="61">
        <f t="shared" si="26"/>
        <v>0</v>
      </c>
      <c r="P85" s="61">
        <f>ROUND(L85*(1+kopsavilkums!$O$8),2)</f>
        <v>0</v>
      </c>
      <c r="Q85" s="61">
        <f t="shared" si="30"/>
        <v>239.23999999999978</v>
      </c>
      <c r="R85" s="61">
        <f t="shared" si="31"/>
        <v>239.23999999999978</v>
      </c>
      <c r="S85" s="61">
        <f t="shared" si="24"/>
        <v>2870.8799999999974</v>
      </c>
      <c r="T85" s="61">
        <f>ROUND(S85*kopsavilkums!$O$23,2)</f>
        <v>677.24</v>
      </c>
      <c r="U85" s="152">
        <f t="shared" si="32"/>
        <v>3548.1199999999972</v>
      </c>
      <c r="V85" s="73"/>
      <c r="W85" s="604"/>
      <c r="X85" s="605"/>
      <c r="Y85" s="605"/>
      <c r="Z85" s="769"/>
      <c r="AB85" s="57"/>
      <c r="AC85" s="57"/>
      <c r="AD85" s="57"/>
      <c r="AE85" s="57"/>
      <c r="AF85" s="57"/>
      <c r="AG85" s="57"/>
      <c r="AH85" s="57"/>
      <c r="AI85" s="57"/>
      <c r="AJ85" s="57"/>
      <c r="AK85" s="57"/>
      <c r="AL85" s="137"/>
      <c r="AO85" s="57"/>
      <c r="AP85" s="57"/>
      <c r="AQ85" s="57"/>
      <c r="AR85" s="57"/>
      <c r="AS85" s="57"/>
      <c r="AT85" s="57"/>
      <c r="AU85" s="57"/>
      <c r="AV85" s="57"/>
      <c r="AW85" s="57"/>
      <c r="AX85" s="57"/>
      <c r="AY85" s="137"/>
    </row>
    <row r="86" spans="1:51" x14ac:dyDescent="0.25">
      <c r="A86" s="620" t="s">
        <v>410</v>
      </c>
      <c r="B86" s="770" t="s">
        <v>581</v>
      </c>
      <c r="C86" s="771"/>
      <c r="D86" s="771" t="s">
        <v>407</v>
      </c>
      <c r="E86" s="771" t="s">
        <v>11</v>
      </c>
      <c r="F86" s="771">
        <v>9</v>
      </c>
      <c r="G86" s="772">
        <v>1157</v>
      </c>
      <c r="H86" s="772">
        <v>1653</v>
      </c>
      <c r="I86" s="772">
        <v>2067</v>
      </c>
      <c r="J86" s="773">
        <v>1500</v>
      </c>
      <c r="K86" s="552"/>
      <c r="L86" s="552"/>
      <c r="M86" s="594">
        <v>1</v>
      </c>
      <c r="N86" s="151">
        <f>ROUND(J86*(1+kopsavilkums!$O$8),2)</f>
        <v>1659</v>
      </c>
      <c r="O86" s="61">
        <f t="shared" si="26"/>
        <v>0</v>
      </c>
      <c r="P86" s="61">
        <f>ROUND(L86*(1+kopsavilkums!$O$8),2)</f>
        <v>0</v>
      </c>
      <c r="Q86" s="61">
        <f t="shared" si="30"/>
        <v>159</v>
      </c>
      <c r="R86" s="61">
        <f t="shared" si="31"/>
        <v>159</v>
      </c>
      <c r="S86" s="61">
        <f t="shared" si="24"/>
        <v>1908</v>
      </c>
      <c r="T86" s="61">
        <f>ROUND(S86*kopsavilkums!$O$23,2)</f>
        <v>450.1</v>
      </c>
      <c r="U86" s="152">
        <f t="shared" si="32"/>
        <v>2358.1</v>
      </c>
      <c r="V86" s="73"/>
      <c r="W86" s="604"/>
      <c r="X86" s="605"/>
      <c r="Y86" s="605"/>
      <c r="Z86" s="769"/>
      <c r="AB86" s="57"/>
      <c r="AC86" s="57"/>
      <c r="AD86" s="57"/>
      <c r="AE86" s="57"/>
      <c r="AF86" s="57"/>
      <c r="AG86" s="57"/>
      <c r="AH86" s="57"/>
      <c r="AI86" s="57"/>
      <c r="AJ86" s="57"/>
      <c r="AK86" s="57"/>
      <c r="AL86" s="137"/>
      <c r="AO86" s="57"/>
      <c r="AP86" s="57"/>
      <c r="AQ86" s="57"/>
      <c r="AR86" s="57"/>
      <c r="AS86" s="57"/>
      <c r="AT86" s="57"/>
      <c r="AU86" s="57"/>
      <c r="AV86" s="57"/>
      <c r="AW86" s="57"/>
      <c r="AX86" s="57"/>
      <c r="AY86" s="137"/>
    </row>
    <row r="87" spans="1:51" x14ac:dyDescent="0.25">
      <c r="A87" s="620" t="s">
        <v>411</v>
      </c>
      <c r="B87" s="770" t="s">
        <v>582</v>
      </c>
      <c r="C87" s="771"/>
      <c r="D87" s="771" t="s">
        <v>407</v>
      </c>
      <c r="E87" s="771" t="s">
        <v>13</v>
      </c>
      <c r="F87" s="771">
        <v>8</v>
      </c>
      <c r="G87" s="772">
        <v>967</v>
      </c>
      <c r="H87" s="772">
        <v>1388</v>
      </c>
      <c r="I87" s="772">
        <v>1796</v>
      </c>
      <c r="J87" s="773">
        <v>1388</v>
      </c>
      <c r="K87" s="552"/>
      <c r="L87" s="552"/>
      <c r="M87" s="594">
        <v>1</v>
      </c>
      <c r="N87" s="151">
        <f>ROUND(J87*(1+kopsavilkums!$O$8),2)</f>
        <v>1535.13</v>
      </c>
      <c r="O87" s="61">
        <f t="shared" si="26"/>
        <v>0</v>
      </c>
      <c r="P87" s="61">
        <f>ROUND(L87*(1+kopsavilkums!$O$8),2)</f>
        <v>0</v>
      </c>
      <c r="Q87" s="61">
        <f t="shared" si="30"/>
        <v>147.13000000000011</v>
      </c>
      <c r="R87" s="61">
        <f t="shared" si="31"/>
        <v>147.13000000000011</v>
      </c>
      <c r="S87" s="61">
        <f t="shared" si="24"/>
        <v>1765.5600000000013</v>
      </c>
      <c r="T87" s="61">
        <f>ROUND(S87*kopsavilkums!$O$23,2)</f>
        <v>416.5</v>
      </c>
      <c r="U87" s="152">
        <f t="shared" si="32"/>
        <v>2182.0600000000013</v>
      </c>
      <c r="V87" s="73"/>
      <c r="W87" s="604"/>
      <c r="X87" s="605"/>
      <c r="Y87" s="605"/>
      <c r="Z87" s="769"/>
      <c r="AB87" s="57"/>
      <c r="AC87" s="57"/>
      <c r="AD87" s="57"/>
      <c r="AE87" s="57"/>
      <c r="AF87" s="57"/>
      <c r="AG87" s="57"/>
      <c r="AH87" s="57"/>
      <c r="AI87" s="57"/>
      <c r="AJ87" s="57"/>
      <c r="AK87" s="57"/>
      <c r="AL87" s="137"/>
      <c r="AO87" s="57"/>
      <c r="AP87" s="57"/>
      <c r="AQ87" s="57"/>
      <c r="AR87" s="57"/>
      <c r="AS87" s="57"/>
      <c r="AT87" s="57"/>
      <c r="AU87" s="57"/>
      <c r="AV87" s="57"/>
      <c r="AW87" s="57"/>
      <c r="AX87" s="57"/>
      <c r="AY87" s="137"/>
    </row>
    <row r="88" spans="1:51" x14ac:dyDescent="0.25">
      <c r="A88" s="620" t="s">
        <v>411</v>
      </c>
      <c r="B88" s="770" t="s">
        <v>582</v>
      </c>
      <c r="C88" s="771"/>
      <c r="D88" s="771" t="s">
        <v>407</v>
      </c>
      <c r="E88" s="771" t="s">
        <v>13</v>
      </c>
      <c r="F88" s="771">
        <v>8</v>
      </c>
      <c r="G88" s="772">
        <v>967</v>
      </c>
      <c r="H88" s="772">
        <v>1388</v>
      </c>
      <c r="I88" s="772">
        <v>1796</v>
      </c>
      <c r="J88" s="773">
        <v>1300</v>
      </c>
      <c r="K88" s="552"/>
      <c r="L88" s="552"/>
      <c r="M88" s="594">
        <v>1</v>
      </c>
      <c r="N88" s="151">
        <f>ROUND(J88*(1+kopsavilkums!$O$8),2)</f>
        <v>1437.8</v>
      </c>
      <c r="O88" s="61">
        <f t="shared" si="26"/>
        <v>0</v>
      </c>
      <c r="P88" s="61">
        <f>ROUND(L88*(1+kopsavilkums!$O$8),2)</f>
        <v>0</v>
      </c>
      <c r="Q88" s="61">
        <f t="shared" si="30"/>
        <v>137.79999999999995</v>
      </c>
      <c r="R88" s="61">
        <f t="shared" si="31"/>
        <v>137.79999999999995</v>
      </c>
      <c r="S88" s="61">
        <f t="shared" si="24"/>
        <v>1653.5999999999995</v>
      </c>
      <c r="T88" s="61">
        <f>ROUND(S88*kopsavilkums!$O$23,2)</f>
        <v>390.08</v>
      </c>
      <c r="U88" s="152">
        <f t="shared" si="32"/>
        <v>2043.6799999999994</v>
      </c>
      <c r="V88" s="73"/>
      <c r="W88" s="604"/>
      <c r="X88" s="605"/>
      <c r="Y88" s="605"/>
      <c r="Z88" s="769"/>
      <c r="AB88" s="57"/>
      <c r="AC88" s="57"/>
      <c r="AD88" s="57"/>
      <c r="AE88" s="57"/>
      <c r="AF88" s="57"/>
      <c r="AG88" s="57"/>
      <c r="AH88" s="57"/>
      <c r="AI88" s="57"/>
      <c r="AJ88" s="57"/>
      <c r="AK88" s="57"/>
      <c r="AL88" s="137"/>
      <c r="AO88" s="57"/>
      <c r="AP88" s="57"/>
      <c r="AQ88" s="57"/>
      <c r="AR88" s="57"/>
      <c r="AS88" s="57"/>
      <c r="AT88" s="57"/>
      <c r="AU88" s="57"/>
      <c r="AV88" s="57"/>
      <c r="AW88" s="57"/>
      <c r="AX88" s="57"/>
      <c r="AY88" s="137"/>
    </row>
    <row r="89" spans="1:51" x14ac:dyDescent="0.25">
      <c r="A89" s="620" t="s">
        <v>411</v>
      </c>
      <c r="B89" s="770" t="s">
        <v>582</v>
      </c>
      <c r="C89" s="771"/>
      <c r="D89" s="771" t="s">
        <v>407</v>
      </c>
      <c r="E89" s="771" t="s">
        <v>13</v>
      </c>
      <c r="F89" s="771">
        <v>8</v>
      </c>
      <c r="G89" s="772">
        <v>967</v>
      </c>
      <c r="H89" s="772">
        <v>1388</v>
      </c>
      <c r="I89" s="772">
        <v>1796</v>
      </c>
      <c r="J89" s="773">
        <v>1388</v>
      </c>
      <c r="K89" s="552"/>
      <c r="L89" s="552"/>
      <c r="M89" s="594">
        <v>1</v>
      </c>
      <c r="N89" s="151">
        <f>ROUND(J89*(1+kopsavilkums!$O$8),2)</f>
        <v>1535.13</v>
      </c>
      <c r="O89" s="61">
        <f t="shared" si="26"/>
        <v>0</v>
      </c>
      <c r="P89" s="61">
        <f>ROUND(L89*(1+kopsavilkums!$O$8),2)</f>
        <v>0</v>
      </c>
      <c r="Q89" s="61">
        <f t="shared" si="30"/>
        <v>147.13000000000011</v>
      </c>
      <c r="R89" s="61">
        <f t="shared" si="31"/>
        <v>147.13000000000011</v>
      </c>
      <c r="S89" s="61">
        <f t="shared" si="24"/>
        <v>1765.5600000000013</v>
      </c>
      <c r="T89" s="61">
        <f>ROUND(S89*kopsavilkums!$O$23,2)</f>
        <v>416.5</v>
      </c>
      <c r="U89" s="152">
        <f t="shared" si="32"/>
        <v>2182.0600000000013</v>
      </c>
      <c r="V89" s="73"/>
      <c r="W89" s="604"/>
      <c r="X89" s="605"/>
      <c r="Y89" s="605"/>
      <c r="Z89" s="769"/>
      <c r="AB89" s="57"/>
      <c r="AC89" s="57"/>
      <c r="AD89" s="57"/>
      <c r="AE89" s="57"/>
      <c r="AF89" s="57"/>
      <c r="AG89" s="57"/>
      <c r="AH89" s="57"/>
      <c r="AI89" s="57"/>
      <c r="AJ89" s="57"/>
      <c r="AK89" s="57"/>
      <c r="AL89" s="137"/>
      <c r="AO89" s="57"/>
      <c r="AP89" s="57"/>
      <c r="AQ89" s="57"/>
      <c r="AR89" s="57"/>
      <c r="AS89" s="57"/>
      <c r="AT89" s="57"/>
      <c r="AU89" s="57"/>
      <c r="AV89" s="57"/>
      <c r="AW89" s="57"/>
      <c r="AX89" s="57"/>
      <c r="AY89" s="137"/>
    </row>
    <row r="90" spans="1:51" x14ac:dyDescent="0.25">
      <c r="A90" s="620" t="s">
        <v>409</v>
      </c>
      <c r="B90" s="770" t="s">
        <v>579</v>
      </c>
      <c r="C90" s="771"/>
      <c r="D90" s="771">
        <v>36</v>
      </c>
      <c r="E90" s="771" t="s">
        <v>13</v>
      </c>
      <c r="F90" s="771">
        <v>9</v>
      </c>
      <c r="G90" s="772">
        <v>1157</v>
      </c>
      <c r="H90" s="772">
        <v>1653</v>
      </c>
      <c r="I90" s="772">
        <v>2067</v>
      </c>
      <c r="J90" s="773">
        <v>1364</v>
      </c>
      <c r="K90" s="552"/>
      <c r="L90" s="552"/>
      <c r="M90" s="594">
        <v>1</v>
      </c>
      <c r="N90" s="151">
        <f>ROUND(J90*(1+kopsavilkums!$O$8),2)</f>
        <v>1508.58</v>
      </c>
      <c r="O90" s="61">
        <f t="shared" si="26"/>
        <v>0</v>
      </c>
      <c r="P90" s="61">
        <f>ROUND(L90*(1+kopsavilkums!$O$8),2)</f>
        <v>0</v>
      </c>
      <c r="Q90" s="61">
        <f t="shared" si="30"/>
        <v>144.57999999999993</v>
      </c>
      <c r="R90" s="61">
        <f t="shared" si="31"/>
        <v>144.57999999999993</v>
      </c>
      <c r="S90" s="61">
        <f t="shared" si="24"/>
        <v>1734.9599999999991</v>
      </c>
      <c r="T90" s="61">
        <f>ROUND(S90*kopsavilkums!$O$23,2)</f>
        <v>409.28</v>
      </c>
      <c r="U90" s="152">
        <f t="shared" si="32"/>
        <v>2144.2399999999989</v>
      </c>
      <c r="V90" s="73"/>
      <c r="W90" s="604"/>
      <c r="X90" s="605"/>
      <c r="Y90" s="605"/>
      <c r="Z90" s="769"/>
      <c r="AB90" s="57"/>
      <c r="AC90" s="57"/>
      <c r="AD90" s="57"/>
      <c r="AE90" s="57"/>
      <c r="AF90" s="57"/>
      <c r="AG90" s="57"/>
      <c r="AH90" s="57"/>
      <c r="AI90" s="57"/>
      <c r="AJ90" s="57"/>
      <c r="AK90" s="57"/>
      <c r="AL90" s="137"/>
      <c r="AO90" s="57"/>
      <c r="AP90" s="57"/>
      <c r="AQ90" s="57"/>
      <c r="AR90" s="57"/>
      <c r="AS90" s="57"/>
      <c r="AT90" s="57"/>
      <c r="AU90" s="57"/>
      <c r="AV90" s="57"/>
      <c r="AW90" s="57"/>
      <c r="AX90" s="57"/>
      <c r="AY90" s="137"/>
    </row>
    <row r="91" spans="1:51" x14ac:dyDescent="0.25">
      <c r="A91" s="620" t="s">
        <v>38</v>
      </c>
      <c r="B91" s="770" t="s">
        <v>464</v>
      </c>
      <c r="C91" s="771"/>
      <c r="D91" s="771" t="s">
        <v>407</v>
      </c>
      <c r="E91" s="771" t="s">
        <v>255</v>
      </c>
      <c r="F91" s="771">
        <v>11</v>
      </c>
      <c r="G91" s="772">
        <v>1746</v>
      </c>
      <c r="H91" s="772">
        <v>2496</v>
      </c>
      <c r="I91" s="772">
        <v>3120</v>
      </c>
      <c r="J91" s="773">
        <v>2257</v>
      </c>
      <c r="K91" s="552"/>
      <c r="L91" s="552"/>
      <c r="M91" s="594">
        <v>1</v>
      </c>
      <c r="N91" s="151">
        <f>ROUND(J91*(1+kopsavilkums!$O$8),2)</f>
        <v>2496.2399999999998</v>
      </c>
      <c r="O91" s="61">
        <f t="shared" si="26"/>
        <v>0</v>
      </c>
      <c r="P91" s="61">
        <f>ROUND(L91*(1+kopsavilkums!$O$8),2)</f>
        <v>0</v>
      </c>
      <c r="Q91" s="61">
        <f t="shared" si="30"/>
        <v>239.23999999999978</v>
      </c>
      <c r="R91" s="61">
        <f t="shared" si="31"/>
        <v>239.23999999999978</v>
      </c>
      <c r="S91" s="61">
        <f t="shared" si="24"/>
        <v>2870.8799999999974</v>
      </c>
      <c r="T91" s="61">
        <f>ROUND(S91*kopsavilkums!$O$23,2)</f>
        <v>677.24</v>
      </c>
      <c r="U91" s="152">
        <f t="shared" si="32"/>
        <v>3548.1199999999972</v>
      </c>
      <c r="V91" s="73"/>
      <c r="W91" s="604"/>
      <c r="X91" s="605"/>
      <c r="Y91" s="605"/>
      <c r="Z91" s="769"/>
      <c r="AB91" s="57"/>
      <c r="AC91" s="57"/>
      <c r="AD91" s="57"/>
      <c r="AE91" s="57"/>
      <c r="AF91" s="57"/>
      <c r="AG91" s="57"/>
      <c r="AH91" s="57"/>
      <c r="AI91" s="57"/>
      <c r="AJ91" s="57"/>
      <c r="AK91" s="57"/>
      <c r="AL91" s="137"/>
      <c r="AO91" s="57"/>
      <c r="AP91" s="57"/>
      <c r="AQ91" s="57"/>
      <c r="AR91" s="57"/>
      <c r="AS91" s="57"/>
      <c r="AT91" s="57"/>
      <c r="AU91" s="57"/>
      <c r="AV91" s="57"/>
      <c r="AW91" s="57"/>
      <c r="AX91" s="57"/>
      <c r="AY91" s="137"/>
    </row>
    <row r="92" spans="1:51" x14ac:dyDescent="0.25">
      <c r="A92" s="620" t="s">
        <v>38</v>
      </c>
      <c r="B92" s="770" t="s">
        <v>464</v>
      </c>
      <c r="C92" s="771"/>
      <c r="D92" s="771" t="s">
        <v>407</v>
      </c>
      <c r="E92" s="771" t="s">
        <v>255</v>
      </c>
      <c r="F92" s="771">
        <v>11</v>
      </c>
      <c r="G92" s="772">
        <v>1746</v>
      </c>
      <c r="H92" s="772">
        <v>2496</v>
      </c>
      <c r="I92" s="772">
        <v>3120</v>
      </c>
      <c r="J92" s="773">
        <v>2257</v>
      </c>
      <c r="K92" s="552"/>
      <c r="L92" s="552"/>
      <c r="M92" s="594">
        <v>1</v>
      </c>
      <c r="N92" s="151">
        <f>ROUND(J92*(1+kopsavilkums!$O$8),2)</f>
        <v>2496.2399999999998</v>
      </c>
      <c r="O92" s="61">
        <f t="shared" si="26"/>
        <v>0</v>
      </c>
      <c r="P92" s="61">
        <f>ROUND(L92*(1+kopsavilkums!$O$8),2)</f>
        <v>0</v>
      </c>
      <c r="Q92" s="61">
        <f t="shared" si="30"/>
        <v>239.23999999999978</v>
      </c>
      <c r="R92" s="61">
        <f t="shared" ref="R92:R120" si="33">Q92*M92</f>
        <v>239.23999999999978</v>
      </c>
      <c r="S92" s="61">
        <f t="shared" ref="S92:S120" si="34">R92*12</f>
        <v>2870.8799999999974</v>
      </c>
      <c r="T92" s="61">
        <f>ROUND(S92*kopsavilkums!$O$23,2)</f>
        <v>677.24</v>
      </c>
      <c r="U92" s="152">
        <f t="shared" ref="U92:U120" si="35">SUM(S92:T92)</f>
        <v>3548.1199999999972</v>
      </c>
      <c r="V92" s="73"/>
      <c r="W92" s="604"/>
      <c r="X92" s="605"/>
      <c r="Y92" s="605"/>
      <c r="Z92" s="769"/>
      <c r="AB92" s="57"/>
      <c r="AC92" s="57"/>
      <c r="AD92" s="57"/>
      <c r="AE92" s="57"/>
      <c r="AF92" s="57"/>
      <c r="AG92" s="57"/>
      <c r="AH92" s="57"/>
      <c r="AI92" s="57"/>
      <c r="AJ92" s="57"/>
      <c r="AK92" s="57"/>
      <c r="AL92" s="137"/>
      <c r="AO92" s="57"/>
      <c r="AP92" s="57"/>
      <c r="AQ92" s="57"/>
      <c r="AR92" s="57"/>
      <c r="AS92" s="57"/>
      <c r="AT92" s="57"/>
      <c r="AU92" s="57"/>
      <c r="AV92" s="57"/>
      <c r="AW92" s="57"/>
      <c r="AX92" s="57"/>
      <c r="AY92" s="137"/>
    </row>
    <row r="93" spans="1:51" x14ac:dyDescent="0.25">
      <c r="A93" s="620" t="s">
        <v>420</v>
      </c>
      <c r="B93" s="770" t="s">
        <v>581</v>
      </c>
      <c r="C93" s="771"/>
      <c r="D93" s="771" t="s">
        <v>407</v>
      </c>
      <c r="E93" s="771" t="s">
        <v>11</v>
      </c>
      <c r="F93" s="771">
        <v>9</v>
      </c>
      <c r="G93" s="772">
        <v>1157</v>
      </c>
      <c r="H93" s="772">
        <v>1653</v>
      </c>
      <c r="I93" s="772">
        <v>2067</v>
      </c>
      <c r="J93" s="773">
        <v>1577</v>
      </c>
      <c r="K93" s="552"/>
      <c r="L93" s="552"/>
      <c r="M93" s="594">
        <v>1</v>
      </c>
      <c r="N93" s="151">
        <f>ROUND(J93*(1+kopsavilkums!$O$8),2)</f>
        <v>1744.16</v>
      </c>
      <c r="O93" s="61">
        <f t="shared" si="26"/>
        <v>0</v>
      </c>
      <c r="P93" s="61">
        <f>ROUND(L93*(1+kopsavilkums!$O$8),2)</f>
        <v>0</v>
      </c>
      <c r="Q93" s="61">
        <f t="shared" si="30"/>
        <v>167.16000000000008</v>
      </c>
      <c r="R93" s="61">
        <f t="shared" si="33"/>
        <v>167.16000000000008</v>
      </c>
      <c r="S93" s="61">
        <f t="shared" si="34"/>
        <v>2005.920000000001</v>
      </c>
      <c r="T93" s="61">
        <f>ROUND(S93*kopsavilkums!$O$23,2)</f>
        <v>473.2</v>
      </c>
      <c r="U93" s="152">
        <f t="shared" si="35"/>
        <v>2479.1200000000008</v>
      </c>
      <c r="V93" s="73"/>
      <c r="W93" s="604"/>
      <c r="X93" s="605"/>
      <c r="Y93" s="605"/>
      <c r="Z93" s="769"/>
      <c r="AB93" s="57"/>
      <c r="AC93" s="57"/>
      <c r="AD93" s="57"/>
      <c r="AE93" s="57"/>
      <c r="AF93" s="57"/>
      <c r="AG93" s="57"/>
      <c r="AH93" s="57"/>
      <c r="AI93" s="57"/>
      <c r="AJ93" s="57"/>
      <c r="AK93" s="57"/>
      <c r="AL93" s="137"/>
      <c r="AO93" s="57"/>
      <c r="AP93" s="57"/>
      <c r="AQ93" s="57"/>
      <c r="AR93" s="57"/>
      <c r="AS93" s="57"/>
      <c r="AT93" s="57"/>
      <c r="AU93" s="57"/>
      <c r="AV93" s="57"/>
      <c r="AW93" s="57"/>
      <c r="AX93" s="57"/>
      <c r="AY93" s="137"/>
    </row>
    <row r="94" spans="1:51" x14ac:dyDescent="0.25">
      <c r="A94" s="620" t="s">
        <v>415</v>
      </c>
      <c r="B94" s="770" t="s">
        <v>585</v>
      </c>
      <c r="C94" s="771"/>
      <c r="D94" s="771">
        <v>13</v>
      </c>
      <c r="E94" s="771" t="s">
        <v>13</v>
      </c>
      <c r="F94" s="771">
        <v>9</v>
      </c>
      <c r="G94" s="772">
        <v>1157</v>
      </c>
      <c r="H94" s="772">
        <v>1653</v>
      </c>
      <c r="I94" s="772">
        <v>2067</v>
      </c>
      <c r="J94" s="773">
        <v>1577</v>
      </c>
      <c r="K94" s="552"/>
      <c r="L94" s="552"/>
      <c r="M94" s="594">
        <v>1</v>
      </c>
      <c r="N94" s="151">
        <f>ROUND(J94*(1+kopsavilkums!$O$8),2)</f>
        <v>1744.16</v>
      </c>
      <c r="O94" s="61">
        <f t="shared" si="26"/>
        <v>0</v>
      </c>
      <c r="P94" s="61">
        <f>ROUND(L94*(1+kopsavilkums!$O$8),2)</f>
        <v>0</v>
      </c>
      <c r="Q94" s="61">
        <f t="shared" si="30"/>
        <v>167.16000000000008</v>
      </c>
      <c r="R94" s="61">
        <f t="shared" si="33"/>
        <v>167.16000000000008</v>
      </c>
      <c r="S94" s="61">
        <f t="shared" si="34"/>
        <v>2005.920000000001</v>
      </c>
      <c r="T94" s="61">
        <f>ROUND(S94*kopsavilkums!$O$23,2)</f>
        <v>473.2</v>
      </c>
      <c r="U94" s="152">
        <f t="shared" si="35"/>
        <v>2479.1200000000008</v>
      </c>
      <c r="V94" s="73"/>
      <c r="W94" s="604"/>
      <c r="X94" s="605"/>
      <c r="Y94" s="605"/>
      <c r="Z94" s="769"/>
      <c r="AB94" s="57"/>
      <c r="AC94" s="57"/>
      <c r="AD94" s="57"/>
      <c r="AE94" s="57"/>
      <c r="AF94" s="57"/>
      <c r="AG94" s="57"/>
      <c r="AH94" s="57"/>
      <c r="AI94" s="57"/>
      <c r="AJ94" s="57"/>
      <c r="AK94" s="57"/>
      <c r="AL94" s="137"/>
      <c r="AO94" s="57"/>
      <c r="AP94" s="57"/>
      <c r="AQ94" s="57"/>
      <c r="AR94" s="57"/>
      <c r="AS94" s="57"/>
      <c r="AT94" s="57"/>
      <c r="AU94" s="57"/>
      <c r="AV94" s="57"/>
      <c r="AW94" s="57"/>
      <c r="AX94" s="57"/>
      <c r="AY94" s="137"/>
    </row>
    <row r="95" spans="1:51" x14ac:dyDescent="0.25">
      <c r="A95" s="620" t="s">
        <v>416</v>
      </c>
      <c r="B95" s="770" t="s">
        <v>585</v>
      </c>
      <c r="C95" s="771"/>
      <c r="D95" s="771">
        <v>13</v>
      </c>
      <c r="E95" s="771" t="s">
        <v>13</v>
      </c>
      <c r="F95" s="771">
        <v>9</v>
      </c>
      <c r="G95" s="772">
        <v>1157</v>
      </c>
      <c r="H95" s="772">
        <v>1653</v>
      </c>
      <c r="I95" s="772">
        <v>2067</v>
      </c>
      <c r="J95" s="773">
        <v>1664</v>
      </c>
      <c r="K95" s="552"/>
      <c r="L95" s="552"/>
      <c r="M95" s="594">
        <v>1</v>
      </c>
      <c r="N95" s="151">
        <f>ROUND(J95*(1+kopsavilkums!$O$8),2)</f>
        <v>1840.38</v>
      </c>
      <c r="O95" s="61">
        <f t="shared" si="26"/>
        <v>0</v>
      </c>
      <c r="P95" s="61">
        <f>ROUND(L95*(1+kopsavilkums!$O$8),2)</f>
        <v>0</v>
      </c>
      <c r="Q95" s="61">
        <f t="shared" si="30"/>
        <v>176.38000000000011</v>
      </c>
      <c r="R95" s="61">
        <f t="shared" si="33"/>
        <v>176.38000000000011</v>
      </c>
      <c r="S95" s="61">
        <f t="shared" si="34"/>
        <v>2116.5600000000013</v>
      </c>
      <c r="T95" s="61">
        <f>ROUND(S95*kopsavilkums!$O$23,2)</f>
        <v>499.3</v>
      </c>
      <c r="U95" s="152">
        <f t="shared" si="35"/>
        <v>2615.8600000000015</v>
      </c>
      <c r="V95" s="73"/>
      <c r="W95" s="604"/>
      <c r="X95" s="605"/>
      <c r="Y95" s="605"/>
      <c r="Z95" s="769"/>
      <c r="AB95" s="57"/>
      <c r="AC95" s="57"/>
      <c r="AD95" s="57"/>
      <c r="AE95" s="57"/>
      <c r="AF95" s="57"/>
      <c r="AG95" s="57"/>
      <c r="AH95" s="57"/>
      <c r="AI95" s="57"/>
      <c r="AJ95" s="57"/>
      <c r="AK95" s="57"/>
      <c r="AL95" s="137"/>
      <c r="AO95" s="57"/>
      <c r="AP95" s="57"/>
      <c r="AQ95" s="57"/>
      <c r="AR95" s="57"/>
      <c r="AS95" s="57"/>
      <c r="AT95" s="57"/>
      <c r="AU95" s="57"/>
      <c r="AV95" s="57"/>
      <c r="AW95" s="57"/>
      <c r="AX95" s="57"/>
      <c r="AY95" s="137"/>
    </row>
    <row r="96" spans="1:51" x14ac:dyDescent="0.25">
      <c r="A96" s="620" t="s">
        <v>415</v>
      </c>
      <c r="B96" s="770" t="s">
        <v>585</v>
      </c>
      <c r="C96" s="771"/>
      <c r="D96" s="771">
        <v>13</v>
      </c>
      <c r="E96" s="771" t="s">
        <v>13</v>
      </c>
      <c r="F96" s="771">
        <v>9</v>
      </c>
      <c r="G96" s="772">
        <v>1157</v>
      </c>
      <c r="H96" s="772">
        <v>1653</v>
      </c>
      <c r="I96" s="772">
        <v>2067</v>
      </c>
      <c r="J96" s="773">
        <v>1577</v>
      </c>
      <c r="K96" s="552"/>
      <c r="L96" s="552"/>
      <c r="M96" s="594">
        <v>1</v>
      </c>
      <c r="N96" s="151">
        <f>ROUND(J96*(1+kopsavilkums!$O$8),2)</f>
        <v>1744.16</v>
      </c>
      <c r="O96" s="61">
        <f t="shared" si="26"/>
        <v>0</v>
      </c>
      <c r="P96" s="61">
        <f>ROUND(L96*(1+kopsavilkums!$O$8),2)</f>
        <v>0</v>
      </c>
      <c r="Q96" s="61">
        <f t="shared" si="30"/>
        <v>167.16000000000008</v>
      </c>
      <c r="R96" s="61">
        <f t="shared" si="33"/>
        <v>167.16000000000008</v>
      </c>
      <c r="S96" s="61">
        <f t="shared" si="34"/>
        <v>2005.920000000001</v>
      </c>
      <c r="T96" s="61">
        <f>ROUND(S96*kopsavilkums!$O$23,2)</f>
        <v>473.2</v>
      </c>
      <c r="U96" s="152">
        <f t="shared" si="35"/>
        <v>2479.1200000000008</v>
      </c>
      <c r="V96" s="73"/>
      <c r="W96" s="604"/>
      <c r="X96" s="605"/>
      <c r="Y96" s="605"/>
      <c r="Z96" s="769"/>
      <c r="AB96" s="57"/>
      <c r="AC96" s="57"/>
      <c r="AD96" s="57"/>
      <c r="AE96" s="57"/>
      <c r="AF96" s="57"/>
      <c r="AG96" s="57"/>
      <c r="AH96" s="57"/>
      <c r="AI96" s="57"/>
      <c r="AJ96" s="57"/>
      <c r="AK96" s="57"/>
      <c r="AL96" s="137"/>
      <c r="AO96" s="57"/>
      <c r="AP96" s="57"/>
      <c r="AQ96" s="57"/>
      <c r="AR96" s="57"/>
      <c r="AS96" s="57"/>
      <c r="AT96" s="57"/>
      <c r="AU96" s="57"/>
      <c r="AV96" s="57"/>
      <c r="AW96" s="57"/>
      <c r="AX96" s="57"/>
      <c r="AY96" s="137"/>
    </row>
    <row r="97" spans="1:51" x14ac:dyDescent="0.25">
      <c r="A97" s="620" t="s">
        <v>419</v>
      </c>
      <c r="B97" s="770" t="s">
        <v>582</v>
      </c>
      <c r="C97" s="771"/>
      <c r="D97" s="771" t="s">
        <v>407</v>
      </c>
      <c r="E97" s="771" t="s">
        <v>13</v>
      </c>
      <c r="F97" s="771">
        <v>8</v>
      </c>
      <c r="G97" s="772">
        <v>967</v>
      </c>
      <c r="H97" s="772">
        <v>1388</v>
      </c>
      <c r="I97" s="772">
        <v>1796</v>
      </c>
      <c r="J97" s="773">
        <v>1053</v>
      </c>
      <c r="K97" s="552"/>
      <c r="L97" s="552"/>
      <c r="M97" s="594">
        <v>1</v>
      </c>
      <c r="N97" s="151">
        <f>ROUND(J97*(1+kopsavilkums!$O$8),2)</f>
        <v>1164.6199999999999</v>
      </c>
      <c r="O97" s="61">
        <f t="shared" si="26"/>
        <v>0</v>
      </c>
      <c r="P97" s="61">
        <f>ROUND(L97*(1+kopsavilkums!$O$8),2)</f>
        <v>0</v>
      </c>
      <c r="Q97" s="61">
        <f t="shared" si="30"/>
        <v>111.61999999999989</v>
      </c>
      <c r="R97" s="61">
        <f t="shared" si="33"/>
        <v>111.61999999999989</v>
      </c>
      <c r="S97" s="61">
        <f t="shared" si="34"/>
        <v>1339.4399999999987</v>
      </c>
      <c r="T97" s="61">
        <f>ROUND(S97*kopsavilkums!$O$23,2)</f>
        <v>315.97000000000003</v>
      </c>
      <c r="U97" s="152">
        <f t="shared" si="35"/>
        <v>1655.4099999999987</v>
      </c>
      <c r="V97" s="73"/>
      <c r="W97" s="604"/>
      <c r="X97" s="605"/>
      <c r="Y97" s="605"/>
      <c r="Z97" s="769"/>
      <c r="AB97" s="57"/>
      <c r="AC97" s="57"/>
      <c r="AD97" s="57"/>
      <c r="AE97" s="57"/>
      <c r="AF97" s="57"/>
      <c r="AG97" s="57"/>
      <c r="AH97" s="57"/>
      <c r="AI97" s="57"/>
      <c r="AJ97" s="57"/>
      <c r="AK97" s="57"/>
      <c r="AL97" s="137"/>
      <c r="AO97" s="57"/>
      <c r="AP97" s="57"/>
      <c r="AQ97" s="57"/>
      <c r="AR97" s="57"/>
      <c r="AS97" s="57"/>
      <c r="AT97" s="57"/>
      <c r="AU97" s="57"/>
      <c r="AV97" s="57"/>
      <c r="AW97" s="57"/>
      <c r="AX97" s="57"/>
      <c r="AY97" s="137"/>
    </row>
    <row r="98" spans="1:51" x14ac:dyDescent="0.25">
      <c r="A98" s="620" t="s">
        <v>418</v>
      </c>
      <c r="B98" s="770" t="s">
        <v>582</v>
      </c>
      <c r="C98" s="771"/>
      <c r="D98" s="771" t="s">
        <v>407</v>
      </c>
      <c r="E98" s="771" t="s">
        <v>13</v>
      </c>
      <c r="F98" s="771">
        <v>8</v>
      </c>
      <c r="G98" s="772">
        <v>967</v>
      </c>
      <c r="H98" s="772">
        <v>1388</v>
      </c>
      <c r="I98" s="772">
        <v>1796</v>
      </c>
      <c r="J98" s="773">
        <v>1388</v>
      </c>
      <c r="K98" s="552"/>
      <c r="L98" s="552"/>
      <c r="M98" s="594">
        <v>1</v>
      </c>
      <c r="N98" s="151">
        <f>ROUND(J98*(1+kopsavilkums!$O$8),2)</f>
        <v>1535.13</v>
      </c>
      <c r="O98" s="61">
        <f t="shared" si="26"/>
        <v>0</v>
      </c>
      <c r="P98" s="61">
        <f>ROUND(L98*(1+kopsavilkums!$O$8),2)</f>
        <v>0</v>
      </c>
      <c r="Q98" s="61">
        <f t="shared" si="30"/>
        <v>147.13000000000011</v>
      </c>
      <c r="R98" s="61">
        <f t="shared" si="33"/>
        <v>147.13000000000011</v>
      </c>
      <c r="S98" s="61">
        <f t="shared" si="34"/>
        <v>1765.5600000000013</v>
      </c>
      <c r="T98" s="61">
        <f>ROUND(S98*kopsavilkums!$O$23,2)</f>
        <v>416.5</v>
      </c>
      <c r="U98" s="152">
        <f t="shared" si="35"/>
        <v>2182.0600000000013</v>
      </c>
      <c r="V98" s="73"/>
      <c r="W98" s="604"/>
      <c r="X98" s="605"/>
      <c r="Y98" s="605"/>
      <c r="Z98" s="769"/>
      <c r="AB98" s="57"/>
      <c r="AC98" s="57"/>
      <c r="AD98" s="57"/>
      <c r="AE98" s="57"/>
      <c r="AF98" s="57"/>
      <c r="AG98" s="57"/>
      <c r="AH98" s="57"/>
      <c r="AI98" s="57"/>
      <c r="AJ98" s="57"/>
      <c r="AK98" s="57"/>
      <c r="AL98" s="137"/>
      <c r="AO98" s="57"/>
      <c r="AP98" s="57"/>
      <c r="AQ98" s="57"/>
      <c r="AR98" s="57"/>
      <c r="AS98" s="57"/>
      <c r="AT98" s="57"/>
      <c r="AU98" s="57"/>
      <c r="AV98" s="57"/>
      <c r="AW98" s="57"/>
      <c r="AX98" s="57"/>
      <c r="AY98" s="137"/>
    </row>
    <row r="99" spans="1:51" x14ac:dyDescent="0.25">
      <c r="A99" s="774" t="s">
        <v>405</v>
      </c>
      <c r="B99" s="770" t="s">
        <v>578</v>
      </c>
      <c r="C99" s="771"/>
      <c r="D99" s="771">
        <v>13</v>
      </c>
      <c r="E99" s="771" t="s">
        <v>13</v>
      </c>
      <c r="F99" s="771">
        <v>9</v>
      </c>
      <c r="G99" s="772">
        <v>1157</v>
      </c>
      <c r="H99" s="772">
        <v>1653</v>
      </c>
      <c r="I99" s="772">
        <v>2067</v>
      </c>
      <c r="J99" s="773">
        <v>1388</v>
      </c>
      <c r="K99" s="552"/>
      <c r="L99" s="552"/>
      <c r="M99" s="594">
        <v>1</v>
      </c>
      <c r="N99" s="151">
        <f>ROUND(J99*(1+kopsavilkums!$O$8),2)</f>
        <v>1535.13</v>
      </c>
      <c r="O99" s="61">
        <f t="shared" si="26"/>
        <v>0</v>
      </c>
      <c r="P99" s="61">
        <f>ROUND(L99*(1+kopsavilkums!$O$8),2)</f>
        <v>0</v>
      </c>
      <c r="Q99" s="61">
        <f t="shared" ref="Q99:Q120" si="36">(N99+P99)-(J99+L99)</f>
        <v>147.13000000000011</v>
      </c>
      <c r="R99" s="61">
        <f t="shared" si="33"/>
        <v>147.13000000000011</v>
      </c>
      <c r="S99" s="61">
        <f t="shared" si="34"/>
        <v>1765.5600000000013</v>
      </c>
      <c r="T99" s="61">
        <f>ROUND(S99*kopsavilkums!$O$23,2)</f>
        <v>416.5</v>
      </c>
      <c r="U99" s="152">
        <f t="shared" si="35"/>
        <v>2182.0600000000013</v>
      </c>
      <c r="V99" s="73"/>
      <c r="W99" s="604"/>
      <c r="X99" s="605"/>
      <c r="Y99" s="605"/>
      <c r="Z99" s="769"/>
      <c r="AB99" s="57"/>
      <c r="AC99" s="57"/>
      <c r="AD99" s="57"/>
      <c r="AE99" s="57"/>
      <c r="AF99" s="57"/>
      <c r="AG99" s="57"/>
      <c r="AH99" s="57"/>
      <c r="AI99" s="57"/>
      <c r="AJ99" s="57"/>
      <c r="AK99" s="57"/>
      <c r="AL99" s="137"/>
      <c r="AO99" s="57"/>
      <c r="AP99" s="57"/>
      <c r="AQ99" s="57"/>
      <c r="AR99" s="57"/>
      <c r="AS99" s="57"/>
      <c r="AT99" s="57"/>
      <c r="AU99" s="57"/>
      <c r="AV99" s="57"/>
      <c r="AW99" s="57"/>
      <c r="AX99" s="57"/>
      <c r="AY99" s="137"/>
    </row>
    <row r="100" spans="1:51" x14ac:dyDescent="0.25">
      <c r="A100" s="620" t="s">
        <v>418</v>
      </c>
      <c r="B100" s="770" t="s">
        <v>582</v>
      </c>
      <c r="C100" s="771"/>
      <c r="D100" s="771" t="s">
        <v>407</v>
      </c>
      <c r="E100" s="771" t="s">
        <v>13</v>
      </c>
      <c r="F100" s="771">
        <v>8</v>
      </c>
      <c r="G100" s="772">
        <v>967</v>
      </c>
      <c r="H100" s="772">
        <v>1388</v>
      </c>
      <c r="I100" s="772">
        <v>1796</v>
      </c>
      <c r="J100" s="773">
        <v>1388</v>
      </c>
      <c r="K100" s="552"/>
      <c r="L100" s="552"/>
      <c r="M100" s="594">
        <v>1</v>
      </c>
      <c r="N100" s="151">
        <f>ROUND(J100*(1+kopsavilkums!$O$8),2)</f>
        <v>1535.13</v>
      </c>
      <c r="O100" s="61">
        <f t="shared" ref="O100:O120" si="37">P100-L100</f>
        <v>0</v>
      </c>
      <c r="P100" s="61">
        <f>ROUND(L100*(1+kopsavilkums!$O$8),2)</f>
        <v>0</v>
      </c>
      <c r="Q100" s="61">
        <f t="shared" si="36"/>
        <v>147.13000000000011</v>
      </c>
      <c r="R100" s="61">
        <f t="shared" si="33"/>
        <v>147.13000000000011</v>
      </c>
      <c r="S100" s="61">
        <f t="shared" si="34"/>
        <v>1765.5600000000013</v>
      </c>
      <c r="T100" s="61">
        <f>ROUND(S100*kopsavilkums!$O$23,2)</f>
        <v>416.5</v>
      </c>
      <c r="U100" s="152">
        <f t="shared" si="35"/>
        <v>2182.0600000000013</v>
      </c>
      <c r="V100" s="73"/>
      <c r="W100" s="604"/>
      <c r="X100" s="605"/>
      <c r="Y100" s="605"/>
      <c r="Z100" s="769"/>
      <c r="AB100" s="57"/>
      <c r="AC100" s="57"/>
      <c r="AD100" s="57"/>
      <c r="AE100" s="57"/>
      <c r="AF100" s="57"/>
      <c r="AG100" s="57"/>
      <c r="AH100" s="57"/>
      <c r="AI100" s="57"/>
      <c r="AJ100" s="57"/>
      <c r="AK100" s="57"/>
      <c r="AL100" s="137"/>
      <c r="AO100" s="57"/>
      <c r="AP100" s="57"/>
      <c r="AQ100" s="57"/>
      <c r="AR100" s="57"/>
      <c r="AS100" s="57"/>
      <c r="AT100" s="57"/>
      <c r="AU100" s="57"/>
      <c r="AV100" s="57"/>
      <c r="AW100" s="57"/>
      <c r="AX100" s="57"/>
      <c r="AY100" s="137"/>
    </row>
    <row r="101" spans="1:51" x14ac:dyDescent="0.25">
      <c r="A101" s="620" t="s">
        <v>38</v>
      </c>
      <c r="B101" s="770" t="s">
        <v>464</v>
      </c>
      <c r="C101" s="771"/>
      <c r="D101" s="771" t="s">
        <v>407</v>
      </c>
      <c r="E101" s="771" t="s">
        <v>255</v>
      </c>
      <c r="F101" s="771">
        <v>11</v>
      </c>
      <c r="G101" s="772">
        <v>1746</v>
      </c>
      <c r="H101" s="772">
        <v>2496</v>
      </c>
      <c r="I101" s="772">
        <v>3120</v>
      </c>
      <c r="J101" s="773">
        <v>2257</v>
      </c>
      <c r="K101" s="552"/>
      <c r="L101" s="552"/>
      <c r="M101" s="594">
        <v>1</v>
      </c>
      <c r="N101" s="151">
        <f>ROUND(J101*(1+kopsavilkums!$O$8),2)</f>
        <v>2496.2399999999998</v>
      </c>
      <c r="O101" s="61">
        <f t="shared" si="37"/>
        <v>0</v>
      </c>
      <c r="P101" s="61">
        <f>ROUND(L101*(1+kopsavilkums!$O$8),2)</f>
        <v>0</v>
      </c>
      <c r="Q101" s="61">
        <f t="shared" si="36"/>
        <v>239.23999999999978</v>
      </c>
      <c r="R101" s="61">
        <f t="shared" si="33"/>
        <v>239.23999999999978</v>
      </c>
      <c r="S101" s="61">
        <f t="shared" si="34"/>
        <v>2870.8799999999974</v>
      </c>
      <c r="T101" s="61">
        <f>ROUND(S101*kopsavilkums!$O$23,2)</f>
        <v>677.24</v>
      </c>
      <c r="U101" s="152">
        <f t="shared" si="35"/>
        <v>3548.1199999999972</v>
      </c>
      <c r="V101" s="73"/>
      <c r="W101" s="604"/>
      <c r="X101" s="605"/>
      <c r="Y101" s="605"/>
      <c r="Z101" s="769"/>
      <c r="AB101" s="57"/>
      <c r="AC101" s="57"/>
      <c r="AD101" s="57"/>
      <c r="AE101" s="57"/>
      <c r="AF101" s="57"/>
      <c r="AG101" s="57"/>
      <c r="AH101" s="57"/>
      <c r="AI101" s="57"/>
      <c r="AJ101" s="57"/>
      <c r="AK101" s="57"/>
      <c r="AL101" s="137"/>
      <c r="AO101" s="57"/>
      <c r="AP101" s="57"/>
      <c r="AQ101" s="57"/>
      <c r="AR101" s="57"/>
      <c r="AS101" s="57"/>
      <c r="AT101" s="57"/>
      <c r="AU101" s="57"/>
      <c r="AV101" s="57"/>
      <c r="AW101" s="57"/>
      <c r="AX101" s="57"/>
      <c r="AY101" s="137"/>
    </row>
    <row r="102" spans="1:51" x14ac:dyDescent="0.25">
      <c r="A102" s="620" t="s">
        <v>420</v>
      </c>
      <c r="B102" s="770" t="s">
        <v>581</v>
      </c>
      <c r="C102" s="771"/>
      <c r="D102" s="771" t="s">
        <v>407</v>
      </c>
      <c r="E102" s="771" t="s">
        <v>11</v>
      </c>
      <c r="F102" s="771">
        <v>9</v>
      </c>
      <c r="G102" s="772">
        <v>1157</v>
      </c>
      <c r="H102" s="772">
        <v>1653</v>
      </c>
      <c r="I102" s="772">
        <v>2067</v>
      </c>
      <c r="J102" s="773">
        <v>1577</v>
      </c>
      <c r="K102" s="552"/>
      <c r="L102" s="552"/>
      <c r="M102" s="594">
        <v>1</v>
      </c>
      <c r="N102" s="151">
        <f>ROUND(J102*(1+kopsavilkums!$O$8),2)</f>
        <v>1744.16</v>
      </c>
      <c r="O102" s="61">
        <f t="shared" si="37"/>
        <v>0</v>
      </c>
      <c r="P102" s="61">
        <f>ROUND(L102*(1+kopsavilkums!$O$8),2)</f>
        <v>0</v>
      </c>
      <c r="Q102" s="61">
        <f t="shared" si="36"/>
        <v>167.16000000000008</v>
      </c>
      <c r="R102" s="61">
        <f t="shared" si="33"/>
        <v>167.16000000000008</v>
      </c>
      <c r="S102" s="61">
        <f t="shared" si="34"/>
        <v>2005.920000000001</v>
      </c>
      <c r="T102" s="61">
        <f>ROUND(S102*kopsavilkums!$O$23,2)</f>
        <v>473.2</v>
      </c>
      <c r="U102" s="152">
        <f t="shared" si="35"/>
        <v>2479.1200000000008</v>
      </c>
      <c r="V102" s="73"/>
      <c r="W102" s="604"/>
      <c r="X102" s="605"/>
      <c r="Y102" s="605"/>
      <c r="Z102" s="769"/>
      <c r="AB102" s="57"/>
      <c r="AC102" s="57"/>
      <c r="AD102" s="57"/>
      <c r="AE102" s="57"/>
      <c r="AF102" s="57"/>
      <c r="AG102" s="57"/>
      <c r="AH102" s="57"/>
      <c r="AI102" s="57"/>
      <c r="AJ102" s="57"/>
      <c r="AK102" s="57"/>
      <c r="AL102" s="137"/>
      <c r="AO102" s="57"/>
      <c r="AP102" s="57"/>
      <c r="AQ102" s="57"/>
      <c r="AR102" s="57"/>
      <c r="AS102" s="57"/>
      <c r="AT102" s="57"/>
      <c r="AU102" s="57"/>
      <c r="AV102" s="57"/>
      <c r="AW102" s="57"/>
      <c r="AX102" s="57"/>
      <c r="AY102" s="137"/>
    </row>
    <row r="103" spans="1:51" x14ac:dyDescent="0.25">
      <c r="A103" s="620" t="s">
        <v>419</v>
      </c>
      <c r="B103" s="770" t="s">
        <v>582</v>
      </c>
      <c r="C103" s="771"/>
      <c r="D103" s="771" t="s">
        <v>407</v>
      </c>
      <c r="E103" s="771" t="s">
        <v>13</v>
      </c>
      <c r="F103" s="771">
        <v>8</v>
      </c>
      <c r="G103" s="772">
        <v>967</v>
      </c>
      <c r="H103" s="772">
        <v>1388</v>
      </c>
      <c r="I103" s="772">
        <v>1796</v>
      </c>
      <c r="J103" s="773">
        <v>1427</v>
      </c>
      <c r="K103" s="552"/>
      <c r="L103" s="552"/>
      <c r="M103" s="594">
        <v>1</v>
      </c>
      <c r="N103" s="151">
        <f>ROUND(J103*(1+kopsavilkums!$O$8),2)</f>
        <v>1578.26</v>
      </c>
      <c r="O103" s="61">
        <f t="shared" si="37"/>
        <v>0</v>
      </c>
      <c r="P103" s="61">
        <f>ROUND(L103*(1+kopsavilkums!$O$8),2)</f>
        <v>0</v>
      </c>
      <c r="Q103" s="61">
        <f t="shared" si="36"/>
        <v>151.26</v>
      </c>
      <c r="R103" s="61">
        <f t="shared" si="33"/>
        <v>151.26</v>
      </c>
      <c r="S103" s="61">
        <f t="shared" si="34"/>
        <v>1815.12</v>
      </c>
      <c r="T103" s="61">
        <f>ROUND(S103*kopsavilkums!$O$23,2)</f>
        <v>428.19</v>
      </c>
      <c r="U103" s="152">
        <f t="shared" si="35"/>
        <v>2243.31</v>
      </c>
      <c r="V103" s="73"/>
      <c r="W103" s="604"/>
      <c r="X103" s="605"/>
      <c r="Y103" s="605"/>
      <c r="Z103" s="769"/>
      <c r="AB103" s="57"/>
      <c r="AC103" s="57"/>
      <c r="AD103" s="57"/>
      <c r="AE103" s="57"/>
      <c r="AF103" s="57"/>
      <c r="AG103" s="57"/>
      <c r="AH103" s="57"/>
      <c r="AI103" s="57"/>
      <c r="AJ103" s="57"/>
      <c r="AK103" s="57"/>
      <c r="AL103" s="137"/>
      <c r="AO103" s="57"/>
      <c r="AP103" s="57"/>
      <c r="AQ103" s="57"/>
      <c r="AR103" s="57"/>
      <c r="AS103" s="57"/>
      <c r="AT103" s="57"/>
      <c r="AU103" s="57"/>
      <c r="AV103" s="57"/>
      <c r="AW103" s="57"/>
      <c r="AX103" s="57"/>
      <c r="AY103" s="137"/>
    </row>
    <row r="104" spans="1:51" x14ac:dyDescent="0.25">
      <c r="A104" s="620" t="s">
        <v>419</v>
      </c>
      <c r="B104" s="770" t="s">
        <v>582</v>
      </c>
      <c r="C104" s="771"/>
      <c r="D104" s="771" t="s">
        <v>407</v>
      </c>
      <c r="E104" s="771" t="s">
        <v>13</v>
      </c>
      <c r="F104" s="771">
        <v>8</v>
      </c>
      <c r="G104" s="772">
        <v>967</v>
      </c>
      <c r="H104" s="772">
        <v>1388</v>
      </c>
      <c r="I104" s="772">
        <v>1796</v>
      </c>
      <c r="J104" s="773">
        <v>1427</v>
      </c>
      <c r="K104" s="552"/>
      <c r="L104" s="552"/>
      <c r="M104" s="594">
        <v>1</v>
      </c>
      <c r="N104" s="151">
        <f>ROUND(J104*(1+kopsavilkums!$O$8),2)</f>
        <v>1578.26</v>
      </c>
      <c r="O104" s="61">
        <f t="shared" si="37"/>
        <v>0</v>
      </c>
      <c r="P104" s="61">
        <f>ROUND(L104*(1+kopsavilkums!$O$8),2)</f>
        <v>0</v>
      </c>
      <c r="Q104" s="61">
        <f t="shared" si="36"/>
        <v>151.26</v>
      </c>
      <c r="R104" s="61">
        <f t="shared" si="33"/>
        <v>151.26</v>
      </c>
      <c r="S104" s="61">
        <f t="shared" si="34"/>
        <v>1815.12</v>
      </c>
      <c r="T104" s="61">
        <f>ROUND(S104*kopsavilkums!$O$23,2)</f>
        <v>428.19</v>
      </c>
      <c r="U104" s="152">
        <f t="shared" si="35"/>
        <v>2243.31</v>
      </c>
      <c r="V104" s="73"/>
      <c r="W104" s="604"/>
      <c r="X104" s="605"/>
      <c r="Y104" s="605"/>
      <c r="Z104" s="769"/>
      <c r="AB104" s="57"/>
      <c r="AC104" s="57"/>
      <c r="AD104" s="57"/>
      <c r="AE104" s="57"/>
      <c r="AF104" s="57"/>
      <c r="AG104" s="57"/>
      <c r="AH104" s="57"/>
      <c r="AI104" s="57"/>
      <c r="AJ104" s="57"/>
      <c r="AK104" s="57"/>
      <c r="AL104" s="137"/>
      <c r="AO104" s="57"/>
      <c r="AP104" s="57"/>
      <c r="AQ104" s="57"/>
      <c r="AR104" s="57"/>
      <c r="AS104" s="57"/>
      <c r="AT104" s="57"/>
      <c r="AU104" s="57"/>
      <c r="AV104" s="57"/>
      <c r="AW104" s="57"/>
      <c r="AX104" s="57"/>
      <c r="AY104" s="137"/>
    </row>
    <row r="105" spans="1:51" x14ac:dyDescent="0.25">
      <c r="A105" s="620" t="s">
        <v>419</v>
      </c>
      <c r="B105" s="770" t="s">
        <v>582</v>
      </c>
      <c r="C105" s="771"/>
      <c r="D105" s="771" t="s">
        <v>407</v>
      </c>
      <c r="E105" s="771" t="s">
        <v>13</v>
      </c>
      <c r="F105" s="771">
        <v>8</v>
      </c>
      <c r="G105" s="772">
        <v>967</v>
      </c>
      <c r="H105" s="772">
        <v>1388</v>
      </c>
      <c r="I105" s="772">
        <v>1796</v>
      </c>
      <c r="J105" s="773">
        <v>1427</v>
      </c>
      <c r="K105" s="552"/>
      <c r="L105" s="552"/>
      <c r="M105" s="594">
        <v>1</v>
      </c>
      <c r="N105" s="151">
        <f>ROUND(J105*(1+kopsavilkums!$O$8),2)</f>
        <v>1578.26</v>
      </c>
      <c r="O105" s="61">
        <f t="shared" si="37"/>
        <v>0</v>
      </c>
      <c r="P105" s="61">
        <f>ROUND(L105*(1+kopsavilkums!$O$8),2)</f>
        <v>0</v>
      </c>
      <c r="Q105" s="61">
        <f t="shared" si="36"/>
        <v>151.26</v>
      </c>
      <c r="R105" s="61">
        <f t="shared" si="33"/>
        <v>151.26</v>
      </c>
      <c r="S105" s="61">
        <f t="shared" si="34"/>
        <v>1815.12</v>
      </c>
      <c r="T105" s="61">
        <f>ROUND(S105*kopsavilkums!$O$23,2)</f>
        <v>428.19</v>
      </c>
      <c r="U105" s="152">
        <f t="shared" si="35"/>
        <v>2243.31</v>
      </c>
      <c r="V105" s="73"/>
      <c r="W105" s="604"/>
      <c r="X105" s="605"/>
      <c r="Y105" s="605"/>
      <c r="Z105" s="769"/>
      <c r="AB105" s="57"/>
      <c r="AC105" s="57"/>
      <c r="AD105" s="57"/>
      <c r="AE105" s="57"/>
      <c r="AF105" s="57"/>
      <c r="AG105" s="57"/>
      <c r="AH105" s="57"/>
      <c r="AI105" s="57"/>
      <c r="AJ105" s="57"/>
      <c r="AK105" s="57"/>
      <c r="AL105" s="137"/>
      <c r="AO105" s="57"/>
      <c r="AP105" s="57"/>
      <c r="AQ105" s="57"/>
      <c r="AR105" s="57"/>
      <c r="AS105" s="57"/>
      <c r="AT105" s="57"/>
      <c r="AU105" s="57"/>
      <c r="AV105" s="57"/>
      <c r="AW105" s="57"/>
      <c r="AX105" s="57"/>
      <c r="AY105" s="137"/>
    </row>
    <row r="106" spans="1:51" x14ac:dyDescent="0.25">
      <c r="A106" s="620" t="s">
        <v>416</v>
      </c>
      <c r="B106" s="770" t="s">
        <v>585</v>
      </c>
      <c r="C106" s="771"/>
      <c r="D106" s="771">
        <v>13</v>
      </c>
      <c r="E106" s="771" t="s">
        <v>13</v>
      </c>
      <c r="F106" s="771">
        <v>9</v>
      </c>
      <c r="G106" s="772">
        <v>1157</v>
      </c>
      <c r="H106" s="772">
        <v>1653</v>
      </c>
      <c r="I106" s="772">
        <v>2067</v>
      </c>
      <c r="J106" s="773">
        <v>1664</v>
      </c>
      <c r="K106" s="552"/>
      <c r="L106" s="552"/>
      <c r="M106" s="594">
        <v>1</v>
      </c>
      <c r="N106" s="151">
        <f>ROUND(J106*(1+kopsavilkums!$O$8),2)</f>
        <v>1840.38</v>
      </c>
      <c r="O106" s="61">
        <f t="shared" si="37"/>
        <v>0</v>
      </c>
      <c r="P106" s="61">
        <f>ROUND(L106*(1+kopsavilkums!$O$8),2)</f>
        <v>0</v>
      </c>
      <c r="Q106" s="61">
        <f t="shared" si="36"/>
        <v>176.38000000000011</v>
      </c>
      <c r="R106" s="61">
        <f t="shared" si="33"/>
        <v>176.38000000000011</v>
      </c>
      <c r="S106" s="61">
        <f t="shared" si="34"/>
        <v>2116.5600000000013</v>
      </c>
      <c r="T106" s="61">
        <f>ROUND(S106*kopsavilkums!$O$23,2)</f>
        <v>499.3</v>
      </c>
      <c r="U106" s="152">
        <f t="shared" si="35"/>
        <v>2615.8600000000015</v>
      </c>
      <c r="V106" s="73"/>
      <c r="W106" s="604"/>
      <c r="X106" s="605"/>
      <c r="Y106" s="605"/>
      <c r="Z106" s="769"/>
      <c r="AB106" s="57"/>
      <c r="AC106" s="57"/>
      <c r="AD106" s="57"/>
      <c r="AE106" s="57"/>
      <c r="AF106" s="57"/>
      <c r="AG106" s="57"/>
      <c r="AH106" s="57"/>
      <c r="AI106" s="57"/>
      <c r="AJ106" s="57"/>
      <c r="AK106" s="57"/>
      <c r="AL106" s="137"/>
      <c r="AO106" s="57"/>
      <c r="AP106" s="57"/>
      <c r="AQ106" s="57"/>
      <c r="AR106" s="57"/>
      <c r="AS106" s="57"/>
      <c r="AT106" s="57"/>
      <c r="AU106" s="57"/>
      <c r="AV106" s="57"/>
      <c r="AW106" s="57"/>
      <c r="AX106" s="57"/>
      <c r="AY106" s="137"/>
    </row>
    <row r="107" spans="1:51" ht="25.5" x14ac:dyDescent="0.25">
      <c r="A107" s="620" t="s">
        <v>417</v>
      </c>
      <c r="B107" s="770" t="s">
        <v>581</v>
      </c>
      <c r="C107" s="771"/>
      <c r="D107" s="771" t="s">
        <v>407</v>
      </c>
      <c r="E107" s="771" t="s">
        <v>11</v>
      </c>
      <c r="F107" s="771">
        <v>9</v>
      </c>
      <c r="G107" s="772">
        <v>1157</v>
      </c>
      <c r="H107" s="772">
        <v>1653</v>
      </c>
      <c r="I107" s="772">
        <v>2067</v>
      </c>
      <c r="J107" s="773">
        <v>1500</v>
      </c>
      <c r="K107" s="552"/>
      <c r="L107" s="552"/>
      <c r="M107" s="594">
        <v>1</v>
      </c>
      <c r="N107" s="151">
        <f>ROUND(J107*(1+kopsavilkums!$O$8),2)</f>
        <v>1659</v>
      </c>
      <c r="O107" s="61">
        <f t="shared" si="37"/>
        <v>0</v>
      </c>
      <c r="P107" s="61">
        <f>ROUND(L107*(1+kopsavilkums!$O$8),2)</f>
        <v>0</v>
      </c>
      <c r="Q107" s="61">
        <f t="shared" si="36"/>
        <v>159</v>
      </c>
      <c r="R107" s="61">
        <f t="shared" si="33"/>
        <v>159</v>
      </c>
      <c r="S107" s="61">
        <f t="shared" si="34"/>
        <v>1908</v>
      </c>
      <c r="T107" s="61">
        <f>ROUND(S107*kopsavilkums!$O$23,2)</f>
        <v>450.1</v>
      </c>
      <c r="U107" s="152">
        <f t="shared" si="35"/>
        <v>2358.1</v>
      </c>
      <c r="V107" s="73"/>
      <c r="W107" s="604"/>
      <c r="X107" s="605"/>
      <c r="Y107" s="605"/>
      <c r="Z107" s="769"/>
      <c r="AB107" s="57"/>
      <c r="AC107" s="57"/>
      <c r="AD107" s="57"/>
      <c r="AE107" s="57"/>
      <c r="AF107" s="57"/>
      <c r="AG107" s="57"/>
      <c r="AH107" s="57"/>
      <c r="AI107" s="57"/>
      <c r="AJ107" s="57"/>
      <c r="AK107" s="57"/>
      <c r="AL107" s="137"/>
      <c r="AO107" s="57"/>
      <c r="AP107" s="57"/>
      <c r="AQ107" s="57"/>
      <c r="AR107" s="57"/>
      <c r="AS107" s="57"/>
      <c r="AT107" s="57"/>
      <c r="AU107" s="57"/>
      <c r="AV107" s="57"/>
      <c r="AW107" s="57"/>
      <c r="AX107" s="57"/>
      <c r="AY107" s="137"/>
    </row>
    <row r="108" spans="1:51" x14ac:dyDescent="0.25">
      <c r="A108" s="620" t="s">
        <v>418</v>
      </c>
      <c r="B108" s="770" t="s">
        <v>582</v>
      </c>
      <c r="C108" s="771"/>
      <c r="D108" s="771" t="s">
        <v>407</v>
      </c>
      <c r="E108" s="771" t="s">
        <v>13</v>
      </c>
      <c r="F108" s="771">
        <v>8</v>
      </c>
      <c r="G108" s="772">
        <v>967</v>
      </c>
      <c r="H108" s="772">
        <v>1388</v>
      </c>
      <c r="I108" s="772">
        <v>1796</v>
      </c>
      <c r="J108" s="773">
        <v>1388</v>
      </c>
      <c r="K108" s="552"/>
      <c r="L108" s="552"/>
      <c r="M108" s="594">
        <v>1</v>
      </c>
      <c r="N108" s="151">
        <f>ROUND(J108*(1+kopsavilkums!$O$8),2)</f>
        <v>1535.13</v>
      </c>
      <c r="O108" s="61">
        <f t="shared" si="37"/>
        <v>0</v>
      </c>
      <c r="P108" s="61">
        <f>ROUND(L108*(1+kopsavilkums!$O$8),2)</f>
        <v>0</v>
      </c>
      <c r="Q108" s="61">
        <f t="shared" si="36"/>
        <v>147.13000000000011</v>
      </c>
      <c r="R108" s="61">
        <f t="shared" si="33"/>
        <v>147.13000000000011</v>
      </c>
      <c r="S108" s="61">
        <f t="shared" si="34"/>
        <v>1765.5600000000013</v>
      </c>
      <c r="T108" s="61">
        <f>ROUND(S108*kopsavilkums!$O$23,2)</f>
        <v>416.5</v>
      </c>
      <c r="U108" s="152">
        <f t="shared" si="35"/>
        <v>2182.0600000000013</v>
      </c>
      <c r="V108" s="73"/>
      <c r="W108" s="604"/>
      <c r="X108" s="605"/>
      <c r="Y108" s="605"/>
      <c r="Z108" s="769"/>
      <c r="AB108" s="57"/>
      <c r="AC108" s="57"/>
      <c r="AD108" s="57"/>
      <c r="AE108" s="57"/>
      <c r="AF108" s="57"/>
      <c r="AG108" s="57"/>
      <c r="AH108" s="57"/>
      <c r="AI108" s="57"/>
      <c r="AJ108" s="57"/>
      <c r="AK108" s="57"/>
      <c r="AL108" s="137"/>
      <c r="AO108" s="57"/>
      <c r="AP108" s="57"/>
      <c r="AQ108" s="57"/>
      <c r="AR108" s="57"/>
      <c r="AS108" s="57"/>
      <c r="AT108" s="57"/>
      <c r="AU108" s="57"/>
      <c r="AV108" s="57"/>
      <c r="AW108" s="57"/>
      <c r="AX108" s="57"/>
      <c r="AY108" s="137"/>
    </row>
    <row r="109" spans="1:51" x14ac:dyDescent="0.25">
      <c r="A109" s="620" t="s">
        <v>38</v>
      </c>
      <c r="B109" s="770" t="s">
        <v>464</v>
      </c>
      <c r="C109" s="771"/>
      <c r="D109" s="771" t="s">
        <v>407</v>
      </c>
      <c r="E109" s="771" t="s">
        <v>255</v>
      </c>
      <c r="F109" s="771">
        <v>11</v>
      </c>
      <c r="G109" s="772">
        <v>1746</v>
      </c>
      <c r="H109" s="772">
        <v>2496</v>
      </c>
      <c r="I109" s="772">
        <v>3120</v>
      </c>
      <c r="J109" s="773">
        <v>2257</v>
      </c>
      <c r="K109" s="552"/>
      <c r="L109" s="552"/>
      <c r="M109" s="594">
        <v>1</v>
      </c>
      <c r="N109" s="151">
        <f>ROUND(J109*(1+kopsavilkums!$O$8),2)</f>
        <v>2496.2399999999998</v>
      </c>
      <c r="O109" s="61">
        <f t="shared" si="37"/>
        <v>0</v>
      </c>
      <c r="P109" s="61">
        <f>ROUND(L109*(1+kopsavilkums!$O$8),2)</f>
        <v>0</v>
      </c>
      <c r="Q109" s="61">
        <f t="shared" si="36"/>
        <v>239.23999999999978</v>
      </c>
      <c r="R109" s="61">
        <f t="shared" si="33"/>
        <v>239.23999999999978</v>
      </c>
      <c r="S109" s="61">
        <f t="shared" si="34"/>
        <v>2870.8799999999974</v>
      </c>
      <c r="T109" s="61">
        <f>ROUND(S109*kopsavilkums!$O$23,2)</f>
        <v>677.24</v>
      </c>
      <c r="U109" s="152">
        <f t="shared" si="35"/>
        <v>3548.1199999999972</v>
      </c>
      <c r="V109" s="73"/>
      <c r="W109" s="604"/>
      <c r="X109" s="605"/>
      <c r="Y109" s="605"/>
      <c r="Z109" s="769"/>
      <c r="AB109" s="57"/>
      <c r="AC109" s="57"/>
      <c r="AD109" s="57"/>
      <c r="AE109" s="57"/>
      <c r="AF109" s="57"/>
      <c r="AG109" s="57"/>
      <c r="AH109" s="57"/>
      <c r="AI109" s="57"/>
      <c r="AJ109" s="57"/>
      <c r="AK109" s="57"/>
      <c r="AL109" s="137"/>
      <c r="AO109" s="57"/>
      <c r="AP109" s="57"/>
      <c r="AQ109" s="57"/>
      <c r="AR109" s="57"/>
      <c r="AS109" s="57"/>
      <c r="AT109" s="57"/>
      <c r="AU109" s="57"/>
      <c r="AV109" s="57"/>
      <c r="AW109" s="57"/>
      <c r="AX109" s="57"/>
      <c r="AY109" s="137"/>
    </row>
    <row r="110" spans="1:51" x14ac:dyDescent="0.25">
      <c r="A110" s="620" t="s">
        <v>420</v>
      </c>
      <c r="B110" s="770" t="s">
        <v>581</v>
      </c>
      <c r="C110" s="771"/>
      <c r="D110" s="771" t="s">
        <v>407</v>
      </c>
      <c r="E110" s="771" t="s">
        <v>11</v>
      </c>
      <c r="F110" s="771">
        <v>9</v>
      </c>
      <c r="G110" s="772">
        <v>1157</v>
      </c>
      <c r="H110" s="772">
        <v>1653</v>
      </c>
      <c r="I110" s="772">
        <v>2067</v>
      </c>
      <c r="J110" s="773">
        <v>1577</v>
      </c>
      <c r="K110" s="552"/>
      <c r="L110" s="552"/>
      <c r="M110" s="594">
        <v>1</v>
      </c>
      <c r="N110" s="151">
        <f>ROUND(J110*(1+kopsavilkums!$O$8),2)</f>
        <v>1744.16</v>
      </c>
      <c r="O110" s="61">
        <f t="shared" si="37"/>
        <v>0</v>
      </c>
      <c r="P110" s="61">
        <f>ROUND(L110*(1+kopsavilkums!$O$8),2)</f>
        <v>0</v>
      </c>
      <c r="Q110" s="61">
        <f t="shared" si="36"/>
        <v>167.16000000000008</v>
      </c>
      <c r="R110" s="61">
        <f t="shared" si="33"/>
        <v>167.16000000000008</v>
      </c>
      <c r="S110" s="61">
        <f t="shared" si="34"/>
        <v>2005.920000000001</v>
      </c>
      <c r="T110" s="61">
        <f>ROUND(S110*kopsavilkums!$O$23,2)</f>
        <v>473.2</v>
      </c>
      <c r="U110" s="152">
        <f t="shared" si="35"/>
        <v>2479.1200000000008</v>
      </c>
      <c r="V110" s="73"/>
      <c r="W110" s="604"/>
      <c r="X110" s="605"/>
      <c r="Y110" s="605"/>
      <c r="Z110" s="769"/>
      <c r="AB110" s="57"/>
      <c r="AC110" s="57"/>
      <c r="AD110" s="57"/>
      <c r="AE110" s="57"/>
      <c r="AF110" s="57"/>
      <c r="AG110" s="57"/>
      <c r="AH110" s="57"/>
      <c r="AI110" s="57"/>
      <c r="AJ110" s="57"/>
      <c r="AK110" s="57"/>
      <c r="AL110" s="137"/>
      <c r="AO110" s="57"/>
      <c r="AP110" s="57"/>
      <c r="AQ110" s="57"/>
      <c r="AR110" s="57"/>
      <c r="AS110" s="57"/>
      <c r="AT110" s="57"/>
      <c r="AU110" s="57"/>
      <c r="AV110" s="57"/>
      <c r="AW110" s="57"/>
      <c r="AX110" s="57"/>
      <c r="AY110" s="137"/>
    </row>
    <row r="111" spans="1:51" x14ac:dyDescent="0.25">
      <c r="A111" s="620" t="s">
        <v>419</v>
      </c>
      <c r="B111" s="770" t="s">
        <v>582</v>
      </c>
      <c r="C111" s="771"/>
      <c r="D111" s="771" t="s">
        <v>407</v>
      </c>
      <c r="E111" s="771" t="s">
        <v>13</v>
      </c>
      <c r="F111" s="771">
        <v>8</v>
      </c>
      <c r="G111" s="772">
        <v>967</v>
      </c>
      <c r="H111" s="772">
        <v>1388</v>
      </c>
      <c r="I111" s="772">
        <v>1796</v>
      </c>
      <c r="J111" s="773">
        <v>1427</v>
      </c>
      <c r="K111" s="552"/>
      <c r="L111" s="552"/>
      <c r="M111" s="594">
        <v>1</v>
      </c>
      <c r="N111" s="151">
        <f>ROUND(J111*(1+kopsavilkums!$O$8),2)</f>
        <v>1578.26</v>
      </c>
      <c r="O111" s="61">
        <f t="shared" si="37"/>
        <v>0</v>
      </c>
      <c r="P111" s="61">
        <f>ROUND(L111*(1+kopsavilkums!$O$8),2)</f>
        <v>0</v>
      </c>
      <c r="Q111" s="61">
        <f t="shared" si="36"/>
        <v>151.26</v>
      </c>
      <c r="R111" s="61">
        <f t="shared" si="33"/>
        <v>151.26</v>
      </c>
      <c r="S111" s="61">
        <f t="shared" si="34"/>
        <v>1815.12</v>
      </c>
      <c r="T111" s="61">
        <f>ROUND(S111*kopsavilkums!$O$23,2)</f>
        <v>428.19</v>
      </c>
      <c r="U111" s="152">
        <f t="shared" si="35"/>
        <v>2243.31</v>
      </c>
      <c r="V111" s="73"/>
      <c r="W111" s="604"/>
      <c r="X111" s="605"/>
      <c r="Y111" s="605"/>
      <c r="Z111" s="769"/>
      <c r="AB111" s="57"/>
      <c r="AC111" s="57"/>
      <c r="AD111" s="57"/>
      <c r="AE111" s="57"/>
      <c r="AF111" s="57"/>
      <c r="AG111" s="57"/>
      <c r="AH111" s="57"/>
      <c r="AI111" s="57"/>
      <c r="AJ111" s="57"/>
      <c r="AK111" s="57"/>
      <c r="AL111" s="137"/>
      <c r="AO111" s="57"/>
      <c r="AP111" s="57"/>
      <c r="AQ111" s="57"/>
      <c r="AR111" s="57"/>
      <c r="AS111" s="57"/>
      <c r="AT111" s="57"/>
      <c r="AU111" s="57"/>
      <c r="AV111" s="57"/>
      <c r="AW111" s="57"/>
      <c r="AX111" s="57"/>
      <c r="AY111" s="137"/>
    </row>
    <row r="112" spans="1:51" x14ac:dyDescent="0.25">
      <c r="A112" s="620" t="s">
        <v>418</v>
      </c>
      <c r="B112" s="770" t="s">
        <v>582</v>
      </c>
      <c r="C112" s="771"/>
      <c r="D112" s="771" t="s">
        <v>407</v>
      </c>
      <c r="E112" s="771" t="s">
        <v>13</v>
      </c>
      <c r="F112" s="771">
        <v>8</v>
      </c>
      <c r="G112" s="772">
        <v>967</v>
      </c>
      <c r="H112" s="772">
        <v>1388</v>
      </c>
      <c r="I112" s="772">
        <v>1796</v>
      </c>
      <c r="J112" s="773">
        <v>1388</v>
      </c>
      <c r="K112" s="552"/>
      <c r="L112" s="552"/>
      <c r="M112" s="594">
        <v>1</v>
      </c>
      <c r="N112" s="151">
        <f>ROUND(J112*(1+kopsavilkums!$O$8),2)</f>
        <v>1535.13</v>
      </c>
      <c r="O112" s="61">
        <f t="shared" si="37"/>
        <v>0</v>
      </c>
      <c r="P112" s="61">
        <f>ROUND(L112*(1+kopsavilkums!$O$8),2)</f>
        <v>0</v>
      </c>
      <c r="Q112" s="61">
        <f t="shared" si="36"/>
        <v>147.13000000000011</v>
      </c>
      <c r="R112" s="61">
        <f t="shared" si="33"/>
        <v>147.13000000000011</v>
      </c>
      <c r="S112" s="61">
        <f t="shared" si="34"/>
        <v>1765.5600000000013</v>
      </c>
      <c r="T112" s="61">
        <f>ROUND(S112*kopsavilkums!$O$23,2)</f>
        <v>416.5</v>
      </c>
      <c r="U112" s="152">
        <f t="shared" si="35"/>
        <v>2182.0600000000013</v>
      </c>
      <c r="V112" s="73"/>
      <c r="W112" s="604"/>
      <c r="X112" s="605"/>
      <c r="Y112" s="605"/>
      <c r="Z112" s="769"/>
      <c r="AB112" s="57"/>
      <c r="AC112" s="57"/>
      <c r="AD112" s="57"/>
      <c r="AE112" s="57"/>
      <c r="AF112" s="57"/>
      <c r="AG112" s="57"/>
      <c r="AH112" s="57"/>
      <c r="AI112" s="57"/>
      <c r="AJ112" s="57"/>
      <c r="AK112" s="57"/>
      <c r="AL112" s="137"/>
      <c r="AO112" s="57"/>
      <c r="AP112" s="57"/>
      <c r="AQ112" s="57"/>
      <c r="AR112" s="57"/>
      <c r="AS112" s="57"/>
      <c r="AT112" s="57"/>
      <c r="AU112" s="57"/>
      <c r="AV112" s="57"/>
      <c r="AW112" s="57"/>
      <c r="AX112" s="57"/>
      <c r="AY112" s="137"/>
    </row>
    <row r="113" spans="1:51" ht="25.5" x14ac:dyDescent="0.25">
      <c r="A113" s="620" t="s">
        <v>417</v>
      </c>
      <c r="B113" s="770" t="s">
        <v>581</v>
      </c>
      <c r="C113" s="771"/>
      <c r="D113" s="771" t="s">
        <v>407</v>
      </c>
      <c r="E113" s="771" t="s">
        <v>11</v>
      </c>
      <c r="F113" s="771">
        <v>9</v>
      </c>
      <c r="G113" s="772">
        <v>1157</v>
      </c>
      <c r="H113" s="772">
        <v>1653</v>
      </c>
      <c r="I113" s="772">
        <v>2067</v>
      </c>
      <c r="J113" s="773">
        <v>1500</v>
      </c>
      <c r="K113" s="552"/>
      <c r="L113" s="552"/>
      <c r="M113" s="594">
        <v>1</v>
      </c>
      <c r="N113" s="151">
        <f>ROUND(J113*(1+kopsavilkums!$O$8),2)</f>
        <v>1659</v>
      </c>
      <c r="O113" s="61">
        <f t="shared" si="37"/>
        <v>0</v>
      </c>
      <c r="P113" s="61">
        <f>ROUND(L113*(1+kopsavilkums!$O$8),2)</f>
        <v>0</v>
      </c>
      <c r="Q113" s="61">
        <f t="shared" si="36"/>
        <v>159</v>
      </c>
      <c r="R113" s="61">
        <f t="shared" si="33"/>
        <v>159</v>
      </c>
      <c r="S113" s="61">
        <f t="shared" si="34"/>
        <v>1908</v>
      </c>
      <c r="T113" s="61">
        <f>ROUND(S113*kopsavilkums!$O$23,2)</f>
        <v>450.1</v>
      </c>
      <c r="U113" s="152">
        <f t="shared" si="35"/>
        <v>2358.1</v>
      </c>
      <c r="V113" s="73"/>
      <c r="W113" s="604"/>
      <c r="X113" s="605"/>
      <c r="Y113" s="605"/>
      <c r="Z113" s="769"/>
      <c r="AB113" s="57"/>
      <c r="AC113" s="57"/>
      <c r="AD113" s="57"/>
      <c r="AE113" s="57"/>
      <c r="AF113" s="57"/>
      <c r="AG113" s="57"/>
      <c r="AH113" s="57"/>
      <c r="AI113" s="57"/>
      <c r="AJ113" s="57"/>
      <c r="AK113" s="57"/>
      <c r="AL113" s="137"/>
      <c r="AO113" s="57"/>
      <c r="AP113" s="57"/>
      <c r="AQ113" s="57"/>
      <c r="AR113" s="57"/>
      <c r="AS113" s="57"/>
      <c r="AT113" s="57"/>
      <c r="AU113" s="57"/>
      <c r="AV113" s="57"/>
      <c r="AW113" s="57"/>
      <c r="AX113" s="57"/>
      <c r="AY113" s="137"/>
    </row>
    <row r="114" spans="1:51" x14ac:dyDescent="0.25">
      <c r="A114" s="620" t="s">
        <v>405</v>
      </c>
      <c r="B114" s="770" t="s">
        <v>578</v>
      </c>
      <c r="C114" s="771"/>
      <c r="D114" s="771">
        <v>13</v>
      </c>
      <c r="E114" s="771" t="s">
        <v>13</v>
      </c>
      <c r="F114" s="771">
        <v>9</v>
      </c>
      <c r="G114" s="772">
        <v>1157</v>
      </c>
      <c r="H114" s="772">
        <v>1653</v>
      </c>
      <c r="I114" s="772">
        <v>2067</v>
      </c>
      <c r="J114" s="773">
        <v>1388</v>
      </c>
      <c r="K114" s="552"/>
      <c r="L114" s="552"/>
      <c r="M114" s="594">
        <v>1</v>
      </c>
      <c r="N114" s="151">
        <f>ROUND(J114*(1+kopsavilkums!$O$8),2)</f>
        <v>1535.13</v>
      </c>
      <c r="O114" s="61">
        <f t="shared" si="37"/>
        <v>0</v>
      </c>
      <c r="P114" s="61">
        <f>ROUND(L114*(1+kopsavilkums!$O$8),2)</f>
        <v>0</v>
      </c>
      <c r="Q114" s="61">
        <f t="shared" si="36"/>
        <v>147.13000000000011</v>
      </c>
      <c r="R114" s="61">
        <f t="shared" si="33"/>
        <v>147.13000000000011</v>
      </c>
      <c r="S114" s="61">
        <f t="shared" si="34"/>
        <v>1765.5600000000013</v>
      </c>
      <c r="T114" s="61">
        <f>ROUND(S114*kopsavilkums!$O$23,2)</f>
        <v>416.5</v>
      </c>
      <c r="U114" s="152">
        <f t="shared" si="35"/>
        <v>2182.0600000000013</v>
      </c>
      <c r="V114" s="73"/>
      <c r="W114" s="604"/>
      <c r="X114" s="605"/>
      <c r="Y114" s="605"/>
      <c r="Z114" s="769"/>
      <c r="AB114" s="57"/>
      <c r="AC114" s="57"/>
      <c r="AD114" s="57"/>
      <c r="AE114" s="57"/>
      <c r="AF114" s="57"/>
      <c r="AG114" s="57"/>
      <c r="AH114" s="57"/>
      <c r="AI114" s="57"/>
      <c r="AJ114" s="57"/>
      <c r="AK114" s="57"/>
      <c r="AL114" s="137"/>
      <c r="AO114" s="57"/>
      <c r="AP114" s="57"/>
      <c r="AQ114" s="57"/>
      <c r="AR114" s="57"/>
      <c r="AS114" s="57"/>
      <c r="AT114" s="57"/>
      <c r="AU114" s="57"/>
      <c r="AV114" s="57"/>
      <c r="AW114" s="57"/>
      <c r="AX114" s="57"/>
      <c r="AY114" s="137"/>
    </row>
    <row r="115" spans="1:51" x14ac:dyDescent="0.25">
      <c r="A115" s="620" t="s">
        <v>38</v>
      </c>
      <c r="B115" s="770" t="s">
        <v>464</v>
      </c>
      <c r="C115" s="771"/>
      <c r="D115" s="771" t="s">
        <v>407</v>
      </c>
      <c r="E115" s="771" t="s">
        <v>255</v>
      </c>
      <c r="F115" s="771">
        <v>11</v>
      </c>
      <c r="G115" s="772">
        <v>1746</v>
      </c>
      <c r="H115" s="772">
        <v>2496</v>
      </c>
      <c r="I115" s="772">
        <v>3120</v>
      </c>
      <c r="J115" s="773">
        <v>2257</v>
      </c>
      <c r="K115" s="552"/>
      <c r="L115" s="552"/>
      <c r="M115" s="594">
        <v>1</v>
      </c>
      <c r="N115" s="151">
        <f>ROUND(J115*(1+kopsavilkums!$O$8),2)</f>
        <v>2496.2399999999998</v>
      </c>
      <c r="O115" s="61">
        <f t="shared" si="37"/>
        <v>0</v>
      </c>
      <c r="P115" s="61">
        <f>ROUND(L115*(1+kopsavilkums!$O$8),2)</f>
        <v>0</v>
      </c>
      <c r="Q115" s="61">
        <f t="shared" si="36"/>
        <v>239.23999999999978</v>
      </c>
      <c r="R115" s="61">
        <f t="shared" si="33"/>
        <v>239.23999999999978</v>
      </c>
      <c r="S115" s="61">
        <f t="shared" si="34"/>
        <v>2870.8799999999974</v>
      </c>
      <c r="T115" s="61">
        <f>ROUND(S115*kopsavilkums!$O$23,2)</f>
        <v>677.24</v>
      </c>
      <c r="U115" s="152">
        <f t="shared" si="35"/>
        <v>3548.1199999999972</v>
      </c>
      <c r="V115" s="73"/>
      <c r="W115" s="604"/>
      <c r="X115" s="605"/>
      <c r="Y115" s="605"/>
      <c r="Z115" s="769"/>
      <c r="AB115" s="57"/>
      <c r="AC115" s="57"/>
      <c r="AD115" s="57"/>
      <c r="AE115" s="57"/>
      <c r="AF115" s="57"/>
      <c r="AG115" s="57"/>
      <c r="AH115" s="57"/>
      <c r="AI115" s="57"/>
      <c r="AJ115" s="57"/>
      <c r="AK115" s="57"/>
      <c r="AL115" s="137"/>
      <c r="AO115" s="57"/>
      <c r="AP115" s="57"/>
      <c r="AQ115" s="57"/>
      <c r="AR115" s="57"/>
      <c r="AS115" s="57"/>
      <c r="AT115" s="57"/>
      <c r="AU115" s="57"/>
      <c r="AV115" s="57"/>
      <c r="AW115" s="57"/>
      <c r="AX115" s="57"/>
      <c r="AY115" s="137"/>
    </row>
    <row r="116" spans="1:51" x14ac:dyDescent="0.25">
      <c r="A116" s="620" t="s">
        <v>309</v>
      </c>
      <c r="B116" s="770" t="s">
        <v>581</v>
      </c>
      <c r="C116" s="771"/>
      <c r="D116" s="771" t="s">
        <v>407</v>
      </c>
      <c r="E116" s="771" t="s">
        <v>11</v>
      </c>
      <c r="F116" s="771">
        <v>9</v>
      </c>
      <c r="G116" s="772">
        <v>1157</v>
      </c>
      <c r="H116" s="772">
        <v>1653</v>
      </c>
      <c r="I116" s="772">
        <v>2067</v>
      </c>
      <c r="J116" s="773">
        <v>1577</v>
      </c>
      <c r="K116" s="552"/>
      <c r="L116" s="552"/>
      <c r="M116" s="594">
        <v>1</v>
      </c>
      <c r="N116" s="151">
        <f>ROUND(J116*(1+kopsavilkums!$O$8),2)</f>
        <v>1744.16</v>
      </c>
      <c r="O116" s="61">
        <f t="shared" si="37"/>
        <v>0</v>
      </c>
      <c r="P116" s="61">
        <f>ROUND(L116*(1+kopsavilkums!$O$8),2)</f>
        <v>0</v>
      </c>
      <c r="Q116" s="61">
        <f t="shared" si="36"/>
        <v>167.16000000000008</v>
      </c>
      <c r="R116" s="61">
        <f t="shared" si="33"/>
        <v>167.16000000000008</v>
      </c>
      <c r="S116" s="61">
        <f t="shared" si="34"/>
        <v>2005.920000000001</v>
      </c>
      <c r="T116" s="61">
        <f>ROUND(S116*kopsavilkums!$O$23,2)</f>
        <v>473.2</v>
      </c>
      <c r="U116" s="152">
        <f t="shared" si="35"/>
        <v>2479.1200000000008</v>
      </c>
      <c r="V116" s="73"/>
      <c r="W116" s="604"/>
      <c r="X116" s="605"/>
      <c r="Y116" s="605"/>
      <c r="Z116" s="769"/>
      <c r="AB116" s="57"/>
      <c r="AC116" s="57"/>
      <c r="AD116" s="57"/>
      <c r="AE116" s="57"/>
      <c r="AF116" s="57"/>
      <c r="AG116" s="57"/>
      <c r="AH116" s="57"/>
      <c r="AI116" s="57"/>
      <c r="AJ116" s="57"/>
      <c r="AK116" s="57"/>
      <c r="AL116" s="137"/>
      <c r="AO116" s="57"/>
      <c r="AP116" s="57"/>
      <c r="AQ116" s="57"/>
      <c r="AR116" s="57"/>
      <c r="AS116" s="57"/>
      <c r="AT116" s="57"/>
      <c r="AU116" s="57"/>
      <c r="AV116" s="57"/>
      <c r="AW116" s="57"/>
      <c r="AX116" s="57"/>
      <c r="AY116" s="137"/>
    </row>
    <row r="117" spans="1:51" x14ac:dyDescent="0.25">
      <c r="A117" s="620" t="s">
        <v>415</v>
      </c>
      <c r="B117" s="770" t="s">
        <v>585</v>
      </c>
      <c r="C117" s="771"/>
      <c r="D117" s="771">
        <v>13</v>
      </c>
      <c r="E117" s="771" t="s">
        <v>13</v>
      </c>
      <c r="F117" s="771">
        <v>9</v>
      </c>
      <c r="G117" s="772">
        <v>1157</v>
      </c>
      <c r="H117" s="772">
        <v>1653</v>
      </c>
      <c r="I117" s="772">
        <v>2067</v>
      </c>
      <c r="J117" s="773">
        <v>1577</v>
      </c>
      <c r="K117" s="552"/>
      <c r="L117" s="552"/>
      <c r="M117" s="594">
        <v>1</v>
      </c>
      <c r="N117" s="151">
        <f>ROUND(J117*(1+kopsavilkums!$O$8),2)</f>
        <v>1744.16</v>
      </c>
      <c r="O117" s="61">
        <f t="shared" si="37"/>
        <v>0</v>
      </c>
      <c r="P117" s="61">
        <f>ROUND(L117*(1+kopsavilkums!$O$8),2)</f>
        <v>0</v>
      </c>
      <c r="Q117" s="61">
        <f t="shared" si="36"/>
        <v>167.16000000000008</v>
      </c>
      <c r="R117" s="61">
        <f t="shared" si="33"/>
        <v>167.16000000000008</v>
      </c>
      <c r="S117" s="61">
        <f t="shared" si="34"/>
        <v>2005.920000000001</v>
      </c>
      <c r="T117" s="61">
        <f>ROUND(S117*kopsavilkums!$O$23,2)</f>
        <v>473.2</v>
      </c>
      <c r="U117" s="152">
        <f t="shared" si="35"/>
        <v>2479.1200000000008</v>
      </c>
      <c r="V117" s="73"/>
      <c r="W117" s="604"/>
      <c r="X117" s="605"/>
      <c r="Y117" s="605"/>
      <c r="Z117" s="769"/>
      <c r="AB117" s="57"/>
      <c r="AC117" s="57"/>
      <c r="AD117" s="57"/>
      <c r="AE117" s="57"/>
      <c r="AF117" s="57"/>
      <c r="AG117" s="57"/>
      <c r="AH117" s="57"/>
      <c r="AI117" s="57"/>
      <c r="AJ117" s="57"/>
      <c r="AK117" s="57"/>
      <c r="AL117" s="137"/>
      <c r="AO117" s="57"/>
      <c r="AP117" s="57"/>
      <c r="AQ117" s="57"/>
      <c r="AR117" s="57"/>
      <c r="AS117" s="57"/>
      <c r="AT117" s="57"/>
      <c r="AU117" s="57"/>
      <c r="AV117" s="57"/>
      <c r="AW117" s="57"/>
      <c r="AX117" s="57"/>
      <c r="AY117" s="137"/>
    </row>
    <row r="118" spans="1:51" x14ac:dyDescent="0.25">
      <c r="A118" s="620" t="s">
        <v>415</v>
      </c>
      <c r="B118" s="770" t="s">
        <v>585</v>
      </c>
      <c r="C118" s="771"/>
      <c r="D118" s="771">
        <v>13</v>
      </c>
      <c r="E118" s="771" t="s">
        <v>13</v>
      </c>
      <c r="F118" s="771">
        <v>9</v>
      </c>
      <c r="G118" s="772">
        <v>1157</v>
      </c>
      <c r="H118" s="772">
        <v>1653</v>
      </c>
      <c r="I118" s="772">
        <v>2067</v>
      </c>
      <c r="J118" s="773">
        <v>1577</v>
      </c>
      <c r="K118" s="552"/>
      <c r="L118" s="552"/>
      <c r="M118" s="594">
        <v>1</v>
      </c>
      <c r="N118" s="151">
        <f>ROUND(J118*(1+kopsavilkums!$O$8),2)</f>
        <v>1744.16</v>
      </c>
      <c r="O118" s="61">
        <f t="shared" si="37"/>
        <v>0</v>
      </c>
      <c r="P118" s="61">
        <f>ROUND(L118*(1+kopsavilkums!$O$8),2)</f>
        <v>0</v>
      </c>
      <c r="Q118" s="61">
        <f t="shared" si="36"/>
        <v>167.16000000000008</v>
      </c>
      <c r="R118" s="61">
        <f t="shared" si="33"/>
        <v>167.16000000000008</v>
      </c>
      <c r="S118" s="61">
        <f t="shared" si="34"/>
        <v>2005.920000000001</v>
      </c>
      <c r="T118" s="61">
        <f>ROUND(S118*kopsavilkums!$O$23,2)</f>
        <v>473.2</v>
      </c>
      <c r="U118" s="152">
        <f t="shared" si="35"/>
        <v>2479.1200000000008</v>
      </c>
      <c r="V118" s="73"/>
      <c r="W118" s="604"/>
      <c r="X118" s="605"/>
      <c r="Y118" s="605"/>
      <c r="Z118" s="769"/>
      <c r="AB118" s="57"/>
      <c r="AC118" s="57"/>
      <c r="AD118" s="57"/>
      <c r="AE118" s="57"/>
      <c r="AF118" s="57"/>
      <c r="AG118" s="57"/>
      <c r="AH118" s="57"/>
      <c r="AI118" s="57"/>
      <c r="AJ118" s="57"/>
      <c r="AK118" s="57"/>
      <c r="AL118" s="137"/>
      <c r="AO118" s="57"/>
      <c r="AP118" s="57"/>
      <c r="AQ118" s="57"/>
      <c r="AR118" s="57"/>
      <c r="AS118" s="57"/>
      <c r="AT118" s="57"/>
      <c r="AU118" s="57"/>
      <c r="AV118" s="57"/>
      <c r="AW118" s="57"/>
      <c r="AX118" s="57"/>
      <c r="AY118" s="137"/>
    </row>
    <row r="119" spans="1:51" x14ac:dyDescent="0.25">
      <c r="A119" s="620" t="s">
        <v>419</v>
      </c>
      <c r="B119" s="770" t="s">
        <v>582</v>
      </c>
      <c r="C119" s="771"/>
      <c r="D119" s="771" t="s">
        <v>407</v>
      </c>
      <c r="E119" s="771" t="s">
        <v>13</v>
      </c>
      <c r="F119" s="771">
        <v>8</v>
      </c>
      <c r="G119" s="772">
        <v>967</v>
      </c>
      <c r="H119" s="772">
        <v>1388</v>
      </c>
      <c r="I119" s="772">
        <v>1796</v>
      </c>
      <c r="J119" s="773">
        <v>1427</v>
      </c>
      <c r="K119" s="552"/>
      <c r="L119" s="552"/>
      <c r="M119" s="594">
        <v>1</v>
      </c>
      <c r="N119" s="151">
        <f>ROUND(J119*(1+kopsavilkums!$O$8),2)</f>
        <v>1578.26</v>
      </c>
      <c r="O119" s="61">
        <f t="shared" si="37"/>
        <v>0</v>
      </c>
      <c r="P119" s="61">
        <f>ROUND(L119*(1+kopsavilkums!$O$8),2)</f>
        <v>0</v>
      </c>
      <c r="Q119" s="61">
        <f t="shared" si="36"/>
        <v>151.26</v>
      </c>
      <c r="R119" s="61">
        <f t="shared" si="33"/>
        <v>151.26</v>
      </c>
      <c r="S119" s="61">
        <f t="shared" si="34"/>
        <v>1815.12</v>
      </c>
      <c r="T119" s="61">
        <f>ROUND(S119*kopsavilkums!$O$23,2)</f>
        <v>428.19</v>
      </c>
      <c r="U119" s="152">
        <f t="shared" si="35"/>
        <v>2243.31</v>
      </c>
      <c r="V119" s="73"/>
      <c r="W119" s="604"/>
      <c r="X119" s="605"/>
      <c r="Y119" s="605"/>
      <c r="Z119" s="769"/>
      <c r="AB119" s="57"/>
      <c r="AC119" s="57"/>
      <c r="AD119" s="57"/>
      <c r="AE119" s="57"/>
      <c r="AF119" s="57"/>
      <c r="AG119" s="57"/>
      <c r="AH119" s="57"/>
      <c r="AI119" s="57"/>
      <c r="AJ119" s="57"/>
      <c r="AK119" s="57"/>
      <c r="AL119" s="137"/>
      <c r="AO119" s="57"/>
      <c r="AP119" s="57"/>
      <c r="AQ119" s="57"/>
      <c r="AR119" s="57"/>
      <c r="AS119" s="57"/>
      <c r="AT119" s="57"/>
      <c r="AU119" s="57"/>
      <c r="AV119" s="57"/>
      <c r="AW119" s="57"/>
      <c r="AX119" s="57"/>
      <c r="AY119" s="137"/>
    </row>
    <row r="120" spans="1:51" x14ac:dyDescent="0.25">
      <c r="A120" s="620" t="s">
        <v>411</v>
      </c>
      <c r="B120" s="770" t="s">
        <v>582</v>
      </c>
      <c r="C120" s="771"/>
      <c r="D120" s="771" t="s">
        <v>407</v>
      </c>
      <c r="E120" s="771" t="s">
        <v>13</v>
      </c>
      <c r="F120" s="771">
        <v>8</v>
      </c>
      <c r="G120" s="772">
        <v>967</v>
      </c>
      <c r="H120" s="772">
        <v>1388</v>
      </c>
      <c r="I120" s="772">
        <v>1796</v>
      </c>
      <c r="J120" s="773">
        <v>1147</v>
      </c>
      <c r="K120" s="552"/>
      <c r="L120" s="552"/>
      <c r="M120" s="594">
        <v>1</v>
      </c>
      <c r="N120" s="151">
        <f>ROUND(J120*(1+kopsavilkums!$O$8),2)</f>
        <v>1268.58</v>
      </c>
      <c r="O120" s="61">
        <f t="shared" si="37"/>
        <v>0</v>
      </c>
      <c r="P120" s="61">
        <f>ROUND(L120*(1+kopsavilkums!$O$8),2)</f>
        <v>0</v>
      </c>
      <c r="Q120" s="61">
        <f t="shared" si="36"/>
        <v>121.57999999999993</v>
      </c>
      <c r="R120" s="61">
        <f t="shared" si="33"/>
        <v>121.57999999999993</v>
      </c>
      <c r="S120" s="61">
        <f t="shared" si="34"/>
        <v>1458.9599999999991</v>
      </c>
      <c r="T120" s="61">
        <f>ROUND(S120*kopsavilkums!$O$23,2)</f>
        <v>344.17</v>
      </c>
      <c r="U120" s="152">
        <f t="shared" si="35"/>
        <v>1803.1299999999992</v>
      </c>
      <c r="V120" s="73"/>
      <c r="W120" s="604"/>
      <c r="X120" s="605"/>
      <c r="Y120" s="605"/>
      <c r="Z120" s="769"/>
      <c r="AB120" s="57"/>
      <c r="AC120" s="57"/>
      <c r="AD120" s="57"/>
      <c r="AE120" s="57"/>
      <c r="AF120" s="57"/>
      <c r="AG120" s="57"/>
      <c r="AH120" s="57"/>
      <c r="AI120" s="57"/>
      <c r="AJ120" s="57"/>
      <c r="AK120" s="57"/>
      <c r="AL120" s="137"/>
      <c r="AO120" s="57"/>
      <c r="AP120" s="57"/>
      <c r="AQ120" s="57"/>
      <c r="AR120" s="57"/>
      <c r="AS120" s="57"/>
      <c r="AT120" s="57"/>
      <c r="AU120" s="57"/>
      <c r="AV120" s="57"/>
      <c r="AW120" s="57"/>
      <c r="AX120" s="57"/>
      <c r="AY120" s="137"/>
    </row>
    <row r="121" spans="1:51" x14ac:dyDescent="0.25">
      <c r="A121" s="10" t="s">
        <v>32</v>
      </c>
      <c r="B121" s="512"/>
      <c r="C121" s="512"/>
      <c r="D121" s="2" t="s">
        <v>29</v>
      </c>
      <c r="E121" s="3" t="s">
        <v>29</v>
      </c>
      <c r="F121" s="3" t="s">
        <v>29</v>
      </c>
      <c r="G121" s="3"/>
      <c r="H121" s="3"/>
      <c r="I121" s="3" t="s">
        <v>29</v>
      </c>
      <c r="J121" s="3" t="s">
        <v>29</v>
      </c>
      <c r="K121" s="3" t="s">
        <v>29</v>
      </c>
      <c r="L121" s="117"/>
      <c r="M121" s="128">
        <f>SUM(M35:M120)</f>
        <v>86</v>
      </c>
      <c r="N121" s="195"/>
      <c r="O121" s="165"/>
      <c r="P121" s="165"/>
      <c r="Q121" s="165"/>
      <c r="R121" s="165"/>
      <c r="S121" s="165"/>
      <c r="T121" s="165"/>
      <c r="U121" s="166"/>
      <c r="W121" s="72"/>
      <c r="X121" s="72"/>
      <c r="Y121" s="72"/>
      <c r="Z121" s="769"/>
    </row>
    <row r="122" spans="1:51" x14ac:dyDescent="0.25">
      <c r="A122" s="1085" t="s">
        <v>25</v>
      </c>
      <c r="B122" s="1086"/>
      <c r="C122" s="1086"/>
      <c r="D122" s="1087"/>
      <c r="E122" s="1087"/>
      <c r="F122" s="1087"/>
      <c r="G122" s="1087"/>
      <c r="H122" s="1087"/>
      <c r="I122" s="1087"/>
      <c r="J122" s="11"/>
      <c r="K122" s="11"/>
      <c r="L122" s="385"/>
      <c r="M122" s="189"/>
      <c r="N122" s="196"/>
      <c r="O122" s="155"/>
      <c r="P122" s="155"/>
      <c r="Q122" s="155"/>
      <c r="R122" s="155"/>
      <c r="S122" s="155"/>
      <c r="T122" s="155"/>
      <c r="U122" s="158"/>
      <c r="W122" s="72"/>
      <c r="X122" s="72"/>
      <c r="Y122" s="72"/>
      <c r="Z122" s="769"/>
    </row>
    <row r="123" spans="1:51" x14ac:dyDescent="0.25">
      <c r="A123" s="775" t="s">
        <v>190</v>
      </c>
      <c r="B123" s="770" t="s">
        <v>587</v>
      </c>
      <c r="C123" s="776"/>
      <c r="D123" s="777">
        <v>13</v>
      </c>
      <c r="E123" s="777" t="s">
        <v>22</v>
      </c>
      <c r="F123" s="777">
        <v>8</v>
      </c>
      <c r="G123" s="772">
        <v>967</v>
      </c>
      <c r="H123" s="772">
        <v>1388</v>
      </c>
      <c r="I123" s="772">
        <v>1796</v>
      </c>
      <c r="J123" s="778">
        <v>1388</v>
      </c>
      <c r="K123" s="552"/>
      <c r="L123" s="552">
        <f>+K123</f>
        <v>0</v>
      </c>
      <c r="M123" s="779">
        <v>1</v>
      </c>
      <c r="N123" s="151">
        <f>ROUND(J123*(1+kopsavilkums!$O$15),2)</f>
        <v>1483.77</v>
      </c>
      <c r="O123" s="61">
        <f t="shared" ref="O123" si="38">P123-L123</f>
        <v>0</v>
      </c>
      <c r="P123" s="61">
        <f>ROUND(L123*(1+kopsavilkums!$O$15),2)</f>
        <v>0</v>
      </c>
      <c r="Q123" s="61">
        <f t="shared" ref="Q123:Q132" si="39">(N123+P123)-(J123+L123)</f>
        <v>95.769999999999982</v>
      </c>
      <c r="R123" s="61">
        <f t="shared" ref="R123" si="40">Q123*M123</f>
        <v>95.769999999999982</v>
      </c>
      <c r="S123" s="61">
        <f t="shared" ref="S123" si="41">R123*12</f>
        <v>1149.2399999999998</v>
      </c>
      <c r="T123" s="61">
        <f>ROUND(S123*kopsavilkums!$O$23,2)</f>
        <v>271.11</v>
      </c>
      <c r="U123" s="152">
        <f t="shared" ref="U123" si="42">SUM(S123:T123)</f>
        <v>1420.35</v>
      </c>
      <c r="V123" s="73"/>
      <c r="W123" s="604"/>
      <c r="X123" s="605"/>
      <c r="Y123" s="605"/>
      <c r="Z123" s="769"/>
      <c r="AB123" s="57"/>
      <c r="AC123" s="57"/>
      <c r="AD123" s="57"/>
      <c r="AE123" s="57"/>
      <c r="AF123" s="57"/>
      <c r="AG123" s="57"/>
      <c r="AH123" s="57"/>
      <c r="AI123" s="57"/>
      <c r="AJ123" s="57"/>
      <c r="AK123" s="57"/>
      <c r="AL123" s="137"/>
      <c r="AO123" s="57"/>
      <c r="AP123" s="57"/>
      <c r="AQ123" s="57"/>
      <c r="AR123" s="57"/>
      <c r="AS123" s="57"/>
      <c r="AT123" s="57"/>
      <c r="AU123" s="57"/>
      <c r="AV123" s="57"/>
      <c r="AW123" s="57"/>
      <c r="AX123" s="57"/>
      <c r="AY123" s="137"/>
    </row>
    <row r="124" spans="1:51" x14ac:dyDescent="0.25">
      <c r="A124" s="775" t="s">
        <v>190</v>
      </c>
      <c r="B124" s="770" t="s">
        <v>587</v>
      </c>
      <c r="C124" s="776"/>
      <c r="D124" s="777">
        <v>13</v>
      </c>
      <c r="E124" s="777" t="s">
        <v>22</v>
      </c>
      <c r="F124" s="777">
        <v>8</v>
      </c>
      <c r="G124" s="772">
        <v>967</v>
      </c>
      <c r="H124" s="772">
        <v>1388</v>
      </c>
      <c r="I124" s="772">
        <v>1796</v>
      </c>
      <c r="J124" s="778">
        <v>1388</v>
      </c>
      <c r="K124" s="780"/>
      <c r="L124" s="552"/>
      <c r="M124" s="779">
        <v>1</v>
      </c>
      <c r="N124" s="151">
        <f>ROUND(J124*(1+kopsavilkums!$O$15),2)</f>
        <v>1483.77</v>
      </c>
      <c r="O124" s="61">
        <f t="shared" ref="O124:O132" si="43">P124-L124</f>
        <v>0</v>
      </c>
      <c r="P124" s="61">
        <f>ROUND(L124*(1+kopsavilkums!$O$15),2)</f>
        <v>0</v>
      </c>
      <c r="Q124" s="61">
        <f t="shared" si="39"/>
        <v>95.769999999999982</v>
      </c>
      <c r="R124" s="61">
        <f t="shared" ref="R124:R132" si="44">Q124*M124</f>
        <v>95.769999999999982</v>
      </c>
      <c r="S124" s="61">
        <f t="shared" ref="S124:S132" si="45">R124*12</f>
        <v>1149.2399999999998</v>
      </c>
      <c r="T124" s="61">
        <f>ROUND(S124*kopsavilkums!$O$23,2)</f>
        <v>271.11</v>
      </c>
      <c r="U124" s="152">
        <f t="shared" ref="U124:U132" si="46">SUM(S124:T124)</f>
        <v>1420.35</v>
      </c>
      <c r="V124" s="73"/>
      <c r="W124" s="604"/>
      <c r="X124" s="605"/>
      <c r="Y124" s="605"/>
      <c r="Z124" s="769"/>
      <c r="AB124" s="57"/>
      <c r="AC124" s="57"/>
      <c r="AD124" s="57"/>
      <c r="AE124" s="57"/>
      <c r="AF124" s="57"/>
      <c r="AG124" s="57"/>
      <c r="AH124" s="57"/>
      <c r="AI124" s="57"/>
      <c r="AJ124" s="57"/>
      <c r="AK124" s="57"/>
      <c r="AL124" s="137"/>
      <c r="AO124" s="57"/>
      <c r="AP124" s="57"/>
      <c r="AQ124" s="57"/>
      <c r="AR124" s="57"/>
      <c r="AS124" s="57"/>
      <c r="AT124" s="57"/>
      <c r="AU124" s="57"/>
      <c r="AV124" s="57"/>
      <c r="AW124" s="57"/>
      <c r="AX124" s="57"/>
      <c r="AY124" s="137"/>
    </row>
    <row r="125" spans="1:51" x14ac:dyDescent="0.25">
      <c r="A125" s="775" t="s">
        <v>190</v>
      </c>
      <c r="B125" s="770" t="s">
        <v>587</v>
      </c>
      <c r="C125" s="776"/>
      <c r="D125" s="777">
        <v>13</v>
      </c>
      <c r="E125" s="777" t="s">
        <v>22</v>
      </c>
      <c r="F125" s="777">
        <v>8</v>
      </c>
      <c r="G125" s="772">
        <v>967</v>
      </c>
      <c r="H125" s="772">
        <v>1388</v>
      </c>
      <c r="I125" s="772">
        <v>1796</v>
      </c>
      <c r="J125" s="778">
        <v>1388</v>
      </c>
      <c r="K125" s="780"/>
      <c r="L125" s="552"/>
      <c r="M125" s="779">
        <v>1</v>
      </c>
      <c r="N125" s="151">
        <f>ROUND(J125*(1+kopsavilkums!$O$15),2)</f>
        <v>1483.77</v>
      </c>
      <c r="O125" s="61">
        <f t="shared" si="43"/>
        <v>0</v>
      </c>
      <c r="P125" s="61">
        <f>ROUND(L125*(1+kopsavilkums!$O$15),2)</f>
        <v>0</v>
      </c>
      <c r="Q125" s="61">
        <f t="shared" si="39"/>
        <v>95.769999999999982</v>
      </c>
      <c r="R125" s="61">
        <f t="shared" si="44"/>
        <v>95.769999999999982</v>
      </c>
      <c r="S125" s="61">
        <f t="shared" si="45"/>
        <v>1149.2399999999998</v>
      </c>
      <c r="T125" s="61">
        <f>ROUND(S125*kopsavilkums!$O$23,2)</f>
        <v>271.11</v>
      </c>
      <c r="U125" s="152">
        <f t="shared" si="46"/>
        <v>1420.35</v>
      </c>
      <c r="V125" s="73"/>
      <c r="W125" s="604"/>
      <c r="X125" s="605"/>
      <c r="Y125" s="605"/>
      <c r="Z125" s="769"/>
      <c r="AB125" s="57"/>
      <c r="AC125" s="57"/>
      <c r="AD125" s="57"/>
      <c r="AE125" s="57"/>
      <c r="AF125" s="57"/>
      <c r="AG125" s="57"/>
      <c r="AH125" s="57"/>
      <c r="AI125" s="57"/>
      <c r="AJ125" s="57"/>
      <c r="AK125" s="57"/>
      <c r="AL125" s="137"/>
      <c r="AO125" s="57"/>
      <c r="AP125" s="57"/>
      <c r="AQ125" s="57"/>
      <c r="AR125" s="57"/>
      <c r="AS125" s="57"/>
      <c r="AT125" s="57"/>
      <c r="AU125" s="57"/>
      <c r="AV125" s="57"/>
      <c r="AW125" s="57"/>
      <c r="AX125" s="57"/>
      <c r="AY125" s="137"/>
    </row>
    <row r="126" spans="1:51" x14ac:dyDescent="0.25">
      <c r="A126" s="775" t="s">
        <v>190</v>
      </c>
      <c r="B126" s="770" t="s">
        <v>587</v>
      </c>
      <c r="C126" s="776"/>
      <c r="D126" s="777">
        <v>13</v>
      </c>
      <c r="E126" s="777" t="s">
        <v>22</v>
      </c>
      <c r="F126" s="777">
        <v>8</v>
      </c>
      <c r="G126" s="772">
        <v>967</v>
      </c>
      <c r="H126" s="772">
        <v>1388</v>
      </c>
      <c r="I126" s="772">
        <v>1796</v>
      </c>
      <c r="J126" s="778">
        <v>1388</v>
      </c>
      <c r="K126" s="780"/>
      <c r="L126" s="552"/>
      <c r="M126" s="779">
        <v>1</v>
      </c>
      <c r="N126" s="151">
        <f>ROUND(J126*(1+kopsavilkums!$O$15),2)</f>
        <v>1483.77</v>
      </c>
      <c r="O126" s="61">
        <f t="shared" si="43"/>
        <v>0</v>
      </c>
      <c r="P126" s="61">
        <f>ROUND(L126*(1+kopsavilkums!$O$15),2)</f>
        <v>0</v>
      </c>
      <c r="Q126" s="61">
        <f t="shared" si="39"/>
        <v>95.769999999999982</v>
      </c>
      <c r="R126" s="61">
        <f t="shared" si="44"/>
        <v>95.769999999999982</v>
      </c>
      <c r="S126" s="61">
        <f t="shared" si="45"/>
        <v>1149.2399999999998</v>
      </c>
      <c r="T126" s="61">
        <f>ROUND(S126*kopsavilkums!$O$23,2)</f>
        <v>271.11</v>
      </c>
      <c r="U126" s="152">
        <f t="shared" si="46"/>
        <v>1420.35</v>
      </c>
      <c r="V126" s="73"/>
      <c r="W126" s="604"/>
      <c r="X126" s="605"/>
      <c r="Y126" s="605"/>
      <c r="Z126" s="769"/>
      <c r="AB126" s="57"/>
      <c r="AC126" s="57"/>
      <c r="AD126" s="57"/>
      <c r="AE126" s="57"/>
      <c r="AF126" s="57"/>
      <c r="AG126" s="57"/>
      <c r="AH126" s="57"/>
      <c r="AI126" s="57"/>
      <c r="AJ126" s="57"/>
      <c r="AK126" s="57"/>
      <c r="AL126" s="137"/>
      <c r="AO126" s="57"/>
      <c r="AP126" s="57"/>
      <c r="AQ126" s="57"/>
      <c r="AR126" s="57"/>
      <c r="AS126" s="57"/>
      <c r="AT126" s="57"/>
      <c r="AU126" s="57"/>
      <c r="AV126" s="57"/>
      <c r="AW126" s="57"/>
      <c r="AX126" s="57"/>
      <c r="AY126" s="137"/>
    </row>
    <row r="127" spans="1:51" x14ac:dyDescent="0.25">
      <c r="A127" s="775" t="s">
        <v>190</v>
      </c>
      <c r="B127" s="770" t="s">
        <v>587</v>
      </c>
      <c r="C127" s="776"/>
      <c r="D127" s="777">
        <v>13</v>
      </c>
      <c r="E127" s="777" t="s">
        <v>22</v>
      </c>
      <c r="F127" s="777">
        <v>8</v>
      </c>
      <c r="G127" s="772">
        <v>967</v>
      </c>
      <c r="H127" s="772">
        <v>1388</v>
      </c>
      <c r="I127" s="772">
        <v>1796</v>
      </c>
      <c r="J127" s="778">
        <v>1388</v>
      </c>
      <c r="K127" s="780"/>
      <c r="L127" s="552"/>
      <c r="M127" s="779">
        <v>1</v>
      </c>
      <c r="N127" s="151">
        <f>ROUND(J127*(1+kopsavilkums!$O$15),2)</f>
        <v>1483.77</v>
      </c>
      <c r="O127" s="61">
        <f t="shared" si="43"/>
        <v>0</v>
      </c>
      <c r="P127" s="61">
        <f>ROUND(L127*(1+kopsavilkums!$O$15),2)</f>
        <v>0</v>
      </c>
      <c r="Q127" s="61">
        <f t="shared" si="39"/>
        <v>95.769999999999982</v>
      </c>
      <c r="R127" s="61">
        <f t="shared" si="44"/>
        <v>95.769999999999982</v>
      </c>
      <c r="S127" s="61">
        <f t="shared" si="45"/>
        <v>1149.2399999999998</v>
      </c>
      <c r="T127" s="61">
        <f>ROUND(S127*kopsavilkums!$O$23,2)</f>
        <v>271.11</v>
      </c>
      <c r="U127" s="152">
        <f t="shared" si="46"/>
        <v>1420.35</v>
      </c>
      <c r="V127" s="73"/>
      <c r="W127" s="604"/>
      <c r="X127" s="605"/>
      <c r="Y127" s="605"/>
      <c r="Z127" s="769"/>
      <c r="AB127" s="57"/>
      <c r="AC127" s="57"/>
      <c r="AD127" s="57"/>
      <c r="AE127" s="57"/>
      <c r="AF127" s="57"/>
      <c r="AG127" s="57"/>
      <c r="AH127" s="57"/>
      <c r="AI127" s="57"/>
      <c r="AJ127" s="57"/>
      <c r="AK127" s="57"/>
      <c r="AL127" s="137"/>
      <c r="AO127" s="57"/>
      <c r="AP127" s="57"/>
      <c r="AQ127" s="57"/>
      <c r="AR127" s="57"/>
      <c r="AS127" s="57"/>
      <c r="AT127" s="57"/>
      <c r="AU127" s="57"/>
      <c r="AV127" s="57"/>
      <c r="AW127" s="57"/>
      <c r="AX127" s="57"/>
      <c r="AY127" s="137"/>
    </row>
    <row r="128" spans="1:51" x14ac:dyDescent="0.25">
      <c r="A128" s="775" t="s">
        <v>190</v>
      </c>
      <c r="B128" s="770" t="s">
        <v>587</v>
      </c>
      <c r="C128" s="776"/>
      <c r="D128" s="777">
        <v>13</v>
      </c>
      <c r="E128" s="777" t="s">
        <v>22</v>
      </c>
      <c r="F128" s="777">
        <v>8</v>
      </c>
      <c r="G128" s="772">
        <v>967</v>
      </c>
      <c r="H128" s="772">
        <v>1388</v>
      </c>
      <c r="I128" s="772">
        <v>1796</v>
      </c>
      <c r="J128" s="778">
        <v>1290</v>
      </c>
      <c r="K128" s="780"/>
      <c r="L128" s="552"/>
      <c r="M128" s="779">
        <v>1</v>
      </c>
      <c r="N128" s="151">
        <f>ROUND(J128*(1+kopsavilkums!$O$15),2)</f>
        <v>1379.01</v>
      </c>
      <c r="O128" s="61">
        <f t="shared" si="43"/>
        <v>0</v>
      </c>
      <c r="P128" s="61">
        <f>ROUND(L128*(1+kopsavilkums!$O$15),2)</f>
        <v>0</v>
      </c>
      <c r="Q128" s="61">
        <f t="shared" si="39"/>
        <v>89.009999999999991</v>
      </c>
      <c r="R128" s="61">
        <f t="shared" si="44"/>
        <v>89.009999999999991</v>
      </c>
      <c r="S128" s="61">
        <f t="shared" si="45"/>
        <v>1068.1199999999999</v>
      </c>
      <c r="T128" s="61">
        <f>ROUND(S128*kopsavilkums!$O$23,2)</f>
        <v>251.97</v>
      </c>
      <c r="U128" s="152">
        <f t="shared" si="46"/>
        <v>1320.09</v>
      </c>
      <c r="V128" s="73"/>
      <c r="W128" s="604"/>
      <c r="X128" s="605"/>
      <c r="Y128" s="605"/>
      <c r="Z128" s="769"/>
      <c r="AB128" s="57"/>
      <c r="AC128" s="57"/>
      <c r="AD128" s="57"/>
      <c r="AE128" s="57"/>
      <c r="AF128" s="57"/>
      <c r="AG128" s="57"/>
      <c r="AH128" s="57"/>
      <c r="AI128" s="57"/>
      <c r="AJ128" s="57"/>
      <c r="AK128" s="57"/>
      <c r="AL128" s="137"/>
      <c r="AO128" s="57"/>
      <c r="AP128" s="57"/>
      <c r="AQ128" s="57"/>
      <c r="AR128" s="57"/>
      <c r="AS128" s="57"/>
      <c r="AT128" s="57"/>
      <c r="AU128" s="57"/>
      <c r="AV128" s="57"/>
      <c r="AW128" s="57"/>
      <c r="AX128" s="57"/>
      <c r="AY128" s="137"/>
    </row>
    <row r="129" spans="1:51" x14ac:dyDescent="0.25">
      <c r="A129" s="775" t="s">
        <v>190</v>
      </c>
      <c r="B129" s="770" t="s">
        <v>587</v>
      </c>
      <c r="C129" s="776"/>
      <c r="D129" s="777">
        <v>13</v>
      </c>
      <c r="E129" s="777" t="s">
        <v>22</v>
      </c>
      <c r="F129" s="777">
        <v>8</v>
      </c>
      <c r="G129" s="772">
        <v>967</v>
      </c>
      <c r="H129" s="772">
        <v>1388</v>
      </c>
      <c r="I129" s="772">
        <v>1796</v>
      </c>
      <c r="J129" s="778">
        <v>1388</v>
      </c>
      <c r="K129" s="780"/>
      <c r="L129" s="552"/>
      <c r="M129" s="779">
        <v>1</v>
      </c>
      <c r="N129" s="151">
        <f>ROUND(J129*(1+kopsavilkums!$O$15),2)</f>
        <v>1483.77</v>
      </c>
      <c r="O129" s="61">
        <f t="shared" si="43"/>
        <v>0</v>
      </c>
      <c r="P129" s="61">
        <f>ROUND(L129*(1+kopsavilkums!$O$15),2)</f>
        <v>0</v>
      </c>
      <c r="Q129" s="61">
        <f t="shared" si="39"/>
        <v>95.769999999999982</v>
      </c>
      <c r="R129" s="61">
        <f t="shared" si="44"/>
        <v>95.769999999999982</v>
      </c>
      <c r="S129" s="61">
        <f t="shared" si="45"/>
        <v>1149.2399999999998</v>
      </c>
      <c r="T129" s="61">
        <f>ROUND(S129*kopsavilkums!$O$23,2)</f>
        <v>271.11</v>
      </c>
      <c r="U129" s="152">
        <f t="shared" si="46"/>
        <v>1420.35</v>
      </c>
      <c r="V129" s="73"/>
      <c r="W129" s="604"/>
      <c r="X129" s="605"/>
      <c r="Y129" s="605"/>
      <c r="Z129" s="769"/>
      <c r="AB129" s="57"/>
      <c r="AC129" s="57"/>
      <c r="AD129" s="57"/>
      <c r="AE129" s="57"/>
      <c r="AF129" s="57"/>
      <c r="AG129" s="57"/>
      <c r="AH129" s="57"/>
      <c r="AI129" s="57"/>
      <c r="AJ129" s="57"/>
      <c r="AK129" s="57"/>
      <c r="AL129" s="137"/>
      <c r="AO129" s="57"/>
      <c r="AP129" s="57"/>
      <c r="AQ129" s="57"/>
      <c r="AR129" s="57"/>
      <c r="AS129" s="57"/>
      <c r="AT129" s="57"/>
      <c r="AU129" s="57"/>
      <c r="AV129" s="57"/>
      <c r="AW129" s="57"/>
      <c r="AX129" s="57"/>
      <c r="AY129" s="137"/>
    </row>
    <row r="130" spans="1:51" x14ac:dyDescent="0.25">
      <c r="A130" s="775" t="s">
        <v>190</v>
      </c>
      <c r="B130" s="770" t="s">
        <v>587</v>
      </c>
      <c r="C130" s="776"/>
      <c r="D130" s="777">
        <v>13</v>
      </c>
      <c r="E130" s="777" t="s">
        <v>22</v>
      </c>
      <c r="F130" s="777">
        <v>8</v>
      </c>
      <c r="G130" s="772">
        <v>967</v>
      </c>
      <c r="H130" s="772">
        <v>1388</v>
      </c>
      <c r="I130" s="772">
        <v>1796</v>
      </c>
      <c r="J130" s="778">
        <v>1388</v>
      </c>
      <c r="K130" s="780"/>
      <c r="L130" s="552"/>
      <c r="M130" s="779">
        <v>1</v>
      </c>
      <c r="N130" s="151">
        <f>ROUND(J130*(1+kopsavilkums!$O$15),2)</f>
        <v>1483.77</v>
      </c>
      <c r="O130" s="61">
        <f t="shared" si="43"/>
        <v>0</v>
      </c>
      <c r="P130" s="61">
        <f>ROUND(L130*(1+kopsavilkums!$O$15),2)</f>
        <v>0</v>
      </c>
      <c r="Q130" s="61">
        <f t="shared" si="39"/>
        <v>95.769999999999982</v>
      </c>
      <c r="R130" s="61">
        <f t="shared" si="44"/>
        <v>95.769999999999982</v>
      </c>
      <c r="S130" s="61">
        <f t="shared" si="45"/>
        <v>1149.2399999999998</v>
      </c>
      <c r="T130" s="61">
        <f>ROUND(S130*kopsavilkums!$O$23,2)</f>
        <v>271.11</v>
      </c>
      <c r="U130" s="152">
        <f t="shared" si="46"/>
        <v>1420.35</v>
      </c>
      <c r="V130" s="73"/>
      <c r="W130" s="604"/>
      <c r="X130" s="605"/>
      <c r="Y130" s="605"/>
      <c r="Z130" s="769"/>
      <c r="AB130" s="57"/>
      <c r="AC130" s="57"/>
      <c r="AD130" s="57"/>
      <c r="AE130" s="57"/>
      <c r="AF130" s="57"/>
      <c r="AG130" s="57"/>
      <c r="AH130" s="57"/>
      <c r="AI130" s="57"/>
      <c r="AJ130" s="57"/>
      <c r="AK130" s="57"/>
      <c r="AL130" s="137"/>
      <c r="AO130" s="57"/>
      <c r="AP130" s="57"/>
      <c r="AQ130" s="57"/>
      <c r="AR130" s="57"/>
      <c r="AS130" s="57"/>
      <c r="AT130" s="57"/>
      <c r="AU130" s="57"/>
      <c r="AV130" s="57"/>
      <c r="AW130" s="57"/>
      <c r="AX130" s="57"/>
      <c r="AY130" s="137"/>
    </row>
    <row r="131" spans="1:51" x14ac:dyDescent="0.25">
      <c r="A131" s="775" t="s">
        <v>421</v>
      </c>
      <c r="B131" s="770" t="s">
        <v>588</v>
      </c>
      <c r="C131" s="776"/>
      <c r="D131" s="771">
        <v>13</v>
      </c>
      <c r="E131" s="771" t="s">
        <v>22</v>
      </c>
      <c r="F131" s="771">
        <v>8</v>
      </c>
      <c r="G131" s="772">
        <v>967</v>
      </c>
      <c r="H131" s="772">
        <v>1388</v>
      </c>
      <c r="I131" s="772">
        <v>1796</v>
      </c>
      <c r="J131" s="778">
        <v>1320</v>
      </c>
      <c r="K131" s="780"/>
      <c r="L131" s="552"/>
      <c r="M131" s="779">
        <v>1</v>
      </c>
      <c r="N131" s="151">
        <f>ROUND(J131*(1+kopsavilkums!$O$15),2)</f>
        <v>1411.08</v>
      </c>
      <c r="O131" s="61">
        <f t="shared" si="43"/>
        <v>0</v>
      </c>
      <c r="P131" s="61">
        <f>ROUND(L131*(1+kopsavilkums!$O$15),2)</f>
        <v>0</v>
      </c>
      <c r="Q131" s="61">
        <f t="shared" si="39"/>
        <v>91.079999999999927</v>
      </c>
      <c r="R131" s="61">
        <f t="shared" si="44"/>
        <v>91.079999999999927</v>
      </c>
      <c r="S131" s="61">
        <f t="shared" si="45"/>
        <v>1092.9599999999991</v>
      </c>
      <c r="T131" s="61">
        <f>ROUND(S131*kopsavilkums!$O$23,2)</f>
        <v>257.83</v>
      </c>
      <c r="U131" s="152">
        <f t="shared" si="46"/>
        <v>1350.7899999999991</v>
      </c>
      <c r="V131" s="73"/>
      <c r="W131" s="604"/>
      <c r="X131" s="605"/>
      <c r="Y131" s="605"/>
      <c r="Z131" s="769"/>
      <c r="AB131" s="57"/>
      <c r="AC131" s="57"/>
      <c r="AD131" s="57"/>
      <c r="AE131" s="57"/>
      <c r="AF131" s="57"/>
      <c r="AG131" s="57"/>
      <c r="AH131" s="57"/>
      <c r="AI131" s="57"/>
      <c r="AJ131" s="57"/>
      <c r="AK131" s="57"/>
      <c r="AL131" s="137"/>
      <c r="AO131" s="57"/>
      <c r="AP131" s="57"/>
      <c r="AQ131" s="57"/>
      <c r="AR131" s="57"/>
      <c r="AS131" s="57"/>
      <c r="AT131" s="57"/>
      <c r="AU131" s="57"/>
      <c r="AV131" s="57"/>
      <c r="AW131" s="57"/>
      <c r="AX131" s="57"/>
      <c r="AY131" s="137"/>
    </row>
    <row r="132" spans="1:51" x14ac:dyDescent="0.25">
      <c r="A132" s="775" t="s">
        <v>421</v>
      </c>
      <c r="B132" s="770" t="s">
        <v>588</v>
      </c>
      <c r="C132" s="776"/>
      <c r="D132" s="771">
        <v>13</v>
      </c>
      <c r="E132" s="771" t="s">
        <v>22</v>
      </c>
      <c r="F132" s="771">
        <v>8</v>
      </c>
      <c r="G132" s="772">
        <v>967</v>
      </c>
      <c r="H132" s="772">
        <v>1388</v>
      </c>
      <c r="I132" s="772">
        <v>1796</v>
      </c>
      <c r="J132" s="778">
        <v>1320</v>
      </c>
      <c r="K132" s="780"/>
      <c r="L132" s="552"/>
      <c r="M132" s="779">
        <v>1</v>
      </c>
      <c r="N132" s="151">
        <f>ROUND(J132*(1+kopsavilkums!$O$15),2)</f>
        <v>1411.08</v>
      </c>
      <c r="O132" s="61">
        <f t="shared" si="43"/>
        <v>0</v>
      </c>
      <c r="P132" s="61">
        <f>ROUND(L132*(1+kopsavilkums!$O$15),2)</f>
        <v>0</v>
      </c>
      <c r="Q132" s="61">
        <f t="shared" si="39"/>
        <v>91.079999999999927</v>
      </c>
      <c r="R132" s="61">
        <f t="shared" si="44"/>
        <v>91.079999999999927</v>
      </c>
      <c r="S132" s="61">
        <f t="shared" si="45"/>
        <v>1092.9599999999991</v>
      </c>
      <c r="T132" s="61">
        <f>ROUND(S132*kopsavilkums!$O$23,2)</f>
        <v>257.83</v>
      </c>
      <c r="U132" s="152">
        <f t="shared" si="46"/>
        <v>1350.7899999999991</v>
      </c>
      <c r="V132" s="73"/>
      <c r="W132" s="604"/>
      <c r="X132" s="605"/>
      <c r="Y132" s="605"/>
      <c r="Z132" s="769"/>
      <c r="AB132" s="57"/>
      <c r="AC132" s="57"/>
      <c r="AD132" s="57"/>
      <c r="AE132" s="57"/>
      <c r="AF132" s="57"/>
      <c r="AG132" s="57"/>
      <c r="AH132" s="57"/>
      <c r="AI132" s="57"/>
      <c r="AJ132" s="57"/>
      <c r="AK132" s="57"/>
      <c r="AL132" s="137"/>
      <c r="AO132" s="57"/>
      <c r="AP132" s="57"/>
      <c r="AQ132" s="57"/>
      <c r="AR132" s="57"/>
      <c r="AS132" s="57"/>
      <c r="AT132" s="57"/>
      <c r="AU132" s="57"/>
      <c r="AV132" s="57"/>
      <c r="AW132" s="57"/>
      <c r="AX132" s="57"/>
      <c r="AY132" s="137"/>
    </row>
    <row r="133" spans="1:51" ht="15.75" thickBot="1" x14ac:dyDescent="0.3">
      <c r="A133" s="10" t="s">
        <v>32</v>
      </c>
      <c r="B133" s="512"/>
      <c r="C133" s="512"/>
      <c r="D133" s="2" t="s">
        <v>29</v>
      </c>
      <c r="E133" s="3" t="s">
        <v>29</v>
      </c>
      <c r="F133" s="3" t="s">
        <v>29</v>
      </c>
      <c r="G133" s="3"/>
      <c r="H133" s="3"/>
      <c r="I133" s="3" t="s">
        <v>29</v>
      </c>
      <c r="J133" s="3" t="s">
        <v>29</v>
      </c>
      <c r="K133" s="3" t="s">
        <v>29</v>
      </c>
      <c r="L133" s="117"/>
      <c r="M133" s="128">
        <f>SUM(M123:M132)</f>
        <v>10</v>
      </c>
      <c r="N133" s="197"/>
      <c r="O133" s="177"/>
      <c r="P133" s="177"/>
      <c r="Q133" s="177"/>
      <c r="R133" s="177"/>
      <c r="S133" s="177"/>
      <c r="T133" s="177"/>
      <c r="U133" s="178"/>
      <c r="W133" s="72"/>
      <c r="X133" s="72"/>
      <c r="Y133" s="72"/>
      <c r="Z133" s="769"/>
    </row>
    <row r="134" spans="1:51" ht="15.75" thickBot="1" x14ac:dyDescent="0.3">
      <c r="A134" s="8" t="s">
        <v>34</v>
      </c>
      <c r="B134" s="521"/>
      <c r="C134" s="521"/>
      <c r="D134" s="9"/>
      <c r="E134" s="9"/>
      <c r="F134" s="9"/>
      <c r="G134" s="9"/>
      <c r="H134" s="9"/>
      <c r="I134" s="9"/>
      <c r="J134" s="9"/>
      <c r="K134" s="9"/>
      <c r="L134" s="384"/>
      <c r="M134" s="183">
        <f>SUM(M121,M133)</f>
        <v>96</v>
      </c>
      <c r="N134" s="198"/>
      <c r="O134" s="199"/>
      <c r="P134" s="199"/>
      <c r="Q134" s="199"/>
      <c r="R134" s="199"/>
      <c r="S134" s="199"/>
      <c r="T134" s="199"/>
      <c r="U134" s="200">
        <f>SUM(U35:U120,U123:U132)</f>
        <v>256053.32999999996</v>
      </c>
      <c r="V134" s="65"/>
      <c r="W134" s="72"/>
      <c r="X134" s="608"/>
      <c r="Y134" s="608"/>
      <c r="Z134" s="769"/>
      <c r="AI134" s="65"/>
      <c r="AJ134" s="65"/>
      <c r="AK134" s="65"/>
      <c r="AV134" s="65"/>
      <c r="AW134" s="65"/>
      <c r="AX134" s="65"/>
    </row>
    <row r="135" spans="1:51" ht="15.75" thickBot="1" x14ac:dyDescent="0.3">
      <c r="N135" s="12"/>
      <c r="V135" s="65"/>
      <c r="W135" s="72"/>
      <c r="X135" s="72"/>
      <c r="Y135" s="609"/>
      <c r="Z135" s="769"/>
      <c r="AK135" s="137"/>
      <c r="AX135" s="137"/>
    </row>
    <row r="136" spans="1:51" x14ac:dyDescent="0.25">
      <c r="A136" s="983" t="s">
        <v>43</v>
      </c>
      <c r="B136" s="984"/>
      <c r="C136" s="984"/>
      <c r="D136" s="985"/>
      <c r="E136" s="985"/>
      <c r="F136" s="985"/>
      <c r="G136" s="985"/>
      <c r="H136" s="985"/>
      <c r="I136" s="985"/>
      <c r="J136" s="985"/>
      <c r="K136" s="985"/>
      <c r="L136" s="986"/>
      <c r="M136" s="986"/>
      <c r="N136" s="213"/>
      <c r="O136" s="185"/>
      <c r="P136" s="185"/>
      <c r="Q136" s="185"/>
      <c r="R136" s="185"/>
      <c r="S136" s="185"/>
      <c r="T136" s="185"/>
      <c r="U136" s="186"/>
      <c r="W136" s="72"/>
      <c r="X136" s="72"/>
      <c r="Y136" s="72"/>
      <c r="Z136" s="769"/>
    </row>
    <row r="137" spans="1:51" x14ac:dyDescent="0.25">
      <c r="A137" s="1079" t="s">
        <v>44</v>
      </c>
      <c r="B137" s="1080"/>
      <c r="C137" s="1080"/>
      <c r="D137" s="1081"/>
      <c r="E137" s="1081"/>
      <c r="F137" s="1081"/>
      <c r="G137" s="1081"/>
      <c r="H137" s="1081"/>
      <c r="I137" s="1081"/>
      <c r="J137" s="1081"/>
      <c r="K137" s="1081"/>
      <c r="L137" s="1082"/>
      <c r="M137" s="1082"/>
      <c r="N137" s="1"/>
      <c r="O137" s="72"/>
      <c r="P137" s="72"/>
      <c r="Q137" s="72"/>
      <c r="R137" s="72"/>
      <c r="S137" s="72"/>
      <c r="T137" s="72"/>
      <c r="U137" s="209"/>
      <c r="W137" s="72"/>
      <c r="X137" s="72"/>
      <c r="Y137" s="72"/>
      <c r="Z137" s="769"/>
    </row>
    <row r="138" spans="1:51" x14ac:dyDescent="0.25">
      <c r="A138" s="1006" t="s">
        <v>435</v>
      </c>
      <c r="B138" s="1007"/>
      <c r="C138" s="1007"/>
      <c r="D138" s="1008"/>
      <c r="E138" s="1008"/>
      <c r="F138" s="1008"/>
      <c r="G138" s="1008"/>
      <c r="H138" s="1008"/>
      <c r="I138" s="1008"/>
      <c r="J138" s="1008"/>
      <c r="K138" s="1008"/>
      <c r="L138" s="1009"/>
      <c r="M138" s="1009"/>
      <c r="N138" s="196"/>
      <c r="O138" s="155"/>
      <c r="P138" s="155"/>
      <c r="Q138" s="155"/>
      <c r="R138" s="155"/>
      <c r="S138" s="155"/>
      <c r="T138" s="155"/>
      <c r="U138" s="158"/>
      <c r="W138" s="72"/>
      <c r="X138" s="72"/>
      <c r="Y138" s="72"/>
      <c r="Z138" s="769"/>
    </row>
    <row r="139" spans="1:51" x14ac:dyDescent="0.25">
      <c r="A139" s="616" t="s">
        <v>310</v>
      </c>
      <c r="B139" s="781" t="s">
        <v>589</v>
      </c>
      <c r="C139" s="631"/>
      <c r="D139" s="782" t="s">
        <v>422</v>
      </c>
      <c r="E139" s="623" t="s">
        <v>255</v>
      </c>
      <c r="F139" s="783">
        <v>12</v>
      </c>
      <c r="G139" s="784">
        <f>1.911*1137.46</f>
        <v>2173.68606</v>
      </c>
      <c r="H139" s="784">
        <f>2.73*1137.46</f>
        <v>3105.2658000000001</v>
      </c>
      <c r="I139" s="784">
        <f>3.276*1137.46</f>
        <v>3726.3189600000001</v>
      </c>
      <c r="J139" s="623">
        <v>2597</v>
      </c>
      <c r="K139" s="785">
        <v>0</v>
      </c>
      <c r="L139" s="785">
        <f>K139</f>
        <v>0</v>
      </c>
      <c r="M139" s="786">
        <v>1</v>
      </c>
      <c r="N139" s="151">
        <f>ROUND(J139*(1+kopsavilkums!$O$8),2)</f>
        <v>2872.28</v>
      </c>
      <c r="O139" s="61">
        <f t="shared" ref="O139" si="47">P139-L139</f>
        <v>0</v>
      </c>
      <c r="P139" s="61">
        <f>ROUND(L139*(1+kopsavilkums!$O$8),2)</f>
        <v>0</v>
      </c>
      <c r="Q139" s="61">
        <f t="shared" ref="Q139:Q170" si="48">(N139+P139)-(J139+L139)</f>
        <v>275.2800000000002</v>
      </c>
      <c r="R139" s="61">
        <f t="shared" ref="R139" si="49">Q139*M139</f>
        <v>275.2800000000002</v>
      </c>
      <c r="S139" s="61">
        <f t="shared" ref="S139" si="50">R139*12</f>
        <v>3303.3600000000024</v>
      </c>
      <c r="T139" s="61">
        <f>ROUND(S139*kopsavilkums!$O$23,2)</f>
        <v>779.26</v>
      </c>
      <c r="U139" s="152">
        <f t="shared" ref="U139" si="51">SUM(S139:T139)</f>
        <v>4082.6200000000026</v>
      </c>
      <c r="V139" s="73"/>
      <c r="W139" s="604"/>
      <c r="X139" s="605"/>
      <c r="Y139" s="605"/>
      <c r="Z139" s="769"/>
      <c r="AB139" s="57"/>
      <c r="AC139" s="57"/>
      <c r="AD139" s="57"/>
      <c r="AE139" s="57"/>
      <c r="AF139" s="57"/>
      <c r="AG139" s="57"/>
      <c r="AH139" s="57"/>
      <c r="AI139" s="57"/>
      <c r="AJ139" s="57"/>
      <c r="AK139" s="57"/>
      <c r="AL139" s="137"/>
      <c r="AO139" s="57"/>
      <c r="AP139" s="57"/>
      <c r="AQ139" s="57"/>
      <c r="AR139" s="57"/>
      <c r="AS139" s="57"/>
      <c r="AT139" s="57"/>
      <c r="AU139" s="57"/>
      <c r="AV139" s="57"/>
      <c r="AW139" s="57"/>
      <c r="AX139" s="57"/>
      <c r="AY139" s="137"/>
    </row>
    <row r="140" spans="1:51" x14ac:dyDescent="0.25">
      <c r="A140" s="787" t="s">
        <v>38</v>
      </c>
      <c r="B140" s="781" t="s">
        <v>589</v>
      </c>
      <c r="C140" s="787"/>
      <c r="D140" s="782" t="s">
        <v>422</v>
      </c>
      <c r="E140" s="623" t="s">
        <v>9</v>
      </c>
      <c r="F140" s="783">
        <v>11</v>
      </c>
      <c r="G140" s="784">
        <f>1.535*1137.46</f>
        <v>1746.0011</v>
      </c>
      <c r="H140" s="784">
        <f>2.194*1137.46</f>
        <v>2495.5872399999998</v>
      </c>
      <c r="I140" s="784">
        <f>2.743*1137.46</f>
        <v>3120.05278</v>
      </c>
      <c r="J140" s="623">
        <v>2021</v>
      </c>
      <c r="K140" s="785">
        <v>0</v>
      </c>
      <c r="L140" s="785">
        <f t="shared" ref="L140:L203" si="52">K140</f>
        <v>0</v>
      </c>
      <c r="M140" s="786">
        <v>1</v>
      </c>
      <c r="N140" s="151">
        <f>ROUND(J140*(1+kopsavilkums!$O$8),2)</f>
        <v>2235.23</v>
      </c>
      <c r="O140" s="61">
        <f t="shared" ref="O140:O203" si="53">P140-L140</f>
        <v>0</v>
      </c>
      <c r="P140" s="61">
        <f>ROUND(L140*(1+kopsavilkums!$O$8),2)</f>
        <v>0</v>
      </c>
      <c r="Q140" s="61">
        <f t="shared" si="48"/>
        <v>214.23000000000002</v>
      </c>
      <c r="R140" s="61">
        <f t="shared" ref="R140:R203" si="54">Q140*M140</f>
        <v>214.23000000000002</v>
      </c>
      <c r="S140" s="61">
        <f t="shared" ref="S140:S203" si="55">R140*12</f>
        <v>2570.7600000000002</v>
      </c>
      <c r="T140" s="61">
        <f>ROUND(S140*kopsavilkums!$O$23,2)</f>
        <v>606.44000000000005</v>
      </c>
      <c r="U140" s="152">
        <f t="shared" ref="U140:U203" si="56">SUM(S140:T140)</f>
        <v>3177.2000000000003</v>
      </c>
      <c r="V140" s="73"/>
      <c r="W140" s="604"/>
      <c r="X140" s="605"/>
      <c r="Y140" s="605"/>
      <c r="Z140" s="769"/>
      <c r="AB140" s="57"/>
      <c r="AC140" s="57"/>
      <c r="AD140" s="57"/>
      <c r="AE140" s="57"/>
      <c r="AF140" s="57"/>
      <c r="AG140" s="57"/>
      <c r="AH140" s="57"/>
      <c r="AI140" s="57"/>
      <c r="AJ140" s="57"/>
      <c r="AK140" s="57"/>
      <c r="AL140" s="137"/>
      <c r="AO140" s="57"/>
      <c r="AP140" s="57"/>
      <c r="AQ140" s="57"/>
      <c r="AR140" s="57"/>
      <c r="AS140" s="57"/>
      <c r="AT140" s="57"/>
      <c r="AU140" s="57"/>
      <c r="AV140" s="57"/>
      <c r="AW140" s="57"/>
      <c r="AX140" s="57"/>
      <c r="AY140" s="137"/>
    </row>
    <row r="141" spans="1:51" ht="25.5" x14ac:dyDescent="0.25">
      <c r="A141" s="787" t="s">
        <v>253</v>
      </c>
      <c r="B141" s="781" t="s">
        <v>586</v>
      </c>
      <c r="C141" s="787"/>
      <c r="D141" s="782" t="s">
        <v>422</v>
      </c>
      <c r="E141" s="623" t="s">
        <v>11</v>
      </c>
      <c r="F141" s="783">
        <v>10</v>
      </c>
      <c r="G141" s="784">
        <f t="shared" ref="G141:G147" si="57">1.23*1137.46</f>
        <v>1399.0758000000001</v>
      </c>
      <c r="H141" s="784">
        <f t="shared" ref="H141:H147" si="58">1.757*1137.46</f>
        <v>1998.51722</v>
      </c>
      <c r="I141" s="784">
        <f t="shared" ref="I141:I147" si="59">2.197*1137.46</f>
        <v>2498.99962</v>
      </c>
      <c r="J141" s="623">
        <v>1770</v>
      </c>
      <c r="K141" s="785">
        <v>0</v>
      </c>
      <c r="L141" s="785">
        <f t="shared" si="52"/>
        <v>0</v>
      </c>
      <c r="M141" s="786">
        <v>0.5</v>
      </c>
      <c r="N141" s="151">
        <f>ROUND(J141*(1+kopsavilkums!$O$8),2)</f>
        <v>1957.62</v>
      </c>
      <c r="O141" s="61">
        <f t="shared" si="53"/>
        <v>0</v>
      </c>
      <c r="P141" s="61">
        <f>ROUND(L141*(1+kopsavilkums!$O$8),2)</f>
        <v>0</v>
      </c>
      <c r="Q141" s="61">
        <f t="shared" si="48"/>
        <v>187.61999999999989</v>
      </c>
      <c r="R141" s="61">
        <f t="shared" si="54"/>
        <v>93.809999999999945</v>
      </c>
      <c r="S141" s="61">
        <f t="shared" si="55"/>
        <v>1125.7199999999993</v>
      </c>
      <c r="T141" s="61">
        <f>ROUND(S141*kopsavilkums!$O$23,2)</f>
        <v>265.56</v>
      </c>
      <c r="U141" s="152">
        <f t="shared" si="56"/>
        <v>1391.2799999999993</v>
      </c>
      <c r="V141" s="73"/>
      <c r="W141" s="604"/>
      <c r="X141" s="605"/>
      <c r="Y141" s="605"/>
      <c r="Z141" s="769"/>
      <c r="AB141" s="57"/>
      <c r="AC141" s="57"/>
      <c r="AD141" s="57"/>
      <c r="AE141" s="57"/>
      <c r="AF141" s="57"/>
      <c r="AG141" s="57"/>
      <c r="AH141" s="57"/>
      <c r="AI141" s="57"/>
      <c r="AJ141" s="57"/>
      <c r="AK141" s="57"/>
      <c r="AL141" s="137"/>
      <c r="AO141" s="57"/>
      <c r="AP141" s="57"/>
      <c r="AQ141" s="57"/>
      <c r="AR141" s="57"/>
      <c r="AS141" s="57"/>
      <c r="AT141" s="57"/>
      <c r="AU141" s="57"/>
      <c r="AV141" s="57"/>
      <c r="AW141" s="57"/>
      <c r="AX141" s="57"/>
      <c r="AY141" s="137"/>
    </row>
    <row r="142" spans="1:51" ht="25.5" x14ac:dyDescent="0.25">
      <c r="A142" s="787" t="s">
        <v>253</v>
      </c>
      <c r="B142" s="781" t="s">
        <v>586</v>
      </c>
      <c r="C142" s="787"/>
      <c r="D142" s="782" t="s">
        <v>422</v>
      </c>
      <c r="E142" s="623" t="s">
        <v>11</v>
      </c>
      <c r="F142" s="783">
        <v>10</v>
      </c>
      <c r="G142" s="784">
        <f t="shared" si="57"/>
        <v>1399.0758000000001</v>
      </c>
      <c r="H142" s="784">
        <f t="shared" si="58"/>
        <v>1998.51722</v>
      </c>
      <c r="I142" s="784">
        <f t="shared" si="59"/>
        <v>2498.99962</v>
      </c>
      <c r="J142" s="623">
        <v>1496</v>
      </c>
      <c r="K142" s="785">
        <v>0</v>
      </c>
      <c r="L142" s="785">
        <f t="shared" si="52"/>
        <v>0</v>
      </c>
      <c r="M142" s="786">
        <v>0.5</v>
      </c>
      <c r="N142" s="151">
        <f>ROUND(J142*(1+kopsavilkums!$O$8),2)</f>
        <v>1654.58</v>
      </c>
      <c r="O142" s="61">
        <f t="shared" si="53"/>
        <v>0</v>
      </c>
      <c r="P142" s="61">
        <f>ROUND(L142*(1+kopsavilkums!$O$8),2)</f>
        <v>0</v>
      </c>
      <c r="Q142" s="61">
        <f t="shared" si="48"/>
        <v>158.57999999999993</v>
      </c>
      <c r="R142" s="61">
        <f t="shared" si="54"/>
        <v>79.289999999999964</v>
      </c>
      <c r="S142" s="61">
        <f t="shared" si="55"/>
        <v>951.47999999999956</v>
      </c>
      <c r="T142" s="61">
        <f>ROUND(S142*kopsavilkums!$O$23,2)</f>
        <v>224.45</v>
      </c>
      <c r="U142" s="152">
        <f t="shared" si="56"/>
        <v>1175.9299999999996</v>
      </c>
      <c r="V142" s="73"/>
      <c r="W142" s="604"/>
      <c r="X142" s="605"/>
      <c r="Y142" s="605"/>
      <c r="Z142" s="769"/>
      <c r="AB142" s="57"/>
      <c r="AC142" s="57"/>
      <c r="AD142" s="57"/>
      <c r="AE142" s="57"/>
      <c r="AF142" s="57"/>
      <c r="AG142" s="57"/>
      <c r="AH142" s="57"/>
      <c r="AI142" s="57"/>
      <c r="AJ142" s="57"/>
      <c r="AK142" s="57"/>
      <c r="AL142" s="137"/>
      <c r="AO142" s="57"/>
      <c r="AP142" s="57"/>
      <c r="AQ142" s="57"/>
      <c r="AR142" s="57"/>
      <c r="AS142" s="57"/>
      <c r="AT142" s="57"/>
      <c r="AU142" s="57"/>
      <c r="AV142" s="57"/>
      <c r="AW142" s="57"/>
      <c r="AX142" s="57"/>
      <c r="AY142" s="137"/>
    </row>
    <row r="143" spans="1:51" x14ac:dyDescent="0.25">
      <c r="A143" s="787" t="s">
        <v>311</v>
      </c>
      <c r="B143" s="781" t="s">
        <v>590</v>
      </c>
      <c r="C143" s="787"/>
      <c r="D143" s="782" t="s">
        <v>422</v>
      </c>
      <c r="E143" s="623" t="s">
        <v>11</v>
      </c>
      <c r="F143" s="788">
        <v>10</v>
      </c>
      <c r="G143" s="784">
        <f t="shared" si="57"/>
        <v>1399.0758000000001</v>
      </c>
      <c r="H143" s="784">
        <f t="shared" si="58"/>
        <v>1998.51722</v>
      </c>
      <c r="I143" s="784">
        <f t="shared" si="59"/>
        <v>2498.99962</v>
      </c>
      <c r="J143" s="623">
        <v>1770</v>
      </c>
      <c r="K143" s="785">
        <v>0</v>
      </c>
      <c r="L143" s="785">
        <f t="shared" si="52"/>
        <v>0</v>
      </c>
      <c r="M143" s="786">
        <v>1</v>
      </c>
      <c r="N143" s="151">
        <f>ROUND(J143*(1+kopsavilkums!$O$8),2)</f>
        <v>1957.62</v>
      </c>
      <c r="O143" s="61">
        <f t="shared" si="53"/>
        <v>0</v>
      </c>
      <c r="P143" s="61">
        <f>ROUND(L143*(1+kopsavilkums!$O$8),2)</f>
        <v>0</v>
      </c>
      <c r="Q143" s="61">
        <f t="shared" si="48"/>
        <v>187.61999999999989</v>
      </c>
      <c r="R143" s="61">
        <f t="shared" si="54"/>
        <v>187.61999999999989</v>
      </c>
      <c r="S143" s="61">
        <f t="shared" si="55"/>
        <v>2251.4399999999987</v>
      </c>
      <c r="T143" s="61">
        <f>ROUND(S143*kopsavilkums!$O$23,2)</f>
        <v>531.11</v>
      </c>
      <c r="U143" s="152">
        <f t="shared" si="56"/>
        <v>2782.5499999999988</v>
      </c>
      <c r="V143" s="73"/>
      <c r="W143" s="604"/>
      <c r="X143" s="605"/>
      <c r="Y143" s="605"/>
      <c r="Z143" s="769"/>
      <c r="AB143" s="57"/>
      <c r="AC143" s="57"/>
      <c r="AD143" s="57"/>
      <c r="AE143" s="57"/>
      <c r="AF143" s="57"/>
      <c r="AG143" s="57"/>
      <c r="AH143" s="57"/>
      <c r="AI143" s="57"/>
      <c r="AJ143" s="57"/>
      <c r="AK143" s="57"/>
      <c r="AL143" s="137"/>
      <c r="AO143" s="57"/>
      <c r="AP143" s="57"/>
      <c r="AQ143" s="57"/>
      <c r="AR143" s="57"/>
      <c r="AS143" s="57"/>
      <c r="AT143" s="57"/>
      <c r="AU143" s="57"/>
      <c r="AV143" s="57"/>
      <c r="AW143" s="57"/>
      <c r="AX143" s="57"/>
      <c r="AY143" s="137"/>
    </row>
    <row r="144" spans="1:51" x14ac:dyDescent="0.25">
      <c r="A144" s="787" t="s">
        <v>311</v>
      </c>
      <c r="B144" s="781" t="s">
        <v>590</v>
      </c>
      <c r="C144" s="787"/>
      <c r="D144" s="782" t="s">
        <v>422</v>
      </c>
      <c r="E144" s="623" t="s">
        <v>11</v>
      </c>
      <c r="F144" s="788">
        <v>10</v>
      </c>
      <c r="G144" s="784">
        <f t="shared" si="57"/>
        <v>1399.0758000000001</v>
      </c>
      <c r="H144" s="784">
        <f t="shared" si="58"/>
        <v>1998.51722</v>
      </c>
      <c r="I144" s="784">
        <f t="shared" si="59"/>
        <v>2498.99962</v>
      </c>
      <c r="J144" s="623">
        <v>1770</v>
      </c>
      <c r="K144" s="785">
        <v>0</v>
      </c>
      <c r="L144" s="785">
        <f t="shared" si="52"/>
        <v>0</v>
      </c>
      <c r="M144" s="786">
        <v>1</v>
      </c>
      <c r="N144" s="151">
        <f>ROUND(J144*(1+kopsavilkums!$O$8),2)</f>
        <v>1957.62</v>
      </c>
      <c r="O144" s="61">
        <f t="shared" si="53"/>
        <v>0</v>
      </c>
      <c r="P144" s="61">
        <f>ROUND(L144*(1+kopsavilkums!$O$8),2)</f>
        <v>0</v>
      </c>
      <c r="Q144" s="61">
        <f t="shared" si="48"/>
        <v>187.61999999999989</v>
      </c>
      <c r="R144" s="61">
        <f t="shared" si="54"/>
        <v>187.61999999999989</v>
      </c>
      <c r="S144" s="61">
        <f t="shared" si="55"/>
        <v>2251.4399999999987</v>
      </c>
      <c r="T144" s="61">
        <f>ROUND(S144*kopsavilkums!$O$23,2)</f>
        <v>531.11</v>
      </c>
      <c r="U144" s="152">
        <f t="shared" si="56"/>
        <v>2782.5499999999988</v>
      </c>
      <c r="V144" s="73"/>
      <c r="W144" s="604"/>
      <c r="X144" s="605"/>
      <c r="Y144" s="605"/>
      <c r="Z144" s="769"/>
      <c r="AB144" s="57"/>
      <c r="AC144" s="57"/>
      <c r="AD144" s="57"/>
      <c r="AE144" s="57"/>
      <c r="AF144" s="57"/>
      <c r="AG144" s="57"/>
      <c r="AH144" s="57"/>
      <c r="AI144" s="57"/>
      <c r="AJ144" s="57"/>
      <c r="AK144" s="57"/>
      <c r="AL144" s="137"/>
      <c r="AO144" s="57"/>
      <c r="AP144" s="57"/>
      <c r="AQ144" s="57"/>
      <c r="AR144" s="57"/>
      <c r="AS144" s="57"/>
      <c r="AT144" s="57"/>
      <c r="AU144" s="57"/>
      <c r="AV144" s="57"/>
      <c r="AW144" s="57"/>
      <c r="AX144" s="57"/>
      <c r="AY144" s="137"/>
    </row>
    <row r="145" spans="1:51" x14ac:dyDescent="0.25">
      <c r="A145" s="787" t="s">
        <v>311</v>
      </c>
      <c r="B145" s="781" t="s">
        <v>590</v>
      </c>
      <c r="C145" s="787"/>
      <c r="D145" s="782" t="s">
        <v>422</v>
      </c>
      <c r="E145" s="623" t="s">
        <v>11</v>
      </c>
      <c r="F145" s="788">
        <v>10</v>
      </c>
      <c r="G145" s="784">
        <f t="shared" si="57"/>
        <v>1399.0758000000001</v>
      </c>
      <c r="H145" s="784">
        <f t="shared" si="58"/>
        <v>1998.51722</v>
      </c>
      <c r="I145" s="784">
        <f t="shared" si="59"/>
        <v>2498.99962</v>
      </c>
      <c r="J145" s="623">
        <v>1770</v>
      </c>
      <c r="K145" s="785">
        <v>0</v>
      </c>
      <c r="L145" s="785">
        <f t="shared" si="52"/>
        <v>0</v>
      </c>
      <c r="M145" s="786">
        <v>1</v>
      </c>
      <c r="N145" s="151">
        <f>ROUND(J145*(1+kopsavilkums!$O$8),2)</f>
        <v>1957.62</v>
      </c>
      <c r="O145" s="61">
        <f t="shared" si="53"/>
        <v>0</v>
      </c>
      <c r="P145" s="61">
        <f>ROUND(L145*(1+kopsavilkums!$O$8),2)</f>
        <v>0</v>
      </c>
      <c r="Q145" s="61">
        <f t="shared" si="48"/>
        <v>187.61999999999989</v>
      </c>
      <c r="R145" s="61">
        <f t="shared" si="54"/>
        <v>187.61999999999989</v>
      </c>
      <c r="S145" s="61">
        <f t="shared" si="55"/>
        <v>2251.4399999999987</v>
      </c>
      <c r="T145" s="61">
        <f>ROUND(S145*kopsavilkums!$O$23,2)</f>
        <v>531.11</v>
      </c>
      <c r="U145" s="152">
        <f t="shared" si="56"/>
        <v>2782.5499999999988</v>
      </c>
      <c r="V145" s="73"/>
      <c r="W145" s="604"/>
      <c r="X145" s="605"/>
      <c r="Y145" s="605"/>
      <c r="Z145" s="769"/>
      <c r="AB145" s="57"/>
      <c r="AC145" s="57"/>
      <c r="AD145" s="57"/>
      <c r="AE145" s="57"/>
      <c r="AF145" s="57"/>
      <c r="AG145" s="57"/>
      <c r="AH145" s="57"/>
      <c r="AI145" s="57"/>
      <c r="AJ145" s="57"/>
      <c r="AK145" s="57"/>
      <c r="AL145" s="137"/>
      <c r="AO145" s="57"/>
      <c r="AP145" s="57"/>
      <c r="AQ145" s="57"/>
      <c r="AR145" s="57"/>
      <c r="AS145" s="57"/>
      <c r="AT145" s="57"/>
      <c r="AU145" s="57"/>
      <c r="AV145" s="57"/>
      <c r="AW145" s="57"/>
      <c r="AX145" s="57"/>
      <c r="AY145" s="137"/>
    </row>
    <row r="146" spans="1:51" x14ac:dyDescent="0.25">
      <c r="A146" s="787" t="s">
        <v>311</v>
      </c>
      <c r="B146" s="781" t="s">
        <v>590</v>
      </c>
      <c r="C146" s="787"/>
      <c r="D146" s="782" t="s">
        <v>422</v>
      </c>
      <c r="E146" s="623" t="s">
        <v>11</v>
      </c>
      <c r="F146" s="788">
        <v>10</v>
      </c>
      <c r="G146" s="784">
        <f t="shared" si="57"/>
        <v>1399.0758000000001</v>
      </c>
      <c r="H146" s="784">
        <f t="shared" si="58"/>
        <v>1998.51722</v>
      </c>
      <c r="I146" s="784">
        <f t="shared" si="59"/>
        <v>2498.99962</v>
      </c>
      <c r="J146" s="623">
        <v>1770</v>
      </c>
      <c r="K146" s="785">
        <v>0</v>
      </c>
      <c r="L146" s="785">
        <f t="shared" si="52"/>
        <v>0</v>
      </c>
      <c r="M146" s="786">
        <v>1</v>
      </c>
      <c r="N146" s="151">
        <f>ROUND(J146*(1+kopsavilkums!$O$8),2)</f>
        <v>1957.62</v>
      </c>
      <c r="O146" s="61">
        <f t="shared" si="53"/>
        <v>0</v>
      </c>
      <c r="P146" s="61">
        <f>ROUND(L146*(1+kopsavilkums!$O$8),2)</f>
        <v>0</v>
      </c>
      <c r="Q146" s="61">
        <f t="shared" si="48"/>
        <v>187.61999999999989</v>
      </c>
      <c r="R146" s="61">
        <f t="shared" si="54"/>
        <v>187.61999999999989</v>
      </c>
      <c r="S146" s="61">
        <f t="shared" si="55"/>
        <v>2251.4399999999987</v>
      </c>
      <c r="T146" s="61">
        <f>ROUND(S146*kopsavilkums!$O$23,2)</f>
        <v>531.11</v>
      </c>
      <c r="U146" s="152">
        <f t="shared" si="56"/>
        <v>2782.5499999999988</v>
      </c>
      <c r="V146" s="73"/>
      <c r="W146" s="604"/>
      <c r="X146" s="605"/>
      <c r="Y146" s="605"/>
      <c r="Z146" s="769"/>
      <c r="AB146" s="57"/>
      <c r="AC146" s="57"/>
      <c r="AD146" s="57"/>
      <c r="AE146" s="57"/>
      <c r="AF146" s="57"/>
      <c r="AG146" s="57"/>
      <c r="AH146" s="57"/>
      <c r="AI146" s="57"/>
      <c r="AJ146" s="57"/>
      <c r="AK146" s="57"/>
      <c r="AL146" s="137"/>
      <c r="AO146" s="57"/>
      <c r="AP146" s="57"/>
      <c r="AQ146" s="57"/>
      <c r="AR146" s="57"/>
      <c r="AS146" s="57"/>
      <c r="AT146" s="57"/>
      <c r="AU146" s="57"/>
      <c r="AV146" s="57"/>
      <c r="AW146" s="57"/>
      <c r="AX146" s="57"/>
      <c r="AY146" s="137"/>
    </row>
    <row r="147" spans="1:51" x14ac:dyDescent="0.25">
      <c r="A147" s="865" t="s">
        <v>311</v>
      </c>
      <c r="B147" s="866" t="s">
        <v>590</v>
      </c>
      <c r="C147" s="867"/>
      <c r="D147" s="868" t="s">
        <v>422</v>
      </c>
      <c r="E147" s="869" t="s">
        <v>11</v>
      </c>
      <c r="F147" s="870">
        <v>10</v>
      </c>
      <c r="G147" s="871">
        <f t="shared" si="57"/>
        <v>1399.0758000000001</v>
      </c>
      <c r="H147" s="871">
        <f t="shared" si="58"/>
        <v>1998.51722</v>
      </c>
      <c r="I147" s="871">
        <f t="shared" si="59"/>
        <v>2498.99962</v>
      </c>
      <c r="J147" s="869">
        <v>1999</v>
      </c>
      <c r="K147" s="872">
        <v>0</v>
      </c>
      <c r="L147" s="872">
        <v>0</v>
      </c>
      <c r="M147" s="873">
        <v>1</v>
      </c>
      <c r="N147" s="864">
        <f>ROUND(J147*(1+kopsavilkums!$O$8),2)</f>
        <v>2210.89</v>
      </c>
      <c r="O147" s="61">
        <f t="shared" si="53"/>
        <v>0</v>
      </c>
      <c r="P147" s="61">
        <f>ROUND(L147*(1+kopsavilkums!$O$8),2)</f>
        <v>0</v>
      </c>
      <c r="Q147" s="61">
        <f t="shared" si="48"/>
        <v>211.88999999999987</v>
      </c>
      <c r="R147" s="61">
        <f t="shared" si="54"/>
        <v>211.88999999999987</v>
      </c>
      <c r="S147" s="61">
        <f t="shared" si="55"/>
        <v>2542.6799999999985</v>
      </c>
      <c r="T147" s="61">
        <f>ROUND(S147*kopsavilkums!$O$23,2)</f>
        <v>599.82000000000005</v>
      </c>
      <c r="U147" s="152">
        <f t="shared" si="56"/>
        <v>3142.4999999999986</v>
      </c>
      <c r="V147" s="73"/>
      <c r="W147" s="604"/>
      <c r="X147" s="605"/>
      <c r="Y147" s="605"/>
      <c r="Z147" s="769"/>
      <c r="AB147" s="57"/>
      <c r="AC147" s="57"/>
      <c r="AD147" s="57"/>
      <c r="AE147" s="57"/>
      <c r="AF147" s="57"/>
      <c r="AG147" s="57"/>
      <c r="AH147" s="57"/>
      <c r="AI147" s="57"/>
      <c r="AJ147" s="57"/>
      <c r="AK147" s="57"/>
      <c r="AL147" s="137"/>
      <c r="AO147" s="57"/>
      <c r="AP147" s="57"/>
      <c r="AQ147" s="57"/>
      <c r="AR147" s="57"/>
      <c r="AS147" s="57"/>
      <c r="AT147" s="57"/>
      <c r="AU147" s="57"/>
      <c r="AV147" s="57"/>
      <c r="AW147" s="57"/>
      <c r="AX147" s="57"/>
      <c r="AY147" s="137"/>
    </row>
    <row r="148" spans="1:51" x14ac:dyDescent="0.25">
      <c r="A148" s="789" t="s">
        <v>312</v>
      </c>
      <c r="B148" s="781" t="s">
        <v>590</v>
      </c>
      <c r="C148" s="789"/>
      <c r="D148" s="782" t="s">
        <v>422</v>
      </c>
      <c r="E148" s="623" t="s">
        <v>13</v>
      </c>
      <c r="F148" s="783">
        <v>9</v>
      </c>
      <c r="G148" s="784">
        <f t="shared" ref="G148:G154" si="60">1.017*1137.46</f>
        <v>1156.79682</v>
      </c>
      <c r="H148" s="784">
        <f t="shared" ref="H148:H154" si="61">1.453*1137.46</f>
        <v>1652.7293800000002</v>
      </c>
      <c r="I148" s="784">
        <f t="shared" ref="I148:I154" si="62">1.817*1137.46</f>
        <v>2066.7648199999999</v>
      </c>
      <c r="J148" s="623">
        <v>1634</v>
      </c>
      <c r="K148" s="785">
        <v>0</v>
      </c>
      <c r="L148" s="785">
        <f t="shared" si="52"/>
        <v>0</v>
      </c>
      <c r="M148" s="786">
        <v>1</v>
      </c>
      <c r="N148" s="151">
        <f>ROUND(J148*(1+kopsavilkums!$O$8),2)</f>
        <v>1807.2</v>
      </c>
      <c r="O148" s="61">
        <f t="shared" si="53"/>
        <v>0</v>
      </c>
      <c r="P148" s="61">
        <f>ROUND(L148*(1+kopsavilkums!$O$8),2)</f>
        <v>0</v>
      </c>
      <c r="Q148" s="61">
        <f t="shared" si="48"/>
        <v>173.20000000000005</v>
      </c>
      <c r="R148" s="61">
        <f t="shared" si="54"/>
        <v>173.20000000000005</v>
      </c>
      <c r="S148" s="61">
        <f t="shared" si="55"/>
        <v>2078.4000000000005</v>
      </c>
      <c r="T148" s="61">
        <f>ROUND(S148*kopsavilkums!$O$23,2)</f>
        <v>490.29</v>
      </c>
      <c r="U148" s="152">
        <f t="shared" si="56"/>
        <v>2568.6900000000005</v>
      </c>
      <c r="V148" s="73"/>
      <c r="W148" s="604"/>
      <c r="X148" s="605"/>
      <c r="Y148" s="605"/>
      <c r="Z148" s="769"/>
      <c r="AB148" s="57"/>
      <c r="AC148" s="57"/>
      <c r="AD148" s="57"/>
      <c r="AE148" s="57"/>
      <c r="AF148" s="57"/>
      <c r="AG148" s="57"/>
      <c r="AH148" s="57"/>
      <c r="AI148" s="57"/>
      <c r="AJ148" s="57"/>
      <c r="AK148" s="57"/>
      <c r="AL148" s="137"/>
      <c r="AO148" s="57"/>
      <c r="AP148" s="57"/>
      <c r="AQ148" s="57"/>
      <c r="AR148" s="57"/>
      <c r="AS148" s="57"/>
      <c r="AT148" s="57"/>
      <c r="AU148" s="57"/>
      <c r="AV148" s="57"/>
      <c r="AW148" s="57"/>
      <c r="AX148" s="57"/>
      <c r="AY148" s="137"/>
    </row>
    <row r="149" spans="1:51" x14ac:dyDescent="0.25">
      <c r="A149" s="789" t="s">
        <v>312</v>
      </c>
      <c r="B149" s="781" t="s">
        <v>590</v>
      </c>
      <c r="C149" s="789"/>
      <c r="D149" s="782" t="s">
        <v>422</v>
      </c>
      <c r="E149" s="623" t="s">
        <v>13</v>
      </c>
      <c r="F149" s="783">
        <v>9</v>
      </c>
      <c r="G149" s="784">
        <f t="shared" si="60"/>
        <v>1156.79682</v>
      </c>
      <c r="H149" s="784">
        <f t="shared" si="61"/>
        <v>1652.7293800000002</v>
      </c>
      <c r="I149" s="784">
        <f t="shared" si="62"/>
        <v>2066.7648199999999</v>
      </c>
      <c r="J149" s="623">
        <v>1634</v>
      </c>
      <c r="K149" s="785">
        <v>0</v>
      </c>
      <c r="L149" s="785">
        <f t="shared" si="52"/>
        <v>0</v>
      </c>
      <c r="M149" s="786">
        <v>1</v>
      </c>
      <c r="N149" s="151">
        <f>ROUND(J149*(1+kopsavilkums!$O$8),2)</f>
        <v>1807.2</v>
      </c>
      <c r="O149" s="61">
        <f t="shared" si="53"/>
        <v>0</v>
      </c>
      <c r="P149" s="61">
        <f>ROUND(L149*(1+kopsavilkums!$O$8),2)</f>
        <v>0</v>
      </c>
      <c r="Q149" s="61">
        <f t="shared" si="48"/>
        <v>173.20000000000005</v>
      </c>
      <c r="R149" s="61">
        <f t="shared" si="54"/>
        <v>173.20000000000005</v>
      </c>
      <c r="S149" s="61">
        <f t="shared" si="55"/>
        <v>2078.4000000000005</v>
      </c>
      <c r="T149" s="61">
        <f>ROUND(S149*kopsavilkums!$O$23,2)</f>
        <v>490.29</v>
      </c>
      <c r="U149" s="152">
        <f t="shared" si="56"/>
        <v>2568.6900000000005</v>
      </c>
      <c r="V149" s="73"/>
      <c r="W149" s="604"/>
      <c r="X149" s="605"/>
      <c r="Y149" s="605"/>
      <c r="Z149" s="769"/>
      <c r="AB149" s="57"/>
      <c r="AC149" s="57"/>
      <c r="AD149" s="57"/>
      <c r="AE149" s="57"/>
      <c r="AF149" s="57"/>
      <c r="AG149" s="57"/>
      <c r="AH149" s="57"/>
      <c r="AI149" s="57"/>
      <c r="AJ149" s="57"/>
      <c r="AK149" s="57"/>
      <c r="AL149" s="137"/>
      <c r="AO149" s="57"/>
      <c r="AP149" s="57"/>
      <c r="AQ149" s="57"/>
      <c r="AR149" s="57"/>
      <c r="AS149" s="57"/>
      <c r="AT149" s="57"/>
      <c r="AU149" s="57"/>
      <c r="AV149" s="57"/>
      <c r="AW149" s="57"/>
      <c r="AX149" s="57"/>
      <c r="AY149" s="137"/>
    </row>
    <row r="150" spans="1:51" x14ac:dyDescent="0.25">
      <c r="A150" s="789" t="s">
        <v>312</v>
      </c>
      <c r="B150" s="781" t="s">
        <v>590</v>
      </c>
      <c r="C150" s="789"/>
      <c r="D150" s="782" t="s">
        <v>422</v>
      </c>
      <c r="E150" s="623" t="s">
        <v>13</v>
      </c>
      <c r="F150" s="783">
        <v>9</v>
      </c>
      <c r="G150" s="784">
        <f t="shared" si="60"/>
        <v>1156.79682</v>
      </c>
      <c r="H150" s="784">
        <f t="shared" si="61"/>
        <v>1652.7293800000002</v>
      </c>
      <c r="I150" s="784">
        <f t="shared" si="62"/>
        <v>2066.7648199999999</v>
      </c>
      <c r="J150" s="623">
        <v>1487</v>
      </c>
      <c r="K150" s="785">
        <v>0</v>
      </c>
      <c r="L150" s="785">
        <f t="shared" si="52"/>
        <v>0</v>
      </c>
      <c r="M150" s="786">
        <v>1</v>
      </c>
      <c r="N150" s="151">
        <f>ROUND(J150*(1+kopsavilkums!$O$8),2)</f>
        <v>1644.62</v>
      </c>
      <c r="O150" s="61">
        <f t="shared" si="53"/>
        <v>0</v>
      </c>
      <c r="P150" s="61">
        <f>ROUND(L150*(1+kopsavilkums!$O$8),2)</f>
        <v>0</v>
      </c>
      <c r="Q150" s="61">
        <f t="shared" si="48"/>
        <v>157.61999999999989</v>
      </c>
      <c r="R150" s="61">
        <f t="shared" si="54"/>
        <v>157.61999999999989</v>
      </c>
      <c r="S150" s="61">
        <f t="shared" si="55"/>
        <v>1891.4399999999987</v>
      </c>
      <c r="T150" s="61">
        <f>ROUND(S150*kopsavilkums!$O$23,2)</f>
        <v>446.19</v>
      </c>
      <c r="U150" s="152">
        <f t="shared" si="56"/>
        <v>2337.6299999999987</v>
      </c>
      <c r="V150" s="73"/>
      <c r="W150" s="604"/>
      <c r="X150" s="605"/>
      <c r="Y150" s="605"/>
      <c r="Z150" s="769"/>
      <c r="AB150" s="57"/>
      <c r="AC150" s="57"/>
      <c r="AD150" s="57"/>
      <c r="AE150" s="57"/>
      <c r="AF150" s="57"/>
      <c r="AG150" s="57"/>
      <c r="AH150" s="57"/>
      <c r="AI150" s="57"/>
      <c r="AJ150" s="57"/>
      <c r="AK150" s="57"/>
      <c r="AL150" s="137"/>
      <c r="AO150" s="57"/>
      <c r="AP150" s="57"/>
      <c r="AQ150" s="57"/>
      <c r="AR150" s="57"/>
      <c r="AS150" s="57"/>
      <c r="AT150" s="57"/>
      <c r="AU150" s="57"/>
      <c r="AV150" s="57"/>
      <c r="AW150" s="57"/>
      <c r="AX150" s="57"/>
      <c r="AY150" s="137"/>
    </row>
    <row r="151" spans="1:51" x14ac:dyDescent="0.25">
      <c r="A151" s="789" t="s">
        <v>40</v>
      </c>
      <c r="B151" s="781" t="s">
        <v>586</v>
      </c>
      <c r="C151" s="789"/>
      <c r="D151" s="782" t="s">
        <v>423</v>
      </c>
      <c r="E151" s="623" t="s">
        <v>22</v>
      </c>
      <c r="F151" s="783">
        <v>9</v>
      </c>
      <c r="G151" s="784">
        <f t="shared" si="60"/>
        <v>1156.79682</v>
      </c>
      <c r="H151" s="784">
        <f t="shared" si="61"/>
        <v>1652.7293800000002</v>
      </c>
      <c r="I151" s="784">
        <f t="shared" si="62"/>
        <v>2066.7648199999999</v>
      </c>
      <c r="J151" s="623">
        <v>1487</v>
      </c>
      <c r="K151" s="785">
        <v>0</v>
      </c>
      <c r="L151" s="785">
        <f t="shared" si="52"/>
        <v>0</v>
      </c>
      <c r="M151" s="786">
        <v>1</v>
      </c>
      <c r="N151" s="151">
        <f>ROUND(J151*(1+kopsavilkums!$O$8),2)</f>
        <v>1644.62</v>
      </c>
      <c r="O151" s="61">
        <f t="shared" si="53"/>
        <v>0</v>
      </c>
      <c r="P151" s="61">
        <f>ROUND(L151*(1+kopsavilkums!$O$8),2)</f>
        <v>0</v>
      </c>
      <c r="Q151" s="61">
        <f t="shared" si="48"/>
        <v>157.61999999999989</v>
      </c>
      <c r="R151" s="61">
        <f t="shared" si="54"/>
        <v>157.61999999999989</v>
      </c>
      <c r="S151" s="61">
        <f t="shared" si="55"/>
        <v>1891.4399999999987</v>
      </c>
      <c r="T151" s="61">
        <f>ROUND(S151*kopsavilkums!$O$23,2)</f>
        <v>446.19</v>
      </c>
      <c r="U151" s="152">
        <f t="shared" si="56"/>
        <v>2337.6299999999987</v>
      </c>
      <c r="V151" s="73"/>
      <c r="W151" s="604"/>
      <c r="X151" s="605"/>
      <c r="Y151" s="605"/>
      <c r="Z151" s="769"/>
      <c r="AB151" s="57"/>
      <c r="AC151" s="57"/>
      <c r="AD151" s="57"/>
      <c r="AE151" s="57"/>
      <c r="AF151" s="57"/>
      <c r="AG151" s="57"/>
      <c r="AH151" s="57"/>
      <c r="AI151" s="57"/>
      <c r="AJ151" s="57"/>
      <c r="AK151" s="57"/>
      <c r="AL151" s="137"/>
      <c r="AO151" s="57"/>
      <c r="AP151" s="57"/>
      <c r="AQ151" s="57"/>
      <c r="AR151" s="57"/>
      <c r="AS151" s="57"/>
      <c r="AT151" s="57"/>
      <c r="AU151" s="57"/>
      <c r="AV151" s="57"/>
      <c r="AW151" s="57"/>
      <c r="AX151" s="57"/>
      <c r="AY151" s="137"/>
    </row>
    <row r="152" spans="1:51" x14ac:dyDescent="0.25">
      <c r="A152" s="787" t="s">
        <v>40</v>
      </c>
      <c r="B152" s="781" t="s">
        <v>586</v>
      </c>
      <c r="C152" s="787"/>
      <c r="D152" s="782" t="s">
        <v>423</v>
      </c>
      <c r="E152" s="623" t="s">
        <v>22</v>
      </c>
      <c r="F152" s="783">
        <v>9</v>
      </c>
      <c r="G152" s="784">
        <f t="shared" si="60"/>
        <v>1156.79682</v>
      </c>
      <c r="H152" s="784">
        <f t="shared" si="61"/>
        <v>1652.7293800000002</v>
      </c>
      <c r="I152" s="784">
        <f t="shared" si="62"/>
        <v>2066.7648199999999</v>
      </c>
      <c r="J152" s="623">
        <v>1634</v>
      </c>
      <c r="K152" s="785">
        <v>0</v>
      </c>
      <c r="L152" s="785">
        <f t="shared" si="52"/>
        <v>0</v>
      </c>
      <c r="M152" s="786">
        <v>1</v>
      </c>
      <c r="N152" s="151">
        <f>ROUND(J152*(1+kopsavilkums!$O$8),2)</f>
        <v>1807.2</v>
      </c>
      <c r="O152" s="61">
        <f t="shared" si="53"/>
        <v>0</v>
      </c>
      <c r="P152" s="61">
        <f>ROUND(L152*(1+kopsavilkums!$O$8),2)</f>
        <v>0</v>
      </c>
      <c r="Q152" s="61">
        <f t="shared" si="48"/>
        <v>173.20000000000005</v>
      </c>
      <c r="R152" s="61">
        <f t="shared" si="54"/>
        <v>173.20000000000005</v>
      </c>
      <c r="S152" s="61">
        <f t="shared" si="55"/>
        <v>2078.4000000000005</v>
      </c>
      <c r="T152" s="61">
        <f>ROUND(S152*kopsavilkums!$O$23,2)</f>
        <v>490.29</v>
      </c>
      <c r="U152" s="152">
        <f t="shared" si="56"/>
        <v>2568.6900000000005</v>
      </c>
      <c r="V152" s="73"/>
      <c r="W152" s="604"/>
      <c r="X152" s="605"/>
      <c r="Y152" s="605"/>
      <c r="Z152" s="769"/>
      <c r="AB152" s="57"/>
      <c r="AC152" s="57"/>
      <c r="AD152" s="57"/>
      <c r="AE152" s="57"/>
      <c r="AF152" s="57"/>
      <c r="AG152" s="57"/>
      <c r="AH152" s="57"/>
      <c r="AI152" s="57"/>
      <c r="AJ152" s="57"/>
      <c r="AK152" s="57"/>
      <c r="AL152" s="137"/>
      <c r="AO152" s="57"/>
      <c r="AP152" s="57"/>
      <c r="AQ152" s="57"/>
      <c r="AR152" s="57"/>
      <c r="AS152" s="57"/>
      <c r="AT152" s="57"/>
      <c r="AU152" s="57"/>
      <c r="AV152" s="57"/>
      <c r="AW152" s="57"/>
      <c r="AX152" s="57"/>
      <c r="AY152" s="137"/>
    </row>
    <row r="153" spans="1:51" x14ac:dyDescent="0.25">
      <c r="A153" s="787" t="s">
        <v>40</v>
      </c>
      <c r="B153" s="781" t="s">
        <v>586</v>
      </c>
      <c r="C153" s="787"/>
      <c r="D153" s="782" t="s">
        <v>423</v>
      </c>
      <c r="E153" s="623" t="s">
        <v>22</v>
      </c>
      <c r="F153" s="783">
        <v>9</v>
      </c>
      <c r="G153" s="784">
        <f t="shared" si="60"/>
        <v>1156.79682</v>
      </c>
      <c r="H153" s="784">
        <f t="shared" si="61"/>
        <v>1652.7293800000002</v>
      </c>
      <c r="I153" s="784">
        <f t="shared" si="62"/>
        <v>2066.7648199999999</v>
      </c>
      <c r="J153" s="623">
        <v>1634</v>
      </c>
      <c r="K153" s="785">
        <v>0</v>
      </c>
      <c r="L153" s="785">
        <f t="shared" si="52"/>
        <v>0</v>
      </c>
      <c r="M153" s="786">
        <v>1</v>
      </c>
      <c r="N153" s="151">
        <f>ROUND(J153*(1+kopsavilkums!$O$8),2)</f>
        <v>1807.2</v>
      </c>
      <c r="O153" s="61">
        <f t="shared" si="53"/>
        <v>0</v>
      </c>
      <c r="P153" s="61">
        <f>ROUND(L153*(1+kopsavilkums!$O$8),2)</f>
        <v>0</v>
      </c>
      <c r="Q153" s="61">
        <f t="shared" si="48"/>
        <v>173.20000000000005</v>
      </c>
      <c r="R153" s="61">
        <f t="shared" si="54"/>
        <v>173.20000000000005</v>
      </c>
      <c r="S153" s="61">
        <f t="shared" si="55"/>
        <v>2078.4000000000005</v>
      </c>
      <c r="T153" s="61">
        <f>ROUND(S153*kopsavilkums!$O$23,2)</f>
        <v>490.29</v>
      </c>
      <c r="U153" s="152">
        <f t="shared" si="56"/>
        <v>2568.6900000000005</v>
      </c>
      <c r="V153" s="73"/>
      <c r="W153" s="604"/>
      <c r="X153" s="605"/>
      <c r="Y153" s="605"/>
      <c r="Z153" s="769"/>
      <c r="AB153" s="57"/>
      <c r="AC153" s="57"/>
      <c r="AD153" s="57"/>
      <c r="AE153" s="57"/>
      <c r="AF153" s="57"/>
      <c r="AG153" s="57"/>
      <c r="AH153" s="57"/>
      <c r="AI153" s="57"/>
      <c r="AJ153" s="57"/>
      <c r="AK153" s="57"/>
      <c r="AL153" s="137"/>
      <c r="AO153" s="57"/>
      <c r="AP153" s="57"/>
      <c r="AQ153" s="57"/>
      <c r="AR153" s="57"/>
      <c r="AS153" s="57"/>
      <c r="AT153" s="57"/>
      <c r="AU153" s="57"/>
      <c r="AV153" s="57"/>
      <c r="AW153" s="57"/>
      <c r="AX153" s="57"/>
      <c r="AY153" s="137"/>
    </row>
    <row r="154" spans="1:51" x14ac:dyDescent="0.25">
      <c r="A154" s="865" t="s">
        <v>40</v>
      </c>
      <c r="B154" s="866" t="s">
        <v>586</v>
      </c>
      <c r="C154" s="865"/>
      <c r="D154" s="868" t="s">
        <v>423</v>
      </c>
      <c r="E154" s="869" t="s">
        <v>22</v>
      </c>
      <c r="F154" s="870">
        <v>9</v>
      </c>
      <c r="G154" s="871">
        <f t="shared" si="60"/>
        <v>1156.79682</v>
      </c>
      <c r="H154" s="871">
        <f t="shared" si="61"/>
        <v>1652.7293800000002</v>
      </c>
      <c r="I154" s="871">
        <f t="shared" si="62"/>
        <v>2066.7648199999999</v>
      </c>
      <c r="J154" s="869">
        <v>1653</v>
      </c>
      <c r="K154" s="872">
        <v>0</v>
      </c>
      <c r="L154" s="872">
        <v>0</v>
      </c>
      <c r="M154" s="873">
        <v>1</v>
      </c>
      <c r="N154" s="864">
        <f>ROUND(J154*(1+kopsavilkums!$O$8),2)</f>
        <v>1828.22</v>
      </c>
      <c r="O154" s="61">
        <f t="shared" si="53"/>
        <v>0</v>
      </c>
      <c r="P154" s="61">
        <f>ROUND(L154*(1+kopsavilkums!$O$8),2)</f>
        <v>0</v>
      </c>
      <c r="Q154" s="61">
        <f t="shared" si="48"/>
        <v>175.22000000000003</v>
      </c>
      <c r="R154" s="61">
        <f t="shared" si="54"/>
        <v>175.22000000000003</v>
      </c>
      <c r="S154" s="61">
        <f t="shared" si="55"/>
        <v>2102.6400000000003</v>
      </c>
      <c r="T154" s="61">
        <f>ROUND(S154*kopsavilkums!$O$23,2)</f>
        <v>496.01</v>
      </c>
      <c r="U154" s="152">
        <f t="shared" si="56"/>
        <v>2598.6500000000005</v>
      </c>
      <c r="V154" s="73"/>
      <c r="W154" s="604"/>
      <c r="X154" s="605"/>
      <c r="Y154" s="605"/>
      <c r="Z154" s="769"/>
      <c r="AB154" s="57"/>
      <c r="AC154" s="57"/>
      <c r="AD154" s="57"/>
      <c r="AE154" s="57"/>
      <c r="AF154" s="57"/>
      <c r="AG154" s="57"/>
      <c r="AH154" s="57"/>
      <c r="AI154" s="57"/>
      <c r="AJ154" s="57"/>
      <c r="AK154" s="57"/>
      <c r="AL154" s="137"/>
      <c r="AO154" s="57"/>
      <c r="AP154" s="57"/>
      <c r="AQ154" s="57"/>
      <c r="AR154" s="57"/>
      <c r="AS154" s="57"/>
      <c r="AT154" s="57"/>
      <c r="AU154" s="57"/>
      <c r="AV154" s="57"/>
      <c r="AW154" s="57"/>
      <c r="AX154" s="57"/>
      <c r="AY154" s="137"/>
    </row>
    <row r="155" spans="1:51" x14ac:dyDescent="0.25">
      <c r="A155" s="789" t="s">
        <v>40</v>
      </c>
      <c r="B155" s="781" t="s">
        <v>586</v>
      </c>
      <c r="C155" s="789"/>
      <c r="D155" s="782" t="s">
        <v>422</v>
      </c>
      <c r="E155" s="623" t="s">
        <v>20</v>
      </c>
      <c r="F155" s="783">
        <v>6</v>
      </c>
      <c r="G155" s="784">
        <f>0.666*1137.46</f>
        <v>757.54836000000012</v>
      </c>
      <c r="H155" s="784">
        <f>0.95*1137.46</f>
        <v>1080.587</v>
      </c>
      <c r="I155" s="784">
        <f>1.236*1137.46</f>
        <v>1405.90056</v>
      </c>
      <c r="J155" s="623">
        <v>1300</v>
      </c>
      <c r="K155" s="785">
        <v>0</v>
      </c>
      <c r="L155" s="785">
        <f t="shared" si="52"/>
        <v>0</v>
      </c>
      <c r="M155" s="786">
        <v>1</v>
      </c>
      <c r="N155" s="151">
        <f>ROUND(J155*(1+kopsavilkums!$O$8),2)</f>
        <v>1437.8</v>
      </c>
      <c r="O155" s="61">
        <f t="shared" si="53"/>
        <v>0</v>
      </c>
      <c r="P155" s="61">
        <f>ROUND(L155*(1+kopsavilkums!$O$8),2)</f>
        <v>0</v>
      </c>
      <c r="Q155" s="61">
        <f t="shared" si="48"/>
        <v>137.79999999999995</v>
      </c>
      <c r="R155" s="61">
        <f t="shared" si="54"/>
        <v>137.79999999999995</v>
      </c>
      <c r="S155" s="61">
        <f t="shared" si="55"/>
        <v>1653.5999999999995</v>
      </c>
      <c r="T155" s="61">
        <f>ROUND(S155*kopsavilkums!$O$23,2)</f>
        <v>390.08</v>
      </c>
      <c r="U155" s="152">
        <f t="shared" si="56"/>
        <v>2043.6799999999994</v>
      </c>
      <c r="V155" s="73"/>
      <c r="W155" s="604"/>
      <c r="X155" s="605"/>
      <c r="Y155" s="605"/>
      <c r="Z155" s="769"/>
      <c r="AB155" s="57"/>
      <c r="AC155" s="57"/>
      <c r="AD155" s="57"/>
      <c r="AE155" s="57"/>
      <c r="AF155" s="57"/>
      <c r="AG155" s="57"/>
      <c r="AH155" s="57"/>
      <c r="AI155" s="57"/>
      <c r="AJ155" s="57"/>
      <c r="AK155" s="57"/>
      <c r="AL155" s="137"/>
      <c r="AO155" s="57"/>
      <c r="AP155" s="57"/>
      <c r="AQ155" s="57"/>
      <c r="AR155" s="57"/>
      <c r="AS155" s="57"/>
      <c r="AT155" s="57"/>
      <c r="AU155" s="57"/>
      <c r="AV155" s="57"/>
      <c r="AW155" s="57"/>
      <c r="AX155" s="57"/>
      <c r="AY155" s="137"/>
    </row>
    <row r="156" spans="1:51" x14ac:dyDescent="0.25">
      <c r="A156" s="787" t="s">
        <v>38</v>
      </c>
      <c r="B156" s="781" t="s">
        <v>589</v>
      </c>
      <c r="C156" s="789"/>
      <c r="D156" s="782" t="s">
        <v>422</v>
      </c>
      <c r="E156" s="623" t="s">
        <v>9</v>
      </c>
      <c r="F156" s="783">
        <v>11</v>
      </c>
      <c r="G156" s="784">
        <f>1.535*1137.46</f>
        <v>1746.0011</v>
      </c>
      <c r="H156" s="784">
        <f>2.194*1137.46</f>
        <v>2495.5872399999998</v>
      </c>
      <c r="I156" s="784">
        <f>2.743*1137.46</f>
        <v>3120.05278</v>
      </c>
      <c r="J156" s="623">
        <v>2021</v>
      </c>
      <c r="K156" s="785">
        <v>0</v>
      </c>
      <c r="L156" s="785">
        <f t="shared" si="52"/>
        <v>0</v>
      </c>
      <c r="M156" s="786">
        <v>1</v>
      </c>
      <c r="N156" s="151">
        <f>ROUND(J156*(1+kopsavilkums!$O$8),2)</f>
        <v>2235.23</v>
      </c>
      <c r="O156" s="61">
        <f t="shared" si="53"/>
        <v>0</v>
      </c>
      <c r="P156" s="61">
        <f>ROUND(L156*(1+kopsavilkums!$O$8),2)</f>
        <v>0</v>
      </c>
      <c r="Q156" s="61">
        <f t="shared" si="48"/>
        <v>214.23000000000002</v>
      </c>
      <c r="R156" s="61">
        <f t="shared" si="54"/>
        <v>214.23000000000002</v>
      </c>
      <c r="S156" s="61">
        <f t="shared" si="55"/>
        <v>2570.7600000000002</v>
      </c>
      <c r="T156" s="61">
        <f>ROUND(S156*kopsavilkums!$O$23,2)</f>
        <v>606.44000000000005</v>
      </c>
      <c r="U156" s="152">
        <f t="shared" si="56"/>
        <v>3177.2000000000003</v>
      </c>
      <c r="V156" s="73"/>
      <c r="W156" s="604"/>
      <c r="X156" s="605"/>
      <c r="Y156" s="605"/>
      <c r="Z156" s="769"/>
      <c r="AB156" s="57"/>
      <c r="AC156" s="57"/>
      <c r="AD156" s="57"/>
      <c r="AE156" s="57"/>
      <c r="AF156" s="57"/>
      <c r="AG156" s="57"/>
      <c r="AH156" s="57"/>
      <c r="AI156" s="57"/>
      <c r="AJ156" s="57"/>
      <c r="AK156" s="57"/>
      <c r="AL156" s="137"/>
      <c r="AO156" s="57"/>
      <c r="AP156" s="57"/>
      <c r="AQ156" s="57"/>
      <c r="AR156" s="57"/>
      <c r="AS156" s="57"/>
      <c r="AT156" s="57"/>
      <c r="AU156" s="57"/>
      <c r="AV156" s="57"/>
      <c r="AW156" s="57"/>
      <c r="AX156" s="57"/>
      <c r="AY156" s="137"/>
    </row>
    <row r="157" spans="1:51" x14ac:dyDescent="0.25">
      <c r="A157" s="787" t="s">
        <v>311</v>
      </c>
      <c r="B157" s="781" t="s">
        <v>590</v>
      </c>
      <c r="C157" s="787"/>
      <c r="D157" s="782" t="s">
        <v>422</v>
      </c>
      <c r="E157" s="623" t="s">
        <v>11</v>
      </c>
      <c r="F157" s="788">
        <v>10</v>
      </c>
      <c r="G157" s="784">
        <f>1.23*1137.46</f>
        <v>1399.0758000000001</v>
      </c>
      <c r="H157" s="784">
        <f>1.757*1137.46</f>
        <v>1998.51722</v>
      </c>
      <c r="I157" s="784">
        <f>2.197*1137.46</f>
        <v>2498.99962</v>
      </c>
      <c r="J157" s="623">
        <v>1770</v>
      </c>
      <c r="K157" s="785">
        <v>0</v>
      </c>
      <c r="L157" s="785">
        <f t="shared" si="52"/>
        <v>0</v>
      </c>
      <c r="M157" s="786">
        <v>1</v>
      </c>
      <c r="N157" s="151">
        <f>ROUND(J157*(1+kopsavilkums!$O$8),2)</f>
        <v>1957.62</v>
      </c>
      <c r="O157" s="61">
        <f t="shared" si="53"/>
        <v>0</v>
      </c>
      <c r="P157" s="61">
        <f>ROUND(L157*(1+kopsavilkums!$O$8),2)</f>
        <v>0</v>
      </c>
      <c r="Q157" s="61">
        <f t="shared" si="48"/>
        <v>187.61999999999989</v>
      </c>
      <c r="R157" s="61">
        <f t="shared" si="54"/>
        <v>187.61999999999989</v>
      </c>
      <c r="S157" s="61">
        <f t="shared" si="55"/>
        <v>2251.4399999999987</v>
      </c>
      <c r="T157" s="61">
        <f>ROUND(S157*kopsavilkums!$O$23,2)</f>
        <v>531.11</v>
      </c>
      <c r="U157" s="152">
        <f t="shared" si="56"/>
        <v>2782.5499999999988</v>
      </c>
      <c r="V157" s="73"/>
      <c r="W157" s="604"/>
      <c r="X157" s="605"/>
      <c r="Y157" s="605"/>
      <c r="Z157" s="769"/>
      <c r="AB157" s="57"/>
      <c r="AC157" s="57"/>
      <c r="AD157" s="57"/>
      <c r="AE157" s="57"/>
      <c r="AF157" s="57"/>
      <c r="AG157" s="57"/>
      <c r="AH157" s="57"/>
      <c r="AI157" s="57"/>
      <c r="AJ157" s="57"/>
      <c r="AK157" s="57"/>
      <c r="AL157" s="137"/>
      <c r="AO157" s="57"/>
      <c r="AP157" s="57"/>
      <c r="AQ157" s="57"/>
      <c r="AR157" s="57"/>
      <c r="AS157" s="57"/>
      <c r="AT157" s="57"/>
      <c r="AU157" s="57"/>
      <c r="AV157" s="57"/>
      <c r="AW157" s="57"/>
      <c r="AX157" s="57"/>
      <c r="AY157" s="137"/>
    </row>
    <row r="158" spans="1:51" x14ac:dyDescent="0.25">
      <c r="A158" s="787" t="s">
        <v>311</v>
      </c>
      <c r="B158" s="781" t="s">
        <v>590</v>
      </c>
      <c r="C158" s="787"/>
      <c r="D158" s="782" t="s">
        <v>422</v>
      </c>
      <c r="E158" s="623" t="s">
        <v>11</v>
      </c>
      <c r="F158" s="788">
        <v>10</v>
      </c>
      <c r="G158" s="784">
        <f>1.23*1137.46</f>
        <v>1399.0758000000001</v>
      </c>
      <c r="H158" s="784">
        <f>1.757*1137.46</f>
        <v>1998.51722</v>
      </c>
      <c r="I158" s="784">
        <f>2.197*1137.46</f>
        <v>2498.99962</v>
      </c>
      <c r="J158" s="623">
        <v>1770</v>
      </c>
      <c r="K158" s="785">
        <v>0</v>
      </c>
      <c r="L158" s="785">
        <f t="shared" si="52"/>
        <v>0</v>
      </c>
      <c r="M158" s="786">
        <v>1</v>
      </c>
      <c r="N158" s="151">
        <f>ROUND(J158*(1+kopsavilkums!$O$8),2)</f>
        <v>1957.62</v>
      </c>
      <c r="O158" s="61">
        <f t="shared" si="53"/>
        <v>0</v>
      </c>
      <c r="P158" s="61">
        <f>ROUND(L158*(1+kopsavilkums!$O$8),2)</f>
        <v>0</v>
      </c>
      <c r="Q158" s="61">
        <f t="shared" si="48"/>
        <v>187.61999999999989</v>
      </c>
      <c r="R158" s="61">
        <f t="shared" si="54"/>
        <v>187.61999999999989</v>
      </c>
      <c r="S158" s="61">
        <f t="shared" si="55"/>
        <v>2251.4399999999987</v>
      </c>
      <c r="T158" s="61">
        <f>ROUND(S158*kopsavilkums!$O$23,2)</f>
        <v>531.11</v>
      </c>
      <c r="U158" s="152">
        <f t="shared" si="56"/>
        <v>2782.5499999999988</v>
      </c>
      <c r="V158" s="73"/>
      <c r="W158" s="604"/>
      <c r="X158" s="605"/>
      <c r="Y158" s="605"/>
      <c r="Z158" s="769"/>
      <c r="AB158" s="57"/>
      <c r="AC158" s="57"/>
      <c r="AD158" s="57"/>
      <c r="AE158" s="57"/>
      <c r="AF158" s="57"/>
      <c r="AG158" s="57"/>
      <c r="AH158" s="57"/>
      <c r="AI158" s="57"/>
      <c r="AJ158" s="57"/>
      <c r="AK158" s="57"/>
      <c r="AL158" s="137"/>
      <c r="AO158" s="57"/>
      <c r="AP158" s="57"/>
      <c r="AQ158" s="57"/>
      <c r="AR158" s="57"/>
      <c r="AS158" s="57"/>
      <c r="AT158" s="57"/>
      <c r="AU158" s="57"/>
      <c r="AV158" s="57"/>
      <c r="AW158" s="57"/>
      <c r="AX158" s="57"/>
      <c r="AY158" s="137"/>
    </row>
    <row r="159" spans="1:51" x14ac:dyDescent="0.25">
      <c r="A159" s="787" t="s">
        <v>311</v>
      </c>
      <c r="B159" s="781" t="s">
        <v>590</v>
      </c>
      <c r="C159" s="631"/>
      <c r="D159" s="782" t="s">
        <v>422</v>
      </c>
      <c r="E159" s="623" t="s">
        <v>11</v>
      </c>
      <c r="F159" s="788">
        <v>10</v>
      </c>
      <c r="G159" s="784">
        <f>1.23*1137.46</f>
        <v>1399.0758000000001</v>
      </c>
      <c r="H159" s="784">
        <f>1.757*1137.46</f>
        <v>1998.51722</v>
      </c>
      <c r="I159" s="784">
        <f>2.197*1137.46</f>
        <v>2498.99962</v>
      </c>
      <c r="J159" s="623">
        <v>1770</v>
      </c>
      <c r="K159" s="785">
        <v>0</v>
      </c>
      <c r="L159" s="785">
        <f t="shared" si="52"/>
        <v>0</v>
      </c>
      <c r="M159" s="786">
        <v>1</v>
      </c>
      <c r="N159" s="151">
        <f>ROUND(J159*(1+kopsavilkums!$O$8),2)</f>
        <v>1957.62</v>
      </c>
      <c r="O159" s="61">
        <f t="shared" si="53"/>
        <v>0</v>
      </c>
      <c r="P159" s="61">
        <f>ROUND(L159*(1+kopsavilkums!$O$8),2)</f>
        <v>0</v>
      </c>
      <c r="Q159" s="61">
        <f t="shared" si="48"/>
        <v>187.61999999999989</v>
      </c>
      <c r="R159" s="61">
        <f t="shared" si="54"/>
        <v>187.61999999999989</v>
      </c>
      <c r="S159" s="61">
        <f t="shared" si="55"/>
        <v>2251.4399999999987</v>
      </c>
      <c r="T159" s="61">
        <f>ROUND(S159*kopsavilkums!$O$23,2)</f>
        <v>531.11</v>
      </c>
      <c r="U159" s="152">
        <f t="shared" si="56"/>
        <v>2782.5499999999988</v>
      </c>
      <c r="V159" s="73"/>
      <c r="W159" s="604"/>
      <c r="X159" s="605"/>
      <c r="Y159" s="605"/>
      <c r="Z159" s="769"/>
      <c r="AB159" s="57"/>
      <c r="AC159" s="57"/>
      <c r="AD159" s="57"/>
      <c r="AE159" s="57"/>
      <c r="AF159" s="57"/>
      <c r="AG159" s="57"/>
      <c r="AH159" s="57"/>
      <c r="AI159" s="57"/>
      <c r="AJ159" s="57"/>
      <c r="AK159" s="57"/>
      <c r="AL159" s="137"/>
      <c r="AO159" s="57"/>
      <c r="AP159" s="57"/>
      <c r="AQ159" s="57"/>
      <c r="AR159" s="57"/>
      <c r="AS159" s="57"/>
      <c r="AT159" s="57"/>
      <c r="AU159" s="57"/>
      <c r="AV159" s="57"/>
      <c r="AW159" s="57"/>
      <c r="AX159" s="57"/>
      <c r="AY159" s="137"/>
    </row>
    <row r="160" spans="1:51" x14ac:dyDescent="0.25">
      <c r="A160" s="787" t="s">
        <v>311</v>
      </c>
      <c r="B160" s="781" t="s">
        <v>590</v>
      </c>
      <c r="C160" s="631"/>
      <c r="D160" s="782" t="s">
        <v>422</v>
      </c>
      <c r="E160" s="623" t="s">
        <v>11</v>
      </c>
      <c r="F160" s="788">
        <v>10</v>
      </c>
      <c r="G160" s="784">
        <f>1.23*1137.46</f>
        <v>1399.0758000000001</v>
      </c>
      <c r="H160" s="784">
        <f>1.757*1137.46</f>
        <v>1998.51722</v>
      </c>
      <c r="I160" s="784">
        <f>2.197*1137.46</f>
        <v>2498.99962</v>
      </c>
      <c r="J160" s="623">
        <v>1770</v>
      </c>
      <c r="K160" s="785">
        <v>0</v>
      </c>
      <c r="L160" s="785">
        <f t="shared" si="52"/>
        <v>0</v>
      </c>
      <c r="M160" s="786">
        <v>1</v>
      </c>
      <c r="N160" s="151">
        <f>ROUND(J160*(1+kopsavilkums!$O$8),2)</f>
        <v>1957.62</v>
      </c>
      <c r="O160" s="61">
        <f t="shared" si="53"/>
        <v>0</v>
      </c>
      <c r="P160" s="61">
        <f>ROUND(L160*(1+kopsavilkums!$O$8),2)</f>
        <v>0</v>
      </c>
      <c r="Q160" s="61">
        <f t="shared" si="48"/>
        <v>187.61999999999989</v>
      </c>
      <c r="R160" s="61">
        <f t="shared" si="54"/>
        <v>187.61999999999989</v>
      </c>
      <c r="S160" s="61">
        <f t="shared" si="55"/>
        <v>2251.4399999999987</v>
      </c>
      <c r="T160" s="61">
        <f>ROUND(S160*kopsavilkums!$O$23,2)</f>
        <v>531.11</v>
      </c>
      <c r="U160" s="152">
        <f t="shared" si="56"/>
        <v>2782.5499999999988</v>
      </c>
      <c r="V160" s="73"/>
      <c r="W160" s="604"/>
      <c r="X160" s="605"/>
      <c r="Y160" s="605"/>
      <c r="Z160" s="769"/>
      <c r="AB160" s="57"/>
      <c r="AC160" s="57"/>
      <c r="AD160" s="57"/>
      <c r="AE160" s="57"/>
      <c r="AF160" s="57"/>
      <c r="AG160" s="57"/>
      <c r="AH160" s="57"/>
      <c r="AI160" s="57"/>
      <c r="AJ160" s="57"/>
      <c r="AK160" s="57"/>
      <c r="AL160" s="137"/>
      <c r="AO160" s="57"/>
      <c r="AP160" s="57"/>
      <c r="AQ160" s="57"/>
      <c r="AR160" s="57"/>
      <c r="AS160" s="57"/>
      <c r="AT160" s="57"/>
      <c r="AU160" s="57"/>
      <c r="AV160" s="57"/>
      <c r="AW160" s="57"/>
      <c r="AX160" s="57"/>
      <c r="AY160" s="137"/>
    </row>
    <row r="161" spans="1:51" x14ac:dyDescent="0.25">
      <c r="A161" s="787" t="s">
        <v>312</v>
      </c>
      <c r="B161" s="781" t="s">
        <v>590</v>
      </c>
      <c r="C161" s="631"/>
      <c r="D161" s="782" t="s">
        <v>422</v>
      </c>
      <c r="E161" s="623" t="s">
        <v>13</v>
      </c>
      <c r="F161" s="788">
        <v>9</v>
      </c>
      <c r="G161" s="784">
        <f t="shared" ref="G161:G173" si="63">1.017*1137.46</f>
        <v>1156.79682</v>
      </c>
      <c r="H161" s="784">
        <f t="shared" ref="H161:H173" si="64">1.453*1137.46</f>
        <v>1652.7293800000002</v>
      </c>
      <c r="I161" s="784">
        <f t="shared" ref="I161:I173" si="65">1.817*1137.46</f>
        <v>2066.7648199999999</v>
      </c>
      <c r="J161" s="623">
        <v>1634</v>
      </c>
      <c r="K161" s="785">
        <v>0</v>
      </c>
      <c r="L161" s="785">
        <f t="shared" si="52"/>
        <v>0</v>
      </c>
      <c r="M161" s="786">
        <v>1</v>
      </c>
      <c r="N161" s="151">
        <f>ROUND(J161*(1+kopsavilkums!$O$8),2)</f>
        <v>1807.2</v>
      </c>
      <c r="O161" s="61">
        <f t="shared" si="53"/>
        <v>0</v>
      </c>
      <c r="P161" s="61">
        <f>ROUND(L161*(1+kopsavilkums!$O$8),2)</f>
        <v>0</v>
      </c>
      <c r="Q161" s="61">
        <f t="shared" si="48"/>
        <v>173.20000000000005</v>
      </c>
      <c r="R161" s="61">
        <f t="shared" si="54"/>
        <v>173.20000000000005</v>
      </c>
      <c r="S161" s="61">
        <f t="shared" si="55"/>
        <v>2078.4000000000005</v>
      </c>
      <c r="T161" s="61">
        <f>ROUND(S161*kopsavilkums!$O$23,2)</f>
        <v>490.29</v>
      </c>
      <c r="U161" s="152">
        <f t="shared" si="56"/>
        <v>2568.6900000000005</v>
      </c>
      <c r="V161" s="73"/>
      <c r="W161" s="604"/>
      <c r="X161" s="605"/>
      <c r="Y161" s="605"/>
      <c r="Z161" s="769"/>
      <c r="AB161" s="57"/>
      <c r="AC161" s="57"/>
      <c r="AD161" s="57"/>
      <c r="AE161" s="57"/>
      <c r="AF161" s="57"/>
      <c r="AG161" s="57"/>
      <c r="AH161" s="57"/>
      <c r="AI161" s="57"/>
      <c r="AJ161" s="57"/>
      <c r="AK161" s="57"/>
      <c r="AL161" s="137"/>
      <c r="AO161" s="57"/>
      <c r="AP161" s="57"/>
      <c r="AQ161" s="57"/>
      <c r="AR161" s="57"/>
      <c r="AS161" s="57"/>
      <c r="AT161" s="57"/>
      <c r="AU161" s="57"/>
      <c r="AV161" s="57"/>
      <c r="AW161" s="57"/>
      <c r="AX161" s="57"/>
      <c r="AY161" s="137"/>
    </row>
    <row r="162" spans="1:51" x14ac:dyDescent="0.25">
      <c r="A162" s="787" t="s">
        <v>312</v>
      </c>
      <c r="B162" s="781" t="s">
        <v>590</v>
      </c>
      <c r="C162" s="787"/>
      <c r="D162" s="782" t="s">
        <v>422</v>
      </c>
      <c r="E162" s="623" t="s">
        <v>13</v>
      </c>
      <c r="F162" s="788">
        <v>9</v>
      </c>
      <c r="G162" s="784">
        <f t="shared" si="63"/>
        <v>1156.79682</v>
      </c>
      <c r="H162" s="784">
        <f t="shared" si="64"/>
        <v>1652.7293800000002</v>
      </c>
      <c r="I162" s="784">
        <f t="shared" si="65"/>
        <v>2066.7648199999999</v>
      </c>
      <c r="J162" s="623">
        <v>1634</v>
      </c>
      <c r="K162" s="785">
        <v>0</v>
      </c>
      <c r="L162" s="785">
        <f t="shared" si="52"/>
        <v>0</v>
      </c>
      <c r="M162" s="786">
        <v>1</v>
      </c>
      <c r="N162" s="151">
        <f>ROUND(J162*(1+kopsavilkums!$O$8),2)</f>
        <v>1807.2</v>
      </c>
      <c r="O162" s="61">
        <f t="shared" si="53"/>
        <v>0</v>
      </c>
      <c r="P162" s="61">
        <f>ROUND(L162*(1+kopsavilkums!$O$8),2)</f>
        <v>0</v>
      </c>
      <c r="Q162" s="61">
        <f t="shared" si="48"/>
        <v>173.20000000000005</v>
      </c>
      <c r="R162" s="61">
        <f t="shared" si="54"/>
        <v>173.20000000000005</v>
      </c>
      <c r="S162" s="61">
        <f t="shared" si="55"/>
        <v>2078.4000000000005</v>
      </c>
      <c r="T162" s="61">
        <f>ROUND(S162*kopsavilkums!$O$23,2)</f>
        <v>490.29</v>
      </c>
      <c r="U162" s="152">
        <f t="shared" si="56"/>
        <v>2568.6900000000005</v>
      </c>
      <c r="V162" s="73"/>
      <c r="W162" s="604"/>
      <c r="X162" s="605"/>
      <c r="Y162" s="605"/>
      <c r="Z162" s="769"/>
      <c r="AB162" s="57"/>
      <c r="AC162" s="57"/>
      <c r="AD162" s="57"/>
      <c r="AE162" s="57"/>
      <c r="AF162" s="57"/>
      <c r="AG162" s="57"/>
      <c r="AH162" s="57"/>
      <c r="AI162" s="57"/>
      <c r="AJ162" s="57"/>
      <c r="AK162" s="57"/>
      <c r="AL162" s="137"/>
      <c r="AO162" s="57"/>
      <c r="AP162" s="57"/>
      <c r="AQ162" s="57"/>
      <c r="AR162" s="57"/>
      <c r="AS162" s="57"/>
      <c r="AT162" s="57"/>
      <c r="AU162" s="57"/>
      <c r="AV162" s="57"/>
      <c r="AW162" s="57"/>
      <c r="AX162" s="57"/>
      <c r="AY162" s="137"/>
    </row>
    <row r="163" spans="1:51" x14ac:dyDescent="0.25">
      <c r="A163" s="787" t="s">
        <v>312</v>
      </c>
      <c r="B163" s="781" t="s">
        <v>590</v>
      </c>
      <c r="C163" s="787"/>
      <c r="D163" s="782" t="s">
        <v>422</v>
      </c>
      <c r="E163" s="623" t="s">
        <v>13</v>
      </c>
      <c r="F163" s="788">
        <v>9</v>
      </c>
      <c r="G163" s="784">
        <f t="shared" si="63"/>
        <v>1156.79682</v>
      </c>
      <c r="H163" s="784">
        <f t="shared" si="64"/>
        <v>1652.7293800000002</v>
      </c>
      <c r="I163" s="784">
        <f t="shared" si="65"/>
        <v>2066.7648199999999</v>
      </c>
      <c r="J163" s="623">
        <v>1634</v>
      </c>
      <c r="K163" s="785">
        <v>0</v>
      </c>
      <c r="L163" s="785">
        <f t="shared" si="52"/>
        <v>0</v>
      </c>
      <c r="M163" s="786">
        <v>1</v>
      </c>
      <c r="N163" s="151">
        <f>ROUND(J163*(1+kopsavilkums!$O$8),2)</f>
        <v>1807.2</v>
      </c>
      <c r="O163" s="61">
        <f t="shared" si="53"/>
        <v>0</v>
      </c>
      <c r="P163" s="61">
        <f>ROUND(L163*(1+kopsavilkums!$O$8),2)</f>
        <v>0</v>
      </c>
      <c r="Q163" s="61">
        <f t="shared" si="48"/>
        <v>173.20000000000005</v>
      </c>
      <c r="R163" s="61">
        <f t="shared" si="54"/>
        <v>173.20000000000005</v>
      </c>
      <c r="S163" s="61">
        <f t="shared" si="55"/>
        <v>2078.4000000000005</v>
      </c>
      <c r="T163" s="61">
        <f>ROUND(S163*kopsavilkums!$O$23,2)</f>
        <v>490.29</v>
      </c>
      <c r="U163" s="152">
        <f t="shared" si="56"/>
        <v>2568.6900000000005</v>
      </c>
      <c r="V163" s="73"/>
      <c r="W163" s="604"/>
      <c r="X163" s="605"/>
      <c r="Y163" s="605"/>
      <c r="Z163" s="769"/>
      <c r="AB163" s="57"/>
      <c r="AC163" s="57"/>
      <c r="AD163" s="57"/>
      <c r="AE163" s="57"/>
      <c r="AF163" s="57"/>
      <c r="AG163" s="57"/>
      <c r="AH163" s="57"/>
      <c r="AI163" s="57"/>
      <c r="AJ163" s="57"/>
      <c r="AK163" s="57"/>
      <c r="AL163" s="137"/>
      <c r="AO163" s="57"/>
      <c r="AP163" s="57"/>
      <c r="AQ163" s="57"/>
      <c r="AR163" s="57"/>
      <c r="AS163" s="57"/>
      <c r="AT163" s="57"/>
      <c r="AU163" s="57"/>
      <c r="AV163" s="57"/>
      <c r="AW163" s="57"/>
      <c r="AX163" s="57"/>
      <c r="AY163" s="137"/>
    </row>
    <row r="164" spans="1:51" x14ac:dyDescent="0.25">
      <c r="A164" s="787" t="s">
        <v>312</v>
      </c>
      <c r="B164" s="781" t="s">
        <v>590</v>
      </c>
      <c r="C164" s="787"/>
      <c r="D164" s="782" t="s">
        <v>422</v>
      </c>
      <c r="E164" s="623" t="s">
        <v>13</v>
      </c>
      <c r="F164" s="788">
        <v>9</v>
      </c>
      <c r="G164" s="784">
        <f t="shared" si="63"/>
        <v>1156.79682</v>
      </c>
      <c r="H164" s="784">
        <f t="shared" si="64"/>
        <v>1652.7293800000002</v>
      </c>
      <c r="I164" s="784">
        <f t="shared" si="65"/>
        <v>2066.7648199999999</v>
      </c>
      <c r="J164" s="623">
        <v>1634</v>
      </c>
      <c r="K164" s="785">
        <v>0</v>
      </c>
      <c r="L164" s="785">
        <f t="shared" si="52"/>
        <v>0</v>
      </c>
      <c r="M164" s="786">
        <v>1</v>
      </c>
      <c r="N164" s="151">
        <f>ROUND(J164*(1+kopsavilkums!$O$8),2)</f>
        <v>1807.2</v>
      </c>
      <c r="O164" s="61">
        <f t="shared" si="53"/>
        <v>0</v>
      </c>
      <c r="P164" s="61">
        <f>ROUND(L164*(1+kopsavilkums!$O$8),2)</f>
        <v>0</v>
      </c>
      <c r="Q164" s="61">
        <f t="shared" si="48"/>
        <v>173.20000000000005</v>
      </c>
      <c r="R164" s="61">
        <f t="shared" si="54"/>
        <v>173.20000000000005</v>
      </c>
      <c r="S164" s="61">
        <f t="shared" si="55"/>
        <v>2078.4000000000005</v>
      </c>
      <c r="T164" s="61">
        <f>ROUND(S164*kopsavilkums!$O$23,2)</f>
        <v>490.29</v>
      </c>
      <c r="U164" s="152">
        <f t="shared" si="56"/>
        <v>2568.6900000000005</v>
      </c>
      <c r="V164" s="73"/>
      <c r="W164" s="604"/>
      <c r="X164" s="605"/>
      <c r="Y164" s="605"/>
      <c r="Z164" s="769"/>
      <c r="AB164" s="57"/>
      <c r="AC164" s="57"/>
      <c r="AD164" s="57"/>
      <c r="AE164" s="57"/>
      <c r="AF164" s="57"/>
      <c r="AG164" s="57"/>
      <c r="AH164" s="57"/>
      <c r="AI164" s="57"/>
      <c r="AJ164" s="57"/>
      <c r="AK164" s="57"/>
      <c r="AL164" s="137"/>
      <c r="AO164" s="57"/>
      <c r="AP164" s="57"/>
      <c r="AQ164" s="57"/>
      <c r="AR164" s="57"/>
      <c r="AS164" s="57"/>
      <c r="AT164" s="57"/>
      <c r="AU164" s="57"/>
      <c r="AV164" s="57"/>
      <c r="AW164" s="57"/>
      <c r="AX164" s="57"/>
      <c r="AY164" s="137"/>
    </row>
    <row r="165" spans="1:51" x14ac:dyDescent="0.25">
      <c r="A165" s="787" t="s">
        <v>312</v>
      </c>
      <c r="B165" s="781" t="s">
        <v>590</v>
      </c>
      <c r="C165" s="787"/>
      <c r="D165" s="782" t="s">
        <v>422</v>
      </c>
      <c r="E165" s="623" t="s">
        <v>13</v>
      </c>
      <c r="F165" s="783">
        <v>9</v>
      </c>
      <c r="G165" s="784">
        <f t="shared" si="63"/>
        <v>1156.79682</v>
      </c>
      <c r="H165" s="784">
        <f t="shared" si="64"/>
        <v>1652.7293800000002</v>
      </c>
      <c r="I165" s="784">
        <f t="shared" si="65"/>
        <v>2066.7648199999999</v>
      </c>
      <c r="J165" s="623">
        <v>1487</v>
      </c>
      <c r="K165" s="785">
        <v>0</v>
      </c>
      <c r="L165" s="785">
        <f t="shared" si="52"/>
        <v>0</v>
      </c>
      <c r="M165" s="786">
        <v>1</v>
      </c>
      <c r="N165" s="151">
        <f>ROUND(J165*(1+kopsavilkums!$O$8),2)</f>
        <v>1644.62</v>
      </c>
      <c r="O165" s="61">
        <f t="shared" si="53"/>
        <v>0</v>
      </c>
      <c r="P165" s="61">
        <f>ROUND(L165*(1+kopsavilkums!$O$8),2)</f>
        <v>0</v>
      </c>
      <c r="Q165" s="61">
        <f t="shared" si="48"/>
        <v>157.61999999999989</v>
      </c>
      <c r="R165" s="61">
        <f t="shared" si="54"/>
        <v>157.61999999999989</v>
      </c>
      <c r="S165" s="61">
        <f t="shared" si="55"/>
        <v>1891.4399999999987</v>
      </c>
      <c r="T165" s="61">
        <f>ROUND(S165*kopsavilkums!$O$23,2)</f>
        <v>446.19</v>
      </c>
      <c r="U165" s="152">
        <f t="shared" si="56"/>
        <v>2337.6299999999987</v>
      </c>
      <c r="V165" s="73"/>
      <c r="W165" s="604"/>
      <c r="X165" s="605"/>
      <c r="Y165" s="605"/>
      <c r="Z165" s="769"/>
      <c r="AB165" s="57"/>
      <c r="AC165" s="57"/>
      <c r="AD165" s="57"/>
      <c r="AE165" s="57"/>
      <c r="AF165" s="57"/>
      <c r="AG165" s="57"/>
      <c r="AH165" s="57"/>
      <c r="AI165" s="57"/>
      <c r="AJ165" s="57"/>
      <c r="AK165" s="57"/>
      <c r="AL165" s="137"/>
      <c r="AO165" s="57"/>
      <c r="AP165" s="57"/>
      <c r="AQ165" s="57"/>
      <c r="AR165" s="57"/>
      <c r="AS165" s="57"/>
      <c r="AT165" s="57"/>
      <c r="AU165" s="57"/>
      <c r="AV165" s="57"/>
      <c r="AW165" s="57"/>
      <c r="AX165" s="57"/>
      <c r="AY165" s="137"/>
    </row>
    <row r="166" spans="1:51" x14ac:dyDescent="0.25">
      <c r="A166" s="787" t="s">
        <v>312</v>
      </c>
      <c r="B166" s="781" t="s">
        <v>590</v>
      </c>
      <c r="C166" s="787"/>
      <c r="D166" s="782" t="s">
        <v>422</v>
      </c>
      <c r="E166" s="623" t="s">
        <v>13</v>
      </c>
      <c r="F166" s="788">
        <v>9</v>
      </c>
      <c r="G166" s="784">
        <f t="shared" si="63"/>
        <v>1156.79682</v>
      </c>
      <c r="H166" s="784">
        <f t="shared" si="64"/>
        <v>1652.7293800000002</v>
      </c>
      <c r="I166" s="784">
        <f t="shared" si="65"/>
        <v>2066.7648199999999</v>
      </c>
      <c r="J166" s="623">
        <v>1487</v>
      </c>
      <c r="K166" s="785">
        <v>0</v>
      </c>
      <c r="L166" s="785">
        <f t="shared" si="52"/>
        <v>0</v>
      </c>
      <c r="M166" s="786">
        <v>1</v>
      </c>
      <c r="N166" s="151">
        <f>ROUND(J166*(1+kopsavilkums!$O$8),2)</f>
        <v>1644.62</v>
      </c>
      <c r="O166" s="61">
        <f t="shared" si="53"/>
        <v>0</v>
      </c>
      <c r="P166" s="61">
        <f>ROUND(L166*(1+kopsavilkums!$O$8),2)</f>
        <v>0</v>
      </c>
      <c r="Q166" s="61">
        <f t="shared" si="48"/>
        <v>157.61999999999989</v>
      </c>
      <c r="R166" s="61">
        <f t="shared" si="54"/>
        <v>157.61999999999989</v>
      </c>
      <c r="S166" s="61">
        <f t="shared" si="55"/>
        <v>1891.4399999999987</v>
      </c>
      <c r="T166" s="61">
        <f>ROUND(S166*kopsavilkums!$O$23,2)</f>
        <v>446.19</v>
      </c>
      <c r="U166" s="152">
        <f t="shared" si="56"/>
        <v>2337.6299999999987</v>
      </c>
      <c r="V166" s="73"/>
      <c r="W166" s="604"/>
      <c r="X166" s="605"/>
      <c r="Y166" s="605"/>
      <c r="Z166" s="769"/>
      <c r="AB166" s="57"/>
      <c r="AC166" s="57"/>
      <c r="AD166" s="57"/>
      <c r="AE166" s="57"/>
      <c r="AF166" s="57"/>
      <c r="AG166" s="57"/>
      <c r="AH166" s="57"/>
      <c r="AI166" s="57"/>
      <c r="AJ166" s="57"/>
      <c r="AK166" s="57"/>
      <c r="AL166" s="137"/>
      <c r="AO166" s="57"/>
      <c r="AP166" s="57"/>
      <c r="AQ166" s="57"/>
      <c r="AR166" s="57"/>
      <c r="AS166" s="57"/>
      <c r="AT166" s="57"/>
      <c r="AU166" s="57"/>
      <c r="AV166" s="57"/>
      <c r="AW166" s="57"/>
      <c r="AX166" s="57"/>
      <c r="AY166" s="137"/>
    </row>
    <row r="167" spans="1:51" x14ac:dyDescent="0.25">
      <c r="A167" s="787" t="s">
        <v>312</v>
      </c>
      <c r="B167" s="781" t="s">
        <v>590</v>
      </c>
      <c r="C167" s="787"/>
      <c r="D167" s="782" t="s">
        <v>422</v>
      </c>
      <c r="E167" s="623" t="s">
        <v>13</v>
      </c>
      <c r="F167" s="788">
        <v>9</v>
      </c>
      <c r="G167" s="784">
        <f t="shared" si="63"/>
        <v>1156.79682</v>
      </c>
      <c r="H167" s="784">
        <f t="shared" si="64"/>
        <v>1652.7293800000002</v>
      </c>
      <c r="I167" s="784">
        <f t="shared" si="65"/>
        <v>2066.7648199999999</v>
      </c>
      <c r="J167" s="623">
        <v>1634</v>
      </c>
      <c r="K167" s="785">
        <v>0</v>
      </c>
      <c r="L167" s="785">
        <f t="shared" si="52"/>
        <v>0</v>
      </c>
      <c r="M167" s="786">
        <v>1</v>
      </c>
      <c r="N167" s="151">
        <f>ROUND(J167*(1+kopsavilkums!$O$8),2)</f>
        <v>1807.2</v>
      </c>
      <c r="O167" s="61">
        <f t="shared" si="53"/>
        <v>0</v>
      </c>
      <c r="P167" s="61">
        <f>ROUND(L167*(1+kopsavilkums!$O$8),2)</f>
        <v>0</v>
      </c>
      <c r="Q167" s="61">
        <f t="shared" si="48"/>
        <v>173.20000000000005</v>
      </c>
      <c r="R167" s="61">
        <f t="shared" si="54"/>
        <v>173.20000000000005</v>
      </c>
      <c r="S167" s="61">
        <f t="shared" si="55"/>
        <v>2078.4000000000005</v>
      </c>
      <c r="T167" s="61">
        <f>ROUND(S167*kopsavilkums!$O$23,2)</f>
        <v>490.29</v>
      </c>
      <c r="U167" s="152">
        <f t="shared" si="56"/>
        <v>2568.6900000000005</v>
      </c>
      <c r="V167" s="73"/>
      <c r="W167" s="604"/>
      <c r="X167" s="605"/>
      <c r="Y167" s="605"/>
      <c r="Z167" s="769"/>
      <c r="AB167" s="57"/>
      <c r="AC167" s="57"/>
      <c r="AD167" s="57"/>
      <c r="AE167" s="57"/>
      <c r="AF167" s="57"/>
      <c r="AG167" s="57"/>
      <c r="AH167" s="57"/>
      <c r="AI167" s="57"/>
      <c r="AJ167" s="57"/>
      <c r="AK167" s="57"/>
      <c r="AL167" s="137"/>
      <c r="AO167" s="57"/>
      <c r="AP167" s="57"/>
      <c r="AQ167" s="57"/>
      <c r="AR167" s="57"/>
      <c r="AS167" s="57"/>
      <c r="AT167" s="57"/>
      <c r="AU167" s="57"/>
      <c r="AV167" s="57"/>
      <c r="AW167" s="57"/>
      <c r="AX167" s="57"/>
      <c r="AY167" s="137"/>
    </row>
    <row r="168" spans="1:51" x14ac:dyDescent="0.25">
      <c r="A168" s="787" t="s">
        <v>312</v>
      </c>
      <c r="B168" s="781" t="s">
        <v>590</v>
      </c>
      <c r="C168" s="631"/>
      <c r="D168" s="782" t="s">
        <v>422</v>
      </c>
      <c r="E168" s="623" t="s">
        <v>13</v>
      </c>
      <c r="F168" s="788">
        <v>9</v>
      </c>
      <c r="G168" s="784">
        <f t="shared" si="63"/>
        <v>1156.79682</v>
      </c>
      <c r="H168" s="784">
        <f t="shared" si="64"/>
        <v>1652.7293800000002</v>
      </c>
      <c r="I168" s="784">
        <f t="shared" si="65"/>
        <v>2066.7648199999999</v>
      </c>
      <c r="J168" s="623">
        <v>1115.25</v>
      </c>
      <c r="K168" s="785">
        <v>0</v>
      </c>
      <c r="L168" s="785">
        <v>0</v>
      </c>
      <c r="M168" s="786">
        <v>0.75</v>
      </c>
      <c r="N168" s="151">
        <f>ROUND(J168*(1+kopsavilkums!$O$8),2)</f>
        <v>1233.47</v>
      </c>
      <c r="O168" s="61">
        <f t="shared" si="53"/>
        <v>0</v>
      </c>
      <c r="P168" s="61">
        <f>ROUND(L168*(1+kopsavilkums!$O$8),2)</f>
        <v>0</v>
      </c>
      <c r="Q168" s="61">
        <f t="shared" si="48"/>
        <v>118.22000000000003</v>
      </c>
      <c r="R168" s="61">
        <f t="shared" si="54"/>
        <v>88.66500000000002</v>
      </c>
      <c r="S168" s="61">
        <f t="shared" si="55"/>
        <v>1063.9800000000002</v>
      </c>
      <c r="T168" s="61">
        <f>ROUND(S168*kopsavilkums!$O$23,2)</f>
        <v>250.99</v>
      </c>
      <c r="U168" s="152">
        <f t="shared" si="56"/>
        <v>1314.9700000000003</v>
      </c>
      <c r="V168" s="73"/>
      <c r="W168" s="604"/>
      <c r="X168" s="605"/>
      <c r="Y168" s="605"/>
      <c r="Z168" s="769"/>
      <c r="AB168" s="57"/>
      <c r="AC168" s="57"/>
      <c r="AD168" s="57"/>
      <c r="AE168" s="57"/>
      <c r="AF168" s="57"/>
      <c r="AG168" s="57"/>
      <c r="AH168" s="57"/>
      <c r="AI168" s="57"/>
      <c r="AJ168" s="57"/>
      <c r="AK168" s="57"/>
      <c r="AL168" s="137"/>
      <c r="AO168" s="57"/>
      <c r="AP168" s="57"/>
      <c r="AQ168" s="57"/>
      <c r="AR168" s="57"/>
      <c r="AS168" s="57"/>
      <c r="AT168" s="57"/>
      <c r="AU168" s="57"/>
      <c r="AV168" s="57"/>
      <c r="AW168" s="57"/>
      <c r="AX168" s="57"/>
      <c r="AY168" s="137"/>
    </row>
    <row r="169" spans="1:51" x14ac:dyDescent="0.25">
      <c r="A169" s="787" t="s">
        <v>312</v>
      </c>
      <c r="B169" s="781" t="s">
        <v>590</v>
      </c>
      <c r="C169" s="787"/>
      <c r="D169" s="782" t="s">
        <v>422</v>
      </c>
      <c r="E169" s="623" t="s">
        <v>13</v>
      </c>
      <c r="F169" s="788">
        <v>9</v>
      </c>
      <c r="G169" s="784">
        <f t="shared" si="63"/>
        <v>1156.79682</v>
      </c>
      <c r="H169" s="784">
        <f t="shared" si="64"/>
        <v>1652.7293800000002</v>
      </c>
      <c r="I169" s="784">
        <f t="shared" si="65"/>
        <v>2066.7648199999999</v>
      </c>
      <c r="J169" s="623">
        <v>1487</v>
      </c>
      <c r="K169" s="785">
        <v>0</v>
      </c>
      <c r="L169" s="785">
        <v>0</v>
      </c>
      <c r="M169" s="786">
        <v>1</v>
      </c>
      <c r="N169" s="151">
        <f>ROUND(J169*(1+kopsavilkums!$O$8),2)</f>
        <v>1644.62</v>
      </c>
      <c r="O169" s="61">
        <f t="shared" si="53"/>
        <v>0</v>
      </c>
      <c r="P169" s="61">
        <f>ROUND(L169*(1+kopsavilkums!$O$8),2)</f>
        <v>0</v>
      </c>
      <c r="Q169" s="61">
        <f t="shared" si="48"/>
        <v>157.61999999999989</v>
      </c>
      <c r="R169" s="61">
        <f t="shared" si="54"/>
        <v>157.61999999999989</v>
      </c>
      <c r="S169" s="61">
        <f t="shared" si="55"/>
        <v>1891.4399999999987</v>
      </c>
      <c r="T169" s="61">
        <f>ROUND(S169*kopsavilkums!$O$23,2)</f>
        <v>446.19</v>
      </c>
      <c r="U169" s="152">
        <f t="shared" si="56"/>
        <v>2337.6299999999987</v>
      </c>
      <c r="V169" s="73"/>
      <c r="W169" s="604"/>
      <c r="X169" s="605"/>
      <c r="Y169" s="605"/>
      <c r="Z169" s="769"/>
      <c r="AB169" s="57"/>
      <c r="AC169" s="57"/>
      <c r="AD169" s="57"/>
      <c r="AE169" s="57"/>
      <c r="AF169" s="57"/>
      <c r="AG169" s="57"/>
      <c r="AH169" s="57"/>
      <c r="AI169" s="57"/>
      <c r="AJ169" s="57"/>
      <c r="AK169" s="57"/>
      <c r="AL169" s="137"/>
      <c r="AO169" s="57"/>
      <c r="AP169" s="57"/>
      <c r="AQ169" s="57"/>
      <c r="AR169" s="57"/>
      <c r="AS169" s="57"/>
      <c r="AT169" s="57"/>
      <c r="AU169" s="57"/>
      <c r="AV169" s="57"/>
      <c r="AW169" s="57"/>
      <c r="AX169" s="57"/>
      <c r="AY169" s="137"/>
    </row>
    <row r="170" spans="1:51" x14ac:dyDescent="0.25">
      <c r="A170" s="787" t="s">
        <v>312</v>
      </c>
      <c r="B170" s="781" t="s">
        <v>590</v>
      </c>
      <c r="C170" s="787"/>
      <c r="D170" s="782" t="s">
        <v>422</v>
      </c>
      <c r="E170" s="623" t="s">
        <v>13</v>
      </c>
      <c r="F170" s="788">
        <v>9</v>
      </c>
      <c r="G170" s="784">
        <f t="shared" si="63"/>
        <v>1156.79682</v>
      </c>
      <c r="H170" s="784">
        <f t="shared" si="64"/>
        <v>1652.7293800000002</v>
      </c>
      <c r="I170" s="784">
        <f t="shared" si="65"/>
        <v>2066.7648199999999</v>
      </c>
      <c r="J170" s="623">
        <v>1487</v>
      </c>
      <c r="K170" s="785">
        <v>0</v>
      </c>
      <c r="L170" s="785">
        <v>0</v>
      </c>
      <c r="M170" s="786">
        <v>1</v>
      </c>
      <c r="N170" s="151">
        <f>ROUND(J170*(1+kopsavilkums!$O$8),2)</f>
        <v>1644.62</v>
      </c>
      <c r="O170" s="61">
        <f t="shared" si="53"/>
        <v>0</v>
      </c>
      <c r="P170" s="61">
        <f>ROUND(L170*(1+kopsavilkums!$O$8),2)</f>
        <v>0</v>
      </c>
      <c r="Q170" s="61">
        <f t="shared" si="48"/>
        <v>157.61999999999989</v>
      </c>
      <c r="R170" s="61">
        <f t="shared" si="54"/>
        <v>157.61999999999989</v>
      </c>
      <c r="S170" s="61">
        <f t="shared" si="55"/>
        <v>1891.4399999999987</v>
      </c>
      <c r="T170" s="61">
        <f>ROUND(S170*kopsavilkums!$O$23,2)</f>
        <v>446.19</v>
      </c>
      <c r="U170" s="152">
        <f t="shared" si="56"/>
        <v>2337.6299999999987</v>
      </c>
      <c r="V170" s="73"/>
      <c r="W170" s="604"/>
      <c r="X170" s="605"/>
      <c r="Y170" s="605"/>
      <c r="Z170" s="769"/>
      <c r="AB170" s="57"/>
      <c r="AC170" s="57"/>
      <c r="AD170" s="57"/>
      <c r="AE170" s="57"/>
      <c r="AF170" s="57"/>
      <c r="AG170" s="57"/>
      <c r="AH170" s="57"/>
      <c r="AI170" s="57"/>
      <c r="AJ170" s="57"/>
      <c r="AK170" s="57"/>
      <c r="AL170" s="137"/>
      <c r="AO170" s="57"/>
      <c r="AP170" s="57"/>
      <c r="AQ170" s="57"/>
      <c r="AR170" s="57"/>
      <c r="AS170" s="57"/>
      <c r="AT170" s="57"/>
      <c r="AU170" s="57"/>
      <c r="AV170" s="57"/>
      <c r="AW170" s="57"/>
      <c r="AX170" s="57"/>
      <c r="AY170" s="137"/>
    </row>
    <row r="171" spans="1:51" x14ac:dyDescent="0.25">
      <c r="A171" s="787" t="s">
        <v>312</v>
      </c>
      <c r="B171" s="781" t="s">
        <v>590</v>
      </c>
      <c r="C171" s="787"/>
      <c r="D171" s="782" t="s">
        <v>422</v>
      </c>
      <c r="E171" s="623" t="s">
        <v>13</v>
      </c>
      <c r="F171" s="783">
        <v>9</v>
      </c>
      <c r="G171" s="784">
        <f t="shared" si="63"/>
        <v>1156.79682</v>
      </c>
      <c r="H171" s="784">
        <f t="shared" si="64"/>
        <v>1652.7293800000002</v>
      </c>
      <c r="I171" s="784">
        <f t="shared" si="65"/>
        <v>2066.7648199999999</v>
      </c>
      <c r="J171" s="623">
        <v>1487</v>
      </c>
      <c r="K171" s="785">
        <v>0</v>
      </c>
      <c r="L171" s="785">
        <v>0</v>
      </c>
      <c r="M171" s="786">
        <v>1</v>
      </c>
      <c r="N171" s="151">
        <f>ROUND(J171*(1+kopsavilkums!$O$8),2)</f>
        <v>1644.62</v>
      </c>
      <c r="O171" s="61">
        <f t="shared" si="53"/>
        <v>0</v>
      </c>
      <c r="P171" s="61">
        <f>ROUND(L171*(1+kopsavilkums!$O$8),2)</f>
        <v>0</v>
      </c>
      <c r="Q171" s="61">
        <f t="shared" ref="Q171:Q202" si="66">(N171+P171)-(J171+L171)</f>
        <v>157.61999999999989</v>
      </c>
      <c r="R171" s="61">
        <f t="shared" si="54"/>
        <v>157.61999999999989</v>
      </c>
      <c r="S171" s="61">
        <f t="shared" si="55"/>
        <v>1891.4399999999987</v>
      </c>
      <c r="T171" s="61">
        <f>ROUND(S171*kopsavilkums!$O$23,2)</f>
        <v>446.19</v>
      </c>
      <c r="U171" s="152">
        <f t="shared" si="56"/>
        <v>2337.6299999999987</v>
      </c>
      <c r="V171" s="73"/>
      <c r="W171" s="604"/>
      <c r="X171" s="605"/>
      <c r="Y171" s="605"/>
      <c r="Z171" s="769"/>
      <c r="AB171" s="57"/>
      <c r="AC171" s="57"/>
      <c r="AD171" s="57"/>
      <c r="AE171" s="57"/>
      <c r="AF171" s="57"/>
      <c r="AG171" s="57"/>
      <c r="AH171" s="57"/>
      <c r="AI171" s="57"/>
      <c r="AJ171" s="57"/>
      <c r="AK171" s="57"/>
      <c r="AL171" s="137"/>
      <c r="AO171" s="57"/>
      <c r="AP171" s="57"/>
      <c r="AQ171" s="57"/>
      <c r="AR171" s="57"/>
      <c r="AS171" s="57"/>
      <c r="AT171" s="57"/>
      <c r="AU171" s="57"/>
      <c r="AV171" s="57"/>
      <c r="AW171" s="57"/>
      <c r="AX171" s="57"/>
      <c r="AY171" s="137"/>
    </row>
    <row r="172" spans="1:51" x14ac:dyDescent="0.25">
      <c r="A172" s="787" t="s">
        <v>312</v>
      </c>
      <c r="B172" s="781" t="s">
        <v>590</v>
      </c>
      <c r="C172" s="787"/>
      <c r="D172" s="782" t="s">
        <v>422</v>
      </c>
      <c r="E172" s="623" t="s">
        <v>13</v>
      </c>
      <c r="F172" s="783">
        <v>9</v>
      </c>
      <c r="G172" s="784">
        <f t="shared" si="63"/>
        <v>1156.79682</v>
      </c>
      <c r="H172" s="784">
        <f t="shared" si="64"/>
        <v>1652.7293800000002</v>
      </c>
      <c r="I172" s="784">
        <f t="shared" si="65"/>
        <v>2066.7648199999999</v>
      </c>
      <c r="J172" s="623">
        <v>1487</v>
      </c>
      <c r="K172" s="785">
        <v>0</v>
      </c>
      <c r="L172" s="785">
        <v>0</v>
      </c>
      <c r="M172" s="786">
        <v>1</v>
      </c>
      <c r="N172" s="151">
        <f>ROUND(J172*(1+kopsavilkums!$O$8),2)</f>
        <v>1644.62</v>
      </c>
      <c r="O172" s="61">
        <f t="shared" si="53"/>
        <v>0</v>
      </c>
      <c r="P172" s="61">
        <f>ROUND(L172*(1+kopsavilkums!$O$8),2)</f>
        <v>0</v>
      </c>
      <c r="Q172" s="61">
        <f t="shared" si="66"/>
        <v>157.61999999999989</v>
      </c>
      <c r="R172" s="61">
        <f t="shared" si="54"/>
        <v>157.61999999999989</v>
      </c>
      <c r="S172" s="61">
        <f t="shared" si="55"/>
        <v>1891.4399999999987</v>
      </c>
      <c r="T172" s="61">
        <f>ROUND(S172*kopsavilkums!$O$23,2)</f>
        <v>446.19</v>
      </c>
      <c r="U172" s="152">
        <f t="shared" si="56"/>
        <v>2337.6299999999987</v>
      </c>
      <c r="V172" s="73"/>
      <c r="W172" s="604"/>
      <c r="X172" s="605"/>
      <c r="Y172" s="605"/>
      <c r="Z172" s="769"/>
      <c r="AB172" s="57"/>
      <c r="AC172" s="57"/>
      <c r="AD172" s="57"/>
      <c r="AE172" s="57"/>
      <c r="AF172" s="57"/>
      <c r="AG172" s="57"/>
      <c r="AH172" s="57"/>
      <c r="AI172" s="57"/>
      <c r="AJ172" s="57"/>
      <c r="AK172" s="57"/>
      <c r="AL172" s="137"/>
      <c r="AO172" s="57"/>
      <c r="AP172" s="57"/>
      <c r="AQ172" s="57"/>
      <c r="AR172" s="57"/>
      <c r="AS172" s="57"/>
      <c r="AT172" s="57"/>
      <c r="AU172" s="57"/>
      <c r="AV172" s="57"/>
      <c r="AW172" s="57"/>
      <c r="AX172" s="57"/>
      <c r="AY172" s="137"/>
    </row>
    <row r="173" spans="1:51" x14ac:dyDescent="0.25">
      <c r="A173" s="787" t="s">
        <v>312</v>
      </c>
      <c r="B173" s="781" t="s">
        <v>590</v>
      </c>
      <c r="C173" s="787"/>
      <c r="D173" s="782" t="s">
        <v>422</v>
      </c>
      <c r="E173" s="623" t="s">
        <v>13</v>
      </c>
      <c r="F173" s="788">
        <v>9</v>
      </c>
      <c r="G173" s="784">
        <f t="shared" si="63"/>
        <v>1156.79682</v>
      </c>
      <c r="H173" s="784">
        <f t="shared" si="64"/>
        <v>1652.7293800000002</v>
      </c>
      <c r="I173" s="784">
        <f t="shared" si="65"/>
        <v>2066.7648199999999</v>
      </c>
      <c r="J173" s="623">
        <v>1653</v>
      </c>
      <c r="K173" s="785">
        <v>0</v>
      </c>
      <c r="L173" s="785">
        <v>0</v>
      </c>
      <c r="M173" s="786">
        <v>1</v>
      </c>
      <c r="N173" s="864">
        <f>ROUND(J173*(1+kopsavilkums!$O$8),2)</f>
        <v>1828.22</v>
      </c>
      <c r="O173" s="61">
        <f t="shared" si="53"/>
        <v>0</v>
      </c>
      <c r="P173" s="61">
        <f>ROUND(L173*(1+kopsavilkums!$O$8),2)</f>
        <v>0</v>
      </c>
      <c r="Q173" s="61">
        <f t="shared" si="66"/>
        <v>175.22000000000003</v>
      </c>
      <c r="R173" s="61">
        <f t="shared" si="54"/>
        <v>175.22000000000003</v>
      </c>
      <c r="S173" s="61">
        <f t="shared" si="55"/>
        <v>2102.6400000000003</v>
      </c>
      <c r="T173" s="61">
        <f>ROUND(S173*kopsavilkums!$O$23,2)</f>
        <v>496.01</v>
      </c>
      <c r="U173" s="152">
        <f t="shared" si="56"/>
        <v>2598.6500000000005</v>
      </c>
      <c r="V173" s="73"/>
      <c r="W173" s="604"/>
      <c r="X173" s="605"/>
      <c r="Y173" s="605"/>
      <c r="Z173" s="769"/>
      <c r="AB173" s="57"/>
      <c r="AC173" s="57"/>
      <c r="AD173" s="57"/>
      <c r="AE173" s="57"/>
      <c r="AF173" s="57"/>
      <c r="AG173" s="57"/>
      <c r="AH173" s="57"/>
      <c r="AI173" s="57"/>
      <c r="AJ173" s="57"/>
      <c r="AK173" s="57"/>
      <c r="AL173" s="137"/>
      <c r="AO173" s="57"/>
      <c r="AP173" s="57"/>
      <c r="AQ173" s="57"/>
      <c r="AR173" s="57"/>
      <c r="AS173" s="57"/>
      <c r="AT173" s="57"/>
      <c r="AU173" s="57"/>
      <c r="AV173" s="57"/>
      <c r="AW173" s="57"/>
      <c r="AX173" s="57"/>
      <c r="AY173" s="137"/>
    </row>
    <row r="174" spans="1:51" x14ac:dyDescent="0.25">
      <c r="A174" s="787" t="s">
        <v>42</v>
      </c>
      <c r="B174" s="781" t="s">
        <v>591</v>
      </c>
      <c r="C174" s="787"/>
      <c r="D174" s="782" t="s">
        <v>422</v>
      </c>
      <c r="E174" s="623" t="s">
        <v>20</v>
      </c>
      <c r="F174" s="783">
        <v>6</v>
      </c>
      <c r="G174" s="784">
        <f t="shared" ref="G174:G183" si="67">0.666*1137.46</f>
        <v>757.54836000000012</v>
      </c>
      <c r="H174" s="784">
        <f t="shared" ref="H174:H183" si="68">0.95*1137.46</f>
        <v>1080.587</v>
      </c>
      <c r="I174" s="784">
        <f t="shared" ref="I174:I183" si="69">1.236*1137.46</f>
        <v>1405.90056</v>
      </c>
      <c r="J174" s="623">
        <v>1300</v>
      </c>
      <c r="K174" s="785">
        <v>0</v>
      </c>
      <c r="L174" s="785">
        <f t="shared" si="52"/>
        <v>0</v>
      </c>
      <c r="M174" s="786">
        <v>1</v>
      </c>
      <c r="N174" s="151">
        <f>ROUND(J174*(1+kopsavilkums!$O$8),2)</f>
        <v>1437.8</v>
      </c>
      <c r="O174" s="61">
        <f t="shared" si="53"/>
        <v>0</v>
      </c>
      <c r="P174" s="61">
        <f>ROUND(L174*(1+kopsavilkums!$O$8),2)</f>
        <v>0</v>
      </c>
      <c r="Q174" s="61">
        <f t="shared" si="66"/>
        <v>137.79999999999995</v>
      </c>
      <c r="R174" s="61">
        <f t="shared" si="54"/>
        <v>137.79999999999995</v>
      </c>
      <c r="S174" s="61">
        <f t="shared" si="55"/>
        <v>1653.5999999999995</v>
      </c>
      <c r="T174" s="61">
        <f>ROUND(S174*kopsavilkums!$O$23,2)</f>
        <v>390.08</v>
      </c>
      <c r="U174" s="152">
        <f t="shared" si="56"/>
        <v>2043.6799999999994</v>
      </c>
      <c r="V174" s="73"/>
      <c r="W174" s="604"/>
      <c r="X174" s="605"/>
      <c r="Y174" s="605"/>
      <c r="Z174" s="769"/>
      <c r="AB174" s="57"/>
      <c r="AC174" s="57"/>
      <c r="AD174" s="57"/>
      <c r="AE174" s="57"/>
      <c r="AF174" s="57"/>
      <c r="AG174" s="57"/>
      <c r="AH174" s="57"/>
      <c r="AI174" s="57"/>
      <c r="AJ174" s="57"/>
      <c r="AK174" s="57"/>
      <c r="AL174" s="137"/>
      <c r="AO174" s="57"/>
      <c r="AP174" s="57"/>
      <c r="AQ174" s="57"/>
      <c r="AR174" s="57"/>
      <c r="AS174" s="57"/>
      <c r="AT174" s="57"/>
      <c r="AU174" s="57"/>
      <c r="AV174" s="57"/>
      <c r="AW174" s="57"/>
      <c r="AX174" s="57"/>
      <c r="AY174" s="137"/>
    </row>
    <row r="175" spans="1:51" x14ac:dyDescent="0.25">
      <c r="A175" s="787" t="s">
        <v>42</v>
      </c>
      <c r="B175" s="781" t="s">
        <v>591</v>
      </c>
      <c r="C175" s="787"/>
      <c r="D175" s="782" t="s">
        <v>422</v>
      </c>
      <c r="E175" s="623" t="s">
        <v>20</v>
      </c>
      <c r="F175" s="783">
        <v>6</v>
      </c>
      <c r="G175" s="784">
        <f t="shared" si="67"/>
        <v>757.54836000000012</v>
      </c>
      <c r="H175" s="784">
        <f t="shared" si="68"/>
        <v>1080.587</v>
      </c>
      <c r="I175" s="784">
        <f t="shared" si="69"/>
        <v>1405.90056</v>
      </c>
      <c r="J175" s="623">
        <v>1300</v>
      </c>
      <c r="K175" s="785">
        <v>0</v>
      </c>
      <c r="L175" s="785">
        <f t="shared" si="52"/>
        <v>0</v>
      </c>
      <c r="M175" s="786">
        <v>1</v>
      </c>
      <c r="N175" s="151">
        <f>ROUND(J175*(1+kopsavilkums!$O$8),2)</f>
        <v>1437.8</v>
      </c>
      <c r="O175" s="61">
        <f t="shared" si="53"/>
        <v>0</v>
      </c>
      <c r="P175" s="61">
        <f>ROUND(L175*(1+kopsavilkums!$O$8),2)</f>
        <v>0</v>
      </c>
      <c r="Q175" s="61">
        <f t="shared" si="66"/>
        <v>137.79999999999995</v>
      </c>
      <c r="R175" s="61">
        <f t="shared" si="54"/>
        <v>137.79999999999995</v>
      </c>
      <c r="S175" s="61">
        <f t="shared" si="55"/>
        <v>1653.5999999999995</v>
      </c>
      <c r="T175" s="61">
        <f>ROUND(S175*kopsavilkums!$O$23,2)</f>
        <v>390.08</v>
      </c>
      <c r="U175" s="152">
        <f t="shared" si="56"/>
        <v>2043.6799999999994</v>
      </c>
      <c r="V175" s="73"/>
      <c r="W175" s="604"/>
      <c r="X175" s="605"/>
      <c r="Y175" s="605"/>
      <c r="Z175" s="769"/>
      <c r="AB175" s="57"/>
      <c r="AC175" s="57"/>
      <c r="AD175" s="57"/>
      <c r="AE175" s="57"/>
      <c r="AF175" s="57"/>
      <c r="AG175" s="57"/>
      <c r="AH175" s="57"/>
      <c r="AI175" s="57"/>
      <c r="AJ175" s="57"/>
      <c r="AK175" s="57"/>
      <c r="AL175" s="137"/>
      <c r="AO175" s="57"/>
      <c r="AP175" s="57"/>
      <c r="AQ175" s="57"/>
      <c r="AR175" s="57"/>
      <c r="AS175" s="57"/>
      <c r="AT175" s="57"/>
      <c r="AU175" s="57"/>
      <c r="AV175" s="57"/>
      <c r="AW175" s="57"/>
      <c r="AX175" s="57"/>
      <c r="AY175" s="137"/>
    </row>
    <row r="176" spans="1:51" x14ac:dyDescent="0.25">
      <c r="A176" s="787" t="s">
        <v>42</v>
      </c>
      <c r="B176" s="781" t="s">
        <v>591</v>
      </c>
      <c r="C176" s="787"/>
      <c r="D176" s="782" t="s">
        <v>422</v>
      </c>
      <c r="E176" s="623" t="s">
        <v>20</v>
      </c>
      <c r="F176" s="783">
        <v>6</v>
      </c>
      <c r="G176" s="784">
        <f t="shared" si="67"/>
        <v>757.54836000000012</v>
      </c>
      <c r="H176" s="784">
        <f t="shared" si="68"/>
        <v>1080.587</v>
      </c>
      <c r="I176" s="784">
        <f t="shared" si="69"/>
        <v>1405.90056</v>
      </c>
      <c r="J176" s="623">
        <v>1300</v>
      </c>
      <c r="K176" s="785">
        <v>0</v>
      </c>
      <c r="L176" s="785">
        <f t="shared" si="52"/>
        <v>0</v>
      </c>
      <c r="M176" s="786">
        <v>1</v>
      </c>
      <c r="N176" s="151">
        <f>ROUND(J176*(1+kopsavilkums!$O$8),2)</f>
        <v>1437.8</v>
      </c>
      <c r="O176" s="61">
        <f t="shared" si="53"/>
        <v>0</v>
      </c>
      <c r="P176" s="61">
        <f>ROUND(L176*(1+kopsavilkums!$O$8),2)</f>
        <v>0</v>
      </c>
      <c r="Q176" s="61">
        <f t="shared" si="66"/>
        <v>137.79999999999995</v>
      </c>
      <c r="R176" s="61">
        <f t="shared" si="54"/>
        <v>137.79999999999995</v>
      </c>
      <c r="S176" s="61">
        <f t="shared" si="55"/>
        <v>1653.5999999999995</v>
      </c>
      <c r="T176" s="61">
        <f>ROUND(S176*kopsavilkums!$O$23,2)</f>
        <v>390.08</v>
      </c>
      <c r="U176" s="152">
        <f t="shared" si="56"/>
        <v>2043.6799999999994</v>
      </c>
      <c r="V176" s="73"/>
      <c r="W176" s="604"/>
      <c r="X176" s="605"/>
      <c r="Y176" s="605"/>
      <c r="Z176" s="769"/>
      <c r="AB176" s="57"/>
      <c r="AC176" s="57"/>
      <c r="AD176" s="57"/>
      <c r="AE176" s="57"/>
      <c r="AF176" s="57"/>
      <c r="AG176" s="57"/>
      <c r="AH176" s="57"/>
      <c r="AI176" s="57"/>
      <c r="AJ176" s="57"/>
      <c r="AK176" s="57"/>
      <c r="AL176" s="137"/>
      <c r="AO176" s="57"/>
      <c r="AP176" s="57"/>
      <c r="AQ176" s="57"/>
      <c r="AR176" s="57"/>
      <c r="AS176" s="57"/>
      <c r="AT176" s="57"/>
      <c r="AU176" s="57"/>
      <c r="AV176" s="57"/>
      <c r="AW176" s="57"/>
      <c r="AX176" s="57"/>
      <c r="AY176" s="137"/>
    </row>
    <row r="177" spans="1:51" x14ac:dyDescent="0.25">
      <c r="A177" s="787" t="s">
        <v>42</v>
      </c>
      <c r="B177" s="781" t="s">
        <v>591</v>
      </c>
      <c r="C177" s="787"/>
      <c r="D177" s="782" t="s">
        <v>422</v>
      </c>
      <c r="E177" s="623" t="s">
        <v>20</v>
      </c>
      <c r="F177" s="783">
        <v>6</v>
      </c>
      <c r="G177" s="784">
        <f t="shared" si="67"/>
        <v>757.54836000000012</v>
      </c>
      <c r="H177" s="784">
        <f t="shared" si="68"/>
        <v>1080.587</v>
      </c>
      <c r="I177" s="784">
        <f t="shared" si="69"/>
        <v>1405.90056</v>
      </c>
      <c r="J177" s="623">
        <v>1300</v>
      </c>
      <c r="K177" s="785">
        <v>0</v>
      </c>
      <c r="L177" s="785">
        <f t="shared" si="52"/>
        <v>0</v>
      </c>
      <c r="M177" s="786">
        <v>1</v>
      </c>
      <c r="N177" s="151">
        <f>ROUND(J177*(1+kopsavilkums!$O$8),2)</f>
        <v>1437.8</v>
      </c>
      <c r="O177" s="61">
        <f t="shared" si="53"/>
        <v>0</v>
      </c>
      <c r="P177" s="61">
        <f>ROUND(L177*(1+kopsavilkums!$O$8),2)</f>
        <v>0</v>
      </c>
      <c r="Q177" s="61">
        <f t="shared" si="66"/>
        <v>137.79999999999995</v>
      </c>
      <c r="R177" s="61">
        <f t="shared" si="54"/>
        <v>137.79999999999995</v>
      </c>
      <c r="S177" s="61">
        <f t="shared" si="55"/>
        <v>1653.5999999999995</v>
      </c>
      <c r="T177" s="61">
        <f>ROUND(S177*kopsavilkums!$O$23,2)</f>
        <v>390.08</v>
      </c>
      <c r="U177" s="152">
        <f t="shared" si="56"/>
        <v>2043.6799999999994</v>
      </c>
      <c r="V177" s="73"/>
      <c r="W177" s="604"/>
      <c r="X177" s="605"/>
      <c r="Y177" s="605"/>
      <c r="Z177" s="769"/>
      <c r="AB177" s="57"/>
      <c r="AC177" s="57"/>
      <c r="AD177" s="57"/>
      <c r="AE177" s="57"/>
      <c r="AF177" s="57"/>
      <c r="AG177" s="57"/>
      <c r="AH177" s="57"/>
      <c r="AI177" s="57"/>
      <c r="AJ177" s="57"/>
      <c r="AK177" s="57"/>
      <c r="AL177" s="137"/>
      <c r="AO177" s="57"/>
      <c r="AP177" s="57"/>
      <c r="AQ177" s="57"/>
      <c r="AR177" s="57"/>
      <c r="AS177" s="57"/>
      <c r="AT177" s="57"/>
      <c r="AU177" s="57"/>
      <c r="AV177" s="57"/>
      <c r="AW177" s="57"/>
      <c r="AX177" s="57"/>
      <c r="AY177" s="137"/>
    </row>
    <row r="178" spans="1:51" x14ac:dyDescent="0.25">
      <c r="A178" s="787" t="s">
        <v>42</v>
      </c>
      <c r="B178" s="781" t="s">
        <v>591</v>
      </c>
      <c r="C178" s="787"/>
      <c r="D178" s="782" t="s">
        <v>422</v>
      </c>
      <c r="E178" s="623" t="s">
        <v>20</v>
      </c>
      <c r="F178" s="783">
        <v>6</v>
      </c>
      <c r="G178" s="784">
        <f t="shared" si="67"/>
        <v>757.54836000000012</v>
      </c>
      <c r="H178" s="784">
        <f t="shared" si="68"/>
        <v>1080.587</v>
      </c>
      <c r="I178" s="784">
        <f t="shared" si="69"/>
        <v>1405.90056</v>
      </c>
      <c r="J178" s="623">
        <v>1300</v>
      </c>
      <c r="K178" s="785">
        <v>0</v>
      </c>
      <c r="L178" s="785">
        <f t="shared" si="52"/>
        <v>0</v>
      </c>
      <c r="M178" s="786">
        <v>1</v>
      </c>
      <c r="N178" s="151">
        <f>ROUND(J178*(1+kopsavilkums!$O$8),2)</f>
        <v>1437.8</v>
      </c>
      <c r="O178" s="61">
        <f t="shared" si="53"/>
        <v>0</v>
      </c>
      <c r="P178" s="61">
        <f>ROUND(L178*(1+kopsavilkums!$O$8),2)</f>
        <v>0</v>
      </c>
      <c r="Q178" s="61">
        <f t="shared" si="66"/>
        <v>137.79999999999995</v>
      </c>
      <c r="R178" s="61">
        <f t="shared" si="54"/>
        <v>137.79999999999995</v>
      </c>
      <c r="S178" s="61">
        <f t="shared" si="55"/>
        <v>1653.5999999999995</v>
      </c>
      <c r="T178" s="61">
        <f>ROUND(S178*kopsavilkums!$O$23,2)</f>
        <v>390.08</v>
      </c>
      <c r="U178" s="152">
        <f t="shared" si="56"/>
        <v>2043.6799999999994</v>
      </c>
      <c r="V178" s="73"/>
      <c r="W178" s="604"/>
      <c r="X178" s="605"/>
      <c r="Y178" s="605"/>
      <c r="Z178" s="769"/>
      <c r="AB178" s="57"/>
      <c r="AC178" s="57"/>
      <c r="AD178" s="57"/>
      <c r="AE178" s="57"/>
      <c r="AF178" s="57"/>
      <c r="AG178" s="57"/>
      <c r="AH178" s="57"/>
      <c r="AI178" s="57"/>
      <c r="AJ178" s="57"/>
      <c r="AK178" s="57"/>
      <c r="AL178" s="137"/>
      <c r="AO178" s="57"/>
      <c r="AP178" s="57"/>
      <c r="AQ178" s="57"/>
      <c r="AR178" s="57"/>
      <c r="AS178" s="57"/>
      <c r="AT178" s="57"/>
      <c r="AU178" s="57"/>
      <c r="AV178" s="57"/>
      <c r="AW178" s="57"/>
      <c r="AX178" s="57"/>
      <c r="AY178" s="137"/>
    </row>
    <row r="179" spans="1:51" x14ac:dyDescent="0.25">
      <c r="A179" s="787" t="s">
        <v>42</v>
      </c>
      <c r="B179" s="781" t="s">
        <v>591</v>
      </c>
      <c r="C179" s="787"/>
      <c r="D179" s="782" t="s">
        <v>422</v>
      </c>
      <c r="E179" s="623" t="s">
        <v>20</v>
      </c>
      <c r="F179" s="783">
        <v>6</v>
      </c>
      <c r="G179" s="784">
        <f t="shared" si="67"/>
        <v>757.54836000000012</v>
      </c>
      <c r="H179" s="784">
        <f t="shared" si="68"/>
        <v>1080.587</v>
      </c>
      <c r="I179" s="784">
        <f t="shared" si="69"/>
        <v>1405.90056</v>
      </c>
      <c r="J179" s="623">
        <v>1300</v>
      </c>
      <c r="K179" s="785">
        <v>0</v>
      </c>
      <c r="L179" s="785">
        <f t="shared" si="52"/>
        <v>0</v>
      </c>
      <c r="M179" s="786">
        <v>1</v>
      </c>
      <c r="N179" s="151">
        <f>ROUND(J179*(1+kopsavilkums!$O$8),2)</f>
        <v>1437.8</v>
      </c>
      <c r="O179" s="61">
        <f t="shared" si="53"/>
        <v>0</v>
      </c>
      <c r="P179" s="61">
        <f>ROUND(L179*(1+kopsavilkums!$O$8),2)</f>
        <v>0</v>
      </c>
      <c r="Q179" s="61">
        <f t="shared" si="66"/>
        <v>137.79999999999995</v>
      </c>
      <c r="R179" s="61">
        <f t="shared" si="54"/>
        <v>137.79999999999995</v>
      </c>
      <c r="S179" s="61">
        <f t="shared" si="55"/>
        <v>1653.5999999999995</v>
      </c>
      <c r="T179" s="61">
        <f>ROUND(S179*kopsavilkums!$O$23,2)</f>
        <v>390.08</v>
      </c>
      <c r="U179" s="152">
        <f t="shared" si="56"/>
        <v>2043.6799999999994</v>
      </c>
      <c r="V179" s="73"/>
      <c r="W179" s="604"/>
      <c r="X179" s="605"/>
      <c r="Y179" s="605"/>
      <c r="Z179" s="769"/>
      <c r="AB179" s="57"/>
      <c r="AC179" s="57"/>
      <c r="AD179" s="57"/>
      <c r="AE179" s="57"/>
      <c r="AF179" s="57"/>
      <c r="AG179" s="57"/>
      <c r="AH179" s="57"/>
      <c r="AI179" s="57"/>
      <c r="AJ179" s="57"/>
      <c r="AK179" s="57"/>
      <c r="AL179" s="137"/>
      <c r="AO179" s="57"/>
      <c r="AP179" s="57"/>
      <c r="AQ179" s="57"/>
      <c r="AR179" s="57"/>
      <c r="AS179" s="57"/>
      <c r="AT179" s="57"/>
      <c r="AU179" s="57"/>
      <c r="AV179" s="57"/>
      <c r="AW179" s="57"/>
      <c r="AX179" s="57"/>
      <c r="AY179" s="137"/>
    </row>
    <row r="180" spans="1:51" x14ac:dyDescent="0.25">
      <c r="A180" s="787" t="s">
        <v>42</v>
      </c>
      <c r="B180" s="781" t="s">
        <v>591</v>
      </c>
      <c r="C180" s="787"/>
      <c r="D180" s="782" t="s">
        <v>422</v>
      </c>
      <c r="E180" s="623" t="s">
        <v>20</v>
      </c>
      <c r="F180" s="783">
        <v>6</v>
      </c>
      <c r="G180" s="784">
        <f t="shared" si="67"/>
        <v>757.54836000000012</v>
      </c>
      <c r="H180" s="784">
        <f t="shared" si="68"/>
        <v>1080.587</v>
      </c>
      <c r="I180" s="784">
        <f t="shared" si="69"/>
        <v>1405.90056</v>
      </c>
      <c r="J180" s="623">
        <v>1300</v>
      </c>
      <c r="K180" s="785">
        <v>0</v>
      </c>
      <c r="L180" s="785">
        <f t="shared" si="52"/>
        <v>0</v>
      </c>
      <c r="M180" s="786">
        <v>1</v>
      </c>
      <c r="N180" s="151">
        <f>ROUND(J180*(1+kopsavilkums!$O$8),2)</f>
        <v>1437.8</v>
      </c>
      <c r="O180" s="61">
        <f t="shared" si="53"/>
        <v>0</v>
      </c>
      <c r="P180" s="61">
        <f>ROUND(L180*(1+kopsavilkums!$O$8),2)</f>
        <v>0</v>
      </c>
      <c r="Q180" s="61">
        <f t="shared" si="66"/>
        <v>137.79999999999995</v>
      </c>
      <c r="R180" s="61">
        <f t="shared" si="54"/>
        <v>137.79999999999995</v>
      </c>
      <c r="S180" s="61">
        <f t="shared" si="55"/>
        <v>1653.5999999999995</v>
      </c>
      <c r="T180" s="61">
        <f>ROUND(S180*kopsavilkums!$O$23,2)</f>
        <v>390.08</v>
      </c>
      <c r="U180" s="152">
        <f t="shared" si="56"/>
        <v>2043.6799999999994</v>
      </c>
      <c r="V180" s="73"/>
      <c r="W180" s="604"/>
      <c r="X180" s="605"/>
      <c r="Y180" s="605"/>
      <c r="Z180" s="769"/>
      <c r="AB180" s="57"/>
      <c r="AC180" s="57"/>
      <c r="AD180" s="57"/>
      <c r="AE180" s="57"/>
      <c r="AF180" s="57"/>
      <c r="AG180" s="57"/>
      <c r="AH180" s="57"/>
      <c r="AI180" s="57"/>
      <c r="AJ180" s="57"/>
      <c r="AK180" s="57"/>
      <c r="AL180" s="137"/>
      <c r="AO180" s="57"/>
      <c r="AP180" s="57"/>
      <c r="AQ180" s="57"/>
      <c r="AR180" s="57"/>
      <c r="AS180" s="57"/>
      <c r="AT180" s="57"/>
      <c r="AU180" s="57"/>
      <c r="AV180" s="57"/>
      <c r="AW180" s="57"/>
      <c r="AX180" s="57"/>
      <c r="AY180" s="137"/>
    </row>
    <row r="181" spans="1:51" x14ac:dyDescent="0.25">
      <c r="A181" s="865" t="s">
        <v>42</v>
      </c>
      <c r="B181" s="866" t="s">
        <v>591</v>
      </c>
      <c r="C181" s="865"/>
      <c r="D181" s="868" t="s">
        <v>422</v>
      </c>
      <c r="E181" s="869" t="s">
        <v>20</v>
      </c>
      <c r="F181" s="870">
        <v>6</v>
      </c>
      <c r="G181" s="871">
        <f t="shared" si="67"/>
        <v>757.54836000000012</v>
      </c>
      <c r="H181" s="871">
        <f t="shared" si="68"/>
        <v>1080.587</v>
      </c>
      <c r="I181" s="871">
        <f t="shared" si="69"/>
        <v>1405.90056</v>
      </c>
      <c r="J181" s="869">
        <v>1300</v>
      </c>
      <c r="K181" s="872">
        <v>0</v>
      </c>
      <c r="L181" s="872">
        <f t="shared" ref="L181:L183" si="70">K181</f>
        <v>0</v>
      </c>
      <c r="M181" s="873">
        <v>1</v>
      </c>
      <c r="N181" s="864">
        <f>ROUND(J181*(1+kopsavilkums!$O$8),2)</f>
        <v>1437.8</v>
      </c>
      <c r="O181" s="61">
        <f t="shared" si="53"/>
        <v>0</v>
      </c>
      <c r="P181" s="61">
        <f>ROUND(L181*(1+kopsavilkums!$O$8),2)</f>
        <v>0</v>
      </c>
      <c r="Q181" s="61">
        <f t="shared" si="66"/>
        <v>137.79999999999995</v>
      </c>
      <c r="R181" s="61">
        <f t="shared" si="54"/>
        <v>137.79999999999995</v>
      </c>
      <c r="S181" s="61">
        <f t="shared" si="55"/>
        <v>1653.5999999999995</v>
      </c>
      <c r="T181" s="61">
        <f>ROUND(S181*kopsavilkums!$O$23,2)</f>
        <v>390.08</v>
      </c>
      <c r="U181" s="152">
        <f t="shared" si="56"/>
        <v>2043.6799999999994</v>
      </c>
      <c r="V181" s="73"/>
      <c r="W181" s="604"/>
      <c r="X181" s="605"/>
      <c r="Y181" s="605"/>
      <c r="Z181" s="769"/>
      <c r="AB181" s="57"/>
      <c r="AC181" s="57"/>
      <c r="AD181" s="57"/>
      <c r="AE181" s="57"/>
      <c r="AF181" s="57"/>
      <c r="AG181" s="57"/>
      <c r="AH181" s="57"/>
      <c r="AI181" s="57"/>
      <c r="AJ181" s="57"/>
      <c r="AK181" s="57"/>
      <c r="AL181" s="137"/>
      <c r="AO181" s="57"/>
      <c r="AP181" s="57"/>
      <c r="AQ181" s="57"/>
      <c r="AR181" s="57"/>
      <c r="AS181" s="57"/>
      <c r="AT181" s="57"/>
      <c r="AU181" s="57"/>
      <c r="AV181" s="57"/>
      <c r="AW181" s="57"/>
      <c r="AX181" s="57"/>
      <c r="AY181" s="137"/>
    </row>
    <row r="182" spans="1:51" x14ac:dyDescent="0.25">
      <c r="A182" s="865" t="s">
        <v>42</v>
      </c>
      <c r="B182" s="866" t="s">
        <v>591</v>
      </c>
      <c r="C182" s="865"/>
      <c r="D182" s="868" t="s">
        <v>422</v>
      </c>
      <c r="E182" s="869" t="s">
        <v>20</v>
      </c>
      <c r="F182" s="870">
        <v>6</v>
      </c>
      <c r="G182" s="871">
        <f t="shared" si="67"/>
        <v>757.54836000000012</v>
      </c>
      <c r="H182" s="871">
        <f t="shared" si="68"/>
        <v>1080.587</v>
      </c>
      <c r="I182" s="871">
        <f t="shared" si="69"/>
        <v>1405.90056</v>
      </c>
      <c r="J182" s="869">
        <v>1300</v>
      </c>
      <c r="K182" s="872">
        <v>0</v>
      </c>
      <c r="L182" s="872">
        <f t="shared" si="70"/>
        <v>0</v>
      </c>
      <c r="M182" s="873">
        <v>1</v>
      </c>
      <c r="N182" s="864">
        <f>ROUND(J182*(1+kopsavilkums!$O$8),2)</f>
        <v>1437.8</v>
      </c>
      <c r="O182" s="61">
        <f t="shared" si="53"/>
        <v>0</v>
      </c>
      <c r="P182" s="61">
        <f>ROUND(L182*(1+kopsavilkums!$O$8),2)</f>
        <v>0</v>
      </c>
      <c r="Q182" s="61">
        <f t="shared" si="66"/>
        <v>137.79999999999995</v>
      </c>
      <c r="R182" s="61">
        <f t="shared" si="54"/>
        <v>137.79999999999995</v>
      </c>
      <c r="S182" s="61">
        <f t="shared" si="55"/>
        <v>1653.5999999999995</v>
      </c>
      <c r="T182" s="61">
        <f>ROUND(S182*kopsavilkums!$O$23,2)</f>
        <v>390.08</v>
      </c>
      <c r="U182" s="152">
        <f t="shared" si="56"/>
        <v>2043.6799999999994</v>
      </c>
      <c r="V182" s="73"/>
      <c r="W182" s="604"/>
      <c r="X182" s="605"/>
      <c r="Y182" s="605"/>
      <c r="Z182" s="769"/>
      <c r="AB182" s="57"/>
      <c r="AC182" s="57"/>
      <c r="AD182" s="57"/>
      <c r="AE182" s="57"/>
      <c r="AF182" s="57"/>
      <c r="AG182" s="57"/>
      <c r="AH182" s="57"/>
      <c r="AI182" s="57"/>
      <c r="AJ182" s="57"/>
      <c r="AK182" s="57"/>
      <c r="AL182" s="137"/>
      <c r="AO182" s="57"/>
      <c r="AP182" s="57"/>
      <c r="AQ182" s="57"/>
      <c r="AR182" s="57"/>
      <c r="AS182" s="57"/>
      <c r="AT182" s="57"/>
      <c r="AU182" s="57"/>
      <c r="AV182" s="57"/>
      <c r="AW182" s="57"/>
      <c r="AX182" s="57"/>
      <c r="AY182" s="137"/>
    </row>
    <row r="183" spans="1:51" x14ac:dyDescent="0.25">
      <c r="A183" s="865" t="s">
        <v>42</v>
      </c>
      <c r="B183" s="866" t="s">
        <v>591</v>
      </c>
      <c r="C183" s="865"/>
      <c r="D183" s="868" t="s">
        <v>422</v>
      </c>
      <c r="E183" s="869" t="s">
        <v>20</v>
      </c>
      <c r="F183" s="870">
        <v>6</v>
      </c>
      <c r="G183" s="871">
        <f t="shared" si="67"/>
        <v>757.54836000000012</v>
      </c>
      <c r="H183" s="871">
        <f t="shared" si="68"/>
        <v>1080.587</v>
      </c>
      <c r="I183" s="871">
        <f t="shared" si="69"/>
        <v>1405.90056</v>
      </c>
      <c r="J183" s="869">
        <v>1300</v>
      </c>
      <c r="K183" s="872">
        <v>0</v>
      </c>
      <c r="L183" s="872">
        <f t="shared" si="70"/>
        <v>0</v>
      </c>
      <c r="M183" s="866">
        <v>1</v>
      </c>
      <c r="N183" s="864">
        <f>ROUND(J183*(1+kopsavilkums!$O$8),2)</f>
        <v>1437.8</v>
      </c>
      <c r="O183" s="61">
        <f t="shared" si="53"/>
        <v>0</v>
      </c>
      <c r="P183" s="61">
        <f>ROUND(L183*(1+kopsavilkums!$O$8),2)</f>
        <v>0</v>
      </c>
      <c r="Q183" s="61">
        <f t="shared" si="66"/>
        <v>137.79999999999995</v>
      </c>
      <c r="R183" s="61">
        <f t="shared" si="54"/>
        <v>137.79999999999995</v>
      </c>
      <c r="S183" s="61">
        <f t="shared" si="55"/>
        <v>1653.5999999999995</v>
      </c>
      <c r="T183" s="61">
        <f>ROUND(S183*kopsavilkums!$O$23,2)</f>
        <v>390.08</v>
      </c>
      <c r="U183" s="152">
        <f t="shared" si="56"/>
        <v>2043.6799999999994</v>
      </c>
      <c r="V183" s="73"/>
      <c r="W183" s="604"/>
      <c r="X183" s="605"/>
      <c r="Y183" s="605"/>
      <c r="Z183" s="769"/>
      <c r="AB183" s="57"/>
      <c r="AC183" s="57"/>
      <c r="AD183" s="57"/>
      <c r="AE183" s="57"/>
      <c r="AF183" s="57"/>
      <c r="AG183" s="57"/>
      <c r="AH183" s="57"/>
      <c r="AI183" s="57"/>
      <c r="AJ183" s="57"/>
      <c r="AK183" s="57"/>
      <c r="AL183" s="137"/>
      <c r="AO183" s="57"/>
      <c r="AP183" s="57"/>
      <c r="AQ183" s="57"/>
      <c r="AR183" s="57"/>
      <c r="AS183" s="57"/>
      <c r="AT183" s="57"/>
      <c r="AU183" s="57"/>
      <c r="AV183" s="57"/>
      <c r="AW183" s="57"/>
      <c r="AX183" s="57"/>
      <c r="AY183" s="137"/>
    </row>
    <row r="184" spans="1:51" x14ac:dyDescent="0.25">
      <c r="A184" s="787" t="s">
        <v>311</v>
      </c>
      <c r="B184" s="781" t="s">
        <v>590</v>
      </c>
      <c r="C184" s="787"/>
      <c r="D184" s="782" t="s">
        <v>422</v>
      </c>
      <c r="E184" s="623" t="s">
        <v>13</v>
      </c>
      <c r="F184" s="783">
        <v>9</v>
      </c>
      <c r="G184" s="784">
        <f>1.017*1137.46</f>
        <v>1156.79682</v>
      </c>
      <c r="H184" s="784">
        <f>1.453*1137.46</f>
        <v>1652.7293800000002</v>
      </c>
      <c r="I184" s="784">
        <f>1.817*1137.46</f>
        <v>2066.7648199999999</v>
      </c>
      <c r="J184" s="623">
        <v>1634</v>
      </c>
      <c r="K184" s="785">
        <v>0</v>
      </c>
      <c r="L184" s="785">
        <f t="shared" si="52"/>
        <v>0</v>
      </c>
      <c r="M184" s="786">
        <v>1</v>
      </c>
      <c r="N184" s="864">
        <f>ROUND(J184*(1+kopsavilkums!$O$8),2)</f>
        <v>1807.2</v>
      </c>
      <c r="O184" s="61">
        <f t="shared" si="53"/>
        <v>0</v>
      </c>
      <c r="P184" s="61">
        <f>ROUND(L184*(1+kopsavilkums!$O$8),2)</f>
        <v>0</v>
      </c>
      <c r="Q184" s="61">
        <f t="shared" si="66"/>
        <v>173.20000000000005</v>
      </c>
      <c r="R184" s="61">
        <f t="shared" si="54"/>
        <v>173.20000000000005</v>
      </c>
      <c r="S184" s="61">
        <f t="shared" si="55"/>
        <v>2078.4000000000005</v>
      </c>
      <c r="T184" s="61">
        <f>ROUND(S184*kopsavilkums!$O$23,2)</f>
        <v>490.29</v>
      </c>
      <c r="U184" s="152">
        <f t="shared" si="56"/>
        <v>2568.6900000000005</v>
      </c>
      <c r="V184" s="73"/>
      <c r="W184" s="604"/>
      <c r="X184" s="605"/>
      <c r="Y184" s="605"/>
      <c r="Z184" s="769"/>
      <c r="AB184" s="57"/>
      <c r="AC184" s="57"/>
      <c r="AD184" s="57"/>
      <c r="AE184" s="57"/>
      <c r="AF184" s="57"/>
      <c r="AG184" s="57"/>
      <c r="AH184" s="57"/>
      <c r="AI184" s="57"/>
      <c r="AJ184" s="57"/>
      <c r="AK184" s="57"/>
      <c r="AL184" s="137"/>
      <c r="AO184" s="57"/>
      <c r="AP184" s="57"/>
      <c r="AQ184" s="57"/>
      <c r="AR184" s="57"/>
      <c r="AS184" s="57"/>
      <c r="AT184" s="57"/>
      <c r="AU184" s="57"/>
      <c r="AV184" s="57"/>
      <c r="AW184" s="57"/>
      <c r="AX184" s="57"/>
      <c r="AY184" s="137"/>
    </row>
    <row r="185" spans="1:51" x14ac:dyDescent="0.25">
      <c r="A185" s="787" t="s">
        <v>312</v>
      </c>
      <c r="B185" s="781" t="s">
        <v>590</v>
      </c>
      <c r="C185" s="787"/>
      <c r="D185" s="782" t="s">
        <v>422</v>
      </c>
      <c r="E185" s="623" t="s">
        <v>22</v>
      </c>
      <c r="F185" s="783">
        <v>8</v>
      </c>
      <c r="G185" s="784">
        <f>0.85*1137.46</f>
        <v>966.84100000000001</v>
      </c>
      <c r="H185" s="784">
        <f>1.22*1137.46</f>
        <v>1387.7012</v>
      </c>
      <c r="I185" s="784">
        <f>1.579*1137.46</f>
        <v>1796.04934</v>
      </c>
      <c r="J185" s="623">
        <v>1547</v>
      </c>
      <c r="K185" s="785">
        <v>0</v>
      </c>
      <c r="L185" s="785">
        <f t="shared" si="52"/>
        <v>0</v>
      </c>
      <c r="M185" s="786">
        <v>1</v>
      </c>
      <c r="N185" s="864">
        <f>ROUND(J185*(1+kopsavilkums!$O$8),2)</f>
        <v>1710.98</v>
      </c>
      <c r="O185" s="61">
        <f t="shared" si="53"/>
        <v>0</v>
      </c>
      <c r="P185" s="61">
        <f>ROUND(L185*(1+kopsavilkums!$O$8),2)</f>
        <v>0</v>
      </c>
      <c r="Q185" s="61">
        <f t="shared" si="66"/>
        <v>163.98000000000002</v>
      </c>
      <c r="R185" s="61">
        <f t="shared" si="54"/>
        <v>163.98000000000002</v>
      </c>
      <c r="S185" s="61">
        <f t="shared" si="55"/>
        <v>1967.7600000000002</v>
      </c>
      <c r="T185" s="61">
        <f>ROUND(S185*kopsavilkums!$O$23,2)</f>
        <v>464.19</v>
      </c>
      <c r="U185" s="152">
        <f t="shared" si="56"/>
        <v>2431.9500000000003</v>
      </c>
      <c r="V185" s="73"/>
      <c r="W185" s="604"/>
      <c r="X185" s="605"/>
      <c r="Y185" s="605"/>
      <c r="Z185" s="769"/>
      <c r="AB185" s="57"/>
      <c r="AC185" s="57"/>
      <c r="AD185" s="57"/>
      <c r="AE185" s="57"/>
      <c r="AF185" s="57"/>
      <c r="AG185" s="57"/>
      <c r="AH185" s="57"/>
      <c r="AI185" s="57"/>
      <c r="AJ185" s="57"/>
      <c r="AK185" s="57"/>
      <c r="AL185" s="137"/>
      <c r="AO185" s="57"/>
      <c r="AP185" s="57"/>
      <c r="AQ185" s="57"/>
      <c r="AR185" s="57"/>
      <c r="AS185" s="57"/>
      <c r="AT185" s="57"/>
      <c r="AU185" s="57"/>
      <c r="AV185" s="57"/>
      <c r="AW185" s="57"/>
      <c r="AX185" s="57"/>
      <c r="AY185" s="137"/>
    </row>
    <row r="186" spans="1:51" x14ac:dyDescent="0.25">
      <c r="A186" s="787" t="s">
        <v>312</v>
      </c>
      <c r="B186" s="781" t="s">
        <v>590</v>
      </c>
      <c r="C186" s="787"/>
      <c r="D186" s="782" t="s">
        <v>422</v>
      </c>
      <c r="E186" s="623" t="s">
        <v>22</v>
      </c>
      <c r="F186" s="783">
        <v>8</v>
      </c>
      <c r="G186" s="784">
        <f>0.85*1137.46</f>
        <v>966.84100000000001</v>
      </c>
      <c r="H186" s="784">
        <f>1.22*1137.46</f>
        <v>1387.7012</v>
      </c>
      <c r="I186" s="784">
        <f>1.579*1137.46</f>
        <v>1796.04934</v>
      </c>
      <c r="J186" s="623">
        <v>1547</v>
      </c>
      <c r="K186" s="785">
        <v>0</v>
      </c>
      <c r="L186" s="785">
        <f t="shared" si="52"/>
        <v>0</v>
      </c>
      <c r="M186" s="786">
        <v>1</v>
      </c>
      <c r="N186" s="864">
        <f>ROUND(J186*(1+kopsavilkums!$O$8),2)</f>
        <v>1710.98</v>
      </c>
      <c r="O186" s="61">
        <f t="shared" si="53"/>
        <v>0</v>
      </c>
      <c r="P186" s="61">
        <f>ROUND(L186*(1+kopsavilkums!$O$8),2)</f>
        <v>0</v>
      </c>
      <c r="Q186" s="61">
        <f t="shared" si="66"/>
        <v>163.98000000000002</v>
      </c>
      <c r="R186" s="61">
        <f t="shared" si="54"/>
        <v>163.98000000000002</v>
      </c>
      <c r="S186" s="61">
        <f t="shared" si="55"/>
        <v>1967.7600000000002</v>
      </c>
      <c r="T186" s="61">
        <f>ROUND(S186*kopsavilkums!$O$23,2)</f>
        <v>464.19</v>
      </c>
      <c r="U186" s="152">
        <f t="shared" si="56"/>
        <v>2431.9500000000003</v>
      </c>
      <c r="V186" s="73"/>
      <c r="W186" s="604"/>
      <c r="X186" s="605"/>
      <c r="Y186" s="605"/>
      <c r="Z186" s="769"/>
      <c r="AB186" s="57"/>
      <c r="AC186" s="57"/>
      <c r="AD186" s="57"/>
      <c r="AE186" s="57"/>
      <c r="AF186" s="57"/>
      <c r="AG186" s="57"/>
      <c r="AH186" s="57"/>
      <c r="AI186" s="57"/>
      <c r="AJ186" s="57"/>
      <c r="AK186" s="57"/>
      <c r="AL186" s="137"/>
      <c r="AO186" s="57"/>
      <c r="AP186" s="57"/>
      <c r="AQ186" s="57"/>
      <c r="AR186" s="57"/>
      <c r="AS186" s="57"/>
      <c r="AT186" s="57"/>
      <c r="AU186" s="57"/>
      <c r="AV186" s="57"/>
      <c r="AW186" s="57"/>
      <c r="AX186" s="57"/>
      <c r="AY186" s="137"/>
    </row>
    <row r="187" spans="1:51" x14ac:dyDescent="0.25">
      <c r="A187" s="789" t="s">
        <v>42</v>
      </c>
      <c r="B187" s="781" t="s">
        <v>591</v>
      </c>
      <c r="C187" s="787"/>
      <c r="D187" s="782" t="s">
        <v>422</v>
      </c>
      <c r="E187" s="623" t="s">
        <v>20</v>
      </c>
      <c r="F187" s="783">
        <v>6</v>
      </c>
      <c r="G187" s="784">
        <f>0.666*1137.46</f>
        <v>757.54836000000012</v>
      </c>
      <c r="H187" s="784">
        <f>0.95*1137.46</f>
        <v>1080.587</v>
      </c>
      <c r="I187" s="784">
        <f>1.236*1137.46</f>
        <v>1405.90056</v>
      </c>
      <c r="J187" s="623">
        <v>1300</v>
      </c>
      <c r="K187" s="785">
        <v>0</v>
      </c>
      <c r="L187" s="785">
        <f t="shared" si="52"/>
        <v>0</v>
      </c>
      <c r="M187" s="786">
        <v>1</v>
      </c>
      <c r="N187" s="864">
        <f>ROUND(J187*(1+kopsavilkums!$O$8),2)</f>
        <v>1437.8</v>
      </c>
      <c r="O187" s="61">
        <f t="shared" si="53"/>
        <v>0</v>
      </c>
      <c r="P187" s="61">
        <f>ROUND(L187*(1+kopsavilkums!$O$8),2)</f>
        <v>0</v>
      </c>
      <c r="Q187" s="61">
        <f t="shared" si="66"/>
        <v>137.79999999999995</v>
      </c>
      <c r="R187" s="61">
        <f t="shared" si="54"/>
        <v>137.79999999999995</v>
      </c>
      <c r="S187" s="61">
        <f t="shared" si="55"/>
        <v>1653.5999999999995</v>
      </c>
      <c r="T187" s="61">
        <f>ROUND(S187*kopsavilkums!$O$23,2)</f>
        <v>390.08</v>
      </c>
      <c r="U187" s="152">
        <f t="shared" si="56"/>
        <v>2043.6799999999994</v>
      </c>
      <c r="V187" s="73"/>
      <c r="W187" s="604"/>
      <c r="X187" s="605"/>
      <c r="Y187" s="605"/>
      <c r="Z187" s="769"/>
      <c r="AB187" s="57"/>
      <c r="AC187" s="57"/>
      <c r="AD187" s="57"/>
      <c r="AE187" s="57"/>
      <c r="AF187" s="57"/>
      <c r="AG187" s="57"/>
      <c r="AH187" s="57"/>
      <c r="AI187" s="57"/>
      <c r="AJ187" s="57"/>
      <c r="AK187" s="57"/>
      <c r="AL187" s="137"/>
      <c r="AO187" s="57"/>
      <c r="AP187" s="57"/>
      <c r="AQ187" s="57"/>
      <c r="AR187" s="57"/>
      <c r="AS187" s="57"/>
      <c r="AT187" s="57"/>
      <c r="AU187" s="57"/>
      <c r="AV187" s="57"/>
      <c r="AW187" s="57"/>
      <c r="AX187" s="57"/>
      <c r="AY187" s="137"/>
    </row>
    <row r="188" spans="1:51" x14ac:dyDescent="0.25">
      <c r="A188" s="787" t="s">
        <v>311</v>
      </c>
      <c r="B188" s="781" t="s">
        <v>590</v>
      </c>
      <c r="C188" s="787"/>
      <c r="D188" s="782" t="s">
        <v>422</v>
      </c>
      <c r="E188" s="623" t="s">
        <v>13</v>
      </c>
      <c r="F188" s="783">
        <v>9</v>
      </c>
      <c r="G188" s="784">
        <f>1.017*1137.46</f>
        <v>1156.79682</v>
      </c>
      <c r="H188" s="784">
        <f>1.453*1137.46</f>
        <v>1652.7293800000002</v>
      </c>
      <c r="I188" s="784">
        <f>1.817*1137.46</f>
        <v>2066.7648199999999</v>
      </c>
      <c r="J188" s="623">
        <v>1634</v>
      </c>
      <c r="K188" s="785">
        <v>0</v>
      </c>
      <c r="L188" s="785">
        <f t="shared" si="52"/>
        <v>0</v>
      </c>
      <c r="M188" s="786">
        <v>1</v>
      </c>
      <c r="N188" s="864">
        <f>ROUND(J188*(1+kopsavilkums!$O$8),2)</f>
        <v>1807.2</v>
      </c>
      <c r="O188" s="61">
        <f t="shared" si="53"/>
        <v>0</v>
      </c>
      <c r="P188" s="61">
        <f>ROUND(L188*(1+kopsavilkums!$O$8),2)</f>
        <v>0</v>
      </c>
      <c r="Q188" s="61">
        <f t="shared" si="66"/>
        <v>173.20000000000005</v>
      </c>
      <c r="R188" s="61">
        <f t="shared" si="54"/>
        <v>173.20000000000005</v>
      </c>
      <c r="S188" s="61">
        <f t="shared" si="55"/>
        <v>2078.4000000000005</v>
      </c>
      <c r="T188" s="61">
        <f>ROUND(S188*kopsavilkums!$O$23,2)</f>
        <v>490.29</v>
      </c>
      <c r="U188" s="152">
        <f t="shared" si="56"/>
        <v>2568.6900000000005</v>
      </c>
      <c r="V188" s="73"/>
      <c r="W188" s="604"/>
      <c r="X188" s="605"/>
      <c r="Y188" s="605"/>
      <c r="Z188" s="769"/>
      <c r="AB188" s="57"/>
      <c r="AC188" s="57"/>
      <c r="AD188" s="57"/>
      <c r="AE188" s="57"/>
      <c r="AF188" s="57"/>
      <c r="AG188" s="57"/>
      <c r="AH188" s="57"/>
      <c r="AI188" s="57"/>
      <c r="AJ188" s="57"/>
      <c r="AK188" s="57"/>
      <c r="AL188" s="137"/>
      <c r="AO188" s="57"/>
      <c r="AP188" s="57"/>
      <c r="AQ188" s="57"/>
      <c r="AR188" s="57"/>
      <c r="AS188" s="57"/>
      <c r="AT188" s="57"/>
      <c r="AU188" s="57"/>
      <c r="AV188" s="57"/>
      <c r="AW188" s="57"/>
      <c r="AX188" s="57"/>
      <c r="AY188" s="137"/>
    </row>
    <row r="189" spans="1:51" x14ac:dyDescent="0.25">
      <c r="A189" s="787" t="s">
        <v>312</v>
      </c>
      <c r="B189" s="781" t="s">
        <v>590</v>
      </c>
      <c r="C189" s="787"/>
      <c r="D189" s="782" t="s">
        <v>422</v>
      </c>
      <c r="E189" s="623" t="s">
        <v>22</v>
      </c>
      <c r="F189" s="783">
        <v>8</v>
      </c>
      <c r="G189" s="784">
        <f>0.85*1137.46</f>
        <v>966.84100000000001</v>
      </c>
      <c r="H189" s="784">
        <f>1.22*1137.46</f>
        <v>1387.7012</v>
      </c>
      <c r="I189" s="784">
        <f>1.579*1137.46</f>
        <v>1796.04934</v>
      </c>
      <c r="J189" s="623">
        <v>1547</v>
      </c>
      <c r="K189" s="785">
        <v>0</v>
      </c>
      <c r="L189" s="785">
        <f t="shared" si="52"/>
        <v>0</v>
      </c>
      <c r="M189" s="786">
        <v>1</v>
      </c>
      <c r="N189" s="864">
        <f>ROUND(J189*(1+kopsavilkums!$O$8),2)</f>
        <v>1710.98</v>
      </c>
      <c r="O189" s="61">
        <f t="shared" si="53"/>
        <v>0</v>
      </c>
      <c r="P189" s="61">
        <f>ROUND(L189*(1+kopsavilkums!$O$8),2)</f>
        <v>0</v>
      </c>
      <c r="Q189" s="61">
        <f t="shared" si="66"/>
        <v>163.98000000000002</v>
      </c>
      <c r="R189" s="61">
        <f t="shared" si="54"/>
        <v>163.98000000000002</v>
      </c>
      <c r="S189" s="61">
        <f t="shared" si="55"/>
        <v>1967.7600000000002</v>
      </c>
      <c r="T189" s="61">
        <f>ROUND(S189*kopsavilkums!$O$23,2)</f>
        <v>464.19</v>
      </c>
      <c r="U189" s="152">
        <f t="shared" si="56"/>
        <v>2431.9500000000003</v>
      </c>
      <c r="V189" s="73"/>
      <c r="W189" s="604"/>
      <c r="X189" s="605"/>
      <c r="Y189" s="605"/>
      <c r="Z189" s="769"/>
      <c r="AB189" s="57"/>
      <c r="AC189" s="57"/>
      <c r="AD189" s="57"/>
      <c r="AE189" s="57"/>
      <c r="AF189" s="57"/>
      <c r="AG189" s="57"/>
      <c r="AH189" s="57"/>
      <c r="AI189" s="57"/>
      <c r="AJ189" s="57"/>
      <c r="AK189" s="57"/>
      <c r="AL189" s="137"/>
      <c r="AO189" s="57"/>
      <c r="AP189" s="57"/>
      <c r="AQ189" s="57"/>
      <c r="AR189" s="57"/>
      <c r="AS189" s="57"/>
      <c r="AT189" s="57"/>
      <c r="AU189" s="57"/>
      <c r="AV189" s="57"/>
      <c r="AW189" s="57"/>
      <c r="AX189" s="57"/>
      <c r="AY189" s="137"/>
    </row>
    <row r="190" spans="1:51" x14ac:dyDescent="0.25">
      <c r="A190" s="789" t="s">
        <v>42</v>
      </c>
      <c r="B190" s="781" t="s">
        <v>591</v>
      </c>
      <c r="C190" s="787"/>
      <c r="D190" s="782" t="s">
        <v>422</v>
      </c>
      <c r="E190" s="623" t="s">
        <v>20</v>
      </c>
      <c r="F190" s="783">
        <v>6</v>
      </c>
      <c r="G190" s="784">
        <f>0.666*1137.46</f>
        <v>757.54836000000012</v>
      </c>
      <c r="H190" s="784">
        <f>0.95*1137.46</f>
        <v>1080.587</v>
      </c>
      <c r="I190" s="784">
        <f>1.236*1137.46</f>
        <v>1405.90056</v>
      </c>
      <c r="J190" s="623">
        <v>1300</v>
      </c>
      <c r="K190" s="785">
        <v>0</v>
      </c>
      <c r="L190" s="785">
        <f t="shared" si="52"/>
        <v>0</v>
      </c>
      <c r="M190" s="786">
        <v>1</v>
      </c>
      <c r="N190" s="864">
        <f>ROUND(J190*(1+kopsavilkums!$O$8),2)</f>
        <v>1437.8</v>
      </c>
      <c r="O190" s="61">
        <f t="shared" si="53"/>
        <v>0</v>
      </c>
      <c r="P190" s="61">
        <f>ROUND(L190*(1+kopsavilkums!$O$8),2)</f>
        <v>0</v>
      </c>
      <c r="Q190" s="61">
        <f t="shared" si="66"/>
        <v>137.79999999999995</v>
      </c>
      <c r="R190" s="61">
        <f t="shared" si="54"/>
        <v>137.79999999999995</v>
      </c>
      <c r="S190" s="61">
        <f t="shared" si="55"/>
        <v>1653.5999999999995</v>
      </c>
      <c r="T190" s="61">
        <f>ROUND(S190*kopsavilkums!$O$23,2)</f>
        <v>390.08</v>
      </c>
      <c r="U190" s="152">
        <f t="shared" si="56"/>
        <v>2043.6799999999994</v>
      </c>
      <c r="V190" s="73"/>
      <c r="W190" s="604"/>
      <c r="X190" s="605"/>
      <c r="Y190" s="605"/>
      <c r="Z190" s="769"/>
      <c r="AB190" s="57"/>
      <c r="AC190" s="57"/>
      <c r="AD190" s="57"/>
      <c r="AE190" s="57"/>
      <c r="AF190" s="57"/>
      <c r="AG190" s="57"/>
      <c r="AH190" s="57"/>
      <c r="AI190" s="57"/>
      <c r="AJ190" s="57"/>
      <c r="AK190" s="57"/>
      <c r="AL190" s="137"/>
      <c r="AO190" s="57"/>
      <c r="AP190" s="57"/>
      <c r="AQ190" s="57"/>
      <c r="AR190" s="57"/>
      <c r="AS190" s="57"/>
      <c r="AT190" s="57"/>
      <c r="AU190" s="57"/>
      <c r="AV190" s="57"/>
      <c r="AW190" s="57"/>
      <c r="AX190" s="57"/>
      <c r="AY190" s="137"/>
    </row>
    <row r="191" spans="1:51" x14ac:dyDescent="0.25">
      <c r="A191" s="789" t="s">
        <v>42</v>
      </c>
      <c r="B191" s="781" t="s">
        <v>591</v>
      </c>
      <c r="C191" s="631"/>
      <c r="D191" s="782" t="s">
        <v>422</v>
      </c>
      <c r="E191" s="623" t="s">
        <v>20</v>
      </c>
      <c r="F191" s="783">
        <v>6</v>
      </c>
      <c r="G191" s="784">
        <f>0.666*1137.46</f>
        <v>757.54836000000012</v>
      </c>
      <c r="H191" s="784">
        <f>0.95*1137.46</f>
        <v>1080.587</v>
      </c>
      <c r="I191" s="784">
        <f>1.236*1137.46</f>
        <v>1405.90056</v>
      </c>
      <c r="J191" s="623">
        <v>1300</v>
      </c>
      <c r="K191" s="785">
        <v>0</v>
      </c>
      <c r="L191" s="785">
        <f t="shared" si="52"/>
        <v>0</v>
      </c>
      <c r="M191" s="786">
        <v>1</v>
      </c>
      <c r="N191" s="864">
        <f>ROUND(J191*(1+kopsavilkums!$O$8),2)</f>
        <v>1437.8</v>
      </c>
      <c r="O191" s="61">
        <f t="shared" si="53"/>
        <v>0</v>
      </c>
      <c r="P191" s="61">
        <f>ROUND(L191*(1+kopsavilkums!$O$8),2)</f>
        <v>0</v>
      </c>
      <c r="Q191" s="61">
        <f t="shared" si="66"/>
        <v>137.79999999999995</v>
      </c>
      <c r="R191" s="61">
        <f t="shared" si="54"/>
        <v>137.79999999999995</v>
      </c>
      <c r="S191" s="61">
        <f t="shared" si="55"/>
        <v>1653.5999999999995</v>
      </c>
      <c r="T191" s="61">
        <f>ROUND(S191*kopsavilkums!$O$23,2)</f>
        <v>390.08</v>
      </c>
      <c r="U191" s="152">
        <f t="shared" si="56"/>
        <v>2043.6799999999994</v>
      </c>
      <c r="V191" s="73"/>
      <c r="W191" s="604"/>
      <c r="X191" s="605"/>
      <c r="Y191" s="605"/>
      <c r="Z191" s="769"/>
      <c r="AB191" s="57"/>
      <c r="AC191" s="57"/>
      <c r="AD191" s="57"/>
      <c r="AE191" s="57"/>
      <c r="AF191" s="57"/>
      <c r="AG191" s="57"/>
      <c r="AH191" s="57"/>
      <c r="AI191" s="57"/>
      <c r="AJ191" s="57"/>
      <c r="AK191" s="57"/>
      <c r="AL191" s="137"/>
      <c r="AO191" s="57"/>
      <c r="AP191" s="57"/>
      <c r="AQ191" s="57"/>
      <c r="AR191" s="57"/>
      <c r="AS191" s="57"/>
      <c r="AT191" s="57"/>
      <c r="AU191" s="57"/>
      <c r="AV191" s="57"/>
      <c r="AW191" s="57"/>
      <c r="AX191" s="57"/>
      <c r="AY191" s="137"/>
    </row>
    <row r="192" spans="1:51" x14ac:dyDescent="0.25">
      <c r="A192" s="790" t="s">
        <v>311</v>
      </c>
      <c r="B192" s="781" t="s">
        <v>590</v>
      </c>
      <c r="C192" s="789"/>
      <c r="D192" s="782" t="s">
        <v>422</v>
      </c>
      <c r="E192" s="623" t="s">
        <v>13</v>
      </c>
      <c r="F192" s="783">
        <v>9</v>
      </c>
      <c r="G192" s="784">
        <f>1.017*1137.46</f>
        <v>1156.79682</v>
      </c>
      <c r="H192" s="784">
        <f>1.453*1137.46</f>
        <v>1652.7293800000002</v>
      </c>
      <c r="I192" s="784">
        <f>1.817*1137.46</f>
        <v>2066.7648199999999</v>
      </c>
      <c r="J192" s="623">
        <v>1634</v>
      </c>
      <c r="K192" s="785">
        <v>0</v>
      </c>
      <c r="L192" s="785">
        <f t="shared" si="52"/>
        <v>0</v>
      </c>
      <c r="M192" s="786">
        <v>1</v>
      </c>
      <c r="N192" s="864">
        <f>ROUND(J192*(1+kopsavilkums!$O$8),2)</f>
        <v>1807.2</v>
      </c>
      <c r="O192" s="61">
        <f t="shared" si="53"/>
        <v>0</v>
      </c>
      <c r="P192" s="61">
        <f>ROUND(L192*(1+kopsavilkums!$O$8),2)</f>
        <v>0</v>
      </c>
      <c r="Q192" s="61">
        <f t="shared" si="66"/>
        <v>173.20000000000005</v>
      </c>
      <c r="R192" s="61">
        <f t="shared" si="54"/>
        <v>173.20000000000005</v>
      </c>
      <c r="S192" s="61">
        <f t="shared" si="55"/>
        <v>2078.4000000000005</v>
      </c>
      <c r="T192" s="61">
        <f>ROUND(S192*kopsavilkums!$O$23,2)</f>
        <v>490.29</v>
      </c>
      <c r="U192" s="152">
        <f t="shared" si="56"/>
        <v>2568.6900000000005</v>
      </c>
      <c r="V192" s="73"/>
      <c r="W192" s="604"/>
      <c r="X192" s="605"/>
      <c r="Y192" s="605"/>
      <c r="Z192" s="769"/>
      <c r="AB192" s="57"/>
      <c r="AC192" s="57"/>
      <c r="AD192" s="57"/>
      <c r="AE192" s="57"/>
      <c r="AF192" s="57"/>
      <c r="AG192" s="57"/>
      <c r="AH192" s="57"/>
      <c r="AI192" s="57"/>
      <c r="AJ192" s="57"/>
      <c r="AK192" s="57"/>
      <c r="AL192" s="137"/>
      <c r="AO192" s="57"/>
      <c r="AP192" s="57"/>
      <c r="AQ192" s="57"/>
      <c r="AR192" s="57"/>
      <c r="AS192" s="57"/>
      <c r="AT192" s="57"/>
      <c r="AU192" s="57"/>
      <c r="AV192" s="57"/>
      <c r="AW192" s="57"/>
      <c r="AX192" s="57"/>
      <c r="AY192" s="137"/>
    </row>
    <row r="193" spans="1:51" x14ac:dyDescent="0.25">
      <c r="A193" s="790" t="s">
        <v>312</v>
      </c>
      <c r="B193" s="781" t="s">
        <v>590</v>
      </c>
      <c r="C193" s="789"/>
      <c r="D193" s="782" t="s">
        <v>422</v>
      </c>
      <c r="E193" s="623" t="s">
        <v>22</v>
      </c>
      <c r="F193" s="783">
        <v>8</v>
      </c>
      <c r="G193" s="784">
        <f>0.85*1137.46</f>
        <v>966.84100000000001</v>
      </c>
      <c r="H193" s="784">
        <f>1.22*1137.46</f>
        <v>1387.7012</v>
      </c>
      <c r="I193" s="784">
        <f>1.579*1137.46</f>
        <v>1796.04934</v>
      </c>
      <c r="J193" s="623">
        <v>1547</v>
      </c>
      <c r="K193" s="785">
        <v>0</v>
      </c>
      <c r="L193" s="785">
        <f t="shared" si="52"/>
        <v>0</v>
      </c>
      <c r="M193" s="786">
        <v>1</v>
      </c>
      <c r="N193" s="864">
        <f>ROUND(J193*(1+kopsavilkums!$O$8),2)</f>
        <v>1710.98</v>
      </c>
      <c r="O193" s="61">
        <f t="shared" si="53"/>
        <v>0</v>
      </c>
      <c r="P193" s="61">
        <f>ROUND(L193*(1+kopsavilkums!$O$8),2)</f>
        <v>0</v>
      </c>
      <c r="Q193" s="61">
        <f t="shared" si="66"/>
        <v>163.98000000000002</v>
      </c>
      <c r="R193" s="61">
        <f t="shared" si="54"/>
        <v>163.98000000000002</v>
      </c>
      <c r="S193" s="61">
        <f t="shared" si="55"/>
        <v>1967.7600000000002</v>
      </c>
      <c r="T193" s="61">
        <f>ROUND(S193*kopsavilkums!$O$23,2)</f>
        <v>464.19</v>
      </c>
      <c r="U193" s="152">
        <f t="shared" si="56"/>
        <v>2431.9500000000003</v>
      </c>
      <c r="V193" s="73"/>
      <c r="W193" s="604"/>
      <c r="X193" s="605"/>
      <c r="Y193" s="605"/>
      <c r="Z193" s="769"/>
      <c r="AB193" s="57"/>
      <c r="AC193" s="57"/>
      <c r="AD193" s="57"/>
      <c r="AE193" s="57"/>
      <c r="AF193" s="57"/>
      <c r="AG193" s="57"/>
      <c r="AH193" s="57"/>
      <c r="AI193" s="57"/>
      <c r="AJ193" s="57"/>
      <c r="AK193" s="57"/>
      <c r="AL193" s="137"/>
      <c r="AO193" s="57"/>
      <c r="AP193" s="57"/>
      <c r="AQ193" s="57"/>
      <c r="AR193" s="57"/>
      <c r="AS193" s="57"/>
      <c r="AT193" s="57"/>
      <c r="AU193" s="57"/>
      <c r="AV193" s="57"/>
      <c r="AW193" s="57"/>
      <c r="AX193" s="57"/>
      <c r="AY193" s="137"/>
    </row>
    <row r="194" spans="1:51" x14ac:dyDescent="0.25">
      <c r="A194" s="874" t="s">
        <v>312</v>
      </c>
      <c r="B194" s="866" t="s">
        <v>590</v>
      </c>
      <c r="C194" s="875"/>
      <c r="D194" s="868" t="s">
        <v>422</v>
      </c>
      <c r="E194" s="869" t="s">
        <v>22</v>
      </c>
      <c r="F194" s="870">
        <v>8</v>
      </c>
      <c r="G194" s="871">
        <f>0.85*1137.46</f>
        <v>966.84100000000001</v>
      </c>
      <c r="H194" s="871">
        <f>1.22*1137.46</f>
        <v>1387.7012</v>
      </c>
      <c r="I194" s="871">
        <f>1.579*1137.46</f>
        <v>1796.04934</v>
      </c>
      <c r="J194" s="869">
        <v>1547</v>
      </c>
      <c r="K194" s="872">
        <v>0</v>
      </c>
      <c r="L194" s="872">
        <v>0</v>
      </c>
      <c r="M194" s="873">
        <v>1</v>
      </c>
      <c r="N194" s="864">
        <f>ROUND(J194*(1+kopsavilkums!$O$8),2)</f>
        <v>1710.98</v>
      </c>
      <c r="O194" s="61">
        <f t="shared" si="53"/>
        <v>0</v>
      </c>
      <c r="P194" s="61">
        <f>ROUND(L194*(1+kopsavilkums!$O$8),2)</f>
        <v>0</v>
      </c>
      <c r="Q194" s="61">
        <f t="shared" si="66"/>
        <v>163.98000000000002</v>
      </c>
      <c r="R194" s="61">
        <f t="shared" si="54"/>
        <v>163.98000000000002</v>
      </c>
      <c r="S194" s="61">
        <f t="shared" si="55"/>
        <v>1967.7600000000002</v>
      </c>
      <c r="T194" s="61">
        <f>ROUND(S194*kopsavilkums!$O$23,2)</f>
        <v>464.19</v>
      </c>
      <c r="U194" s="152">
        <f t="shared" si="56"/>
        <v>2431.9500000000003</v>
      </c>
      <c r="V194" s="73"/>
      <c r="W194" s="604"/>
      <c r="X194" s="605"/>
      <c r="Y194" s="605"/>
      <c r="Z194" s="72"/>
      <c r="AB194" s="57"/>
      <c r="AC194" s="57"/>
      <c r="AD194" s="57"/>
      <c r="AE194" s="57"/>
      <c r="AF194" s="57"/>
      <c r="AG194" s="57"/>
      <c r="AH194" s="57"/>
      <c r="AI194" s="57"/>
      <c r="AJ194" s="57"/>
      <c r="AK194" s="57"/>
      <c r="AL194" s="137"/>
      <c r="AO194" s="57"/>
      <c r="AP194" s="57"/>
      <c r="AQ194" s="57"/>
      <c r="AR194" s="57"/>
      <c r="AS194" s="57"/>
      <c r="AT194" s="57"/>
      <c r="AU194" s="57"/>
      <c r="AV194" s="57"/>
      <c r="AW194" s="57"/>
      <c r="AX194" s="57"/>
      <c r="AY194" s="137"/>
    </row>
    <row r="195" spans="1:51" x14ac:dyDescent="0.25">
      <c r="A195" s="789" t="s">
        <v>42</v>
      </c>
      <c r="B195" s="781" t="s">
        <v>591</v>
      </c>
      <c r="C195" s="787"/>
      <c r="D195" s="782" t="s">
        <v>422</v>
      </c>
      <c r="E195" s="623" t="s">
        <v>20</v>
      </c>
      <c r="F195" s="783">
        <v>6</v>
      </c>
      <c r="G195" s="784">
        <f>0.666*1137.46</f>
        <v>757.54836000000012</v>
      </c>
      <c r="H195" s="784">
        <f>0.95*1137.46</f>
        <v>1080.587</v>
      </c>
      <c r="I195" s="784">
        <f>1.236*1137.46</f>
        <v>1405.90056</v>
      </c>
      <c r="J195" s="623">
        <v>1300</v>
      </c>
      <c r="K195" s="785">
        <v>0</v>
      </c>
      <c r="L195" s="785">
        <f t="shared" si="52"/>
        <v>0</v>
      </c>
      <c r="M195" s="786">
        <v>1</v>
      </c>
      <c r="N195" s="864">
        <f>ROUND(J195*(1+kopsavilkums!$O$8),2)</f>
        <v>1437.8</v>
      </c>
      <c r="O195" s="61">
        <f t="shared" si="53"/>
        <v>0</v>
      </c>
      <c r="P195" s="61">
        <f>ROUND(L195*(1+kopsavilkums!$O$8),2)</f>
        <v>0</v>
      </c>
      <c r="Q195" s="61">
        <f t="shared" si="66"/>
        <v>137.79999999999995</v>
      </c>
      <c r="R195" s="61">
        <f t="shared" si="54"/>
        <v>137.79999999999995</v>
      </c>
      <c r="S195" s="61">
        <f t="shared" si="55"/>
        <v>1653.5999999999995</v>
      </c>
      <c r="T195" s="61">
        <f>ROUND(S195*kopsavilkums!$O$23,2)</f>
        <v>390.08</v>
      </c>
      <c r="U195" s="152">
        <f t="shared" si="56"/>
        <v>2043.6799999999994</v>
      </c>
      <c r="V195" s="73"/>
      <c r="W195" s="604"/>
      <c r="X195" s="605"/>
      <c r="Y195" s="605"/>
      <c r="Z195" s="72"/>
      <c r="AB195" s="57"/>
      <c r="AC195" s="57"/>
      <c r="AD195" s="57"/>
      <c r="AE195" s="57"/>
      <c r="AF195" s="57"/>
      <c r="AG195" s="57"/>
      <c r="AH195" s="57"/>
      <c r="AI195" s="57"/>
      <c r="AJ195" s="57"/>
      <c r="AK195" s="57"/>
      <c r="AL195" s="137"/>
      <c r="AO195" s="57"/>
      <c r="AP195" s="57"/>
      <c r="AQ195" s="57"/>
      <c r="AR195" s="57"/>
      <c r="AS195" s="57"/>
      <c r="AT195" s="57"/>
      <c r="AU195" s="57"/>
      <c r="AV195" s="57"/>
      <c r="AW195" s="57"/>
      <c r="AX195" s="57"/>
      <c r="AY195" s="137"/>
    </row>
    <row r="196" spans="1:51" x14ac:dyDescent="0.25">
      <c r="A196" s="787" t="s">
        <v>311</v>
      </c>
      <c r="B196" s="781" t="s">
        <v>590</v>
      </c>
      <c r="C196" s="631"/>
      <c r="D196" s="782" t="s">
        <v>422</v>
      </c>
      <c r="E196" s="623" t="s">
        <v>13</v>
      </c>
      <c r="F196" s="783">
        <v>9</v>
      </c>
      <c r="G196" s="784">
        <f>1.017*1137.46</f>
        <v>1156.79682</v>
      </c>
      <c r="H196" s="784">
        <f>1.453*1137.46</f>
        <v>1652.7293800000002</v>
      </c>
      <c r="I196" s="784">
        <f>1.817*1137.46</f>
        <v>2066.7648199999999</v>
      </c>
      <c r="J196" s="623">
        <v>1654</v>
      </c>
      <c r="K196" s="785">
        <v>0</v>
      </c>
      <c r="L196" s="785">
        <f t="shared" si="52"/>
        <v>0</v>
      </c>
      <c r="M196" s="786">
        <v>1</v>
      </c>
      <c r="N196" s="864">
        <f>ROUND(J196*(1+kopsavilkums!$O$8),2)</f>
        <v>1829.32</v>
      </c>
      <c r="O196" s="61">
        <f t="shared" si="53"/>
        <v>0</v>
      </c>
      <c r="P196" s="61">
        <f>ROUND(L196*(1+kopsavilkums!$O$8),2)</f>
        <v>0</v>
      </c>
      <c r="Q196" s="61">
        <f t="shared" si="66"/>
        <v>175.31999999999994</v>
      </c>
      <c r="R196" s="61">
        <f t="shared" si="54"/>
        <v>175.31999999999994</v>
      </c>
      <c r="S196" s="61">
        <f t="shared" si="55"/>
        <v>2103.8399999999992</v>
      </c>
      <c r="T196" s="61">
        <f>ROUND(S196*kopsavilkums!$O$23,2)</f>
        <v>496.3</v>
      </c>
      <c r="U196" s="152">
        <f t="shared" si="56"/>
        <v>2600.1399999999994</v>
      </c>
      <c r="V196" s="73"/>
      <c r="W196" s="604"/>
      <c r="X196" s="605"/>
      <c r="Y196" s="605"/>
      <c r="Z196" s="72"/>
      <c r="AB196" s="57"/>
      <c r="AC196" s="57"/>
      <c r="AD196" s="57"/>
      <c r="AE196" s="57"/>
      <c r="AF196" s="57"/>
      <c r="AG196" s="57"/>
      <c r="AH196" s="57"/>
      <c r="AI196" s="57"/>
      <c r="AJ196" s="57"/>
      <c r="AK196" s="57"/>
      <c r="AL196" s="137"/>
      <c r="AO196" s="57"/>
      <c r="AP196" s="57"/>
      <c r="AQ196" s="57"/>
      <c r="AR196" s="57"/>
      <c r="AS196" s="57"/>
      <c r="AT196" s="57"/>
      <c r="AU196" s="57"/>
      <c r="AV196" s="57"/>
      <c r="AW196" s="57"/>
      <c r="AX196" s="57"/>
      <c r="AY196" s="137"/>
    </row>
    <row r="197" spans="1:51" x14ac:dyDescent="0.25">
      <c r="A197" s="787" t="s">
        <v>312</v>
      </c>
      <c r="B197" s="781" t="s">
        <v>590</v>
      </c>
      <c r="C197" s="789"/>
      <c r="D197" s="782" t="s">
        <v>422</v>
      </c>
      <c r="E197" s="623" t="s">
        <v>22</v>
      </c>
      <c r="F197" s="783">
        <v>8</v>
      </c>
      <c r="G197" s="784">
        <f>0.85*1137.46</f>
        <v>966.84100000000001</v>
      </c>
      <c r="H197" s="784">
        <f>1.22*1137.46</f>
        <v>1387.7012</v>
      </c>
      <c r="I197" s="784">
        <f>1.579*1137.46</f>
        <v>1796.04934</v>
      </c>
      <c r="J197" s="623">
        <v>1547</v>
      </c>
      <c r="K197" s="785">
        <v>0</v>
      </c>
      <c r="L197" s="785">
        <f t="shared" si="52"/>
        <v>0</v>
      </c>
      <c r="M197" s="786">
        <v>1</v>
      </c>
      <c r="N197" s="864">
        <f>ROUND(J197*(1+kopsavilkums!$O$8),2)</f>
        <v>1710.98</v>
      </c>
      <c r="O197" s="61">
        <f t="shared" si="53"/>
        <v>0</v>
      </c>
      <c r="P197" s="61">
        <f>ROUND(L197*(1+kopsavilkums!$O$8),2)</f>
        <v>0</v>
      </c>
      <c r="Q197" s="61">
        <f t="shared" si="66"/>
        <v>163.98000000000002</v>
      </c>
      <c r="R197" s="61">
        <f t="shared" si="54"/>
        <v>163.98000000000002</v>
      </c>
      <c r="S197" s="61">
        <f t="shared" si="55"/>
        <v>1967.7600000000002</v>
      </c>
      <c r="T197" s="61">
        <f>ROUND(S197*kopsavilkums!$O$23,2)</f>
        <v>464.19</v>
      </c>
      <c r="U197" s="152">
        <f t="shared" si="56"/>
        <v>2431.9500000000003</v>
      </c>
      <c r="V197" s="73"/>
      <c r="W197" s="604"/>
      <c r="X197" s="605"/>
      <c r="Y197" s="605"/>
      <c r="Z197" s="72"/>
      <c r="AB197" s="57"/>
      <c r="AC197" s="57"/>
      <c r="AD197" s="57"/>
      <c r="AE197" s="57"/>
      <c r="AF197" s="57"/>
      <c r="AG197" s="57"/>
      <c r="AH197" s="57"/>
      <c r="AI197" s="57"/>
      <c r="AJ197" s="57"/>
      <c r="AK197" s="57"/>
      <c r="AL197" s="137"/>
      <c r="AO197" s="57"/>
      <c r="AP197" s="57"/>
      <c r="AQ197" s="57"/>
      <c r="AR197" s="57"/>
      <c r="AS197" s="57"/>
      <c r="AT197" s="57"/>
      <c r="AU197" s="57"/>
      <c r="AV197" s="57"/>
      <c r="AW197" s="57"/>
      <c r="AX197" s="57"/>
      <c r="AY197" s="137"/>
    </row>
    <row r="198" spans="1:51" x14ac:dyDescent="0.25">
      <c r="A198" s="787" t="s">
        <v>312</v>
      </c>
      <c r="B198" s="781" t="s">
        <v>590</v>
      </c>
      <c r="C198" s="789"/>
      <c r="D198" s="782" t="s">
        <v>422</v>
      </c>
      <c r="E198" s="623" t="s">
        <v>22</v>
      </c>
      <c r="F198" s="783">
        <v>8</v>
      </c>
      <c r="G198" s="784">
        <f>0.85*1137.46</f>
        <v>966.84100000000001</v>
      </c>
      <c r="H198" s="784">
        <f>1.22*1137.46</f>
        <v>1387.7012</v>
      </c>
      <c r="I198" s="784">
        <f>1.579*1137.46</f>
        <v>1796.04934</v>
      </c>
      <c r="J198" s="623">
        <v>1388</v>
      </c>
      <c r="K198" s="785">
        <v>0</v>
      </c>
      <c r="L198" s="785">
        <f t="shared" si="52"/>
        <v>0</v>
      </c>
      <c r="M198" s="786">
        <v>1</v>
      </c>
      <c r="N198" s="864">
        <f>ROUND(J198*(1+kopsavilkums!$O$8),2)</f>
        <v>1535.13</v>
      </c>
      <c r="O198" s="61">
        <f t="shared" si="53"/>
        <v>0</v>
      </c>
      <c r="P198" s="61">
        <f>ROUND(L198*(1+kopsavilkums!$O$8),2)</f>
        <v>0</v>
      </c>
      <c r="Q198" s="61">
        <f t="shared" si="66"/>
        <v>147.13000000000011</v>
      </c>
      <c r="R198" s="61">
        <f t="shared" si="54"/>
        <v>147.13000000000011</v>
      </c>
      <c r="S198" s="61">
        <f t="shared" si="55"/>
        <v>1765.5600000000013</v>
      </c>
      <c r="T198" s="61">
        <f>ROUND(S198*kopsavilkums!$O$23,2)</f>
        <v>416.5</v>
      </c>
      <c r="U198" s="152">
        <f t="shared" si="56"/>
        <v>2182.0600000000013</v>
      </c>
      <c r="V198" s="73"/>
      <c r="W198" s="604"/>
      <c r="X198" s="605"/>
      <c r="Y198" s="605"/>
      <c r="Z198" s="72"/>
      <c r="AB198" s="57"/>
      <c r="AC198" s="57"/>
      <c r="AD198" s="57"/>
      <c r="AE198" s="57"/>
      <c r="AF198" s="57"/>
      <c r="AG198" s="57"/>
      <c r="AH198" s="57"/>
      <c r="AI198" s="57"/>
      <c r="AJ198" s="57"/>
      <c r="AK198" s="57"/>
      <c r="AL198" s="137"/>
      <c r="AO198" s="57"/>
      <c r="AP198" s="57"/>
      <c r="AQ198" s="57"/>
      <c r="AR198" s="57"/>
      <c r="AS198" s="57"/>
      <c r="AT198" s="57"/>
      <c r="AU198" s="57"/>
      <c r="AV198" s="57"/>
      <c r="AW198" s="57"/>
      <c r="AX198" s="57"/>
      <c r="AY198" s="137"/>
    </row>
    <row r="199" spans="1:51" x14ac:dyDescent="0.25">
      <c r="A199" s="789" t="s">
        <v>42</v>
      </c>
      <c r="B199" s="781" t="s">
        <v>591</v>
      </c>
      <c r="C199" s="631"/>
      <c r="D199" s="782" t="s">
        <v>422</v>
      </c>
      <c r="E199" s="623" t="s">
        <v>20</v>
      </c>
      <c r="F199" s="783">
        <v>6</v>
      </c>
      <c r="G199" s="784">
        <f>0.666*1137.46</f>
        <v>757.54836000000012</v>
      </c>
      <c r="H199" s="784">
        <f>0.95*1137.46</f>
        <v>1080.587</v>
      </c>
      <c r="I199" s="784">
        <f>1.236*1137.46</f>
        <v>1405.90056</v>
      </c>
      <c r="J199" s="623">
        <v>1300</v>
      </c>
      <c r="K199" s="785">
        <v>0</v>
      </c>
      <c r="L199" s="785">
        <f t="shared" si="52"/>
        <v>0</v>
      </c>
      <c r="M199" s="786">
        <v>1</v>
      </c>
      <c r="N199" s="864">
        <f>ROUND(J199*(1+kopsavilkums!$O$8),2)</f>
        <v>1437.8</v>
      </c>
      <c r="O199" s="61">
        <f t="shared" si="53"/>
        <v>0</v>
      </c>
      <c r="P199" s="61">
        <f>ROUND(L199*(1+kopsavilkums!$O$8),2)</f>
        <v>0</v>
      </c>
      <c r="Q199" s="61">
        <f t="shared" si="66"/>
        <v>137.79999999999995</v>
      </c>
      <c r="R199" s="61">
        <f t="shared" si="54"/>
        <v>137.79999999999995</v>
      </c>
      <c r="S199" s="61">
        <f t="shared" si="55"/>
        <v>1653.5999999999995</v>
      </c>
      <c r="T199" s="61">
        <f>ROUND(S199*kopsavilkums!$O$23,2)</f>
        <v>390.08</v>
      </c>
      <c r="U199" s="152">
        <f t="shared" si="56"/>
        <v>2043.6799999999994</v>
      </c>
      <c r="V199" s="73"/>
      <c r="W199" s="604"/>
      <c r="X199" s="605"/>
      <c r="Y199" s="605"/>
      <c r="Z199" s="72"/>
      <c r="AB199" s="57"/>
      <c r="AC199" s="57"/>
      <c r="AD199" s="57"/>
      <c r="AE199" s="57"/>
      <c r="AF199" s="57"/>
      <c r="AG199" s="57"/>
      <c r="AH199" s="57"/>
      <c r="AI199" s="57"/>
      <c r="AJ199" s="57"/>
      <c r="AK199" s="57"/>
      <c r="AL199" s="137"/>
      <c r="AO199" s="57"/>
      <c r="AP199" s="57"/>
      <c r="AQ199" s="57"/>
      <c r="AR199" s="57"/>
      <c r="AS199" s="57"/>
      <c r="AT199" s="57"/>
      <c r="AU199" s="57"/>
      <c r="AV199" s="57"/>
      <c r="AW199" s="57"/>
      <c r="AX199" s="57"/>
      <c r="AY199" s="137"/>
    </row>
    <row r="200" spans="1:51" x14ac:dyDescent="0.25">
      <c r="A200" s="789" t="s">
        <v>313</v>
      </c>
      <c r="B200" s="781" t="s">
        <v>591</v>
      </c>
      <c r="C200" s="790"/>
      <c r="D200" s="782" t="s">
        <v>422</v>
      </c>
      <c r="E200" s="623" t="s">
        <v>20</v>
      </c>
      <c r="F200" s="783">
        <v>6</v>
      </c>
      <c r="G200" s="784">
        <f>0.666*1137.46</f>
        <v>757.54836000000012</v>
      </c>
      <c r="H200" s="784">
        <f>0.95*1137.46</f>
        <v>1080.587</v>
      </c>
      <c r="I200" s="784">
        <f>1.236*1137.46</f>
        <v>1405.90056</v>
      </c>
      <c r="J200" s="623">
        <v>1300</v>
      </c>
      <c r="K200" s="785">
        <v>0</v>
      </c>
      <c r="L200" s="785">
        <f t="shared" si="52"/>
        <v>0</v>
      </c>
      <c r="M200" s="786">
        <v>1</v>
      </c>
      <c r="N200" s="864">
        <f>ROUND(J200*(1+kopsavilkums!$O$8),2)</f>
        <v>1437.8</v>
      </c>
      <c r="O200" s="61">
        <f t="shared" si="53"/>
        <v>0</v>
      </c>
      <c r="P200" s="61">
        <f>ROUND(L200*(1+kopsavilkums!$O$8),2)</f>
        <v>0</v>
      </c>
      <c r="Q200" s="61">
        <f t="shared" si="66"/>
        <v>137.79999999999995</v>
      </c>
      <c r="R200" s="61">
        <f t="shared" si="54"/>
        <v>137.79999999999995</v>
      </c>
      <c r="S200" s="61">
        <f t="shared" si="55"/>
        <v>1653.5999999999995</v>
      </c>
      <c r="T200" s="61">
        <f>ROUND(S200*kopsavilkums!$O$23,2)</f>
        <v>390.08</v>
      </c>
      <c r="U200" s="152">
        <f t="shared" si="56"/>
        <v>2043.6799999999994</v>
      </c>
      <c r="V200" s="73"/>
      <c r="W200" s="604"/>
      <c r="X200" s="605"/>
      <c r="Y200" s="605"/>
      <c r="Z200" s="72"/>
      <c r="AB200" s="57"/>
      <c r="AC200" s="57"/>
      <c r="AD200" s="57"/>
      <c r="AE200" s="57"/>
      <c r="AF200" s="57"/>
      <c r="AG200" s="57"/>
      <c r="AH200" s="57"/>
      <c r="AI200" s="57"/>
      <c r="AJ200" s="57"/>
      <c r="AK200" s="57"/>
      <c r="AL200" s="137"/>
      <c r="AO200" s="57"/>
      <c r="AP200" s="57"/>
      <c r="AQ200" s="57"/>
      <c r="AR200" s="57"/>
      <c r="AS200" s="57"/>
      <c r="AT200" s="57"/>
      <c r="AU200" s="57"/>
      <c r="AV200" s="57"/>
      <c r="AW200" s="57"/>
      <c r="AX200" s="57"/>
      <c r="AY200" s="137"/>
    </row>
    <row r="201" spans="1:51" x14ac:dyDescent="0.25">
      <c r="A201" s="867" t="s">
        <v>42</v>
      </c>
      <c r="B201" s="866" t="s">
        <v>591</v>
      </c>
      <c r="C201" s="874"/>
      <c r="D201" s="868" t="s">
        <v>422</v>
      </c>
      <c r="E201" s="869" t="s">
        <v>20</v>
      </c>
      <c r="F201" s="870">
        <v>6</v>
      </c>
      <c r="G201" s="871">
        <f>0.666*1137.46</f>
        <v>757.54836000000012</v>
      </c>
      <c r="H201" s="871">
        <f>0.95*1137.46</f>
        <v>1080.587</v>
      </c>
      <c r="I201" s="871">
        <f>1.236*1137.46</f>
        <v>1405.90056</v>
      </c>
      <c r="J201" s="869">
        <v>1081</v>
      </c>
      <c r="K201" s="872">
        <v>0</v>
      </c>
      <c r="L201" s="872">
        <v>0</v>
      </c>
      <c r="M201" s="873">
        <v>1</v>
      </c>
      <c r="N201" s="864">
        <f>ROUND(J201*(1+kopsavilkums!$O$8),2)</f>
        <v>1195.5899999999999</v>
      </c>
      <c r="O201" s="61">
        <f t="shared" si="53"/>
        <v>0</v>
      </c>
      <c r="P201" s="61">
        <f>ROUND(L201*(1+kopsavilkums!$O$8),2)</f>
        <v>0</v>
      </c>
      <c r="Q201" s="61">
        <f t="shared" si="66"/>
        <v>114.58999999999992</v>
      </c>
      <c r="R201" s="61">
        <f t="shared" si="54"/>
        <v>114.58999999999992</v>
      </c>
      <c r="S201" s="61">
        <f t="shared" si="55"/>
        <v>1375.079999999999</v>
      </c>
      <c r="T201" s="61">
        <f>ROUND(S201*kopsavilkums!$O$23,2)</f>
        <v>324.38</v>
      </c>
      <c r="U201" s="152">
        <f t="shared" si="56"/>
        <v>1699.4599999999991</v>
      </c>
      <c r="V201" s="73"/>
      <c r="W201" s="604"/>
      <c r="X201" s="605"/>
      <c r="Y201" s="605"/>
      <c r="Z201" s="72"/>
      <c r="AB201" s="57"/>
      <c r="AC201" s="57"/>
      <c r="AD201" s="57"/>
      <c r="AE201" s="57"/>
      <c r="AF201" s="57"/>
      <c r="AG201" s="57"/>
      <c r="AH201" s="57"/>
      <c r="AI201" s="57"/>
      <c r="AJ201" s="57"/>
      <c r="AK201" s="57"/>
      <c r="AL201" s="137"/>
      <c r="AO201" s="57"/>
      <c r="AP201" s="57"/>
      <c r="AQ201" s="57"/>
      <c r="AR201" s="57"/>
      <c r="AS201" s="57"/>
      <c r="AT201" s="57"/>
      <c r="AU201" s="57"/>
      <c r="AV201" s="57"/>
      <c r="AW201" s="57"/>
      <c r="AX201" s="57"/>
      <c r="AY201" s="137"/>
    </row>
    <row r="202" spans="1:51" x14ac:dyDescent="0.25">
      <c r="A202" s="787" t="s">
        <v>314</v>
      </c>
      <c r="B202" s="781" t="s">
        <v>590</v>
      </c>
      <c r="C202" s="789"/>
      <c r="D202" s="782" t="s">
        <v>422</v>
      </c>
      <c r="E202" s="623" t="s">
        <v>13</v>
      </c>
      <c r="F202" s="783">
        <v>9</v>
      </c>
      <c r="G202" s="784">
        <f>1.017*1137.46</f>
        <v>1156.79682</v>
      </c>
      <c r="H202" s="784">
        <f>1.453*1137.46</f>
        <v>1652.7293800000002</v>
      </c>
      <c r="I202" s="784">
        <f>1.817*1137.46</f>
        <v>2066.7648199999999</v>
      </c>
      <c r="J202" s="623">
        <v>1654</v>
      </c>
      <c r="K202" s="785">
        <v>0</v>
      </c>
      <c r="L202" s="785">
        <f t="shared" si="52"/>
        <v>0</v>
      </c>
      <c r="M202" s="786">
        <v>1</v>
      </c>
      <c r="N202" s="864">
        <f>ROUND(J202*(1+kopsavilkums!$O$8),2)</f>
        <v>1829.32</v>
      </c>
      <c r="O202" s="61">
        <f t="shared" si="53"/>
        <v>0</v>
      </c>
      <c r="P202" s="61">
        <f>ROUND(L202*(1+kopsavilkums!$O$8),2)</f>
        <v>0</v>
      </c>
      <c r="Q202" s="61">
        <f t="shared" si="66"/>
        <v>175.31999999999994</v>
      </c>
      <c r="R202" s="61">
        <f t="shared" si="54"/>
        <v>175.31999999999994</v>
      </c>
      <c r="S202" s="61">
        <f t="shared" si="55"/>
        <v>2103.8399999999992</v>
      </c>
      <c r="T202" s="61">
        <f>ROUND(S202*kopsavilkums!$O$23,2)</f>
        <v>496.3</v>
      </c>
      <c r="U202" s="152">
        <f t="shared" si="56"/>
        <v>2600.1399999999994</v>
      </c>
      <c r="V202" s="73"/>
      <c r="W202" s="604"/>
      <c r="X202" s="605"/>
      <c r="Y202" s="605"/>
      <c r="Z202" s="72"/>
      <c r="AB202" s="57"/>
      <c r="AC202" s="57"/>
      <c r="AD202" s="57"/>
      <c r="AE202" s="57"/>
      <c r="AF202" s="57"/>
      <c r="AG202" s="57"/>
      <c r="AH202" s="57"/>
      <c r="AI202" s="57"/>
      <c r="AJ202" s="57"/>
      <c r="AK202" s="57"/>
      <c r="AL202" s="137"/>
      <c r="AO202" s="57"/>
      <c r="AP202" s="57"/>
      <c r="AQ202" s="57"/>
      <c r="AR202" s="57"/>
      <c r="AS202" s="57"/>
      <c r="AT202" s="57"/>
      <c r="AU202" s="57"/>
      <c r="AV202" s="57"/>
      <c r="AW202" s="57"/>
      <c r="AX202" s="57"/>
      <c r="AY202" s="137"/>
    </row>
    <row r="203" spans="1:51" x14ac:dyDescent="0.25">
      <c r="A203" s="789" t="s">
        <v>312</v>
      </c>
      <c r="B203" s="781" t="s">
        <v>590</v>
      </c>
      <c r="C203" s="789"/>
      <c r="D203" s="782" t="s">
        <v>422</v>
      </c>
      <c r="E203" s="623" t="s">
        <v>22</v>
      </c>
      <c r="F203" s="783">
        <v>8</v>
      </c>
      <c r="G203" s="784">
        <f>0.85*1137.46</f>
        <v>966.84100000000001</v>
      </c>
      <c r="H203" s="784">
        <f>1.22*1137.46</f>
        <v>1387.7012</v>
      </c>
      <c r="I203" s="784">
        <f>1.579*1137.46</f>
        <v>1796.04934</v>
      </c>
      <c r="J203" s="623">
        <v>1547</v>
      </c>
      <c r="K203" s="785">
        <v>0</v>
      </c>
      <c r="L203" s="785">
        <f t="shared" si="52"/>
        <v>0</v>
      </c>
      <c r="M203" s="786">
        <v>1</v>
      </c>
      <c r="N203" s="864">
        <f>ROUND(J203*(1+kopsavilkums!$O$8),2)</f>
        <v>1710.98</v>
      </c>
      <c r="O203" s="61">
        <f t="shared" si="53"/>
        <v>0</v>
      </c>
      <c r="P203" s="61">
        <f>ROUND(L203*(1+kopsavilkums!$O$8),2)</f>
        <v>0</v>
      </c>
      <c r="Q203" s="61">
        <f t="shared" ref="Q203:Q209" si="71">(N203+P203)-(J203+L203)</f>
        <v>163.98000000000002</v>
      </c>
      <c r="R203" s="61">
        <f t="shared" si="54"/>
        <v>163.98000000000002</v>
      </c>
      <c r="S203" s="61">
        <f t="shared" si="55"/>
        <v>1967.7600000000002</v>
      </c>
      <c r="T203" s="61">
        <f>ROUND(S203*kopsavilkums!$O$23,2)</f>
        <v>464.19</v>
      </c>
      <c r="U203" s="152">
        <f t="shared" si="56"/>
        <v>2431.9500000000003</v>
      </c>
      <c r="V203" s="73"/>
      <c r="W203" s="604"/>
      <c r="X203" s="605"/>
      <c r="Y203" s="605"/>
      <c r="Z203" s="72"/>
      <c r="AB203" s="57"/>
      <c r="AC203" s="57"/>
      <c r="AD203" s="57"/>
      <c r="AE203" s="57"/>
      <c r="AF203" s="57"/>
      <c r="AG203" s="57"/>
      <c r="AH203" s="57"/>
      <c r="AI203" s="57"/>
      <c r="AJ203" s="57"/>
      <c r="AK203" s="57"/>
      <c r="AL203" s="137"/>
      <c r="AO203" s="57"/>
      <c r="AP203" s="57"/>
      <c r="AQ203" s="57"/>
      <c r="AR203" s="57"/>
      <c r="AS203" s="57"/>
      <c r="AT203" s="57"/>
      <c r="AU203" s="57"/>
      <c r="AV203" s="57"/>
      <c r="AW203" s="57"/>
      <c r="AX203" s="57"/>
      <c r="AY203" s="137"/>
    </row>
    <row r="204" spans="1:51" x14ac:dyDescent="0.25">
      <c r="A204" s="789" t="s">
        <v>42</v>
      </c>
      <c r="B204" s="781" t="s">
        <v>591</v>
      </c>
      <c r="C204" s="631"/>
      <c r="D204" s="782" t="s">
        <v>422</v>
      </c>
      <c r="E204" s="623" t="s">
        <v>20</v>
      </c>
      <c r="F204" s="783">
        <v>6</v>
      </c>
      <c r="G204" s="784">
        <f>0.666*1137.46</f>
        <v>757.54836000000012</v>
      </c>
      <c r="H204" s="784">
        <f>0.95*1137.46</f>
        <v>1080.587</v>
      </c>
      <c r="I204" s="784">
        <f>1.236*1137.46</f>
        <v>1405.90056</v>
      </c>
      <c r="J204" s="623">
        <v>1300</v>
      </c>
      <c r="K204" s="785">
        <v>0</v>
      </c>
      <c r="L204" s="785">
        <f t="shared" ref="L204:L209" si="72">K204</f>
        <v>0</v>
      </c>
      <c r="M204" s="786">
        <v>1</v>
      </c>
      <c r="N204" s="151">
        <f>ROUND(J204*(1+kopsavilkums!$O$8),2)</f>
        <v>1437.8</v>
      </c>
      <c r="O204" s="61">
        <f t="shared" ref="O204:O209" si="73">P204-L204</f>
        <v>0</v>
      </c>
      <c r="P204" s="61">
        <f>ROUND(L204*(1+kopsavilkums!$O$8),2)</f>
        <v>0</v>
      </c>
      <c r="Q204" s="61">
        <f t="shared" si="71"/>
        <v>137.79999999999995</v>
      </c>
      <c r="R204" s="61">
        <f t="shared" ref="R204:R209" si="74">Q204*M204</f>
        <v>137.79999999999995</v>
      </c>
      <c r="S204" s="61">
        <f t="shared" ref="S204:S209" si="75">R204*12</f>
        <v>1653.5999999999995</v>
      </c>
      <c r="T204" s="61">
        <f>ROUND(S204*kopsavilkums!$O$23,2)</f>
        <v>390.08</v>
      </c>
      <c r="U204" s="152">
        <f t="shared" ref="U204:U209" si="76">SUM(S204:T204)</f>
        <v>2043.6799999999994</v>
      </c>
      <c r="V204" s="73"/>
      <c r="W204" s="604"/>
      <c r="X204" s="605"/>
      <c r="Y204" s="605"/>
      <c r="Z204" s="72"/>
      <c r="AB204" s="57"/>
      <c r="AC204" s="57"/>
      <c r="AD204" s="57"/>
      <c r="AE204" s="57"/>
      <c r="AF204" s="57"/>
      <c r="AG204" s="57"/>
      <c r="AH204" s="57"/>
      <c r="AI204" s="57"/>
      <c r="AJ204" s="57"/>
      <c r="AK204" s="57"/>
      <c r="AL204" s="137"/>
      <c r="AO204" s="57"/>
      <c r="AP204" s="57"/>
      <c r="AQ204" s="57"/>
      <c r="AR204" s="57"/>
      <c r="AS204" s="57"/>
      <c r="AT204" s="57"/>
      <c r="AU204" s="57"/>
      <c r="AV204" s="57"/>
      <c r="AW204" s="57"/>
      <c r="AX204" s="57"/>
      <c r="AY204" s="137"/>
    </row>
    <row r="205" spans="1:51" x14ac:dyDescent="0.25">
      <c r="A205" s="789" t="s">
        <v>42</v>
      </c>
      <c r="B205" s="781" t="s">
        <v>591</v>
      </c>
      <c r="C205" s="787"/>
      <c r="D205" s="782" t="s">
        <v>422</v>
      </c>
      <c r="E205" s="623" t="s">
        <v>20</v>
      </c>
      <c r="F205" s="783">
        <v>6</v>
      </c>
      <c r="G205" s="784">
        <f>0.666*1137.46</f>
        <v>757.54836000000012</v>
      </c>
      <c r="H205" s="784">
        <f>0.95*1137.46</f>
        <v>1080.587</v>
      </c>
      <c r="I205" s="784">
        <f>1.236*1137.46</f>
        <v>1405.90056</v>
      </c>
      <c r="J205" s="623">
        <v>1300</v>
      </c>
      <c r="K205" s="785">
        <v>0</v>
      </c>
      <c r="L205" s="785">
        <f t="shared" si="72"/>
        <v>0</v>
      </c>
      <c r="M205" s="786">
        <v>1</v>
      </c>
      <c r="N205" s="151">
        <f>ROUND(J205*(1+kopsavilkums!$O$8),2)</f>
        <v>1437.8</v>
      </c>
      <c r="O205" s="61">
        <f t="shared" si="73"/>
        <v>0</v>
      </c>
      <c r="P205" s="61">
        <f>ROUND(L205*(1+kopsavilkums!$O$8),2)</f>
        <v>0</v>
      </c>
      <c r="Q205" s="61">
        <f t="shared" si="71"/>
        <v>137.79999999999995</v>
      </c>
      <c r="R205" s="61">
        <f t="shared" si="74"/>
        <v>137.79999999999995</v>
      </c>
      <c r="S205" s="61">
        <f t="shared" si="75"/>
        <v>1653.5999999999995</v>
      </c>
      <c r="T205" s="61">
        <f>ROUND(S205*kopsavilkums!$O$23,2)</f>
        <v>390.08</v>
      </c>
      <c r="U205" s="152">
        <f t="shared" si="76"/>
        <v>2043.6799999999994</v>
      </c>
      <c r="V205" s="73"/>
      <c r="W205" s="604"/>
      <c r="X205" s="605"/>
      <c r="Y205" s="605"/>
      <c r="Z205" s="72"/>
      <c r="AB205" s="57"/>
      <c r="AC205" s="57"/>
      <c r="AD205" s="57"/>
      <c r="AE205" s="57"/>
      <c r="AF205" s="57"/>
      <c r="AG205" s="57"/>
      <c r="AH205" s="57"/>
      <c r="AI205" s="57"/>
      <c r="AJ205" s="57"/>
      <c r="AK205" s="57"/>
      <c r="AL205" s="137"/>
      <c r="AO205" s="57"/>
      <c r="AP205" s="57"/>
      <c r="AQ205" s="57"/>
      <c r="AR205" s="57"/>
      <c r="AS205" s="57"/>
      <c r="AT205" s="57"/>
      <c r="AU205" s="57"/>
      <c r="AV205" s="57"/>
      <c r="AW205" s="57"/>
      <c r="AX205" s="57"/>
      <c r="AY205" s="137"/>
    </row>
    <row r="206" spans="1:51" x14ac:dyDescent="0.25">
      <c r="A206" s="789" t="s">
        <v>311</v>
      </c>
      <c r="B206" s="781" t="s">
        <v>590</v>
      </c>
      <c r="C206" s="631"/>
      <c r="D206" s="782" t="s">
        <v>422</v>
      </c>
      <c r="E206" s="623" t="s">
        <v>13</v>
      </c>
      <c r="F206" s="783">
        <v>9</v>
      </c>
      <c r="G206" s="784">
        <f>1.017*1137.46</f>
        <v>1156.79682</v>
      </c>
      <c r="H206" s="784">
        <f>1.453*1137.46</f>
        <v>1652.7293800000002</v>
      </c>
      <c r="I206" s="784">
        <f>1.817*1137.46</f>
        <v>2066.7648199999999</v>
      </c>
      <c r="J206" s="623">
        <v>1654</v>
      </c>
      <c r="K206" s="785">
        <v>0</v>
      </c>
      <c r="L206" s="785">
        <f t="shared" si="72"/>
        <v>0</v>
      </c>
      <c r="M206" s="786">
        <v>1</v>
      </c>
      <c r="N206" s="151">
        <f>ROUND(J206*(1+kopsavilkums!$O$8),2)</f>
        <v>1829.32</v>
      </c>
      <c r="O206" s="61">
        <f t="shared" si="73"/>
        <v>0</v>
      </c>
      <c r="P206" s="61">
        <f>ROUND(L206*(1+kopsavilkums!$O$8),2)</f>
        <v>0</v>
      </c>
      <c r="Q206" s="61">
        <f t="shared" si="71"/>
        <v>175.31999999999994</v>
      </c>
      <c r="R206" s="61">
        <f t="shared" si="74"/>
        <v>175.31999999999994</v>
      </c>
      <c r="S206" s="61">
        <f t="shared" si="75"/>
        <v>2103.8399999999992</v>
      </c>
      <c r="T206" s="61">
        <f>ROUND(S206*kopsavilkums!$O$23,2)</f>
        <v>496.3</v>
      </c>
      <c r="U206" s="152">
        <f t="shared" si="76"/>
        <v>2600.1399999999994</v>
      </c>
      <c r="V206" s="73"/>
      <c r="W206" s="604"/>
      <c r="X206" s="605"/>
      <c r="Y206" s="605"/>
      <c r="Z206" s="72"/>
      <c r="AB206" s="57"/>
      <c r="AC206" s="57"/>
      <c r="AD206" s="57"/>
      <c r="AE206" s="57"/>
      <c r="AF206" s="57"/>
      <c r="AG206" s="57"/>
      <c r="AH206" s="57"/>
      <c r="AI206" s="57"/>
      <c r="AJ206" s="57"/>
      <c r="AK206" s="57"/>
      <c r="AL206" s="137"/>
      <c r="AO206" s="57"/>
      <c r="AP206" s="57"/>
      <c r="AQ206" s="57"/>
      <c r="AR206" s="57"/>
      <c r="AS206" s="57"/>
      <c r="AT206" s="57"/>
      <c r="AU206" s="57"/>
      <c r="AV206" s="57"/>
      <c r="AW206" s="57"/>
      <c r="AX206" s="57"/>
      <c r="AY206" s="137"/>
    </row>
    <row r="207" spans="1:51" x14ac:dyDescent="0.25">
      <c r="A207" s="789" t="s">
        <v>312</v>
      </c>
      <c r="B207" s="781" t="s">
        <v>590</v>
      </c>
      <c r="C207" s="789"/>
      <c r="D207" s="782" t="s">
        <v>422</v>
      </c>
      <c r="E207" s="623" t="s">
        <v>22</v>
      </c>
      <c r="F207" s="783">
        <v>8</v>
      </c>
      <c r="G207" s="784">
        <f>0.85*1137.46</f>
        <v>966.84100000000001</v>
      </c>
      <c r="H207" s="784">
        <f>1.22*1137.46</f>
        <v>1387.7012</v>
      </c>
      <c r="I207" s="784">
        <f>1.579*1137.46</f>
        <v>1796.04934</v>
      </c>
      <c r="J207" s="623">
        <v>1547</v>
      </c>
      <c r="K207" s="785">
        <v>0</v>
      </c>
      <c r="L207" s="785">
        <f t="shared" si="72"/>
        <v>0</v>
      </c>
      <c r="M207" s="786">
        <v>1</v>
      </c>
      <c r="N207" s="151">
        <f>ROUND(J207*(1+kopsavilkums!$O$8),2)</f>
        <v>1710.98</v>
      </c>
      <c r="O207" s="61">
        <f t="shared" si="73"/>
        <v>0</v>
      </c>
      <c r="P207" s="61">
        <f>ROUND(L207*(1+kopsavilkums!$O$8),2)</f>
        <v>0</v>
      </c>
      <c r="Q207" s="61">
        <f t="shared" si="71"/>
        <v>163.98000000000002</v>
      </c>
      <c r="R207" s="61">
        <f t="shared" si="74"/>
        <v>163.98000000000002</v>
      </c>
      <c r="S207" s="61">
        <f t="shared" si="75"/>
        <v>1967.7600000000002</v>
      </c>
      <c r="T207" s="61">
        <f>ROUND(S207*kopsavilkums!$O$23,2)</f>
        <v>464.19</v>
      </c>
      <c r="U207" s="152">
        <f t="shared" si="76"/>
        <v>2431.9500000000003</v>
      </c>
      <c r="V207" s="73"/>
      <c r="W207" s="604"/>
      <c r="X207" s="605"/>
      <c r="Y207" s="605"/>
      <c r="Z207" s="72"/>
      <c r="AB207" s="57"/>
      <c r="AC207" s="57"/>
      <c r="AD207" s="57"/>
      <c r="AE207" s="57"/>
      <c r="AF207" s="57"/>
      <c r="AG207" s="57"/>
      <c r="AH207" s="57"/>
      <c r="AI207" s="57"/>
      <c r="AJ207" s="57"/>
      <c r="AK207" s="57"/>
      <c r="AL207" s="137"/>
      <c r="AO207" s="57"/>
      <c r="AP207" s="57"/>
      <c r="AQ207" s="57"/>
      <c r="AR207" s="57"/>
      <c r="AS207" s="57"/>
      <c r="AT207" s="57"/>
      <c r="AU207" s="57"/>
      <c r="AV207" s="57"/>
      <c r="AW207" s="57"/>
      <c r="AX207" s="57"/>
      <c r="AY207" s="137"/>
    </row>
    <row r="208" spans="1:51" x14ac:dyDescent="0.25">
      <c r="A208" s="789" t="s">
        <v>42</v>
      </c>
      <c r="B208" s="781" t="s">
        <v>591</v>
      </c>
      <c r="C208" s="789"/>
      <c r="D208" s="782" t="s">
        <v>422</v>
      </c>
      <c r="E208" s="623" t="s">
        <v>20</v>
      </c>
      <c r="F208" s="783">
        <v>6</v>
      </c>
      <c r="G208" s="784">
        <f>0.666*1137.46</f>
        <v>757.54836000000012</v>
      </c>
      <c r="H208" s="784">
        <f>0.95*1137.46</f>
        <v>1080.587</v>
      </c>
      <c r="I208" s="784">
        <f>1.236*1137.46</f>
        <v>1405.90056</v>
      </c>
      <c r="J208" s="623">
        <v>1300</v>
      </c>
      <c r="K208" s="785">
        <v>0</v>
      </c>
      <c r="L208" s="785">
        <f t="shared" si="72"/>
        <v>0</v>
      </c>
      <c r="M208" s="786">
        <v>1</v>
      </c>
      <c r="N208" s="151">
        <f>ROUND(J208*(1+kopsavilkums!$O$8),2)</f>
        <v>1437.8</v>
      </c>
      <c r="O208" s="61">
        <f t="shared" si="73"/>
        <v>0</v>
      </c>
      <c r="P208" s="61">
        <f>ROUND(L208*(1+kopsavilkums!$O$8),2)</f>
        <v>0</v>
      </c>
      <c r="Q208" s="61">
        <f t="shared" si="71"/>
        <v>137.79999999999995</v>
      </c>
      <c r="R208" s="61">
        <f t="shared" si="74"/>
        <v>137.79999999999995</v>
      </c>
      <c r="S208" s="61">
        <f t="shared" si="75"/>
        <v>1653.5999999999995</v>
      </c>
      <c r="T208" s="61">
        <f>ROUND(S208*kopsavilkums!$O$23,2)</f>
        <v>390.08</v>
      </c>
      <c r="U208" s="152">
        <f t="shared" si="76"/>
        <v>2043.6799999999994</v>
      </c>
      <c r="V208" s="73"/>
      <c r="W208" s="604"/>
      <c r="X208" s="605"/>
      <c r="Y208" s="605"/>
      <c r="Z208" s="72"/>
      <c r="AB208" s="57"/>
      <c r="AC208" s="57"/>
      <c r="AD208" s="57"/>
      <c r="AE208" s="57"/>
      <c r="AF208" s="57"/>
      <c r="AG208" s="57"/>
      <c r="AH208" s="57"/>
      <c r="AI208" s="57"/>
      <c r="AJ208" s="57"/>
      <c r="AK208" s="57"/>
      <c r="AL208" s="137"/>
      <c r="AO208" s="57"/>
      <c r="AP208" s="57"/>
      <c r="AQ208" s="57"/>
      <c r="AR208" s="57"/>
      <c r="AS208" s="57"/>
      <c r="AT208" s="57"/>
      <c r="AU208" s="57"/>
      <c r="AV208" s="57"/>
      <c r="AW208" s="57"/>
      <c r="AX208" s="57"/>
      <c r="AY208" s="137"/>
    </row>
    <row r="209" spans="1:51" ht="15.75" thickBot="1" x14ac:dyDescent="0.3">
      <c r="A209" s="789" t="s">
        <v>42</v>
      </c>
      <c r="B209" s="781" t="s">
        <v>591</v>
      </c>
      <c r="C209" s="789"/>
      <c r="D209" s="782" t="s">
        <v>422</v>
      </c>
      <c r="E209" s="623" t="s">
        <v>20</v>
      </c>
      <c r="F209" s="783">
        <v>6</v>
      </c>
      <c r="G209" s="784">
        <f>0.666*1137.46</f>
        <v>757.54836000000012</v>
      </c>
      <c r="H209" s="784">
        <f>0.95*1137.46</f>
        <v>1080.587</v>
      </c>
      <c r="I209" s="784">
        <f>1.236*1137.46</f>
        <v>1405.90056</v>
      </c>
      <c r="J209" s="623">
        <v>1300</v>
      </c>
      <c r="K209" s="785">
        <v>0</v>
      </c>
      <c r="L209" s="785">
        <f t="shared" si="72"/>
        <v>0</v>
      </c>
      <c r="M209" s="786">
        <v>1</v>
      </c>
      <c r="N209" s="151">
        <f>ROUND(J209*(1+kopsavilkums!$O$8),2)</f>
        <v>1437.8</v>
      </c>
      <c r="O209" s="61">
        <f t="shared" si="73"/>
        <v>0</v>
      </c>
      <c r="P209" s="61">
        <f>ROUND(L209*(1+kopsavilkums!$O$8),2)</f>
        <v>0</v>
      </c>
      <c r="Q209" s="61">
        <f t="shared" si="71"/>
        <v>137.79999999999995</v>
      </c>
      <c r="R209" s="61">
        <f t="shared" si="74"/>
        <v>137.79999999999995</v>
      </c>
      <c r="S209" s="61">
        <f t="shared" si="75"/>
        <v>1653.5999999999995</v>
      </c>
      <c r="T209" s="61">
        <f>ROUND(S209*kopsavilkums!$O$23,2)</f>
        <v>390.08</v>
      </c>
      <c r="U209" s="152">
        <f t="shared" si="76"/>
        <v>2043.6799999999994</v>
      </c>
      <c r="V209" s="73"/>
      <c r="W209" s="604"/>
      <c r="X209" s="605"/>
      <c r="Y209" s="605"/>
      <c r="Z209" s="72"/>
      <c r="AB209" s="57"/>
      <c r="AC209" s="57"/>
      <c r="AD209" s="57"/>
      <c r="AE209" s="57"/>
      <c r="AF209" s="57"/>
      <c r="AG209" s="57"/>
      <c r="AH209" s="57"/>
      <c r="AI209" s="57"/>
      <c r="AJ209" s="57"/>
      <c r="AK209" s="57"/>
      <c r="AL209" s="137"/>
      <c r="AO209" s="57"/>
      <c r="AP209" s="57"/>
      <c r="AQ209" s="57"/>
      <c r="AR209" s="57"/>
      <c r="AS209" s="57"/>
      <c r="AT209" s="57"/>
      <c r="AU209" s="57"/>
      <c r="AV209" s="57"/>
      <c r="AW209" s="57"/>
      <c r="AX209" s="57"/>
      <c r="AY209" s="137"/>
    </row>
    <row r="210" spans="1:51" ht="15.75" thickBot="1" x14ac:dyDescent="0.3">
      <c r="A210" s="205" t="s">
        <v>32</v>
      </c>
      <c r="B210" s="524"/>
      <c r="C210" s="524"/>
      <c r="D210" s="206" t="s">
        <v>29</v>
      </c>
      <c r="E210" s="207" t="s">
        <v>29</v>
      </c>
      <c r="F210" s="207" t="s">
        <v>29</v>
      </c>
      <c r="G210" s="207"/>
      <c r="H210" s="207"/>
      <c r="I210" s="207" t="s">
        <v>29</v>
      </c>
      <c r="J210" s="207" t="s">
        <v>29</v>
      </c>
      <c r="K210" s="207" t="s">
        <v>29</v>
      </c>
      <c r="L210" s="386"/>
      <c r="M210" s="208">
        <f>SUM(M139:M209)</f>
        <v>69.75</v>
      </c>
      <c r="N210" s="210"/>
      <c r="O210" s="211"/>
      <c r="P210" s="211"/>
      <c r="Q210" s="211"/>
      <c r="R210" s="211"/>
      <c r="S210" s="211"/>
      <c r="T210" s="211"/>
      <c r="U210" s="212">
        <f>SUM(U139:U209)</f>
        <v>168499.53999999992</v>
      </c>
      <c r="W210" s="72"/>
      <c r="X210" s="72"/>
      <c r="Y210" s="72"/>
      <c r="Z210" s="72"/>
    </row>
    <row r="211" spans="1:51" ht="15.75" thickBot="1" x14ac:dyDescent="0.3">
      <c r="A211" s="201"/>
      <c r="B211" s="201"/>
      <c r="C211" s="201"/>
      <c r="D211" s="202"/>
      <c r="E211" s="203"/>
      <c r="F211" s="203"/>
      <c r="G211" s="203"/>
      <c r="H211" s="203"/>
      <c r="I211" s="203"/>
      <c r="J211" s="203"/>
      <c r="K211" s="203"/>
      <c r="L211" s="203"/>
      <c r="M211" s="204"/>
      <c r="W211" s="72"/>
      <c r="X211" s="72"/>
      <c r="Y211" s="72"/>
      <c r="Z211" s="72"/>
    </row>
    <row r="212" spans="1:51" x14ac:dyDescent="0.25">
      <c r="A212" s="983" t="s">
        <v>183</v>
      </c>
      <c r="B212" s="984"/>
      <c r="C212" s="984"/>
      <c r="D212" s="985"/>
      <c r="E212" s="985"/>
      <c r="F212" s="985"/>
      <c r="G212" s="985"/>
      <c r="H212" s="985"/>
      <c r="I212" s="985"/>
      <c r="J212" s="985"/>
      <c r="K212" s="985"/>
      <c r="L212" s="986"/>
      <c r="M212" s="986"/>
      <c r="N212" s="184"/>
      <c r="O212" s="185"/>
      <c r="P212" s="185"/>
      <c r="Q212" s="185"/>
      <c r="R212" s="185"/>
      <c r="S212" s="185"/>
      <c r="T212" s="185"/>
      <c r="U212" s="186"/>
      <c r="V212" s="65"/>
      <c r="W212" s="72"/>
      <c r="X212" s="608"/>
      <c r="Y212" s="608"/>
      <c r="Z212" s="72"/>
      <c r="AI212" s="65"/>
      <c r="AJ212" s="65"/>
      <c r="AK212" s="65"/>
      <c r="AV212" s="65"/>
      <c r="AW212" s="65"/>
      <c r="AX212" s="65"/>
    </row>
    <row r="213" spans="1:51" x14ac:dyDescent="0.25">
      <c r="A213" s="1079" t="s">
        <v>191</v>
      </c>
      <c r="B213" s="1080"/>
      <c r="C213" s="1080"/>
      <c r="D213" s="1081"/>
      <c r="E213" s="1081"/>
      <c r="F213" s="1081"/>
      <c r="G213" s="1081"/>
      <c r="H213" s="1081"/>
      <c r="I213" s="1081"/>
      <c r="J213" s="1081"/>
      <c r="K213" s="1081"/>
      <c r="L213" s="1082"/>
      <c r="M213" s="1082"/>
      <c r="N213" s="68"/>
      <c r="O213" s="72"/>
      <c r="P213" s="72"/>
      <c r="Q213" s="72"/>
      <c r="R213" s="72"/>
      <c r="S213" s="72"/>
      <c r="T213" s="72"/>
      <c r="U213" s="69"/>
      <c r="V213" s="65"/>
      <c r="W213" s="72"/>
      <c r="X213" s="72"/>
      <c r="Y213" s="609"/>
      <c r="Z213" s="72"/>
      <c r="AK213" s="137"/>
      <c r="AX213" s="137"/>
    </row>
    <row r="214" spans="1:51" x14ac:dyDescent="0.25">
      <c r="A214" s="1083" t="s">
        <v>8</v>
      </c>
      <c r="B214" s="1084"/>
      <c r="C214" s="1084"/>
      <c r="D214" s="1084"/>
      <c r="E214" s="1084"/>
      <c r="F214" s="1084"/>
      <c r="G214" s="1084"/>
      <c r="H214" s="1084"/>
      <c r="I214" s="1084"/>
      <c r="J214" s="1084"/>
      <c r="K214" s="1084"/>
      <c r="L214" s="1084"/>
      <c r="M214" s="1084"/>
      <c r="N214" s="157"/>
      <c r="O214" s="155"/>
      <c r="P214" s="155"/>
      <c r="Q214" s="155"/>
      <c r="R214" s="155"/>
      <c r="S214" s="155"/>
      <c r="T214" s="155"/>
      <c r="U214" s="158"/>
      <c r="W214" s="72"/>
      <c r="X214" s="72"/>
      <c r="Y214" s="72"/>
      <c r="Z214" s="72"/>
    </row>
    <row r="215" spans="1:51" x14ac:dyDescent="0.25">
      <c r="A215" s="610" t="s">
        <v>184</v>
      </c>
      <c r="B215" s="598" t="s">
        <v>571</v>
      </c>
      <c r="C215" s="598" t="s">
        <v>756</v>
      </c>
      <c r="D215" s="611">
        <v>1</v>
      </c>
      <c r="E215" s="611" t="s">
        <v>22</v>
      </c>
      <c r="F215" s="611">
        <v>14</v>
      </c>
      <c r="G215" s="611">
        <v>3226</v>
      </c>
      <c r="H215" s="611">
        <v>4607</v>
      </c>
      <c r="I215" s="612">
        <v>5528</v>
      </c>
      <c r="J215" s="613">
        <v>3605</v>
      </c>
      <c r="K215" s="613">
        <v>0</v>
      </c>
      <c r="L215" s="614">
        <v>0</v>
      </c>
      <c r="M215" s="614">
        <v>1</v>
      </c>
      <c r="N215" s="151">
        <f>ROUND(J215*(1+kopsavilkums!$O$8),2)</f>
        <v>3987.13</v>
      </c>
      <c r="O215" s="61">
        <f t="shared" ref="O215" si="77">P215-L215</f>
        <v>0</v>
      </c>
      <c r="P215" s="61">
        <f>ROUND(L215*(1+kopsavilkums!$O$8),2)</f>
        <v>0</v>
      </c>
      <c r="Q215" s="61">
        <f>(N215+P215)-(J215+L215)</f>
        <v>382.13000000000011</v>
      </c>
      <c r="R215" s="61">
        <f t="shared" ref="R215" si="78">Q215*M215</f>
        <v>382.13000000000011</v>
      </c>
      <c r="S215" s="61">
        <f>R215*12</f>
        <v>4585.5600000000013</v>
      </c>
      <c r="T215" s="61">
        <f>ROUND(S215*kopsavilkums!$O$23,2)</f>
        <v>1081.73</v>
      </c>
      <c r="U215" s="152">
        <f>SUM(S215:T215)</f>
        <v>5667.2900000000009</v>
      </c>
      <c r="V215" s="73"/>
      <c r="W215" s="604" t="s">
        <v>758</v>
      </c>
      <c r="X215" s="605" t="s">
        <v>756</v>
      </c>
      <c r="Y215" s="605" t="s">
        <v>698</v>
      </c>
      <c r="Z215" s="72"/>
      <c r="AB215" s="57"/>
      <c r="AC215" s="57"/>
      <c r="AD215" s="57"/>
      <c r="AE215" s="57"/>
      <c r="AF215" s="57"/>
      <c r="AG215" s="57"/>
      <c r="AH215" s="57"/>
      <c r="AI215" s="57"/>
      <c r="AJ215" s="57"/>
      <c r="AK215" s="57"/>
      <c r="AL215" s="137"/>
      <c r="AO215" s="57"/>
      <c r="AP215" s="57"/>
      <c r="AQ215" s="57"/>
      <c r="AR215" s="57"/>
      <c r="AS215" s="57"/>
      <c r="AT215" s="57"/>
      <c r="AU215" s="57"/>
      <c r="AV215" s="57"/>
      <c r="AW215" s="57"/>
      <c r="AX215" s="57"/>
      <c r="AY215" s="137"/>
    </row>
    <row r="216" spans="1:51" x14ac:dyDescent="0.25">
      <c r="A216" s="610" t="s">
        <v>187</v>
      </c>
      <c r="B216" s="598" t="s">
        <v>572</v>
      </c>
      <c r="C216" s="598" t="s">
        <v>657</v>
      </c>
      <c r="D216" s="611" t="s">
        <v>47</v>
      </c>
      <c r="E216" s="611" t="s">
        <v>13</v>
      </c>
      <c r="F216" s="611" t="s">
        <v>41</v>
      </c>
      <c r="G216" s="611">
        <v>1157</v>
      </c>
      <c r="H216" s="611">
        <v>1653</v>
      </c>
      <c r="I216" s="612">
        <v>2067</v>
      </c>
      <c r="J216" s="613">
        <v>1557</v>
      </c>
      <c r="K216" s="613">
        <v>171.27</v>
      </c>
      <c r="L216" s="614">
        <v>171.27</v>
      </c>
      <c r="M216" s="614">
        <v>0.75</v>
      </c>
      <c r="N216" s="151">
        <f>ROUND(J216*(1+kopsavilkums!$O$8),2)</f>
        <v>1722.04</v>
      </c>
      <c r="O216" s="61">
        <f t="shared" ref="O216" si="79">P216-L216</f>
        <v>18.149999999999977</v>
      </c>
      <c r="P216" s="61">
        <f>ROUND(L216*(1+kopsavilkums!$O$8),2)</f>
        <v>189.42</v>
      </c>
      <c r="Q216" s="61">
        <f>(N216+P216)-(J216+L216)</f>
        <v>183.19000000000005</v>
      </c>
      <c r="R216" s="61">
        <f t="shared" ref="R216" si="80">Q216*M216</f>
        <v>137.39250000000004</v>
      </c>
      <c r="S216" s="61">
        <f t="shared" ref="S216:S230" si="81">R216*12</f>
        <v>1648.7100000000005</v>
      </c>
      <c r="T216" s="61">
        <f>ROUND(S216*kopsavilkums!$O$23,2)</f>
        <v>388.93</v>
      </c>
      <c r="U216" s="152">
        <f t="shared" ref="U216" si="82">SUM(S216:T216)</f>
        <v>2037.6400000000006</v>
      </c>
      <c r="V216" s="73"/>
      <c r="W216" s="604" t="s">
        <v>759</v>
      </c>
      <c r="X216" s="605" t="s">
        <v>657</v>
      </c>
      <c r="Y216" s="605" t="s">
        <v>698</v>
      </c>
      <c r="Z216" s="769"/>
      <c r="AB216" s="57"/>
      <c r="AC216" s="57"/>
      <c r="AD216" s="57"/>
      <c r="AE216" s="57"/>
      <c r="AF216" s="57"/>
      <c r="AG216" s="57"/>
      <c r="AH216" s="57"/>
      <c r="AI216" s="57"/>
      <c r="AJ216" s="57"/>
      <c r="AK216" s="57"/>
      <c r="AL216" s="137"/>
      <c r="AO216" s="57"/>
      <c r="AP216" s="57"/>
      <c r="AQ216" s="57"/>
      <c r="AR216" s="57"/>
      <c r="AS216" s="57"/>
      <c r="AT216" s="57"/>
      <c r="AU216" s="57"/>
      <c r="AV216" s="57"/>
      <c r="AW216" s="57"/>
      <c r="AX216" s="57"/>
      <c r="AY216" s="137"/>
    </row>
    <row r="217" spans="1:51" ht="195" x14ac:dyDescent="0.25">
      <c r="A217" s="610" t="s">
        <v>37</v>
      </c>
      <c r="B217" s="598" t="s">
        <v>535</v>
      </c>
      <c r="C217" s="598" t="s">
        <v>533</v>
      </c>
      <c r="D217" s="611" t="s">
        <v>396</v>
      </c>
      <c r="E217" s="611" t="s">
        <v>122</v>
      </c>
      <c r="F217" s="611" t="s">
        <v>123</v>
      </c>
      <c r="G217" s="611">
        <v>967</v>
      </c>
      <c r="H217" s="611">
        <v>1388</v>
      </c>
      <c r="I217" s="612">
        <v>1796</v>
      </c>
      <c r="J217" s="613">
        <v>1065</v>
      </c>
      <c r="K217" s="613">
        <v>138.44999999999999</v>
      </c>
      <c r="L217" s="614">
        <v>138.44999999999999</v>
      </c>
      <c r="M217" s="614">
        <v>0.7</v>
      </c>
      <c r="N217" s="151">
        <f>ROUND(J217*(1+kopsavilkums!$O$8),2)</f>
        <v>1177.8900000000001</v>
      </c>
      <c r="O217" s="61">
        <f>P217-L217</f>
        <v>14.680000000000007</v>
      </c>
      <c r="P217" s="61">
        <f>ROUND(L217*(1+kopsavilkums!$O$8),2)</f>
        <v>153.13</v>
      </c>
      <c r="Q217" s="61">
        <f>(N217+P217)-(J217+L217)</f>
        <v>127.56999999999994</v>
      </c>
      <c r="R217" s="61">
        <f>Q217*M217</f>
        <v>89.29899999999995</v>
      </c>
      <c r="S217" s="61">
        <f>R217*12</f>
        <v>1071.5879999999993</v>
      </c>
      <c r="T217" s="61">
        <f>ROUND(S217*kopsavilkums!$O$23,2)</f>
        <v>252.79</v>
      </c>
      <c r="U217" s="152">
        <f>SUM(S217:T217)</f>
        <v>1324.3779999999992</v>
      </c>
      <c r="V217" s="73"/>
      <c r="W217" s="604" t="s">
        <v>760</v>
      </c>
      <c r="X217" s="605" t="s">
        <v>533</v>
      </c>
      <c r="Y217" s="605" t="s">
        <v>698</v>
      </c>
      <c r="Z217" s="769" t="s">
        <v>757</v>
      </c>
      <c r="AB217" s="57"/>
      <c r="AC217" s="57"/>
      <c r="AD217" s="57"/>
      <c r="AE217" s="57"/>
      <c r="AF217" s="57"/>
      <c r="AG217" s="57"/>
      <c r="AH217" s="57"/>
      <c r="AI217" s="57"/>
      <c r="AJ217" s="57"/>
      <c r="AK217" s="57"/>
      <c r="AL217" s="137"/>
      <c r="AO217" s="57"/>
      <c r="AP217" s="57"/>
      <c r="AQ217" s="57"/>
      <c r="AR217" s="57"/>
      <c r="AS217" s="57"/>
      <c r="AT217" s="57"/>
      <c r="AU217" s="57"/>
      <c r="AV217" s="57"/>
      <c r="AW217" s="57"/>
      <c r="AX217" s="57"/>
      <c r="AY217" s="137"/>
    </row>
    <row r="218" spans="1:51" x14ac:dyDescent="0.25">
      <c r="A218" s="1073" t="s">
        <v>14</v>
      </c>
      <c r="B218" s="1074"/>
      <c r="C218" s="1074"/>
      <c r="D218" s="1074"/>
      <c r="E218" s="1074"/>
      <c r="F218" s="1074"/>
      <c r="G218" s="1074"/>
      <c r="H218" s="1074"/>
      <c r="I218" s="1074"/>
      <c r="J218" s="1074"/>
      <c r="K218" s="1074"/>
      <c r="L218" s="1074"/>
      <c r="M218" s="1074"/>
      <c r="N218" s="923"/>
      <c r="O218" s="924"/>
      <c r="P218" s="924"/>
      <c r="Q218" s="924"/>
      <c r="R218" s="924"/>
      <c r="S218" s="924"/>
      <c r="T218" s="924"/>
      <c r="U218" s="194"/>
      <c r="W218" s="72"/>
      <c r="X218" s="72"/>
      <c r="Y218" s="72"/>
      <c r="Z218" s="769"/>
    </row>
    <row r="219" spans="1:51" x14ac:dyDescent="0.25">
      <c r="A219" s="610" t="s">
        <v>189</v>
      </c>
      <c r="B219" s="598" t="s">
        <v>573</v>
      </c>
      <c r="C219" s="598" t="s">
        <v>488</v>
      </c>
      <c r="D219" s="611" t="s">
        <v>394</v>
      </c>
      <c r="E219" s="611" t="s">
        <v>255</v>
      </c>
      <c r="F219" s="611" t="s">
        <v>39</v>
      </c>
      <c r="G219" s="611">
        <v>1399</v>
      </c>
      <c r="H219" s="611">
        <v>1999</v>
      </c>
      <c r="I219" s="612">
        <v>2499</v>
      </c>
      <c r="J219" s="612">
        <v>1747</v>
      </c>
      <c r="K219" s="612">
        <v>157.22999999999999</v>
      </c>
      <c r="L219" s="615">
        <v>157.22999999999999</v>
      </c>
      <c r="M219" s="615">
        <v>1</v>
      </c>
      <c r="N219" s="151">
        <f>ROUND(J219*(1+kopsavilkums!$O$12),2)</f>
        <v>1860.56</v>
      </c>
      <c r="O219" s="61">
        <f t="shared" ref="O219" si="83">P219-L219</f>
        <v>10.219999999999999</v>
      </c>
      <c r="P219" s="61">
        <f>ROUND(L219*(1+kopsavilkums!$O$12),2)</f>
        <v>167.45</v>
      </c>
      <c r="Q219" s="61">
        <f>(N219+P219)-(J219+L219)</f>
        <v>123.77999999999997</v>
      </c>
      <c r="R219" s="61">
        <f t="shared" ref="R219" si="84">Q219*M219</f>
        <v>123.77999999999997</v>
      </c>
      <c r="S219" s="61">
        <f t="shared" si="81"/>
        <v>1485.3599999999997</v>
      </c>
      <c r="T219" s="61">
        <f>ROUND(S219*kopsavilkums!$O$23,2)</f>
        <v>350.4</v>
      </c>
      <c r="U219" s="152">
        <f t="shared" ref="U219" si="85">SUM(S219:T219)</f>
        <v>1835.7599999999998</v>
      </c>
      <c r="V219" s="73"/>
      <c r="W219" s="604" t="s">
        <v>761</v>
      </c>
      <c r="X219" s="605" t="s">
        <v>488</v>
      </c>
      <c r="Y219" s="605" t="s">
        <v>698</v>
      </c>
      <c r="Z219" s="769"/>
      <c r="AB219" s="57"/>
      <c r="AC219" s="57"/>
      <c r="AD219" s="57"/>
      <c r="AE219" s="57"/>
      <c r="AF219" s="57"/>
      <c r="AG219" s="57"/>
      <c r="AH219" s="57"/>
      <c r="AI219" s="57"/>
      <c r="AJ219" s="57"/>
      <c r="AK219" s="57"/>
      <c r="AL219" s="137"/>
      <c r="AO219" s="57"/>
      <c r="AP219" s="57"/>
      <c r="AQ219" s="57"/>
      <c r="AR219" s="57"/>
      <c r="AS219" s="57"/>
      <c r="AT219" s="57"/>
      <c r="AU219" s="57"/>
      <c r="AV219" s="57"/>
      <c r="AW219" s="57"/>
      <c r="AX219" s="57"/>
      <c r="AY219" s="137"/>
    </row>
    <row r="220" spans="1:51" x14ac:dyDescent="0.25">
      <c r="A220" s="610" t="s">
        <v>16</v>
      </c>
      <c r="B220" s="598" t="s">
        <v>537</v>
      </c>
      <c r="C220" s="598" t="s">
        <v>538</v>
      </c>
      <c r="D220" s="611" t="s">
        <v>397</v>
      </c>
      <c r="E220" s="611" t="s">
        <v>24</v>
      </c>
      <c r="F220" s="611" t="s">
        <v>123</v>
      </c>
      <c r="G220" s="611">
        <v>967</v>
      </c>
      <c r="H220" s="611">
        <v>1388</v>
      </c>
      <c r="I220" s="612">
        <v>1796</v>
      </c>
      <c r="J220" s="612">
        <v>1458</v>
      </c>
      <c r="K220" s="612">
        <v>160.38</v>
      </c>
      <c r="L220" s="615">
        <v>160.38</v>
      </c>
      <c r="M220" s="615">
        <v>16</v>
      </c>
      <c r="N220" s="151">
        <f>ROUND(J220*(1+kopsavilkums!$O$12),2)</f>
        <v>1552.77</v>
      </c>
      <c r="O220" s="61">
        <f t="shared" ref="O220:O221" si="86">P220-L220</f>
        <v>10.420000000000016</v>
      </c>
      <c r="P220" s="61">
        <f>ROUND(L220*(1+kopsavilkums!$O$12),2)</f>
        <v>170.8</v>
      </c>
      <c r="Q220" s="61">
        <f>(N220+P220)-(J220+L220)</f>
        <v>105.18999999999983</v>
      </c>
      <c r="R220" s="61">
        <f t="shared" ref="R220" si="87">Q220*M220</f>
        <v>1683.0399999999972</v>
      </c>
      <c r="S220" s="61">
        <f t="shared" si="81"/>
        <v>20196.479999999967</v>
      </c>
      <c r="T220" s="61">
        <f>ROUND(S220*kopsavilkums!$O$23,2)</f>
        <v>4764.3500000000004</v>
      </c>
      <c r="U220" s="152">
        <f t="shared" ref="U220" si="88">SUM(S220:T220)</f>
        <v>24960.829999999965</v>
      </c>
      <c r="V220" s="73"/>
      <c r="W220" s="604" t="s">
        <v>762</v>
      </c>
      <c r="X220" s="605" t="s">
        <v>538</v>
      </c>
      <c r="Y220" s="605" t="s">
        <v>698</v>
      </c>
      <c r="Z220" s="769"/>
      <c r="AB220" s="57"/>
      <c r="AC220" s="57"/>
      <c r="AD220" s="57"/>
      <c r="AE220" s="57"/>
      <c r="AF220" s="57"/>
      <c r="AG220" s="57"/>
      <c r="AH220" s="57"/>
      <c r="AI220" s="57"/>
      <c r="AJ220" s="57"/>
      <c r="AK220" s="57"/>
      <c r="AL220" s="137"/>
      <c r="AO220" s="57"/>
      <c r="AP220" s="57"/>
      <c r="AQ220" s="57"/>
      <c r="AR220" s="57"/>
      <c r="AS220" s="57"/>
      <c r="AT220" s="57"/>
      <c r="AU220" s="57"/>
      <c r="AV220" s="57"/>
      <c r="AW220" s="57"/>
      <c r="AX220" s="57"/>
      <c r="AY220" s="137"/>
    </row>
    <row r="221" spans="1:51" ht="300" x14ac:dyDescent="0.25">
      <c r="A221" s="610" t="s">
        <v>190</v>
      </c>
      <c r="B221" s="598" t="s">
        <v>574</v>
      </c>
      <c r="C221" s="598" t="s">
        <v>756</v>
      </c>
      <c r="D221" s="611" t="s">
        <v>47</v>
      </c>
      <c r="E221" s="611" t="s">
        <v>22</v>
      </c>
      <c r="F221" s="611" t="s">
        <v>123</v>
      </c>
      <c r="G221" s="611">
        <v>967</v>
      </c>
      <c r="H221" s="611">
        <v>1388</v>
      </c>
      <c r="I221" s="612">
        <v>1796</v>
      </c>
      <c r="J221" s="612">
        <v>1359</v>
      </c>
      <c r="K221" s="612">
        <v>149.49</v>
      </c>
      <c r="L221" s="615">
        <v>149.49</v>
      </c>
      <c r="M221" s="615">
        <v>33.25</v>
      </c>
      <c r="N221" s="151">
        <f>ROUND(J221*(1+kopsavilkums!$O$12),2)</f>
        <v>1447.34</v>
      </c>
      <c r="O221" s="61">
        <f t="shared" si="86"/>
        <v>9.7199999999999989</v>
      </c>
      <c r="P221" s="61">
        <f>ROUND(L221*(1+kopsavilkums!$O$12),2)</f>
        <v>159.21</v>
      </c>
      <c r="Q221" s="61">
        <f>(N221+P221)-(J221+L221)</f>
        <v>98.059999999999945</v>
      </c>
      <c r="R221" s="61">
        <f t="shared" ref="R221" si="89">Q221*M221</f>
        <v>3260.4949999999981</v>
      </c>
      <c r="S221" s="61">
        <f t="shared" ref="S221" si="90">R221*12</f>
        <v>39125.939999999973</v>
      </c>
      <c r="T221" s="61">
        <f>ROUND(S221*kopsavilkums!$O$23,2)</f>
        <v>9229.81</v>
      </c>
      <c r="U221" s="152">
        <f t="shared" ref="U221" si="91">SUM(S221:T221)</f>
        <v>48355.749999999971</v>
      </c>
      <c r="V221" s="73"/>
      <c r="W221" s="604" t="s">
        <v>763</v>
      </c>
      <c r="X221" s="605" t="s">
        <v>756</v>
      </c>
      <c r="Y221" s="605" t="s">
        <v>698</v>
      </c>
      <c r="Z221" s="769" t="s">
        <v>764</v>
      </c>
      <c r="AB221" s="57"/>
      <c r="AC221" s="57"/>
      <c r="AD221" s="57"/>
      <c r="AE221" s="57"/>
      <c r="AF221" s="57"/>
      <c r="AG221" s="57"/>
      <c r="AH221" s="57"/>
      <c r="AI221" s="57"/>
      <c r="AJ221" s="57"/>
      <c r="AK221" s="57"/>
      <c r="AL221" s="137"/>
      <c r="AO221" s="57"/>
      <c r="AP221" s="57"/>
      <c r="AQ221" s="57"/>
      <c r="AR221" s="57"/>
      <c r="AS221" s="57"/>
      <c r="AT221" s="57"/>
      <c r="AU221" s="57"/>
      <c r="AV221" s="57"/>
      <c r="AW221" s="57"/>
      <c r="AX221" s="57"/>
      <c r="AY221" s="137"/>
    </row>
    <row r="222" spans="1:51" x14ac:dyDescent="0.25">
      <c r="A222" s="1073" t="s">
        <v>25</v>
      </c>
      <c r="B222" s="1074"/>
      <c r="C222" s="1074"/>
      <c r="D222" s="1074"/>
      <c r="E222" s="1074"/>
      <c r="F222" s="1074"/>
      <c r="G222" s="1074"/>
      <c r="H222" s="1074"/>
      <c r="I222" s="1074"/>
      <c r="J222" s="1074"/>
      <c r="K222" s="1074"/>
      <c r="L222" s="1074"/>
      <c r="M222" s="1074"/>
      <c r="N222" s="923"/>
      <c r="O222" s="924"/>
      <c r="P222" s="924"/>
      <c r="Q222" s="924"/>
      <c r="R222" s="924"/>
      <c r="S222" s="924"/>
      <c r="T222" s="924"/>
      <c r="U222" s="194"/>
      <c r="W222" s="72"/>
      <c r="X222" s="72"/>
      <c r="Y222" s="72"/>
      <c r="Z222" s="769"/>
    </row>
    <row r="223" spans="1:51" ht="270" x14ac:dyDescent="0.25">
      <c r="A223" s="610" t="s">
        <v>315</v>
      </c>
      <c r="B223" s="598" t="s">
        <v>569</v>
      </c>
      <c r="C223" s="598" t="s">
        <v>756</v>
      </c>
      <c r="D223" s="611" t="s">
        <v>47</v>
      </c>
      <c r="E223" s="611" t="s">
        <v>20</v>
      </c>
      <c r="F223" s="611" t="s">
        <v>339</v>
      </c>
      <c r="G223" s="611">
        <v>758</v>
      </c>
      <c r="H223" s="611">
        <v>1081</v>
      </c>
      <c r="I223" s="612">
        <v>1406</v>
      </c>
      <c r="J223" s="612">
        <v>1173</v>
      </c>
      <c r="K223" s="612">
        <v>164.22</v>
      </c>
      <c r="L223" s="615">
        <v>164.22</v>
      </c>
      <c r="M223" s="615">
        <v>3</v>
      </c>
      <c r="N223" s="151">
        <f>ROUND(J223*(1+kopsavilkums!$O$15),2)</f>
        <v>1253.94</v>
      </c>
      <c r="O223" s="61">
        <f t="shared" ref="O223:O230" si="92">P223-L223</f>
        <v>11.330000000000013</v>
      </c>
      <c r="P223" s="61">
        <f>ROUND(L223*(1+kopsavilkums!$O$15),2)</f>
        <v>175.55</v>
      </c>
      <c r="Q223" s="61">
        <f t="shared" ref="Q223:Q230" si="93">(N223+P223)-(J223+L223)</f>
        <v>92.269999999999982</v>
      </c>
      <c r="R223" s="61">
        <f t="shared" ref="R223:R230" si="94">Q223*M223</f>
        <v>276.80999999999995</v>
      </c>
      <c r="S223" s="61">
        <f t="shared" si="81"/>
        <v>3321.7199999999993</v>
      </c>
      <c r="T223" s="61">
        <f>ROUND(S223*kopsavilkums!$O$23,2)</f>
        <v>783.59</v>
      </c>
      <c r="U223" s="152">
        <f t="shared" ref="U223:U230" si="95">SUM(S223:T223)</f>
        <v>4105.3099999999995</v>
      </c>
      <c r="V223" s="73"/>
      <c r="W223" s="604" t="s">
        <v>766</v>
      </c>
      <c r="X223" s="605" t="s">
        <v>756</v>
      </c>
      <c r="Y223" s="605" t="s">
        <v>698</v>
      </c>
      <c r="Z223" s="769" t="s">
        <v>767</v>
      </c>
      <c r="AB223" s="57"/>
      <c r="AC223" s="57"/>
      <c r="AD223" s="57"/>
      <c r="AE223" s="57"/>
      <c r="AF223" s="57"/>
      <c r="AG223" s="57"/>
      <c r="AH223" s="57"/>
      <c r="AI223" s="57"/>
      <c r="AJ223" s="57"/>
      <c r="AK223" s="57"/>
      <c r="AL223" s="137"/>
      <c r="AO223" s="57"/>
      <c r="AP223" s="57"/>
      <c r="AQ223" s="57"/>
      <c r="AR223" s="57"/>
      <c r="AS223" s="57"/>
      <c r="AT223" s="57"/>
      <c r="AU223" s="57"/>
      <c r="AV223" s="57"/>
      <c r="AW223" s="57"/>
      <c r="AX223" s="57"/>
      <c r="AY223" s="137"/>
    </row>
    <row r="224" spans="1:51" x14ac:dyDescent="0.25">
      <c r="A224" s="610" t="s">
        <v>315</v>
      </c>
      <c r="B224" s="598" t="s">
        <v>569</v>
      </c>
      <c r="C224" s="598" t="s">
        <v>756</v>
      </c>
      <c r="D224" s="611" t="s">
        <v>47</v>
      </c>
      <c r="E224" s="611" t="s">
        <v>20</v>
      </c>
      <c r="F224" s="611" t="s">
        <v>339</v>
      </c>
      <c r="G224" s="611">
        <v>758</v>
      </c>
      <c r="H224" s="611">
        <v>1081</v>
      </c>
      <c r="I224" s="612">
        <v>1406</v>
      </c>
      <c r="J224" s="612">
        <v>1359</v>
      </c>
      <c r="K224" s="612">
        <v>190.26</v>
      </c>
      <c r="L224" s="615">
        <v>190.26</v>
      </c>
      <c r="M224" s="615">
        <v>10.5</v>
      </c>
      <c r="N224" s="151">
        <f>ROUND(J224*(1+kopsavilkums!$O$15),2)</f>
        <v>1452.77</v>
      </c>
      <c r="O224" s="61">
        <f t="shared" ref="O224:O225" si="96">P224-L224</f>
        <v>13.129999999999995</v>
      </c>
      <c r="P224" s="61">
        <f>ROUND(L224*(1+kopsavilkums!$O$15),2)</f>
        <v>203.39</v>
      </c>
      <c r="Q224" s="61">
        <f t="shared" ref="Q224:Q225" si="97">(N224+P224)-(J224+L224)</f>
        <v>106.89999999999986</v>
      </c>
      <c r="R224" s="61">
        <f t="shared" ref="R224:R225" si="98">Q224*M224</f>
        <v>1122.4499999999985</v>
      </c>
      <c r="S224" s="61">
        <f t="shared" ref="S224:S225" si="99">R224*12</f>
        <v>13469.399999999981</v>
      </c>
      <c r="T224" s="61">
        <f>ROUND(S224*kopsavilkums!$O$23,2)</f>
        <v>3177.43</v>
      </c>
      <c r="U224" s="152">
        <f t="shared" ref="U224:U225" si="100">SUM(S224:T224)</f>
        <v>16646.82999999998</v>
      </c>
      <c r="V224" s="73"/>
      <c r="W224" s="604" t="s">
        <v>766</v>
      </c>
      <c r="X224" s="605" t="s">
        <v>756</v>
      </c>
      <c r="Y224" s="605" t="s">
        <v>698</v>
      </c>
      <c r="Z224" s="769"/>
      <c r="AB224" s="57"/>
      <c r="AC224" s="57"/>
      <c r="AD224" s="57"/>
      <c r="AE224" s="57"/>
      <c r="AF224" s="57"/>
      <c r="AG224" s="57"/>
      <c r="AH224" s="57"/>
      <c r="AI224" s="57"/>
      <c r="AJ224" s="57"/>
      <c r="AK224" s="57"/>
      <c r="AL224" s="137"/>
      <c r="AO224" s="57"/>
      <c r="AP224" s="57"/>
      <c r="AQ224" s="57"/>
      <c r="AR224" s="57"/>
      <c r="AS224" s="57"/>
      <c r="AT224" s="57"/>
      <c r="AU224" s="57"/>
      <c r="AV224" s="57"/>
      <c r="AW224" s="57"/>
      <c r="AX224" s="57"/>
      <c r="AY224" s="137"/>
    </row>
    <row r="225" spans="1:51" ht="195" x14ac:dyDescent="0.25">
      <c r="A225" s="610" t="s">
        <v>424</v>
      </c>
      <c r="B225" s="598" t="s">
        <v>569</v>
      </c>
      <c r="C225" s="598" t="s">
        <v>756</v>
      </c>
      <c r="D225" s="611" t="s">
        <v>47</v>
      </c>
      <c r="E225" s="611" t="s">
        <v>20</v>
      </c>
      <c r="F225" s="611" t="s">
        <v>339</v>
      </c>
      <c r="G225" s="611">
        <v>758</v>
      </c>
      <c r="H225" s="611">
        <v>1081</v>
      </c>
      <c r="I225" s="612">
        <v>1406</v>
      </c>
      <c r="J225" s="612">
        <v>1261</v>
      </c>
      <c r="K225" s="612">
        <v>138.71</v>
      </c>
      <c r="L225" s="615">
        <v>138.71</v>
      </c>
      <c r="M225" s="615">
        <v>4.25</v>
      </c>
      <c r="N225" s="151">
        <f>ROUND(J225*(1+kopsavilkums!$O$15),2)</f>
        <v>1348.01</v>
      </c>
      <c r="O225" s="61">
        <f t="shared" si="96"/>
        <v>9.5699999999999932</v>
      </c>
      <c r="P225" s="61">
        <f>ROUND(L225*(1+kopsavilkums!$O$15),2)</f>
        <v>148.28</v>
      </c>
      <c r="Q225" s="61">
        <f t="shared" si="97"/>
        <v>96.579999999999927</v>
      </c>
      <c r="R225" s="61">
        <f t="shared" si="98"/>
        <v>410.46499999999969</v>
      </c>
      <c r="S225" s="61">
        <f t="shared" si="99"/>
        <v>4925.5799999999963</v>
      </c>
      <c r="T225" s="61">
        <f>ROUND(S225*kopsavilkums!$O$23,2)</f>
        <v>1161.94</v>
      </c>
      <c r="U225" s="152">
        <f t="shared" si="100"/>
        <v>6087.5199999999968</v>
      </c>
      <c r="V225" s="73"/>
      <c r="W225" s="604" t="s">
        <v>766</v>
      </c>
      <c r="X225" s="605" t="s">
        <v>756</v>
      </c>
      <c r="Y225" s="605" t="s">
        <v>698</v>
      </c>
      <c r="Z225" s="769" t="s">
        <v>757</v>
      </c>
      <c r="AB225" s="57"/>
      <c r="AC225" s="57"/>
      <c r="AD225" s="57"/>
      <c r="AE225" s="57"/>
      <c r="AF225" s="57"/>
      <c r="AG225" s="57"/>
      <c r="AH225" s="57"/>
      <c r="AI225" s="57"/>
      <c r="AJ225" s="57"/>
      <c r="AK225" s="57"/>
      <c r="AL225" s="137"/>
      <c r="AO225" s="57"/>
      <c r="AP225" s="57"/>
      <c r="AQ225" s="57"/>
      <c r="AR225" s="57"/>
      <c r="AS225" s="57"/>
      <c r="AT225" s="57"/>
      <c r="AU225" s="57"/>
      <c r="AV225" s="57"/>
      <c r="AW225" s="57"/>
      <c r="AX225" s="57"/>
      <c r="AY225" s="137"/>
    </row>
    <row r="226" spans="1:51" ht="195" x14ac:dyDescent="0.25">
      <c r="A226" s="610" t="s">
        <v>425</v>
      </c>
      <c r="B226" s="598" t="s">
        <v>569</v>
      </c>
      <c r="C226" s="598" t="s">
        <v>756</v>
      </c>
      <c r="D226" s="611" t="s">
        <v>47</v>
      </c>
      <c r="E226" s="611" t="s">
        <v>20</v>
      </c>
      <c r="F226" s="611" t="s">
        <v>339</v>
      </c>
      <c r="G226" s="611">
        <v>758</v>
      </c>
      <c r="H226" s="611">
        <v>1081</v>
      </c>
      <c r="I226" s="612">
        <v>1406</v>
      </c>
      <c r="J226" s="612">
        <v>1162</v>
      </c>
      <c r="K226" s="612">
        <v>0</v>
      </c>
      <c r="L226" s="615">
        <v>0</v>
      </c>
      <c r="M226" s="615">
        <v>2.25</v>
      </c>
      <c r="N226" s="151">
        <f>ROUND(J226*(1+kopsavilkums!$O$15),2)</f>
        <v>1242.18</v>
      </c>
      <c r="O226" s="61">
        <f t="shared" si="92"/>
        <v>0</v>
      </c>
      <c r="P226" s="61">
        <f>ROUND(L226*(1+kopsavilkums!$O$15),2)</f>
        <v>0</v>
      </c>
      <c r="Q226" s="61">
        <f t="shared" si="93"/>
        <v>80.180000000000064</v>
      </c>
      <c r="R226" s="61">
        <f t="shared" si="94"/>
        <v>180.40500000000014</v>
      </c>
      <c r="S226" s="61">
        <f t="shared" si="81"/>
        <v>2164.8600000000015</v>
      </c>
      <c r="T226" s="61">
        <f>ROUND(S226*kopsavilkums!$O$23,2)</f>
        <v>510.69</v>
      </c>
      <c r="U226" s="152">
        <f t="shared" si="95"/>
        <v>2675.5500000000015</v>
      </c>
      <c r="V226" s="73"/>
      <c r="W226" s="604" t="s">
        <v>766</v>
      </c>
      <c r="X226" s="605" t="s">
        <v>756</v>
      </c>
      <c r="Y226" s="605" t="s">
        <v>698</v>
      </c>
      <c r="Z226" s="769" t="s">
        <v>757</v>
      </c>
      <c r="AB226" s="57"/>
      <c r="AC226" s="57"/>
      <c r="AD226" s="57"/>
      <c r="AE226" s="57"/>
      <c r="AF226" s="57"/>
      <c r="AG226" s="57"/>
      <c r="AH226" s="57"/>
      <c r="AI226" s="57"/>
      <c r="AJ226" s="57"/>
      <c r="AK226" s="57"/>
      <c r="AL226" s="137"/>
      <c r="AO226" s="57"/>
      <c r="AP226" s="57"/>
      <c r="AQ226" s="57"/>
      <c r="AR226" s="57"/>
      <c r="AS226" s="57"/>
      <c r="AT226" s="57"/>
      <c r="AU226" s="57"/>
      <c r="AV226" s="57"/>
      <c r="AW226" s="57"/>
      <c r="AX226" s="57"/>
      <c r="AY226" s="137"/>
    </row>
    <row r="227" spans="1:51" x14ac:dyDescent="0.25">
      <c r="A227" s="610" t="s">
        <v>316</v>
      </c>
      <c r="B227" s="598" t="s">
        <v>765</v>
      </c>
      <c r="C227" s="598" t="s">
        <v>756</v>
      </c>
      <c r="D227" s="611" t="s">
        <v>426</v>
      </c>
      <c r="E227" s="611" t="s">
        <v>20</v>
      </c>
      <c r="F227" s="611" t="s">
        <v>340</v>
      </c>
      <c r="G227" s="611">
        <v>709</v>
      </c>
      <c r="H227" s="611">
        <v>1012</v>
      </c>
      <c r="I227" s="612">
        <v>1315</v>
      </c>
      <c r="J227" s="612">
        <v>1162</v>
      </c>
      <c r="K227" s="612">
        <v>127.82</v>
      </c>
      <c r="L227" s="615">
        <v>127.82</v>
      </c>
      <c r="M227" s="615">
        <v>1</v>
      </c>
      <c r="N227" s="151">
        <f>ROUND(J227*(1+kopsavilkums!$O$15),2)</f>
        <v>1242.18</v>
      </c>
      <c r="O227" s="61">
        <f t="shared" si="92"/>
        <v>8.8199999999999932</v>
      </c>
      <c r="P227" s="61">
        <f>ROUND(L227*(1+kopsavilkums!$O$15),2)</f>
        <v>136.63999999999999</v>
      </c>
      <c r="Q227" s="61">
        <f t="shared" si="93"/>
        <v>89.000000000000227</v>
      </c>
      <c r="R227" s="61">
        <f t="shared" si="94"/>
        <v>89.000000000000227</v>
      </c>
      <c r="S227" s="61">
        <f t="shared" si="81"/>
        <v>1068.0000000000027</v>
      </c>
      <c r="T227" s="61">
        <f>ROUND(S227*kopsavilkums!$O$23,2)</f>
        <v>251.94</v>
      </c>
      <c r="U227" s="152">
        <f t="shared" si="95"/>
        <v>1319.9400000000028</v>
      </c>
      <c r="V227" s="73"/>
      <c r="W227" s="604" t="s">
        <v>768</v>
      </c>
      <c r="X227" s="605" t="s">
        <v>756</v>
      </c>
      <c r="Y227" s="605" t="s">
        <v>698</v>
      </c>
      <c r="Z227" s="769"/>
      <c r="AB227" s="57"/>
      <c r="AC227" s="57"/>
      <c r="AD227" s="57"/>
      <c r="AE227" s="57"/>
      <c r="AF227" s="57"/>
      <c r="AG227" s="57"/>
      <c r="AH227" s="57"/>
      <c r="AI227" s="57"/>
      <c r="AJ227" s="57"/>
      <c r="AK227" s="57"/>
      <c r="AL227" s="137"/>
      <c r="AO227" s="57"/>
      <c r="AP227" s="57"/>
      <c r="AQ227" s="57"/>
      <c r="AR227" s="57"/>
      <c r="AS227" s="57"/>
      <c r="AT227" s="57"/>
      <c r="AU227" s="57"/>
      <c r="AV227" s="57"/>
      <c r="AW227" s="57"/>
      <c r="AX227" s="57"/>
      <c r="AY227" s="137"/>
    </row>
    <row r="228" spans="1:51" x14ac:dyDescent="0.25">
      <c r="A228" s="610" t="s">
        <v>26</v>
      </c>
      <c r="B228" s="598">
        <v>532103</v>
      </c>
      <c r="C228" s="598" t="s">
        <v>498</v>
      </c>
      <c r="D228" s="611" t="s">
        <v>394</v>
      </c>
      <c r="E228" s="611" t="s">
        <v>22</v>
      </c>
      <c r="F228" s="611" t="s">
        <v>427</v>
      </c>
      <c r="G228" s="611">
        <v>662</v>
      </c>
      <c r="H228" s="611">
        <v>946</v>
      </c>
      <c r="I228" s="612">
        <v>1228</v>
      </c>
      <c r="J228" s="612">
        <v>1228</v>
      </c>
      <c r="K228" s="612">
        <v>110.52</v>
      </c>
      <c r="L228" s="615">
        <v>110.52</v>
      </c>
      <c r="M228" s="615">
        <v>1</v>
      </c>
      <c r="N228" s="151">
        <f>ROUND(J228*(1+kopsavilkums!$O$15),2)</f>
        <v>1312.73</v>
      </c>
      <c r="O228" s="61">
        <f t="shared" si="92"/>
        <v>7.6300000000000097</v>
      </c>
      <c r="P228" s="61">
        <f>ROUND(L228*(1+kopsavilkums!$O$15),2)</f>
        <v>118.15</v>
      </c>
      <c r="Q228" s="61">
        <f t="shared" si="93"/>
        <v>92.360000000000127</v>
      </c>
      <c r="R228" s="61">
        <f t="shared" si="94"/>
        <v>92.360000000000127</v>
      </c>
      <c r="S228" s="61">
        <f t="shared" si="81"/>
        <v>1108.3200000000015</v>
      </c>
      <c r="T228" s="61">
        <f>ROUND(S228*kopsavilkums!$O$23,2)</f>
        <v>261.45</v>
      </c>
      <c r="U228" s="152">
        <f t="shared" si="95"/>
        <v>1369.7700000000016</v>
      </c>
      <c r="V228" s="73"/>
      <c r="W228" s="604" t="s">
        <v>769</v>
      </c>
      <c r="X228" s="605" t="s">
        <v>498</v>
      </c>
      <c r="Y228" s="605" t="s">
        <v>698</v>
      </c>
      <c r="Z228" s="769"/>
      <c r="AB228" s="57"/>
      <c r="AC228" s="57"/>
      <c r="AD228" s="57"/>
      <c r="AE228" s="57"/>
      <c r="AF228" s="57"/>
      <c r="AG228" s="57"/>
      <c r="AH228" s="57"/>
      <c r="AI228" s="57"/>
      <c r="AJ228" s="57"/>
      <c r="AK228" s="57"/>
      <c r="AL228" s="137"/>
      <c r="AO228" s="57"/>
      <c r="AP228" s="57"/>
      <c r="AQ228" s="57"/>
      <c r="AR228" s="57"/>
      <c r="AS228" s="57"/>
      <c r="AT228" s="57"/>
      <c r="AU228" s="57"/>
      <c r="AV228" s="57"/>
      <c r="AW228" s="57"/>
      <c r="AX228" s="57"/>
      <c r="AY228" s="137"/>
    </row>
    <row r="229" spans="1:51" x14ac:dyDescent="0.25">
      <c r="A229" s="610" t="s">
        <v>26</v>
      </c>
      <c r="B229" s="598">
        <v>532103</v>
      </c>
      <c r="C229" s="598" t="s">
        <v>498</v>
      </c>
      <c r="D229" s="611" t="s">
        <v>394</v>
      </c>
      <c r="E229" s="611" t="s">
        <v>22</v>
      </c>
      <c r="F229" s="611" t="s">
        <v>427</v>
      </c>
      <c r="G229" s="611">
        <v>662</v>
      </c>
      <c r="H229" s="611">
        <v>946</v>
      </c>
      <c r="I229" s="612">
        <v>1228</v>
      </c>
      <c r="J229" s="612">
        <v>1228</v>
      </c>
      <c r="K229" s="612">
        <v>135.08000000000001</v>
      </c>
      <c r="L229" s="615">
        <v>135.08000000000001</v>
      </c>
      <c r="M229" s="615">
        <v>3.25</v>
      </c>
      <c r="N229" s="151">
        <f>ROUND(J229*(1+kopsavilkums!$O$15),2)</f>
        <v>1312.73</v>
      </c>
      <c r="O229" s="61">
        <f t="shared" si="92"/>
        <v>9.3199999999999932</v>
      </c>
      <c r="P229" s="61">
        <f>ROUND(L229*(1+kopsavilkums!$O$15),2)</f>
        <v>144.4</v>
      </c>
      <c r="Q229" s="61">
        <f t="shared" si="93"/>
        <v>94.050000000000182</v>
      </c>
      <c r="R229" s="61">
        <f t="shared" si="94"/>
        <v>305.66250000000059</v>
      </c>
      <c r="S229" s="61">
        <f t="shared" si="81"/>
        <v>3667.9500000000071</v>
      </c>
      <c r="T229" s="61">
        <f>ROUND(S229*kopsavilkums!$O$23,2)</f>
        <v>865.27</v>
      </c>
      <c r="U229" s="152">
        <f t="shared" si="95"/>
        <v>4533.2200000000066</v>
      </c>
      <c r="V229" s="73"/>
      <c r="W229" s="604" t="s">
        <v>769</v>
      </c>
      <c r="X229" s="605" t="s">
        <v>498</v>
      </c>
      <c r="Y229" s="605" t="s">
        <v>698</v>
      </c>
      <c r="Z229" s="769"/>
      <c r="AB229" s="57"/>
      <c r="AC229" s="57"/>
      <c r="AD229" s="57"/>
      <c r="AE229" s="57"/>
      <c r="AF229" s="57"/>
      <c r="AG229" s="57"/>
      <c r="AH229" s="57"/>
      <c r="AI229" s="57"/>
      <c r="AJ229" s="57"/>
      <c r="AK229" s="57"/>
      <c r="AL229" s="137"/>
      <c r="AO229" s="57"/>
      <c r="AP229" s="57"/>
      <c r="AQ229" s="57"/>
      <c r="AR229" s="57"/>
      <c r="AS229" s="57"/>
      <c r="AT229" s="57"/>
      <c r="AU229" s="57"/>
      <c r="AV229" s="57"/>
      <c r="AW229" s="57"/>
      <c r="AX229" s="57"/>
      <c r="AY229" s="137"/>
    </row>
    <row r="230" spans="1:51" ht="300.75" thickBot="1" x14ac:dyDescent="0.3">
      <c r="A230" s="610" t="s">
        <v>317</v>
      </c>
      <c r="B230" s="598">
        <v>422602</v>
      </c>
      <c r="C230" s="598" t="s">
        <v>568</v>
      </c>
      <c r="D230" s="611" t="s">
        <v>428</v>
      </c>
      <c r="E230" s="611" t="s">
        <v>20</v>
      </c>
      <c r="F230" s="611">
        <v>4</v>
      </c>
      <c r="G230" s="611">
        <v>662</v>
      </c>
      <c r="H230" s="611">
        <v>946</v>
      </c>
      <c r="I230" s="612">
        <v>1228</v>
      </c>
      <c r="J230" s="612">
        <v>964</v>
      </c>
      <c r="K230" s="612">
        <v>106.04</v>
      </c>
      <c r="L230" s="615">
        <v>106.04</v>
      </c>
      <c r="M230" s="615">
        <v>4</v>
      </c>
      <c r="N230" s="151">
        <f>ROUND(J230*(1+kopsavilkums!$O$15),2)</f>
        <v>1030.52</v>
      </c>
      <c r="O230" s="61">
        <f t="shared" si="92"/>
        <v>7.3199999999999932</v>
      </c>
      <c r="P230" s="61">
        <f>ROUND(L230*(1+kopsavilkums!$O$15),2)</f>
        <v>113.36</v>
      </c>
      <c r="Q230" s="61">
        <f t="shared" si="93"/>
        <v>73.839999999999918</v>
      </c>
      <c r="R230" s="61">
        <f t="shared" si="94"/>
        <v>295.35999999999967</v>
      </c>
      <c r="S230" s="61">
        <f t="shared" si="81"/>
        <v>3544.3199999999961</v>
      </c>
      <c r="T230" s="61">
        <f>ROUND(S230*kopsavilkums!$O$23,2)</f>
        <v>836.11</v>
      </c>
      <c r="U230" s="152">
        <f t="shared" si="95"/>
        <v>4380.4299999999957</v>
      </c>
      <c r="V230" s="73"/>
      <c r="W230" s="604" t="s">
        <v>770</v>
      </c>
      <c r="X230" s="605" t="s">
        <v>568</v>
      </c>
      <c r="Y230" s="605" t="s">
        <v>698</v>
      </c>
      <c r="Z230" s="769" t="s">
        <v>771</v>
      </c>
      <c r="AB230" s="57"/>
      <c r="AC230" s="57"/>
      <c r="AD230" s="57"/>
      <c r="AE230" s="57"/>
      <c r="AF230" s="57"/>
      <c r="AG230" s="57"/>
      <c r="AH230" s="57"/>
      <c r="AI230" s="57"/>
      <c r="AJ230" s="57"/>
      <c r="AK230" s="57"/>
      <c r="AL230" s="137"/>
      <c r="AO230" s="57"/>
      <c r="AP230" s="57"/>
      <c r="AQ230" s="57"/>
      <c r="AR230" s="57"/>
      <c r="AS230" s="57"/>
      <c r="AT230" s="57"/>
      <c r="AU230" s="57"/>
      <c r="AV230" s="57"/>
      <c r="AW230" s="57"/>
      <c r="AX230" s="57"/>
      <c r="AY230" s="137"/>
    </row>
    <row r="231" spans="1:51" ht="15.75" thickBot="1" x14ac:dyDescent="0.3">
      <c r="A231" s="62" t="s">
        <v>32</v>
      </c>
      <c r="B231" s="493"/>
      <c r="C231" s="493"/>
      <c r="D231" s="63" t="s">
        <v>29</v>
      </c>
      <c r="E231" s="63"/>
      <c r="F231" s="63" t="s">
        <v>29</v>
      </c>
      <c r="G231" s="63"/>
      <c r="H231" s="63"/>
      <c r="I231" s="63" t="s">
        <v>29</v>
      </c>
      <c r="J231" s="63" t="s">
        <v>29</v>
      </c>
      <c r="K231" s="63" t="s">
        <v>29</v>
      </c>
      <c r="L231" s="352"/>
      <c r="M231" s="139">
        <f>SUM(M215:M217,M219:M221,M223:M230)</f>
        <v>81.95</v>
      </c>
      <c r="N231" s="68"/>
      <c r="O231" s="72"/>
      <c r="P231" s="72"/>
      <c r="Q231" s="72"/>
      <c r="R231" s="72"/>
      <c r="S231" s="72"/>
      <c r="T231" s="72"/>
      <c r="U231" s="69"/>
      <c r="W231" s="72"/>
      <c r="X231" s="72"/>
      <c r="Y231" s="72"/>
      <c r="Z231" s="769"/>
    </row>
    <row r="232" spans="1:51" ht="15.75" thickBot="1" x14ac:dyDescent="0.3">
      <c r="A232" s="214" t="s">
        <v>32</v>
      </c>
      <c r="B232" s="522"/>
      <c r="C232" s="522"/>
      <c r="D232" s="6" t="s">
        <v>29</v>
      </c>
      <c r="E232" s="7" t="s">
        <v>29</v>
      </c>
      <c r="F232" s="7" t="s">
        <v>29</v>
      </c>
      <c r="G232" s="7"/>
      <c r="H232" s="7"/>
      <c r="I232" s="7" t="s">
        <v>29</v>
      </c>
      <c r="J232" s="7" t="s">
        <v>29</v>
      </c>
      <c r="K232" s="7" t="s">
        <v>29</v>
      </c>
      <c r="L232" s="350"/>
      <c r="M232" s="182">
        <f>M231</f>
        <v>81.95</v>
      </c>
      <c r="N232" s="210"/>
      <c r="O232" s="211"/>
      <c r="P232" s="211"/>
      <c r="Q232" s="211"/>
      <c r="R232" s="211"/>
      <c r="S232" s="211"/>
      <c r="T232" s="211"/>
      <c r="U232" s="212">
        <f>SUM(U223:U230,U219:U221,U215:U217)</f>
        <v>125300.21799999992</v>
      </c>
      <c r="V232" s="65"/>
      <c r="W232" s="72"/>
      <c r="X232" s="72"/>
      <c r="Y232" s="609"/>
      <c r="Z232" s="769"/>
      <c r="AK232" s="137"/>
      <c r="AX232" s="137"/>
    </row>
    <row r="233" spans="1:51" ht="15.75" thickBot="1" x14ac:dyDescent="0.3">
      <c r="A233" s="201"/>
      <c r="B233" s="201"/>
      <c r="C233" s="201"/>
      <c r="D233" s="202"/>
      <c r="E233" s="203"/>
      <c r="F233" s="203"/>
      <c r="G233" s="203"/>
      <c r="H233" s="203"/>
      <c r="I233" s="203"/>
      <c r="J233" s="203"/>
      <c r="K233" s="203"/>
      <c r="L233" s="203"/>
      <c r="M233" s="204"/>
      <c r="U233" s="57"/>
      <c r="V233" s="65"/>
      <c r="W233" s="72"/>
      <c r="X233" s="72"/>
      <c r="Y233" s="609"/>
      <c r="Z233" s="72"/>
      <c r="AK233" s="137"/>
      <c r="AX233" s="137"/>
    </row>
    <row r="234" spans="1:51" x14ac:dyDescent="0.25">
      <c r="A234" s="983" t="s">
        <v>211</v>
      </c>
      <c r="B234" s="984"/>
      <c r="C234" s="984"/>
      <c r="D234" s="985"/>
      <c r="E234" s="985"/>
      <c r="F234" s="985"/>
      <c r="G234" s="985"/>
      <c r="H234" s="985"/>
      <c r="I234" s="985"/>
      <c r="J234" s="985"/>
      <c r="K234" s="985"/>
      <c r="L234" s="986"/>
      <c r="M234" s="986"/>
      <c r="N234" s="184"/>
      <c r="O234" s="185"/>
      <c r="P234" s="185"/>
      <c r="Q234" s="185"/>
      <c r="R234" s="185"/>
      <c r="S234" s="185"/>
      <c r="T234" s="185"/>
      <c r="U234" s="186"/>
      <c r="W234" s="72"/>
      <c r="X234" s="72"/>
      <c r="Y234" s="72"/>
      <c r="Z234" s="72"/>
    </row>
    <row r="235" spans="1:51" x14ac:dyDescent="0.25">
      <c r="A235" s="1060" t="s">
        <v>212</v>
      </c>
      <c r="B235" s="1061"/>
      <c r="C235" s="1061"/>
      <c r="D235" s="1061"/>
      <c r="E235" s="1061"/>
      <c r="F235" s="1061"/>
      <c r="G235" s="1061"/>
      <c r="H235" s="1061"/>
      <c r="I235" s="1061"/>
      <c r="J235" s="1061"/>
      <c r="K235" s="1061"/>
      <c r="L235" s="1061"/>
      <c r="M235" s="1061"/>
      <c r="N235" s="68"/>
      <c r="O235" s="72"/>
      <c r="P235" s="72"/>
      <c r="Q235" s="72"/>
      <c r="R235" s="72"/>
      <c r="S235" s="72"/>
      <c r="T235" s="72"/>
      <c r="U235" s="69"/>
      <c r="W235" s="72"/>
      <c r="X235" s="72"/>
      <c r="Y235" s="72"/>
      <c r="Z235" s="72"/>
    </row>
    <row r="236" spans="1:51" x14ac:dyDescent="0.25">
      <c r="A236" s="997" t="s">
        <v>435</v>
      </c>
      <c r="B236" s="998"/>
      <c r="C236" s="998"/>
      <c r="D236" s="998"/>
      <c r="E236" s="998"/>
      <c r="F236" s="998"/>
      <c r="G236" s="998"/>
      <c r="H236" s="998"/>
      <c r="I236" s="998"/>
      <c r="J236" s="998"/>
      <c r="K236" s="998"/>
      <c r="L236" s="998"/>
      <c r="M236" s="998"/>
      <c r="N236" s="157"/>
      <c r="O236" s="155"/>
      <c r="P236" s="155"/>
      <c r="Q236" s="155"/>
      <c r="R236" s="155"/>
      <c r="S236" s="155"/>
      <c r="T236" s="155"/>
      <c r="U236" s="158"/>
      <c r="W236" s="72"/>
      <c r="X236" s="72"/>
      <c r="Y236" s="72"/>
      <c r="Z236" s="72"/>
    </row>
    <row r="237" spans="1:51" ht="26.25" x14ac:dyDescent="0.25">
      <c r="A237" s="616" t="s">
        <v>213</v>
      </c>
      <c r="B237" s="617" t="s">
        <v>464</v>
      </c>
      <c r="C237" s="618"/>
      <c r="D237" s="551" t="s">
        <v>429</v>
      </c>
      <c r="E237" s="552" t="s">
        <v>408</v>
      </c>
      <c r="F237" s="552">
        <v>12</v>
      </c>
      <c r="G237" s="552">
        <v>2174</v>
      </c>
      <c r="H237" s="552">
        <v>3105</v>
      </c>
      <c r="I237" s="585">
        <v>3726</v>
      </c>
      <c r="J237" s="585">
        <v>2795</v>
      </c>
      <c r="K237" s="552"/>
      <c r="L237" s="594">
        <v>0</v>
      </c>
      <c r="M237" s="590">
        <v>1</v>
      </c>
      <c r="N237" s="151">
        <f>ROUND(J237*(1+kopsavilkums!$O$8),2)</f>
        <v>3091.27</v>
      </c>
      <c r="O237" s="61">
        <f t="shared" ref="O237" si="101">P237-L237</f>
        <v>0</v>
      </c>
      <c r="P237" s="61">
        <f>ROUND(L237*(1+kopsavilkums!$O$8),2)</f>
        <v>0</v>
      </c>
      <c r="Q237" s="61">
        <f t="shared" ref="Q237:Q246" si="102">(N237+P237)-(J237+L237)</f>
        <v>296.27</v>
      </c>
      <c r="R237" s="61">
        <f t="shared" ref="R237" si="103">Q237*M237</f>
        <v>296.27</v>
      </c>
      <c r="S237" s="61">
        <f t="shared" ref="S237" si="104">R237*12</f>
        <v>3555.24</v>
      </c>
      <c r="T237" s="61">
        <f>ROUND(S237*kopsavilkums!$O$23,2)</f>
        <v>838.68</v>
      </c>
      <c r="U237" s="152">
        <f t="shared" ref="U237" si="105">SUM(S237:T237)</f>
        <v>4393.92</v>
      </c>
      <c r="V237" s="73"/>
      <c r="W237" s="604" t="s">
        <v>752</v>
      </c>
      <c r="X237" s="605"/>
      <c r="Y237" s="605" t="s">
        <v>698</v>
      </c>
      <c r="Z237" s="72"/>
      <c r="AB237" s="57"/>
      <c r="AC237" s="57"/>
      <c r="AD237" s="57"/>
      <c r="AE237" s="57"/>
      <c r="AF237" s="57"/>
      <c r="AG237" s="57"/>
      <c r="AH237" s="57"/>
      <c r="AI237" s="57"/>
      <c r="AJ237" s="57"/>
      <c r="AK237" s="57"/>
      <c r="AL237" s="137"/>
      <c r="AO237" s="57"/>
      <c r="AP237" s="57"/>
      <c r="AQ237" s="57"/>
      <c r="AR237" s="57"/>
      <c r="AS237" s="57"/>
      <c r="AT237" s="57"/>
      <c r="AU237" s="57"/>
      <c r="AV237" s="57"/>
      <c r="AW237" s="57"/>
      <c r="AX237" s="57"/>
      <c r="AY237" s="137"/>
    </row>
    <row r="238" spans="1:51" x14ac:dyDescent="0.25">
      <c r="A238" s="616" t="s">
        <v>214</v>
      </c>
      <c r="B238" s="617" t="s">
        <v>464</v>
      </c>
      <c r="C238" s="618"/>
      <c r="D238" s="551" t="s">
        <v>429</v>
      </c>
      <c r="E238" s="552" t="s">
        <v>255</v>
      </c>
      <c r="F238" s="552">
        <v>11</v>
      </c>
      <c r="G238" s="552">
        <v>1746</v>
      </c>
      <c r="H238" s="552">
        <v>2496</v>
      </c>
      <c r="I238" s="585">
        <v>3120</v>
      </c>
      <c r="J238" s="585">
        <v>2021</v>
      </c>
      <c r="K238" s="552"/>
      <c r="L238" s="594">
        <v>0</v>
      </c>
      <c r="M238" s="590">
        <v>1</v>
      </c>
      <c r="N238" s="151">
        <f>ROUND(J238*(1+kopsavilkums!$O$8),2)</f>
        <v>2235.23</v>
      </c>
      <c r="O238" s="61">
        <f t="shared" ref="O238:O246" si="106">P238-L238</f>
        <v>0</v>
      </c>
      <c r="P238" s="61">
        <f>ROUND(L238*(1+kopsavilkums!$O$8),2)</f>
        <v>0</v>
      </c>
      <c r="Q238" s="61">
        <f t="shared" si="102"/>
        <v>214.23000000000002</v>
      </c>
      <c r="R238" s="61">
        <f t="shared" ref="R238:R246" si="107">Q238*M238</f>
        <v>214.23000000000002</v>
      </c>
      <c r="S238" s="61">
        <f t="shared" ref="S238:S246" si="108">R238*12</f>
        <v>2570.7600000000002</v>
      </c>
      <c r="T238" s="61">
        <f>ROUND(S238*kopsavilkums!$O$23,2)</f>
        <v>606.44000000000005</v>
      </c>
      <c r="U238" s="152">
        <f t="shared" ref="U238:U246" si="109">SUM(S238:T238)</f>
        <v>3177.2000000000003</v>
      </c>
      <c r="V238" s="73"/>
      <c r="W238" s="604" t="s">
        <v>752</v>
      </c>
      <c r="X238" s="605"/>
      <c r="Y238" s="605" t="s">
        <v>698</v>
      </c>
      <c r="Z238" s="72"/>
      <c r="AB238" s="57"/>
      <c r="AC238" s="57"/>
      <c r="AD238" s="57"/>
      <c r="AE238" s="57"/>
      <c r="AF238" s="57"/>
      <c r="AG238" s="57"/>
      <c r="AH238" s="57"/>
      <c r="AI238" s="57"/>
      <c r="AJ238" s="57"/>
      <c r="AK238" s="57"/>
      <c r="AL238" s="137"/>
      <c r="AO238" s="57"/>
      <c r="AP238" s="57"/>
      <c r="AQ238" s="57"/>
      <c r="AR238" s="57"/>
      <c r="AS238" s="57"/>
      <c r="AT238" s="57"/>
      <c r="AU238" s="57"/>
      <c r="AV238" s="57"/>
      <c r="AW238" s="57"/>
      <c r="AX238" s="57"/>
      <c r="AY238" s="137"/>
    </row>
    <row r="239" spans="1:51" ht="26.25" x14ac:dyDescent="0.25">
      <c r="A239" s="616" t="s">
        <v>215</v>
      </c>
      <c r="B239" s="617" t="s">
        <v>575</v>
      </c>
      <c r="C239" s="618"/>
      <c r="D239" s="551" t="s">
        <v>429</v>
      </c>
      <c r="E239" s="552" t="s">
        <v>9</v>
      </c>
      <c r="F239" s="552">
        <v>10</v>
      </c>
      <c r="G239" s="552">
        <v>1399</v>
      </c>
      <c r="H239" s="552">
        <v>1999</v>
      </c>
      <c r="I239" s="585">
        <v>2499</v>
      </c>
      <c r="J239" s="585">
        <v>1619</v>
      </c>
      <c r="K239" s="552"/>
      <c r="L239" s="594">
        <v>0</v>
      </c>
      <c r="M239" s="590">
        <v>4</v>
      </c>
      <c r="N239" s="151">
        <f>ROUND(J239*(1+kopsavilkums!$O$8),2)</f>
        <v>1790.61</v>
      </c>
      <c r="O239" s="61">
        <f t="shared" si="106"/>
        <v>0</v>
      </c>
      <c r="P239" s="61">
        <f>ROUND(L239*(1+kopsavilkums!$O$8),2)</f>
        <v>0</v>
      </c>
      <c r="Q239" s="61">
        <f t="shared" si="102"/>
        <v>171.6099999999999</v>
      </c>
      <c r="R239" s="61">
        <f t="shared" si="107"/>
        <v>686.4399999999996</v>
      </c>
      <c r="S239" s="61">
        <f t="shared" si="108"/>
        <v>8237.2799999999952</v>
      </c>
      <c r="T239" s="61">
        <f>ROUND(S239*kopsavilkums!$O$23,2)</f>
        <v>1943.17</v>
      </c>
      <c r="U239" s="152">
        <f t="shared" si="109"/>
        <v>10180.449999999995</v>
      </c>
      <c r="V239" s="73"/>
      <c r="W239" s="604" t="s">
        <v>773</v>
      </c>
      <c r="X239" s="605"/>
      <c r="Y239" s="605" t="s">
        <v>698</v>
      </c>
      <c r="Z239" s="72"/>
      <c r="AB239" s="57"/>
      <c r="AC239" s="57"/>
      <c r="AD239" s="57"/>
      <c r="AE239" s="57"/>
      <c r="AF239" s="57"/>
      <c r="AG239" s="57"/>
      <c r="AH239" s="57"/>
      <c r="AI239" s="57"/>
      <c r="AJ239" s="57"/>
      <c r="AK239" s="57"/>
      <c r="AL239" s="137"/>
      <c r="AO239" s="57"/>
      <c r="AP239" s="57"/>
      <c r="AQ239" s="57"/>
      <c r="AR239" s="57"/>
      <c r="AS239" s="57"/>
      <c r="AT239" s="57"/>
      <c r="AU239" s="57"/>
      <c r="AV239" s="57"/>
      <c r="AW239" s="57"/>
      <c r="AX239" s="57"/>
      <c r="AY239" s="137"/>
    </row>
    <row r="240" spans="1:51" ht="26.25" x14ac:dyDescent="0.25">
      <c r="A240" s="616" t="s">
        <v>215</v>
      </c>
      <c r="B240" s="617" t="s">
        <v>772</v>
      </c>
      <c r="C240" s="618"/>
      <c r="D240" s="551" t="s">
        <v>429</v>
      </c>
      <c r="E240" s="552" t="s">
        <v>9</v>
      </c>
      <c r="F240" s="552">
        <v>10</v>
      </c>
      <c r="G240" s="552">
        <v>1399</v>
      </c>
      <c r="H240" s="552">
        <v>1999</v>
      </c>
      <c r="I240" s="585">
        <v>2499</v>
      </c>
      <c r="J240" s="585">
        <v>1457</v>
      </c>
      <c r="K240" s="552"/>
      <c r="L240" s="594">
        <v>0</v>
      </c>
      <c r="M240" s="590">
        <v>1</v>
      </c>
      <c r="N240" s="151">
        <f>ROUND(J240*(1+kopsavilkums!$O$8),2)</f>
        <v>1611.44</v>
      </c>
      <c r="O240" s="61">
        <f t="shared" si="106"/>
        <v>0</v>
      </c>
      <c r="P240" s="61">
        <f>ROUND(L240*(1+kopsavilkums!$O$8),2)</f>
        <v>0</v>
      </c>
      <c r="Q240" s="61">
        <f t="shared" si="102"/>
        <v>154.44000000000005</v>
      </c>
      <c r="R240" s="61">
        <f t="shared" si="107"/>
        <v>154.44000000000005</v>
      </c>
      <c r="S240" s="61">
        <f t="shared" si="108"/>
        <v>1853.2800000000007</v>
      </c>
      <c r="T240" s="61">
        <f>ROUND(S240*kopsavilkums!$O$23,2)</f>
        <v>437.19</v>
      </c>
      <c r="U240" s="152">
        <f t="shared" si="109"/>
        <v>2290.4700000000007</v>
      </c>
      <c r="V240" s="73"/>
      <c r="W240" s="604"/>
      <c r="X240" s="605"/>
      <c r="Y240" s="605"/>
      <c r="Z240" s="72"/>
      <c r="AB240" s="57"/>
      <c r="AC240" s="57"/>
      <c r="AD240" s="57"/>
      <c r="AE240" s="57"/>
      <c r="AF240" s="57"/>
      <c r="AG240" s="57"/>
      <c r="AH240" s="57"/>
      <c r="AI240" s="57"/>
      <c r="AJ240" s="57"/>
      <c r="AK240" s="57"/>
      <c r="AL240" s="137"/>
      <c r="AO240" s="57"/>
      <c r="AP240" s="57"/>
      <c r="AQ240" s="57"/>
      <c r="AR240" s="57"/>
      <c r="AS240" s="57"/>
      <c r="AT240" s="57"/>
      <c r="AU240" s="57"/>
      <c r="AV240" s="57"/>
      <c r="AW240" s="57"/>
      <c r="AX240" s="57"/>
      <c r="AY240" s="137"/>
    </row>
    <row r="241" spans="1:51" ht="26.25" x14ac:dyDescent="0.25">
      <c r="A241" s="616" t="s">
        <v>215</v>
      </c>
      <c r="B241" s="617" t="s">
        <v>575</v>
      </c>
      <c r="C241" s="618"/>
      <c r="D241" s="551" t="s">
        <v>429</v>
      </c>
      <c r="E241" s="552" t="s">
        <v>9</v>
      </c>
      <c r="F241" s="552">
        <v>10</v>
      </c>
      <c r="G241" s="552">
        <v>1399</v>
      </c>
      <c r="H241" s="552">
        <v>1999</v>
      </c>
      <c r="I241" s="585">
        <v>2499</v>
      </c>
      <c r="J241" s="585">
        <v>1399</v>
      </c>
      <c r="K241" s="552"/>
      <c r="L241" s="594">
        <v>0</v>
      </c>
      <c r="M241" s="590">
        <v>2</v>
      </c>
      <c r="N241" s="151">
        <f>ROUND(J241*(1+kopsavilkums!$O$8),2)</f>
        <v>1547.29</v>
      </c>
      <c r="O241" s="61">
        <f t="shared" si="106"/>
        <v>0</v>
      </c>
      <c r="P241" s="61">
        <f>ROUND(L241*(1+kopsavilkums!$O$8),2)</f>
        <v>0</v>
      </c>
      <c r="Q241" s="61">
        <f t="shared" si="102"/>
        <v>148.28999999999996</v>
      </c>
      <c r="R241" s="61">
        <f t="shared" si="107"/>
        <v>296.57999999999993</v>
      </c>
      <c r="S241" s="61">
        <f t="shared" si="108"/>
        <v>3558.9599999999991</v>
      </c>
      <c r="T241" s="61">
        <f>ROUND(S241*kopsavilkums!$O$23,2)</f>
        <v>839.56</v>
      </c>
      <c r="U241" s="152">
        <f t="shared" si="109"/>
        <v>4398.5199999999986</v>
      </c>
      <c r="V241" s="73"/>
      <c r="W241" s="604" t="s">
        <v>773</v>
      </c>
      <c r="X241" s="605"/>
      <c r="Y241" s="605" t="s">
        <v>698</v>
      </c>
      <c r="Z241" s="72"/>
      <c r="AB241" s="57"/>
      <c r="AC241" s="57"/>
      <c r="AD241" s="57"/>
      <c r="AE241" s="57"/>
      <c r="AF241" s="57"/>
      <c r="AG241" s="57"/>
      <c r="AH241" s="57"/>
      <c r="AI241" s="57"/>
      <c r="AJ241" s="57"/>
      <c r="AK241" s="57"/>
      <c r="AL241" s="137"/>
      <c r="AO241" s="57"/>
      <c r="AP241" s="57"/>
      <c r="AQ241" s="57"/>
      <c r="AR241" s="57"/>
      <c r="AS241" s="57"/>
      <c r="AT241" s="57"/>
      <c r="AU241" s="57"/>
      <c r="AV241" s="57"/>
      <c r="AW241" s="57"/>
      <c r="AX241" s="57"/>
      <c r="AY241" s="137"/>
    </row>
    <row r="242" spans="1:51" x14ac:dyDescent="0.25">
      <c r="A242" s="616" t="s">
        <v>334</v>
      </c>
      <c r="B242" s="617" t="s">
        <v>575</v>
      </c>
      <c r="C242" s="618"/>
      <c r="D242" s="551" t="s">
        <v>429</v>
      </c>
      <c r="E242" s="552" t="s">
        <v>11</v>
      </c>
      <c r="F242" s="552">
        <v>9</v>
      </c>
      <c r="G242" s="552">
        <v>1157</v>
      </c>
      <c r="H242" s="552">
        <v>1653</v>
      </c>
      <c r="I242" s="585">
        <v>2067</v>
      </c>
      <c r="J242" s="585">
        <v>1350</v>
      </c>
      <c r="K242" s="552"/>
      <c r="L242" s="594">
        <v>0</v>
      </c>
      <c r="M242" s="590">
        <v>1</v>
      </c>
      <c r="N242" s="151">
        <f>ROUND(J242*(1+kopsavilkums!$O$8),2)</f>
        <v>1493.1</v>
      </c>
      <c r="O242" s="61">
        <f t="shared" si="106"/>
        <v>0</v>
      </c>
      <c r="P242" s="61">
        <f>ROUND(L242*(1+kopsavilkums!$O$8),2)</f>
        <v>0</v>
      </c>
      <c r="Q242" s="61">
        <f t="shared" si="102"/>
        <v>143.09999999999991</v>
      </c>
      <c r="R242" s="61">
        <f t="shared" si="107"/>
        <v>143.09999999999991</v>
      </c>
      <c r="S242" s="61">
        <f t="shared" si="108"/>
        <v>1717.1999999999989</v>
      </c>
      <c r="T242" s="61">
        <f>ROUND(S242*kopsavilkums!$O$23,2)</f>
        <v>405.09</v>
      </c>
      <c r="U242" s="152">
        <f t="shared" si="109"/>
        <v>2122.2899999999991</v>
      </c>
      <c r="V242" s="73"/>
      <c r="W242" s="604" t="s">
        <v>773</v>
      </c>
      <c r="X242" s="605"/>
      <c r="Y242" s="605" t="s">
        <v>698</v>
      </c>
      <c r="Z242" s="72"/>
      <c r="AB242" s="57"/>
      <c r="AC242" s="57"/>
      <c r="AD242" s="57"/>
      <c r="AE242" s="57"/>
      <c r="AF242" s="57"/>
      <c r="AG242" s="57"/>
      <c r="AH242" s="57"/>
      <c r="AI242" s="57"/>
      <c r="AJ242" s="57"/>
      <c r="AK242" s="57"/>
      <c r="AL242" s="137"/>
      <c r="AO242" s="57"/>
      <c r="AP242" s="57"/>
      <c r="AQ242" s="57"/>
      <c r="AR242" s="57"/>
      <c r="AS242" s="57"/>
      <c r="AT242" s="57"/>
      <c r="AU242" s="57"/>
      <c r="AV242" s="57"/>
      <c r="AW242" s="57"/>
      <c r="AX242" s="57"/>
      <c r="AY242" s="137"/>
    </row>
    <row r="243" spans="1:51" ht="120" x14ac:dyDescent="0.25">
      <c r="A243" s="616" t="s">
        <v>216</v>
      </c>
      <c r="B243" s="617" t="s">
        <v>576</v>
      </c>
      <c r="C243" s="618"/>
      <c r="D243" s="551" t="s">
        <v>429</v>
      </c>
      <c r="E243" s="552" t="s">
        <v>255</v>
      </c>
      <c r="F243" s="552">
        <v>11</v>
      </c>
      <c r="G243" s="552">
        <v>1746</v>
      </c>
      <c r="H243" s="552">
        <v>2496</v>
      </c>
      <c r="I243" s="585">
        <v>3120</v>
      </c>
      <c r="J243" s="585">
        <v>2246</v>
      </c>
      <c r="K243" s="552"/>
      <c r="L243" s="594">
        <v>0</v>
      </c>
      <c r="M243" s="590">
        <v>1</v>
      </c>
      <c r="N243" s="151">
        <f>ROUND(J243*(1+kopsavilkums!$O$8),2)</f>
        <v>2484.08</v>
      </c>
      <c r="O243" s="61">
        <f t="shared" ref="O243" si="110">P243-L243</f>
        <v>0</v>
      </c>
      <c r="P243" s="61">
        <f>ROUND(L243*(1+kopsavilkums!$O$8),2)</f>
        <v>0</v>
      </c>
      <c r="Q243" s="61">
        <f t="shared" ref="Q243" si="111">(N243+P243)-(J243+L243)</f>
        <v>238.07999999999993</v>
      </c>
      <c r="R243" s="61">
        <f t="shared" ref="R243" si="112">Q243*M243</f>
        <v>238.07999999999993</v>
      </c>
      <c r="S243" s="61">
        <f t="shared" ref="S243" si="113">R243*12</f>
        <v>2856.9599999999991</v>
      </c>
      <c r="T243" s="61">
        <f>ROUND(S243*kopsavilkums!$O$23,2)</f>
        <v>673.96</v>
      </c>
      <c r="U243" s="152">
        <f t="shared" ref="U243" si="114">SUM(S243:T243)</f>
        <v>3530.9199999999992</v>
      </c>
      <c r="V243" s="73"/>
      <c r="W243" s="619" t="s">
        <v>774</v>
      </c>
      <c r="X243" s="605"/>
      <c r="Y243" s="605" t="s">
        <v>698</v>
      </c>
      <c r="Z243" s="72"/>
      <c r="AB243" s="57"/>
      <c r="AC243" s="57"/>
      <c r="AD243" s="57"/>
      <c r="AE243" s="57"/>
      <c r="AF243" s="57"/>
      <c r="AG243" s="57"/>
      <c r="AH243" s="57"/>
      <c r="AI243" s="57"/>
      <c r="AJ243" s="57"/>
      <c r="AK243" s="57"/>
      <c r="AL243" s="137"/>
      <c r="AO243" s="57"/>
      <c r="AP243" s="57"/>
      <c r="AQ243" s="57"/>
      <c r="AR243" s="57"/>
      <c r="AS243" s="57"/>
      <c r="AT243" s="57"/>
      <c r="AU243" s="57"/>
      <c r="AV243" s="57"/>
      <c r="AW243" s="57"/>
      <c r="AX243" s="57"/>
      <c r="AY243" s="137"/>
    </row>
    <row r="244" spans="1:51" ht="26.25" x14ac:dyDescent="0.25">
      <c r="A244" s="616" t="s">
        <v>217</v>
      </c>
      <c r="B244" s="617" t="s">
        <v>575</v>
      </c>
      <c r="C244" s="618"/>
      <c r="D244" s="551" t="s">
        <v>429</v>
      </c>
      <c r="E244" s="552" t="s">
        <v>9</v>
      </c>
      <c r="F244" s="552">
        <v>10</v>
      </c>
      <c r="G244" s="552">
        <v>1399</v>
      </c>
      <c r="H244" s="552">
        <v>1999</v>
      </c>
      <c r="I244" s="585">
        <v>2499</v>
      </c>
      <c r="J244" s="585">
        <v>1619</v>
      </c>
      <c r="K244" s="552"/>
      <c r="L244" s="594">
        <v>0</v>
      </c>
      <c r="M244" s="590">
        <v>1</v>
      </c>
      <c r="N244" s="151">
        <f>ROUND(J244*(1+kopsavilkums!$O$8),2)</f>
        <v>1790.61</v>
      </c>
      <c r="O244" s="61">
        <f t="shared" ref="O244:O245" si="115">P244-L244</f>
        <v>0</v>
      </c>
      <c r="P244" s="61">
        <f>ROUND(L244*(1+kopsavilkums!$O$8),2)</f>
        <v>0</v>
      </c>
      <c r="Q244" s="61">
        <f t="shared" ref="Q244:Q245" si="116">(N244+P244)-(J244+L244)</f>
        <v>171.6099999999999</v>
      </c>
      <c r="R244" s="61">
        <f t="shared" ref="R244:R245" si="117">Q244*M244</f>
        <v>171.6099999999999</v>
      </c>
      <c r="S244" s="61">
        <f t="shared" ref="S244:S245" si="118">R244*12</f>
        <v>2059.3199999999988</v>
      </c>
      <c r="T244" s="61">
        <f>ROUND(S244*kopsavilkums!$O$23,2)</f>
        <v>485.79</v>
      </c>
      <c r="U244" s="152">
        <f t="shared" ref="U244:U245" si="119">SUM(S244:T244)</f>
        <v>2545.1099999999988</v>
      </c>
      <c r="V244" s="73"/>
      <c r="W244" s="604" t="s">
        <v>773</v>
      </c>
      <c r="X244" s="605"/>
      <c r="Y244" s="605" t="s">
        <v>698</v>
      </c>
      <c r="Z244" s="72"/>
      <c r="AB244" s="57"/>
      <c r="AC244" s="57"/>
      <c r="AD244" s="57"/>
      <c r="AE244" s="57"/>
      <c r="AF244" s="57"/>
      <c r="AG244" s="57"/>
      <c r="AH244" s="57"/>
      <c r="AI244" s="57"/>
      <c r="AJ244" s="57"/>
      <c r="AK244" s="57"/>
      <c r="AL244" s="137"/>
      <c r="AO244" s="57"/>
      <c r="AP244" s="57"/>
      <c r="AQ244" s="57"/>
      <c r="AR244" s="57"/>
      <c r="AS244" s="57"/>
      <c r="AT244" s="57"/>
      <c r="AU244" s="57"/>
      <c r="AV244" s="57"/>
      <c r="AW244" s="57"/>
      <c r="AX244" s="57"/>
      <c r="AY244" s="137"/>
    </row>
    <row r="245" spans="1:51" ht="26.25" x14ac:dyDescent="0.25">
      <c r="A245" s="616" t="s">
        <v>217</v>
      </c>
      <c r="B245" s="617" t="s">
        <v>575</v>
      </c>
      <c r="C245" s="618"/>
      <c r="D245" s="551" t="s">
        <v>429</v>
      </c>
      <c r="E245" s="552" t="s">
        <v>9</v>
      </c>
      <c r="F245" s="552">
        <v>10</v>
      </c>
      <c r="G245" s="552">
        <v>1399</v>
      </c>
      <c r="H245" s="552">
        <v>1999</v>
      </c>
      <c r="I245" s="585">
        <v>2499</v>
      </c>
      <c r="J245" s="585">
        <v>1457</v>
      </c>
      <c r="K245" s="552"/>
      <c r="L245" s="594">
        <v>0</v>
      </c>
      <c r="M245" s="590">
        <v>2</v>
      </c>
      <c r="N245" s="151">
        <f>ROUND(J245*(1+kopsavilkums!$O$8),2)</f>
        <v>1611.44</v>
      </c>
      <c r="O245" s="61">
        <f t="shared" si="115"/>
        <v>0</v>
      </c>
      <c r="P245" s="61">
        <f>ROUND(L245*(1+kopsavilkums!$O$8),2)</f>
        <v>0</v>
      </c>
      <c r="Q245" s="61">
        <f t="shared" si="116"/>
        <v>154.44000000000005</v>
      </c>
      <c r="R245" s="61">
        <f t="shared" si="117"/>
        <v>308.88000000000011</v>
      </c>
      <c r="S245" s="61">
        <f t="shared" si="118"/>
        <v>3706.5600000000013</v>
      </c>
      <c r="T245" s="61">
        <f>ROUND(S245*kopsavilkums!$O$23,2)</f>
        <v>874.38</v>
      </c>
      <c r="U245" s="152">
        <f t="shared" si="119"/>
        <v>4580.9400000000014</v>
      </c>
      <c r="V245" s="73"/>
      <c r="W245" s="604"/>
      <c r="X245" s="605"/>
      <c r="Y245" s="605"/>
      <c r="Z245" s="72"/>
      <c r="AB245" s="57"/>
      <c r="AC245" s="57"/>
      <c r="AD245" s="57"/>
      <c r="AE245" s="57"/>
      <c r="AF245" s="57"/>
      <c r="AG245" s="57"/>
      <c r="AH245" s="57"/>
      <c r="AI245" s="57"/>
      <c r="AJ245" s="57"/>
      <c r="AK245" s="57"/>
      <c r="AL245" s="137"/>
      <c r="AO245" s="57"/>
      <c r="AP245" s="57"/>
      <c r="AQ245" s="57"/>
      <c r="AR245" s="57"/>
      <c r="AS245" s="57"/>
      <c r="AT245" s="57"/>
      <c r="AU245" s="57"/>
      <c r="AV245" s="57"/>
      <c r="AW245" s="57"/>
      <c r="AX245" s="57"/>
      <c r="AY245" s="137"/>
    </row>
    <row r="246" spans="1:51" ht="27" thickBot="1" x14ac:dyDescent="0.3">
      <c r="A246" s="616" t="s">
        <v>217</v>
      </c>
      <c r="B246" s="617" t="s">
        <v>575</v>
      </c>
      <c r="C246" s="618"/>
      <c r="D246" s="551" t="s">
        <v>429</v>
      </c>
      <c r="E246" s="552" t="s">
        <v>9</v>
      </c>
      <c r="F246" s="552">
        <v>10</v>
      </c>
      <c r="G246" s="552">
        <v>1399</v>
      </c>
      <c r="H246" s="552">
        <v>1999</v>
      </c>
      <c r="I246" s="585">
        <v>2499</v>
      </c>
      <c r="J246" s="585">
        <v>1399</v>
      </c>
      <c r="K246" s="552"/>
      <c r="L246" s="594">
        <v>0</v>
      </c>
      <c r="M246" s="590">
        <v>1</v>
      </c>
      <c r="N246" s="151">
        <f>ROUND(J246*(1+kopsavilkums!$O$8),2)</f>
        <v>1547.29</v>
      </c>
      <c r="O246" s="61">
        <f t="shared" si="106"/>
        <v>0</v>
      </c>
      <c r="P246" s="61">
        <f>ROUND(L246*(1+kopsavilkums!$O$8),2)</f>
        <v>0</v>
      </c>
      <c r="Q246" s="61">
        <f t="shared" si="102"/>
        <v>148.28999999999996</v>
      </c>
      <c r="R246" s="61">
        <f t="shared" si="107"/>
        <v>148.28999999999996</v>
      </c>
      <c r="S246" s="61">
        <f t="shared" si="108"/>
        <v>1779.4799999999996</v>
      </c>
      <c r="T246" s="61">
        <f>ROUND(S246*kopsavilkums!$O$23,2)</f>
        <v>419.78</v>
      </c>
      <c r="U246" s="152">
        <f t="shared" si="109"/>
        <v>2199.2599999999993</v>
      </c>
      <c r="V246" s="73"/>
      <c r="W246" s="604" t="s">
        <v>773</v>
      </c>
      <c r="X246" s="605"/>
      <c r="Y246" s="605" t="s">
        <v>698</v>
      </c>
      <c r="Z246" s="72"/>
      <c r="AB246" s="57"/>
      <c r="AC246" s="57"/>
      <c r="AD246" s="57"/>
      <c r="AE246" s="57"/>
      <c r="AF246" s="57"/>
      <c r="AG246" s="57"/>
      <c r="AH246" s="57"/>
      <c r="AI246" s="57"/>
      <c r="AJ246" s="57"/>
      <c r="AK246" s="57"/>
      <c r="AL246" s="137"/>
      <c r="AO246" s="57"/>
      <c r="AP246" s="57"/>
      <c r="AQ246" s="57"/>
      <c r="AR246" s="57"/>
      <c r="AS246" s="57"/>
      <c r="AT246" s="57"/>
      <c r="AU246" s="57"/>
      <c r="AV246" s="57"/>
      <c r="AW246" s="57"/>
      <c r="AX246" s="57"/>
      <c r="AY246" s="137"/>
    </row>
    <row r="247" spans="1:51" ht="15.75" thickBot="1" x14ac:dyDescent="0.3">
      <c r="A247" s="62" t="s">
        <v>32</v>
      </c>
      <c r="B247" s="493"/>
      <c r="C247" s="493"/>
      <c r="D247" s="63" t="s">
        <v>29</v>
      </c>
      <c r="E247" s="63"/>
      <c r="F247" s="63" t="s">
        <v>29</v>
      </c>
      <c r="G247" s="63"/>
      <c r="H247" s="63"/>
      <c r="I247" s="63" t="s">
        <v>29</v>
      </c>
      <c r="J247" s="63" t="s">
        <v>29</v>
      </c>
      <c r="K247" s="63" t="s">
        <v>29</v>
      </c>
      <c r="L247" s="352"/>
      <c r="M247" s="139">
        <f>SUM(M237:M246)</f>
        <v>15</v>
      </c>
      <c r="N247" s="159"/>
      <c r="O247" s="160"/>
      <c r="P247" s="160"/>
      <c r="Q247" s="160"/>
      <c r="R247" s="160"/>
      <c r="S247" s="160"/>
      <c r="T247" s="160"/>
      <c r="U247" s="175">
        <f>SUM(U237:U246)</f>
        <v>39419.08</v>
      </c>
      <c r="V247" s="65"/>
      <c r="W247" s="72"/>
      <c r="X247" s="72"/>
      <c r="Y247" s="609"/>
      <c r="Z247" s="72"/>
      <c r="AK247" s="137"/>
      <c r="AX247" s="137"/>
    </row>
    <row r="248" spans="1:51" x14ac:dyDescent="0.25">
      <c r="A248" s="215"/>
      <c r="B248" s="215"/>
      <c r="C248" s="215"/>
      <c r="D248" s="215"/>
      <c r="E248" s="215"/>
      <c r="F248" s="215"/>
      <c r="G248" s="215"/>
      <c r="H248" s="215"/>
      <c r="I248" s="215"/>
      <c r="J248" s="215"/>
      <c r="K248" s="215"/>
      <c r="L248" s="215"/>
      <c r="M248" s="216"/>
      <c r="V248" s="65"/>
    </row>
    <row r="249" spans="1:51" x14ac:dyDescent="0.25">
      <c r="A249" s="217"/>
      <c r="B249" s="217"/>
      <c r="C249" s="217"/>
      <c r="D249" s="12"/>
      <c r="E249" s="12"/>
      <c r="F249" s="12"/>
      <c r="G249" s="12"/>
      <c r="H249" s="12"/>
      <c r="I249" s="12"/>
      <c r="J249" s="12"/>
      <c r="K249" s="12"/>
      <c r="L249" s="12"/>
      <c r="M249" s="218"/>
      <c r="Q249" s="141"/>
      <c r="R249" s="141"/>
      <c r="S249" s="141"/>
      <c r="T249" s="141"/>
      <c r="U249" s="141"/>
      <c r="V249" s="65"/>
      <c r="X249" s="65"/>
      <c r="Y249" s="65"/>
      <c r="AC249" s="141"/>
      <c r="AD249" s="141"/>
      <c r="AE249" s="141"/>
      <c r="AF249" s="141"/>
      <c r="AG249" s="141"/>
      <c r="AH249" s="141"/>
      <c r="AI249" s="65"/>
      <c r="AJ249" s="65"/>
      <c r="AK249" s="65"/>
      <c r="AP249" s="141"/>
      <c r="AQ249" s="141"/>
      <c r="AR249" s="141"/>
      <c r="AS249" s="141"/>
      <c r="AT249" s="141"/>
      <c r="AU249" s="141"/>
      <c r="AV249" s="65"/>
      <c r="AW249" s="65"/>
      <c r="AX249" s="65"/>
    </row>
    <row r="250" spans="1:51" x14ac:dyDescent="0.25">
      <c r="A250" t="s">
        <v>264</v>
      </c>
      <c r="Q250" s="141"/>
      <c r="R250" s="141"/>
      <c r="S250" s="141"/>
      <c r="T250" s="141"/>
      <c r="U250" s="141"/>
      <c r="V250" s="65"/>
      <c r="X250" s="67"/>
      <c r="Y250" s="135"/>
      <c r="AC250" s="141"/>
      <c r="AD250" s="141"/>
      <c r="AE250" s="141"/>
      <c r="AF250" s="141"/>
      <c r="AG250" s="141"/>
      <c r="AH250" s="141"/>
      <c r="AI250" s="67"/>
      <c r="AJ250" s="67"/>
      <c r="AK250" s="135"/>
      <c r="AP250" s="141"/>
      <c r="AQ250" s="141"/>
      <c r="AR250" s="141"/>
      <c r="AS250" s="141"/>
      <c r="AT250" s="141"/>
      <c r="AU250" s="141"/>
      <c r="AV250" s="67"/>
      <c r="AW250" s="67"/>
      <c r="AX250" s="135"/>
    </row>
    <row r="251" spans="1:51" x14ac:dyDescent="0.25">
      <c r="A251" t="s">
        <v>266</v>
      </c>
      <c r="V251" s="137"/>
    </row>
    <row r="252" spans="1:51" x14ac:dyDescent="0.25">
      <c r="U252" s="57"/>
    </row>
  </sheetData>
  <mergeCells count="20">
    <mergeCell ref="A34:M34"/>
    <mergeCell ref="A235:M235"/>
    <mergeCell ref="A236:M236"/>
    <mergeCell ref="A137:M137"/>
    <mergeCell ref="A212:M212"/>
    <mergeCell ref="A213:M213"/>
    <mergeCell ref="A222:M222"/>
    <mergeCell ref="A218:M218"/>
    <mergeCell ref="A214:M214"/>
    <mergeCell ref="A136:M136"/>
    <mergeCell ref="A138:M138"/>
    <mergeCell ref="A234:M234"/>
    <mergeCell ref="A122:I122"/>
    <mergeCell ref="A2:U2"/>
    <mergeCell ref="A6:M6"/>
    <mergeCell ref="A33:M33"/>
    <mergeCell ref="A32:M32"/>
    <mergeCell ref="A19:M19"/>
    <mergeCell ref="A20:M20"/>
    <mergeCell ref="A21:M21"/>
  </mergeCells>
  <phoneticPr fontId="80" type="noConversion"/>
  <pageMargins left="0.70866141732283472" right="0.70866141732283472" top="0.74803149606299213" bottom="0.74803149606299213" header="0.31496062992125984" footer="0.31496062992125984"/>
  <pageSetup paperSize="9" scale="3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EB173-90B8-4D6E-84E1-0954A406924B}">
  <sheetPr>
    <tabColor rgb="FFFFFF00"/>
  </sheetPr>
  <dimension ref="A1:N120"/>
  <sheetViews>
    <sheetView view="pageBreakPreview" topLeftCell="A91" zoomScale="60" zoomScaleNormal="100" workbookViewId="0">
      <selection activeCell="A2" sqref="A2:H3"/>
    </sheetView>
  </sheetViews>
  <sheetFormatPr defaultRowHeight="15" x14ac:dyDescent="0.25"/>
  <cols>
    <col min="1" max="1" width="40.140625" customWidth="1"/>
    <col min="2" max="2" width="15.42578125" customWidth="1"/>
    <col min="3" max="3" width="14.7109375" customWidth="1"/>
    <col min="4" max="4" width="10.42578125" customWidth="1"/>
    <col min="6" max="6" width="10" customWidth="1"/>
    <col min="8" max="8" width="12.28515625" customWidth="1"/>
    <col min="9" max="9" width="14.140625" customWidth="1"/>
    <col min="10" max="10" width="14" bestFit="1" customWidth="1"/>
    <col min="11" max="11" width="14" customWidth="1"/>
    <col min="12" max="12" width="21.85546875" customWidth="1"/>
    <col min="13" max="13" width="18.85546875" customWidth="1"/>
    <col min="14" max="14" width="40.140625" customWidth="1"/>
  </cols>
  <sheetData>
    <row r="1" spans="1:14" ht="15" customHeight="1" x14ac:dyDescent="0.25">
      <c r="H1" s="927"/>
      <c r="I1" s="926" t="s">
        <v>981</v>
      </c>
    </row>
    <row r="2" spans="1:14" ht="15" customHeight="1" x14ac:dyDescent="0.25">
      <c r="A2" s="1092" t="s">
        <v>228</v>
      </c>
      <c r="B2" s="1092"/>
      <c r="C2" s="1092"/>
      <c r="D2" s="1092"/>
      <c r="E2" s="1092"/>
      <c r="F2" s="1092"/>
      <c r="G2" s="1092"/>
      <c r="H2" s="1092"/>
      <c r="I2" s="543"/>
    </row>
    <row r="3" spans="1:14" ht="15.75" x14ac:dyDescent="0.25">
      <c r="A3" s="1092"/>
      <c r="B3" s="1092"/>
      <c r="C3" s="1092"/>
      <c r="D3" s="1092"/>
      <c r="E3" s="1092"/>
      <c r="F3" s="1092"/>
      <c r="G3" s="1092"/>
      <c r="H3" s="1092"/>
      <c r="I3" s="543"/>
    </row>
    <row r="4" spans="1:14" ht="16.5" customHeight="1" thickBot="1" x14ac:dyDescent="0.3"/>
    <row r="5" spans="1:14" ht="15.75" x14ac:dyDescent="0.25">
      <c r="A5" s="1088" t="s">
        <v>0</v>
      </c>
      <c r="B5" s="1089"/>
      <c r="C5" s="1089"/>
      <c r="D5" s="1089"/>
      <c r="E5" s="1089"/>
      <c r="F5" s="1089"/>
      <c r="G5" s="1089"/>
      <c r="H5" s="1089"/>
      <c r="I5" s="1089"/>
    </row>
    <row r="6" spans="1:14" x14ac:dyDescent="0.25">
      <c r="A6" s="1093" t="s">
        <v>55</v>
      </c>
      <c r="B6" s="1098" t="s">
        <v>461</v>
      </c>
      <c r="C6" s="1098" t="s">
        <v>462</v>
      </c>
      <c r="D6" s="1095" t="s">
        <v>56</v>
      </c>
      <c r="E6" s="1097" t="s">
        <v>57</v>
      </c>
      <c r="F6" s="1097" t="s">
        <v>58</v>
      </c>
      <c r="G6" s="1097" t="s">
        <v>287</v>
      </c>
      <c r="H6" s="1099" t="s">
        <v>59</v>
      </c>
      <c r="I6" s="1102" t="s">
        <v>847</v>
      </c>
    </row>
    <row r="7" spans="1:14" ht="68.25" customHeight="1" thickBot="1" x14ac:dyDescent="0.3">
      <c r="A7" s="1094"/>
      <c r="B7" s="1101"/>
      <c r="C7" s="1101"/>
      <c r="D7" s="1096"/>
      <c r="E7" s="1098"/>
      <c r="F7" s="1098"/>
      <c r="G7" s="1098"/>
      <c r="H7" s="1100"/>
      <c r="I7" s="1044"/>
      <c r="K7" s="599" t="s">
        <v>678</v>
      </c>
      <c r="L7" s="599" t="s">
        <v>462</v>
      </c>
      <c r="M7" s="599" t="s">
        <v>679</v>
      </c>
      <c r="N7" s="600" t="s">
        <v>680</v>
      </c>
    </row>
    <row r="8" spans="1:14" ht="16.5" customHeight="1" thickBot="1" x14ac:dyDescent="0.3">
      <c r="A8" s="999" t="s">
        <v>46</v>
      </c>
      <c r="B8" s="1000"/>
      <c r="C8" s="1000"/>
      <c r="D8" s="1000"/>
      <c r="E8" s="1000"/>
      <c r="F8" s="1000"/>
      <c r="G8" s="1000"/>
      <c r="H8" s="1000"/>
      <c r="I8" s="544"/>
      <c r="K8" s="72"/>
      <c r="L8" s="72"/>
      <c r="M8" s="72"/>
      <c r="N8" s="72"/>
    </row>
    <row r="9" spans="1:14" x14ac:dyDescent="0.25">
      <c r="A9" s="1090" t="s">
        <v>54</v>
      </c>
      <c r="B9" s="1091"/>
      <c r="C9" s="1091"/>
      <c r="D9" s="1091"/>
      <c r="E9" s="1091"/>
      <c r="F9" s="1091"/>
      <c r="G9" s="1091"/>
      <c r="H9" s="1091"/>
      <c r="I9" s="542"/>
      <c r="K9" s="72"/>
      <c r="L9" s="72"/>
      <c r="M9" s="72"/>
      <c r="N9" s="72"/>
    </row>
    <row r="10" spans="1:14" x14ac:dyDescent="0.25">
      <c r="A10" s="26" t="s">
        <v>60</v>
      </c>
      <c r="B10" s="516"/>
      <c r="C10" s="516"/>
      <c r="D10" s="27"/>
      <c r="E10" s="28"/>
      <c r="F10" s="28"/>
      <c r="G10" s="28"/>
      <c r="H10" s="243"/>
      <c r="I10" s="287">
        <f>I11+I49</f>
        <v>4089023.72</v>
      </c>
      <c r="K10" s="72"/>
      <c r="L10" s="72"/>
      <c r="M10" s="72"/>
      <c r="N10" s="72"/>
    </row>
    <row r="11" spans="1:14" ht="15.75" customHeight="1" x14ac:dyDescent="0.25">
      <c r="A11" s="21" t="s">
        <v>103</v>
      </c>
      <c r="B11" s="517"/>
      <c r="C11" s="517"/>
      <c r="D11" s="19"/>
      <c r="E11" s="20"/>
      <c r="F11" s="20"/>
      <c r="G11" s="20"/>
      <c r="H11" s="244"/>
      <c r="I11" s="288">
        <f>SUM(I12:I48)</f>
        <v>1166724.5999999996</v>
      </c>
      <c r="K11" s="72"/>
      <c r="L11" s="72"/>
      <c r="M11" s="72"/>
      <c r="N11" s="72"/>
    </row>
    <row r="12" spans="1:14" x14ac:dyDescent="0.25">
      <c r="A12" s="807" t="s">
        <v>775</v>
      </c>
      <c r="B12" s="841" t="s">
        <v>611</v>
      </c>
      <c r="C12" s="842" t="s">
        <v>613</v>
      </c>
      <c r="D12" s="808">
        <v>1</v>
      </c>
      <c r="E12" s="801">
        <v>2500</v>
      </c>
      <c r="F12" s="802">
        <v>74.924999999999997</v>
      </c>
      <c r="G12" s="802">
        <v>75</v>
      </c>
      <c r="H12" s="803">
        <f>E12+F12+G12</f>
        <v>2649.9250000000002</v>
      </c>
      <c r="I12" s="120">
        <f>ROUND((E12+F12+G12)*(kopsavilkums!$O$8)*D12*12*(1+kopsavilkums!$O$23),2)</f>
        <v>4165.8500000000004</v>
      </c>
      <c r="J12" s="57"/>
      <c r="K12" s="557" t="s">
        <v>782</v>
      </c>
      <c r="L12" s="72" t="s">
        <v>613</v>
      </c>
      <c r="M12" s="72" t="s">
        <v>698</v>
      </c>
      <c r="N12" s="72"/>
    </row>
    <row r="13" spans="1:14" x14ac:dyDescent="0.25">
      <c r="A13" s="807" t="s">
        <v>62</v>
      </c>
      <c r="B13" s="841" t="s">
        <v>463</v>
      </c>
      <c r="C13" s="842" t="s">
        <v>606</v>
      </c>
      <c r="D13" s="808">
        <v>4</v>
      </c>
      <c r="E13" s="801">
        <v>1647</v>
      </c>
      <c r="F13" s="802">
        <v>49.41</v>
      </c>
      <c r="G13" s="802">
        <v>131.76</v>
      </c>
      <c r="H13" s="803">
        <f t="shared" ref="H13:H48" si="0">E13+F13+G13</f>
        <v>1828.17</v>
      </c>
      <c r="I13" s="120">
        <f>ROUND((E13+F13+G13)*(kopsavilkums!$O$8)*D13*12*(1+kopsavilkums!$O$23),2)</f>
        <v>11496.01</v>
      </c>
      <c r="J13" s="57"/>
      <c r="K13" s="557" t="s">
        <v>783</v>
      </c>
      <c r="L13" s="72" t="s">
        <v>606</v>
      </c>
      <c r="M13" s="72" t="s">
        <v>698</v>
      </c>
      <c r="N13" s="72"/>
    </row>
    <row r="14" spans="1:14" ht="60" x14ac:dyDescent="0.25">
      <c r="A14" s="843" t="s">
        <v>63</v>
      </c>
      <c r="B14" s="841" t="s">
        <v>465</v>
      </c>
      <c r="C14" s="842" t="s">
        <v>612</v>
      </c>
      <c r="D14" s="808">
        <v>28.5</v>
      </c>
      <c r="E14" s="801">
        <v>2250</v>
      </c>
      <c r="F14" s="802">
        <v>67.5</v>
      </c>
      <c r="G14" s="802">
        <v>1164.3750000000002</v>
      </c>
      <c r="H14" s="803">
        <f t="shared" si="0"/>
        <v>3481.875</v>
      </c>
      <c r="I14" s="120">
        <f>ROUND((E14+F14+G14)*(kopsavilkums!$O$8)*D14*12*(1+kopsavilkums!$O$23),2)</f>
        <v>156001.39000000001</v>
      </c>
      <c r="J14" s="57"/>
      <c r="K14" s="557" t="s">
        <v>784</v>
      </c>
      <c r="L14" s="72" t="s">
        <v>612</v>
      </c>
      <c r="M14" s="72" t="s">
        <v>698</v>
      </c>
      <c r="N14" s="769" t="s">
        <v>785</v>
      </c>
    </row>
    <row r="15" spans="1:14" ht="45" x14ac:dyDescent="0.25">
      <c r="A15" s="843" t="s">
        <v>64</v>
      </c>
      <c r="B15" s="841" t="s">
        <v>611</v>
      </c>
      <c r="C15" s="844" t="s">
        <v>613</v>
      </c>
      <c r="D15" s="808">
        <v>42.75</v>
      </c>
      <c r="E15" s="801">
        <v>2000</v>
      </c>
      <c r="F15" s="802">
        <v>60</v>
      </c>
      <c r="G15" s="802">
        <v>1035.0000000000002</v>
      </c>
      <c r="H15" s="803">
        <f t="shared" si="0"/>
        <v>3095</v>
      </c>
      <c r="I15" s="120">
        <f>ROUND((E15+F15+G15)*(kopsavilkums!$O$8)*D15*12*(1+kopsavilkums!$O$23),2)</f>
        <v>208001.86</v>
      </c>
      <c r="J15" s="57"/>
      <c r="K15" s="557" t="s">
        <v>782</v>
      </c>
      <c r="L15" s="72" t="s">
        <v>613</v>
      </c>
      <c r="M15" s="72" t="s">
        <v>698</v>
      </c>
      <c r="N15" s="769" t="s">
        <v>786</v>
      </c>
    </row>
    <row r="16" spans="1:14" ht="45" x14ac:dyDescent="0.25">
      <c r="A16" s="843" t="s">
        <v>776</v>
      </c>
      <c r="B16" s="841" t="s">
        <v>611</v>
      </c>
      <c r="C16" s="844" t="s">
        <v>614</v>
      </c>
      <c r="D16" s="808">
        <v>4.75</v>
      </c>
      <c r="E16" s="801">
        <v>2250</v>
      </c>
      <c r="F16" s="802">
        <v>67.5</v>
      </c>
      <c r="G16" s="802">
        <v>1179.6975000000002</v>
      </c>
      <c r="H16" s="803">
        <f t="shared" si="0"/>
        <v>3497.1975000000002</v>
      </c>
      <c r="I16" s="120">
        <f>ROUND((E16+F16+G16)*(kopsavilkums!$O$8)*D16*12*(1+kopsavilkums!$O$23),2)</f>
        <v>26114.65</v>
      </c>
      <c r="J16" s="57"/>
      <c r="K16" s="557" t="s">
        <v>787</v>
      </c>
      <c r="L16" s="72" t="s">
        <v>614</v>
      </c>
      <c r="M16" s="72" t="s">
        <v>698</v>
      </c>
      <c r="N16" s="769" t="s">
        <v>786</v>
      </c>
    </row>
    <row r="17" spans="1:14" x14ac:dyDescent="0.25">
      <c r="A17" s="843" t="s">
        <v>65</v>
      </c>
      <c r="B17" s="841" t="s">
        <v>615</v>
      </c>
      <c r="C17" s="844" t="s">
        <v>614</v>
      </c>
      <c r="D17" s="808">
        <v>4.75</v>
      </c>
      <c r="E17" s="801">
        <v>2250</v>
      </c>
      <c r="F17" s="802">
        <v>67.5</v>
      </c>
      <c r="G17" s="802">
        <v>1164.3750000000002</v>
      </c>
      <c r="H17" s="803">
        <f t="shared" si="0"/>
        <v>3481.875</v>
      </c>
      <c r="I17" s="120">
        <f>ROUND((E17+F17+G17)*(kopsavilkums!$O$8)*D17*12*(1+kopsavilkums!$O$23),2)</f>
        <v>26000.23</v>
      </c>
      <c r="J17" s="57"/>
      <c r="K17" s="557" t="s">
        <v>787</v>
      </c>
      <c r="L17" s="72" t="s">
        <v>614</v>
      </c>
      <c r="M17" s="72" t="s">
        <v>698</v>
      </c>
      <c r="N17" s="769"/>
    </row>
    <row r="18" spans="1:14" x14ac:dyDescent="0.25">
      <c r="A18" s="843" t="s">
        <v>283</v>
      </c>
      <c r="B18" s="841" t="s">
        <v>615</v>
      </c>
      <c r="C18" s="844" t="s">
        <v>614</v>
      </c>
      <c r="D18" s="808">
        <v>4.75</v>
      </c>
      <c r="E18" s="801">
        <v>2250</v>
      </c>
      <c r="F18" s="802">
        <v>67.5</v>
      </c>
      <c r="G18" s="802">
        <v>1164.3750000000002</v>
      </c>
      <c r="H18" s="803">
        <f t="shared" si="0"/>
        <v>3481.875</v>
      </c>
      <c r="I18" s="120">
        <f>ROUND((E18+F18+G18)*(kopsavilkums!$O$8)*D18*12*(1+kopsavilkums!$O$23),2)</f>
        <v>26000.23</v>
      </c>
      <c r="J18" s="57"/>
      <c r="K18" s="557" t="s">
        <v>787</v>
      </c>
      <c r="L18" s="72" t="s">
        <v>614</v>
      </c>
      <c r="M18" s="72" t="s">
        <v>698</v>
      </c>
      <c r="N18" s="769"/>
    </row>
    <row r="19" spans="1:14" x14ac:dyDescent="0.25">
      <c r="A19" s="843" t="s">
        <v>66</v>
      </c>
      <c r="B19" s="841" t="s">
        <v>616</v>
      </c>
      <c r="C19" s="844" t="s">
        <v>617</v>
      </c>
      <c r="D19" s="808">
        <v>9.5</v>
      </c>
      <c r="E19" s="801">
        <v>2250</v>
      </c>
      <c r="F19" s="802">
        <v>67.5</v>
      </c>
      <c r="G19" s="802">
        <v>1164.3750000000002</v>
      </c>
      <c r="H19" s="803">
        <f t="shared" si="0"/>
        <v>3481.875</v>
      </c>
      <c r="I19" s="120">
        <f>ROUND((E19+F19+G19)*(kopsavilkums!$O$8)*D19*12*(1+kopsavilkums!$O$23),2)</f>
        <v>52000.46</v>
      </c>
      <c r="J19" s="57"/>
      <c r="K19" s="557" t="s">
        <v>788</v>
      </c>
      <c r="L19" s="72" t="s">
        <v>617</v>
      </c>
      <c r="M19" s="72" t="s">
        <v>698</v>
      </c>
      <c r="N19" s="769"/>
    </row>
    <row r="20" spans="1:14" x14ac:dyDescent="0.25">
      <c r="A20" s="843" t="s">
        <v>65</v>
      </c>
      <c r="B20" s="841" t="s">
        <v>615</v>
      </c>
      <c r="C20" s="844" t="s">
        <v>614</v>
      </c>
      <c r="D20" s="808">
        <v>4.75</v>
      </c>
      <c r="E20" s="801">
        <v>2900</v>
      </c>
      <c r="F20" s="802">
        <v>87</v>
      </c>
      <c r="G20" s="802">
        <v>203.00000000000003</v>
      </c>
      <c r="H20" s="803">
        <f t="shared" si="0"/>
        <v>3190</v>
      </c>
      <c r="I20" s="120">
        <f>ROUND((E20+F20+G20)*(kopsavilkums!$O$8)*D20*12*(1+kopsavilkums!$O$23),2)</f>
        <v>23820.71</v>
      </c>
      <c r="J20" s="57"/>
      <c r="K20" s="557" t="s">
        <v>787</v>
      </c>
      <c r="L20" s="72" t="s">
        <v>614</v>
      </c>
      <c r="M20" s="72" t="s">
        <v>698</v>
      </c>
      <c r="N20" s="769"/>
    </row>
    <row r="21" spans="1:14" x14ac:dyDescent="0.25">
      <c r="A21" s="843" t="s">
        <v>67</v>
      </c>
      <c r="B21" s="841" t="s">
        <v>618</v>
      </c>
      <c r="C21" s="844" t="s">
        <v>619</v>
      </c>
      <c r="D21" s="808">
        <v>4.75</v>
      </c>
      <c r="E21" s="801">
        <v>2900</v>
      </c>
      <c r="F21" s="802">
        <v>87</v>
      </c>
      <c r="G21" s="802">
        <v>203.00000000000003</v>
      </c>
      <c r="H21" s="803">
        <f t="shared" si="0"/>
        <v>3190</v>
      </c>
      <c r="I21" s="120">
        <f>ROUND((E21+F21+G21)*(kopsavilkums!$O$8)*D21*12*(1+kopsavilkums!$O$23),2)</f>
        <v>23820.71</v>
      </c>
      <c r="J21" s="57"/>
      <c r="K21" s="557" t="s">
        <v>789</v>
      </c>
      <c r="L21" s="72" t="s">
        <v>619</v>
      </c>
      <c r="M21" s="72" t="s">
        <v>698</v>
      </c>
      <c r="N21" s="769"/>
    </row>
    <row r="22" spans="1:14" x14ac:dyDescent="0.25">
      <c r="A22" s="843" t="s">
        <v>68</v>
      </c>
      <c r="B22" s="841" t="s">
        <v>620</v>
      </c>
      <c r="C22" s="844" t="s">
        <v>621</v>
      </c>
      <c r="D22" s="808">
        <v>4.75</v>
      </c>
      <c r="E22" s="801">
        <v>2900</v>
      </c>
      <c r="F22" s="802">
        <v>87</v>
      </c>
      <c r="G22" s="802">
        <v>203.00000000000003</v>
      </c>
      <c r="H22" s="803">
        <f t="shared" si="0"/>
        <v>3190</v>
      </c>
      <c r="I22" s="120">
        <f>ROUND((E22+F22+G22)*(kopsavilkums!$O$8)*D22*12*(1+kopsavilkums!$O$23),2)</f>
        <v>23820.71</v>
      </c>
      <c r="J22" s="57"/>
      <c r="K22" s="557" t="s">
        <v>790</v>
      </c>
      <c r="L22" s="72" t="s">
        <v>621</v>
      </c>
      <c r="M22" s="72" t="s">
        <v>698</v>
      </c>
      <c r="N22" s="769"/>
    </row>
    <row r="23" spans="1:14" x14ac:dyDescent="0.25">
      <c r="A23" s="843" t="s">
        <v>69</v>
      </c>
      <c r="B23" s="841" t="s">
        <v>622</v>
      </c>
      <c r="C23" s="844" t="s">
        <v>623</v>
      </c>
      <c r="D23" s="808">
        <v>4.75</v>
      </c>
      <c r="E23" s="801">
        <v>2900</v>
      </c>
      <c r="F23" s="802">
        <v>87</v>
      </c>
      <c r="G23" s="802">
        <v>203.00000000000003</v>
      </c>
      <c r="H23" s="803">
        <f t="shared" si="0"/>
        <v>3190</v>
      </c>
      <c r="I23" s="120">
        <f>ROUND((E23+F23+G23)*(kopsavilkums!$O$8)*D23*12*(1+kopsavilkums!$O$23),2)</f>
        <v>23820.71</v>
      </c>
      <c r="J23" s="57"/>
      <c r="K23" s="557" t="s">
        <v>791</v>
      </c>
      <c r="L23" s="72" t="s">
        <v>623</v>
      </c>
      <c r="M23" s="72" t="s">
        <v>698</v>
      </c>
      <c r="N23" s="769"/>
    </row>
    <row r="24" spans="1:14" x14ac:dyDescent="0.25">
      <c r="A24" s="843" t="s">
        <v>70</v>
      </c>
      <c r="B24" s="841" t="s">
        <v>624</v>
      </c>
      <c r="C24" s="844" t="s">
        <v>625</v>
      </c>
      <c r="D24" s="808">
        <v>4.75</v>
      </c>
      <c r="E24" s="801">
        <v>2900</v>
      </c>
      <c r="F24" s="802">
        <v>87</v>
      </c>
      <c r="G24" s="802">
        <v>203.00000000000003</v>
      </c>
      <c r="H24" s="803">
        <f t="shared" si="0"/>
        <v>3190</v>
      </c>
      <c r="I24" s="120">
        <f>ROUND((E24+F24+G24)*(kopsavilkums!$O$8)*D24*12*(1+kopsavilkums!$O$23),2)</f>
        <v>23820.71</v>
      </c>
      <c r="J24" s="57"/>
      <c r="K24" s="557" t="s">
        <v>792</v>
      </c>
      <c r="L24" s="72" t="s">
        <v>625</v>
      </c>
      <c r="M24" s="72" t="s">
        <v>698</v>
      </c>
      <c r="N24" s="769" t="s">
        <v>793</v>
      </c>
    </row>
    <row r="25" spans="1:14" ht="30" x14ac:dyDescent="0.25">
      <c r="A25" s="843" t="s">
        <v>71</v>
      </c>
      <c r="B25" s="841" t="s">
        <v>465</v>
      </c>
      <c r="C25" s="844" t="s">
        <v>781</v>
      </c>
      <c r="D25" s="808">
        <v>4.75</v>
      </c>
      <c r="E25" s="801">
        <v>2900</v>
      </c>
      <c r="F25" s="802">
        <v>87</v>
      </c>
      <c r="G25" s="802">
        <v>203.00000000000003</v>
      </c>
      <c r="H25" s="803">
        <f t="shared" si="0"/>
        <v>3190</v>
      </c>
      <c r="I25" s="120">
        <f>ROUND((E25+F25+G25)*(kopsavilkums!$O$8)*D25*12*(1+kopsavilkums!$O$23),2)</f>
        <v>23820.71</v>
      </c>
      <c r="J25" s="57"/>
      <c r="K25" s="557" t="s">
        <v>794</v>
      </c>
      <c r="L25" s="72" t="s">
        <v>781</v>
      </c>
      <c r="M25" s="72" t="s">
        <v>698</v>
      </c>
      <c r="N25" s="769" t="s">
        <v>795</v>
      </c>
    </row>
    <row r="26" spans="1:14" x14ac:dyDescent="0.25">
      <c r="A26" s="843" t="s">
        <v>72</v>
      </c>
      <c r="B26" s="841" t="s">
        <v>626</v>
      </c>
      <c r="C26" s="842" t="s">
        <v>627</v>
      </c>
      <c r="D26" s="808">
        <v>4.75</v>
      </c>
      <c r="E26" s="801">
        <v>2900</v>
      </c>
      <c r="F26" s="802">
        <v>87</v>
      </c>
      <c r="G26" s="802">
        <v>203.00000000000003</v>
      </c>
      <c r="H26" s="803">
        <f t="shared" si="0"/>
        <v>3190</v>
      </c>
      <c r="I26" s="120">
        <f>ROUND((E26+F26+G26)*(kopsavilkums!$O$8)*D26*12*(1+kopsavilkums!$O$23),2)</f>
        <v>23820.71</v>
      </c>
      <c r="J26" s="57"/>
      <c r="K26" s="557" t="s">
        <v>796</v>
      </c>
      <c r="L26" s="72" t="s">
        <v>627</v>
      </c>
      <c r="M26" s="72" t="s">
        <v>698</v>
      </c>
      <c r="N26" s="769"/>
    </row>
    <row r="27" spans="1:14" x14ac:dyDescent="0.25">
      <c r="A27" s="843" t="s">
        <v>73</v>
      </c>
      <c r="B27" s="841" t="s">
        <v>499</v>
      </c>
      <c r="C27" s="844" t="s">
        <v>628</v>
      </c>
      <c r="D27" s="808">
        <v>4.75</v>
      </c>
      <c r="E27" s="801">
        <v>2900</v>
      </c>
      <c r="F27" s="802">
        <v>87</v>
      </c>
      <c r="G27" s="802">
        <v>203.00000000000003</v>
      </c>
      <c r="H27" s="803">
        <f t="shared" si="0"/>
        <v>3190</v>
      </c>
      <c r="I27" s="120">
        <f>ROUND((E27+F27+G27)*(kopsavilkums!$O$8)*D27*12*(1+kopsavilkums!$O$23),2)</f>
        <v>23820.71</v>
      </c>
      <c r="J27" s="57"/>
      <c r="K27" s="557" t="s">
        <v>692</v>
      </c>
      <c r="L27" s="72" t="s">
        <v>628</v>
      </c>
      <c r="M27" s="72" t="s">
        <v>698</v>
      </c>
      <c r="N27" s="769"/>
    </row>
    <row r="28" spans="1:14" x14ac:dyDescent="0.25">
      <c r="A28" s="843" t="s">
        <v>74</v>
      </c>
      <c r="B28" s="841" t="s">
        <v>629</v>
      </c>
      <c r="C28" s="844" t="s">
        <v>630</v>
      </c>
      <c r="D28" s="808">
        <v>4.75</v>
      </c>
      <c r="E28" s="801">
        <v>2450</v>
      </c>
      <c r="F28" s="802">
        <v>73.5</v>
      </c>
      <c r="G28" s="802">
        <v>171.50000000000003</v>
      </c>
      <c r="H28" s="803">
        <f t="shared" si="0"/>
        <v>2695</v>
      </c>
      <c r="I28" s="120">
        <f>ROUND((E28+F28+G28)*(kopsavilkums!$O$8)*D28*12*(1+kopsavilkums!$O$23),2)</f>
        <v>20124.39</v>
      </c>
      <c r="J28" s="57"/>
      <c r="K28" s="557" t="s">
        <v>797</v>
      </c>
      <c r="L28" s="72" t="s">
        <v>630</v>
      </c>
      <c r="M28" s="72" t="s">
        <v>698</v>
      </c>
      <c r="N28" s="769"/>
    </row>
    <row r="29" spans="1:14" x14ac:dyDescent="0.25">
      <c r="A29" s="843" t="s">
        <v>75</v>
      </c>
      <c r="B29" s="841" t="s">
        <v>631</v>
      </c>
      <c r="C29" s="844" t="s">
        <v>632</v>
      </c>
      <c r="D29" s="808">
        <v>4.75</v>
      </c>
      <c r="E29" s="801">
        <v>2450</v>
      </c>
      <c r="F29" s="802">
        <v>73.5</v>
      </c>
      <c r="G29" s="802">
        <v>171.50000000000003</v>
      </c>
      <c r="H29" s="803">
        <f t="shared" si="0"/>
        <v>2695</v>
      </c>
      <c r="I29" s="120">
        <f>ROUND((E29+F29+G29)*(kopsavilkums!$O$8)*D29*12*(1+kopsavilkums!$O$23),2)</f>
        <v>20124.39</v>
      </c>
      <c r="J29" s="57"/>
      <c r="K29" s="557" t="s">
        <v>695</v>
      </c>
      <c r="L29" s="72" t="s">
        <v>632</v>
      </c>
      <c r="M29" s="72" t="s">
        <v>698</v>
      </c>
      <c r="N29" s="769"/>
    </row>
    <row r="30" spans="1:14" x14ac:dyDescent="0.25">
      <c r="A30" s="843" t="s">
        <v>77</v>
      </c>
      <c r="B30" s="841" t="s">
        <v>552</v>
      </c>
      <c r="C30" s="844" t="s">
        <v>633</v>
      </c>
      <c r="D30" s="808">
        <v>4.75</v>
      </c>
      <c r="E30" s="801">
        <v>2900</v>
      </c>
      <c r="F30" s="802">
        <v>87</v>
      </c>
      <c r="G30" s="802">
        <v>203.00000000000003</v>
      </c>
      <c r="H30" s="803">
        <f t="shared" si="0"/>
        <v>3190</v>
      </c>
      <c r="I30" s="120">
        <f>ROUND((E30+F30+G30)*(kopsavilkums!$O$8)*D30*12*(1+kopsavilkums!$O$23),2)</f>
        <v>23820.71</v>
      </c>
      <c r="J30" s="57"/>
      <c r="K30" s="557" t="s">
        <v>689</v>
      </c>
      <c r="L30" s="72" t="s">
        <v>633</v>
      </c>
      <c r="M30" s="72" t="s">
        <v>698</v>
      </c>
      <c r="N30" s="769"/>
    </row>
    <row r="31" spans="1:14" x14ac:dyDescent="0.25">
      <c r="A31" s="843" t="s">
        <v>78</v>
      </c>
      <c r="B31" s="841" t="s">
        <v>624</v>
      </c>
      <c r="C31" s="844" t="s">
        <v>625</v>
      </c>
      <c r="D31" s="808">
        <v>9.5</v>
      </c>
      <c r="E31" s="801">
        <v>2900</v>
      </c>
      <c r="F31" s="802">
        <v>87</v>
      </c>
      <c r="G31" s="802">
        <v>203.00000000000003</v>
      </c>
      <c r="H31" s="803">
        <f t="shared" si="0"/>
        <v>3190</v>
      </c>
      <c r="I31" s="120">
        <f>ROUND((E31+F31+G31)*(kopsavilkums!$O$8)*D31*12*(1+kopsavilkums!$O$23),2)</f>
        <v>47641.42</v>
      </c>
      <c r="J31" s="57"/>
      <c r="K31" s="557" t="s">
        <v>792</v>
      </c>
      <c r="L31" s="72" t="s">
        <v>625</v>
      </c>
      <c r="M31" s="72" t="s">
        <v>698</v>
      </c>
      <c r="N31" s="769"/>
    </row>
    <row r="32" spans="1:14" x14ac:dyDescent="0.25">
      <c r="A32" s="843" t="s">
        <v>79</v>
      </c>
      <c r="B32" s="841" t="s">
        <v>549</v>
      </c>
      <c r="C32" s="844" t="s">
        <v>515</v>
      </c>
      <c r="D32" s="808">
        <v>4.75</v>
      </c>
      <c r="E32" s="801">
        <v>2450</v>
      </c>
      <c r="F32" s="802">
        <v>73.5</v>
      </c>
      <c r="G32" s="802">
        <v>171.50000000000003</v>
      </c>
      <c r="H32" s="803">
        <f t="shared" si="0"/>
        <v>2695</v>
      </c>
      <c r="I32" s="120">
        <f>ROUND((E32+F32+G32)*(kopsavilkums!$O$8)*D32*12*(1+kopsavilkums!$O$23),2)</f>
        <v>20124.39</v>
      </c>
      <c r="J32" s="57"/>
      <c r="K32" s="557" t="s">
        <v>687</v>
      </c>
      <c r="L32" s="72" t="s">
        <v>515</v>
      </c>
      <c r="M32" s="72" t="s">
        <v>698</v>
      </c>
      <c r="N32" s="769"/>
    </row>
    <row r="33" spans="1:14" x14ac:dyDescent="0.25">
      <c r="A33" s="843" t="s">
        <v>80</v>
      </c>
      <c r="B33" s="841" t="s">
        <v>551</v>
      </c>
      <c r="C33" s="844" t="s">
        <v>634</v>
      </c>
      <c r="D33" s="808">
        <v>4.75</v>
      </c>
      <c r="E33" s="801">
        <v>2900</v>
      </c>
      <c r="F33" s="802">
        <v>87</v>
      </c>
      <c r="G33" s="802">
        <v>203.00000000000003</v>
      </c>
      <c r="H33" s="803">
        <f t="shared" si="0"/>
        <v>3190</v>
      </c>
      <c r="I33" s="120">
        <f>ROUND((E33+F33+G33)*(kopsavilkums!$O$8)*D33*12*(1+kopsavilkums!$O$23),2)</f>
        <v>23820.71</v>
      </c>
      <c r="J33" s="57"/>
      <c r="K33" s="557" t="s">
        <v>798</v>
      </c>
      <c r="L33" s="72" t="s">
        <v>634</v>
      </c>
      <c r="M33" s="72" t="s">
        <v>698</v>
      </c>
      <c r="N33" s="769"/>
    </row>
    <row r="34" spans="1:14" x14ac:dyDescent="0.25">
      <c r="A34" s="843" t="s">
        <v>81</v>
      </c>
      <c r="B34" s="841" t="s">
        <v>635</v>
      </c>
      <c r="C34" s="844" t="s">
        <v>636</v>
      </c>
      <c r="D34" s="808">
        <v>4.75</v>
      </c>
      <c r="E34" s="801">
        <v>2900</v>
      </c>
      <c r="F34" s="802">
        <v>87</v>
      </c>
      <c r="G34" s="802">
        <v>203.00000000000003</v>
      </c>
      <c r="H34" s="803">
        <f t="shared" si="0"/>
        <v>3190</v>
      </c>
      <c r="I34" s="120">
        <f>ROUND((E34+F34+G34)*(kopsavilkums!$O$8)*D34*12*(1+kopsavilkums!$O$23),2)</f>
        <v>23820.71</v>
      </c>
      <c r="J34" s="57"/>
      <c r="K34" s="557" t="s">
        <v>799</v>
      </c>
      <c r="L34" s="72" t="s">
        <v>636</v>
      </c>
      <c r="M34" s="72" t="s">
        <v>698</v>
      </c>
      <c r="N34" s="769"/>
    </row>
    <row r="35" spans="1:14" x14ac:dyDescent="0.25">
      <c r="A35" s="843" t="s">
        <v>82</v>
      </c>
      <c r="B35" s="841" t="s">
        <v>637</v>
      </c>
      <c r="C35" s="844" t="s">
        <v>638</v>
      </c>
      <c r="D35" s="808">
        <v>4.75</v>
      </c>
      <c r="E35" s="801">
        <v>2900</v>
      </c>
      <c r="F35" s="802">
        <v>87</v>
      </c>
      <c r="G35" s="802">
        <v>203.00000000000003</v>
      </c>
      <c r="H35" s="803">
        <f t="shared" si="0"/>
        <v>3190</v>
      </c>
      <c r="I35" s="120">
        <f>ROUND((E35+F35+G35)*(kopsavilkums!$O$8)*D35*12*(1+kopsavilkums!$O$23),2)</f>
        <v>23820.71</v>
      </c>
      <c r="J35" s="57"/>
      <c r="K35" s="557" t="s">
        <v>800</v>
      </c>
      <c r="L35" s="72" t="s">
        <v>638</v>
      </c>
      <c r="M35" s="72" t="s">
        <v>698</v>
      </c>
      <c r="N35" s="769"/>
    </row>
    <row r="36" spans="1:14" x14ac:dyDescent="0.25">
      <c r="A36" s="843" t="s">
        <v>83</v>
      </c>
      <c r="B36" s="841" t="s">
        <v>639</v>
      </c>
      <c r="C36" s="844" t="s">
        <v>640</v>
      </c>
      <c r="D36" s="808">
        <v>4.75</v>
      </c>
      <c r="E36" s="801">
        <v>2900</v>
      </c>
      <c r="F36" s="802">
        <v>87</v>
      </c>
      <c r="G36" s="802">
        <v>203.00000000000003</v>
      </c>
      <c r="H36" s="803">
        <f t="shared" si="0"/>
        <v>3190</v>
      </c>
      <c r="I36" s="120">
        <f>ROUND((E36+F36+G36)*(kopsavilkums!$O$8)*D36*12*(1+kopsavilkums!$O$23),2)</f>
        <v>23820.71</v>
      </c>
      <c r="J36" s="57"/>
      <c r="K36" s="557" t="s">
        <v>801</v>
      </c>
      <c r="L36" s="72" t="s">
        <v>640</v>
      </c>
      <c r="M36" s="72" t="s">
        <v>698</v>
      </c>
      <c r="N36" s="769"/>
    </row>
    <row r="37" spans="1:14" x14ac:dyDescent="0.25">
      <c r="A37" s="843" t="s">
        <v>777</v>
      </c>
      <c r="B37" s="841" t="s">
        <v>641</v>
      </c>
      <c r="C37" s="844" t="s">
        <v>642</v>
      </c>
      <c r="D37" s="808">
        <v>4.75</v>
      </c>
      <c r="E37" s="801">
        <v>2900</v>
      </c>
      <c r="F37" s="802">
        <v>87</v>
      </c>
      <c r="G37" s="802">
        <v>203.00000000000003</v>
      </c>
      <c r="H37" s="803">
        <f t="shared" si="0"/>
        <v>3190</v>
      </c>
      <c r="I37" s="120">
        <f>ROUND((E37+F37+G37)*(kopsavilkums!$O$8)*D37*12*(1+kopsavilkums!$O$23),2)</f>
        <v>23820.71</v>
      </c>
      <c r="J37" s="57"/>
      <c r="K37" s="557" t="s">
        <v>777</v>
      </c>
      <c r="L37" s="72" t="s">
        <v>642</v>
      </c>
      <c r="M37" s="72" t="s">
        <v>698</v>
      </c>
      <c r="N37" s="769"/>
    </row>
    <row r="38" spans="1:14" x14ac:dyDescent="0.25">
      <c r="A38" s="843" t="s">
        <v>84</v>
      </c>
      <c r="B38" s="841" t="s">
        <v>611</v>
      </c>
      <c r="C38" s="844" t="s">
        <v>613</v>
      </c>
      <c r="D38" s="808">
        <v>4.5</v>
      </c>
      <c r="E38" s="801">
        <v>2600</v>
      </c>
      <c r="F38" s="802">
        <v>78</v>
      </c>
      <c r="G38" s="802">
        <v>877.49999999999989</v>
      </c>
      <c r="H38" s="803">
        <f t="shared" si="0"/>
        <v>3555.5</v>
      </c>
      <c r="I38" s="120">
        <f>ROUND((E38+F38+G38)*(kopsavilkums!$O$8)*D38*12*(1+kopsavilkums!$O$23),2)</f>
        <v>25152.639999999999</v>
      </c>
      <c r="J38" s="57"/>
      <c r="K38" s="557" t="s">
        <v>782</v>
      </c>
      <c r="L38" s="72" t="s">
        <v>613</v>
      </c>
      <c r="M38" s="72" t="s">
        <v>698</v>
      </c>
      <c r="N38" s="769"/>
    </row>
    <row r="39" spans="1:14" x14ac:dyDescent="0.25">
      <c r="A39" s="843" t="s">
        <v>284</v>
      </c>
      <c r="B39" s="841" t="s">
        <v>611</v>
      </c>
      <c r="C39" s="844" t="s">
        <v>613</v>
      </c>
      <c r="D39" s="808">
        <v>11.5</v>
      </c>
      <c r="E39" s="801">
        <v>2500</v>
      </c>
      <c r="F39" s="802">
        <v>75</v>
      </c>
      <c r="G39" s="802">
        <v>843.74999999999989</v>
      </c>
      <c r="H39" s="803">
        <f t="shared" si="0"/>
        <v>3418.75</v>
      </c>
      <c r="I39" s="120">
        <f>ROUND((E39+F39+G39)*(kopsavilkums!$O$8)*D39*12*(1+kopsavilkums!$O$23),2)</f>
        <v>61806.71</v>
      </c>
      <c r="J39" s="57"/>
      <c r="K39" s="557" t="s">
        <v>782</v>
      </c>
      <c r="L39" s="72" t="s">
        <v>613</v>
      </c>
      <c r="M39" s="72" t="s">
        <v>698</v>
      </c>
      <c r="N39" s="769"/>
    </row>
    <row r="40" spans="1:14" ht="25.5" x14ac:dyDescent="0.25">
      <c r="A40" s="843" t="s">
        <v>85</v>
      </c>
      <c r="B40" s="841" t="s">
        <v>611</v>
      </c>
      <c r="C40" s="844" t="s">
        <v>643</v>
      </c>
      <c r="D40" s="808">
        <v>9</v>
      </c>
      <c r="E40" s="801">
        <v>2350</v>
      </c>
      <c r="F40" s="802">
        <v>70.5</v>
      </c>
      <c r="G40" s="802">
        <v>793.12499999999989</v>
      </c>
      <c r="H40" s="803">
        <f t="shared" si="0"/>
        <v>3213.625</v>
      </c>
      <c r="I40" s="120">
        <f>ROUND((E40+F40+G40)*(kopsavilkums!$O$8)*D40*12*(1+kopsavilkums!$O$23),2)</f>
        <v>45468.24</v>
      </c>
      <c r="J40" s="57"/>
      <c r="K40" s="557" t="s">
        <v>782</v>
      </c>
      <c r="L40" s="72" t="s">
        <v>643</v>
      </c>
      <c r="M40" s="72" t="s">
        <v>698</v>
      </c>
      <c r="N40" s="769"/>
    </row>
    <row r="41" spans="1:14" ht="38.25" x14ac:dyDescent="0.25">
      <c r="A41" s="843" t="s">
        <v>778</v>
      </c>
      <c r="B41" s="841" t="s">
        <v>539</v>
      </c>
      <c r="C41" s="842" t="s">
        <v>644</v>
      </c>
      <c r="D41" s="808">
        <v>1</v>
      </c>
      <c r="E41" s="801">
        <v>2255</v>
      </c>
      <c r="F41" s="802">
        <v>67.649999999999991</v>
      </c>
      <c r="G41" s="802">
        <v>761.06249999999989</v>
      </c>
      <c r="H41" s="803">
        <f t="shared" si="0"/>
        <v>3083.7125000000001</v>
      </c>
      <c r="I41" s="120">
        <f>ROUND((E41+F41+G41)*(kopsavilkums!$O$8)*D41*12*(1+kopsavilkums!$O$23),2)</f>
        <v>4847.8</v>
      </c>
      <c r="J41" s="57"/>
      <c r="K41" s="557"/>
      <c r="L41" s="72" t="s">
        <v>644</v>
      </c>
      <c r="M41" s="72" t="s">
        <v>698</v>
      </c>
      <c r="N41" s="769"/>
    </row>
    <row r="42" spans="1:14" ht="25.5" x14ac:dyDescent="0.25">
      <c r="A42" s="843" t="s">
        <v>86</v>
      </c>
      <c r="B42" s="841" t="s">
        <v>539</v>
      </c>
      <c r="C42" s="844" t="s">
        <v>644</v>
      </c>
      <c r="D42" s="808">
        <v>8</v>
      </c>
      <c r="E42" s="801">
        <v>2050</v>
      </c>
      <c r="F42" s="802">
        <v>61.5</v>
      </c>
      <c r="G42" s="802">
        <v>691.87499999999989</v>
      </c>
      <c r="H42" s="803">
        <f t="shared" si="0"/>
        <v>2803.375</v>
      </c>
      <c r="I42" s="120">
        <f>ROUND((E42+F42+G42)*(kopsavilkums!$O$8)*D42*12*(1+kopsavilkums!$O$23),2)</f>
        <v>35256.699999999997</v>
      </c>
      <c r="J42" s="57"/>
      <c r="K42" s="557" t="s">
        <v>802</v>
      </c>
      <c r="L42" s="72" t="s">
        <v>644</v>
      </c>
      <c r="M42" s="72" t="s">
        <v>698</v>
      </c>
      <c r="N42" s="769"/>
    </row>
    <row r="43" spans="1:14" x14ac:dyDescent="0.25">
      <c r="A43" s="843" t="s">
        <v>76</v>
      </c>
      <c r="B43" s="841" t="s">
        <v>631</v>
      </c>
      <c r="C43" s="845" t="s">
        <v>632</v>
      </c>
      <c r="D43" s="808">
        <v>1</v>
      </c>
      <c r="E43" s="801">
        <v>2450</v>
      </c>
      <c r="F43" s="802">
        <v>73.5</v>
      </c>
      <c r="G43" s="802">
        <v>73.5</v>
      </c>
      <c r="H43" s="803">
        <f t="shared" si="0"/>
        <v>2597</v>
      </c>
      <c r="I43" s="120">
        <f>ROUND((E43+F43+G43)*(kopsavilkums!$O$8)*D43*12*(1+kopsavilkums!$O$23),2)</f>
        <v>4082.65</v>
      </c>
      <c r="J43" s="57"/>
      <c r="K43" s="557" t="s">
        <v>695</v>
      </c>
      <c r="L43" s="72" t="s">
        <v>632</v>
      </c>
      <c r="M43" s="72" t="s">
        <v>698</v>
      </c>
      <c r="N43" s="769"/>
    </row>
    <row r="44" spans="1:14" ht="45" x14ac:dyDescent="0.25">
      <c r="A44" s="843" t="s">
        <v>286</v>
      </c>
      <c r="B44" s="841" t="s">
        <v>615</v>
      </c>
      <c r="C44" s="845" t="s">
        <v>645</v>
      </c>
      <c r="D44" s="808">
        <v>0.75</v>
      </c>
      <c r="E44" s="801">
        <v>1640</v>
      </c>
      <c r="F44" s="802">
        <v>49.199999999999996</v>
      </c>
      <c r="G44" s="802">
        <v>49.199999999999996</v>
      </c>
      <c r="H44" s="803">
        <f t="shared" si="0"/>
        <v>1738.4</v>
      </c>
      <c r="I44" s="120">
        <f>ROUND((E44+F44+G44)*(kopsavilkums!$O$8)*D44*12*(1+kopsavilkums!$O$23),2)</f>
        <v>2049.66</v>
      </c>
      <c r="J44" s="57"/>
      <c r="K44" s="557" t="s">
        <v>787</v>
      </c>
      <c r="L44" s="72" t="s">
        <v>645</v>
      </c>
      <c r="M44" s="72" t="s">
        <v>698</v>
      </c>
      <c r="N44" s="769" t="s">
        <v>803</v>
      </c>
    </row>
    <row r="45" spans="1:14" ht="30" x14ac:dyDescent="0.25">
      <c r="A45" s="843" t="s">
        <v>331</v>
      </c>
      <c r="B45" s="841" t="s">
        <v>463</v>
      </c>
      <c r="C45" s="845" t="s">
        <v>640</v>
      </c>
      <c r="D45" s="808">
        <v>2</v>
      </c>
      <c r="E45" s="801">
        <v>1880</v>
      </c>
      <c r="F45" s="802">
        <v>56.4</v>
      </c>
      <c r="G45" s="802">
        <v>56.4</v>
      </c>
      <c r="H45" s="803">
        <f t="shared" si="0"/>
        <v>1992.8000000000002</v>
      </c>
      <c r="I45" s="120">
        <f>ROUND((E45+F45+G45)*(kopsavilkums!$O$8)*D45*12*(1+kopsavilkums!$O$23),2)</f>
        <v>6265.62</v>
      </c>
      <c r="J45" s="57"/>
      <c r="K45" s="557" t="s">
        <v>804</v>
      </c>
      <c r="L45" s="72" t="s">
        <v>640</v>
      </c>
      <c r="M45" s="72" t="s">
        <v>698</v>
      </c>
      <c r="N45" s="769" t="s">
        <v>805</v>
      </c>
    </row>
    <row r="46" spans="1:14" ht="45" x14ac:dyDescent="0.25">
      <c r="A46" s="843" t="s">
        <v>143</v>
      </c>
      <c r="B46" s="841" t="s">
        <v>779</v>
      </c>
      <c r="C46" s="845" t="s">
        <v>606</v>
      </c>
      <c r="D46" s="808">
        <v>1</v>
      </c>
      <c r="E46" s="801">
        <v>1850</v>
      </c>
      <c r="F46" s="802">
        <v>55.5</v>
      </c>
      <c r="G46" s="802">
        <v>55.5</v>
      </c>
      <c r="H46" s="803">
        <f t="shared" si="0"/>
        <v>1961</v>
      </c>
      <c r="I46" s="120">
        <f>ROUND((E46+F46+G46)*(kopsavilkums!$O$8)*D46*12*(1+kopsavilkums!$O$23),2)</f>
        <v>3082.82</v>
      </c>
      <c r="J46" s="57"/>
      <c r="K46" s="557" t="s">
        <v>804</v>
      </c>
      <c r="L46" s="72" t="s">
        <v>606</v>
      </c>
      <c r="M46" s="72" t="s">
        <v>698</v>
      </c>
      <c r="N46" s="769" t="s">
        <v>806</v>
      </c>
    </row>
    <row r="47" spans="1:14" ht="45" x14ac:dyDescent="0.25">
      <c r="A47" s="843" t="s">
        <v>143</v>
      </c>
      <c r="B47" s="841" t="s">
        <v>463</v>
      </c>
      <c r="C47" s="842" t="s">
        <v>606</v>
      </c>
      <c r="D47" s="808">
        <v>6</v>
      </c>
      <c r="E47" s="801">
        <v>1820</v>
      </c>
      <c r="F47" s="802">
        <v>54.6</v>
      </c>
      <c r="G47" s="802">
        <v>54.6</v>
      </c>
      <c r="H47" s="803">
        <f t="shared" si="0"/>
        <v>1929.1999999999998</v>
      </c>
      <c r="I47" s="120">
        <f>ROUND((E47+F47+G47)*(kopsavilkums!$O$8)*D47*12*(1+kopsavilkums!$O$23),2)</f>
        <v>18196.96</v>
      </c>
      <c r="J47" s="57"/>
      <c r="K47" s="557" t="s">
        <v>804</v>
      </c>
      <c r="L47" s="72" t="s">
        <v>606</v>
      </c>
      <c r="M47" s="72" t="s">
        <v>698</v>
      </c>
      <c r="N47" s="769" t="s">
        <v>806</v>
      </c>
    </row>
    <row r="48" spans="1:14" ht="25.5" x14ac:dyDescent="0.25">
      <c r="A48" s="843" t="s">
        <v>780</v>
      </c>
      <c r="B48" s="841" t="s">
        <v>611</v>
      </c>
      <c r="C48" s="842" t="s">
        <v>733</v>
      </c>
      <c r="D48" s="846">
        <v>3</v>
      </c>
      <c r="E48" s="801">
        <v>1900</v>
      </c>
      <c r="F48" s="802">
        <v>57</v>
      </c>
      <c r="G48" s="802"/>
      <c r="H48" s="803">
        <f t="shared" si="0"/>
        <v>1957</v>
      </c>
      <c r="I48" s="120">
        <f>ROUND((E48+F48+G48)*(kopsavilkums!$O$8)*D48*12*(1+kopsavilkums!$O$23),2)</f>
        <v>9229.59</v>
      </c>
      <c r="J48" s="57"/>
      <c r="K48" s="557"/>
      <c r="L48" s="72" t="s">
        <v>733</v>
      </c>
      <c r="M48" s="72"/>
      <c r="N48" s="769"/>
    </row>
    <row r="49" spans="1:14" ht="38.25" x14ac:dyDescent="0.25">
      <c r="A49" s="18" t="s">
        <v>593</v>
      </c>
      <c r="B49" s="519"/>
      <c r="C49" s="519"/>
      <c r="D49" s="31"/>
      <c r="E49" s="22"/>
      <c r="F49" s="22"/>
      <c r="G49" s="22"/>
      <c r="H49" s="245"/>
      <c r="I49" s="390">
        <f>SUM(I50:I85)</f>
        <v>2922299.1200000006</v>
      </c>
      <c r="K49" s="72"/>
      <c r="L49" s="72"/>
      <c r="M49" s="72"/>
      <c r="N49" s="769"/>
    </row>
    <row r="50" spans="1:14" ht="30" x14ac:dyDescent="0.25">
      <c r="A50" s="616" t="s">
        <v>807</v>
      </c>
      <c r="B50" s="841" t="s">
        <v>646</v>
      </c>
      <c r="C50" s="584" t="s">
        <v>608</v>
      </c>
      <c r="D50" s="808">
        <v>13</v>
      </c>
      <c r="E50" s="801">
        <v>2350</v>
      </c>
      <c r="F50" s="802">
        <v>70.5</v>
      </c>
      <c r="G50" s="802">
        <v>70.5</v>
      </c>
      <c r="H50" s="803">
        <f>E50+F50+G50</f>
        <v>2491</v>
      </c>
      <c r="I50" s="120">
        <f>ROUND((E50+F50+G50)*(kopsavilkums!$O$12)*D50*12*(1+kopsavilkums!$O$23),2)</f>
        <v>31217.279999999999</v>
      </c>
      <c r="J50" s="57"/>
      <c r="K50" s="557" t="s">
        <v>782</v>
      </c>
      <c r="L50" s="72" t="s">
        <v>608</v>
      </c>
      <c r="M50" s="72" t="s">
        <v>698</v>
      </c>
      <c r="N50" s="769" t="s">
        <v>812</v>
      </c>
    </row>
    <row r="51" spans="1:14" x14ac:dyDescent="0.25">
      <c r="A51" s="616" t="s">
        <v>89</v>
      </c>
      <c r="B51" s="847" t="s">
        <v>646</v>
      </c>
      <c r="C51" s="584" t="s">
        <v>608</v>
      </c>
      <c r="D51" s="808">
        <v>8</v>
      </c>
      <c r="E51" s="801">
        <v>1960</v>
      </c>
      <c r="F51" s="802">
        <v>58.8</v>
      </c>
      <c r="G51" s="802">
        <v>58.8</v>
      </c>
      <c r="H51" s="803">
        <f t="shared" ref="H51:H85" si="1">E51+F51+G51</f>
        <v>2077.6</v>
      </c>
      <c r="I51" s="120">
        <f>ROUND((E51+F51+G51)*(kopsavilkums!$O$12)*D51*12*(1+kopsavilkums!$O$23),2)</f>
        <v>16022.48</v>
      </c>
      <c r="J51" s="57"/>
      <c r="K51" s="557" t="s">
        <v>813</v>
      </c>
      <c r="L51" s="72" t="s">
        <v>608</v>
      </c>
      <c r="M51" s="72" t="s">
        <v>698</v>
      </c>
      <c r="N51" s="769"/>
    </row>
    <row r="52" spans="1:14" x14ac:dyDescent="0.25">
      <c r="A52" s="616" t="s">
        <v>89</v>
      </c>
      <c r="B52" s="847" t="s">
        <v>646</v>
      </c>
      <c r="C52" s="584" t="s">
        <v>608</v>
      </c>
      <c r="D52" s="808">
        <v>6</v>
      </c>
      <c r="E52" s="801">
        <v>2000</v>
      </c>
      <c r="F52" s="802">
        <v>60</v>
      </c>
      <c r="G52" s="802">
        <v>60</v>
      </c>
      <c r="H52" s="803">
        <f t="shared" si="1"/>
        <v>2120</v>
      </c>
      <c r="I52" s="120">
        <f>ROUND((E52+F52+G52)*(kopsavilkums!$O$12)*D52*12*(1+kopsavilkums!$O$23),2)</f>
        <v>12262.11</v>
      </c>
      <c r="J52" s="57"/>
      <c r="K52" s="557" t="s">
        <v>813</v>
      </c>
      <c r="L52" s="72" t="s">
        <v>608</v>
      </c>
      <c r="M52" s="72" t="s">
        <v>698</v>
      </c>
      <c r="N52" s="769"/>
    </row>
    <row r="53" spans="1:14" x14ac:dyDescent="0.25">
      <c r="A53" s="616" t="s">
        <v>90</v>
      </c>
      <c r="B53" s="847" t="s">
        <v>646</v>
      </c>
      <c r="C53" s="584" t="s">
        <v>608</v>
      </c>
      <c r="D53" s="808">
        <v>6</v>
      </c>
      <c r="E53" s="801">
        <v>1830</v>
      </c>
      <c r="F53" s="802">
        <v>54.9</v>
      </c>
      <c r="G53" s="802">
        <v>54.9</v>
      </c>
      <c r="H53" s="803">
        <f t="shared" si="1"/>
        <v>1939.8000000000002</v>
      </c>
      <c r="I53" s="120">
        <f>ROUND((E53+F53+G53)*(kopsavilkums!$O$12)*D53*12*(1+kopsavilkums!$O$23),2)</f>
        <v>11219.83</v>
      </c>
      <c r="J53" s="57"/>
      <c r="K53" s="557" t="s">
        <v>813</v>
      </c>
      <c r="L53" s="72" t="s">
        <v>608</v>
      </c>
      <c r="M53" s="72" t="s">
        <v>698</v>
      </c>
      <c r="N53" s="769"/>
    </row>
    <row r="54" spans="1:14" x14ac:dyDescent="0.25">
      <c r="A54" s="616" t="s">
        <v>91</v>
      </c>
      <c r="B54" s="847" t="s">
        <v>646</v>
      </c>
      <c r="C54" s="584" t="s">
        <v>608</v>
      </c>
      <c r="D54" s="808">
        <v>6</v>
      </c>
      <c r="E54" s="801">
        <v>2050</v>
      </c>
      <c r="F54" s="802">
        <v>61.5</v>
      </c>
      <c r="G54" s="802">
        <v>61.5</v>
      </c>
      <c r="H54" s="803">
        <f t="shared" si="1"/>
        <v>2173</v>
      </c>
      <c r="I54" s="120">
        <f>ROUND((E54+F54+G54)*(kopsavilkums!$O$12)*D54*12*(1+kopsavilkums!$O$23),2)</f>
        <v>12568.66</v>
      </c>
      <c r="J54" s="57"/>
      <c r="K54" s="557" t="s">
        <v>813</v>
      </c>
      <c r="L54" s="72" t="s">
        <v>608</v>
      </c>
      <c r="M54" s="72" t="s">
        <v>698</v>
      </c>
      <c r="N54" s="769"/>
    </row>
    <row r="55" spans="1:14" x14ac:dyDescent="0.25">
      <c r="A55" s="616" t="s">
        <v>808</v>
      </c>
      <c r="B55" s="847" t="s">
        <v>646</v>
      </c>
      <c r="C55" s="584" t="s">
        <v>608</v>
      </c>
      <c r="D55" s="808">
        <v>33.6</v>
      </c>
      <c r="E55" s="801">
        <v>1780</v>
      </c>
      <c r="F55" s="802">
        <v>53.4</v>
      </c>
      <c r="G55" s="802">
        <v>1116.9499999999998</v>
      </c>
      <c r="H55" s="803">
        <f t="shared" si="1"/>
        <v>2950.35</v>
      </c>
      <c r="I55" s="120">
        <f>ROUND((E55+F55+G55)*(kopsavilkums!$O$12)*D55*12*(1+kopsavilkums!$O$23),2)</f>
        <v>95563.21</v>
      </c>
      <c r="J55" s="57"/>
      <c r="K55" s="557" t="s">
        <v>813</v>
      </c>
      <c r="L55" s="72" t="s">
        <v>608</v>
      </c>
      <c r="M55" s="72" t="s">
        <v>698</v>
      </c>
      <c r="N55" s="769"/>
    </row>
    <row r="56" spans="1:14" x14ac:dyDescent="0.25">
      <c r="A56" s="616" t="s">
        <v>248</v>
      </c>
      <c r="B56" s="847" t="s">
        <v>646</v>
      </c>
      <c r="C56" s="584" t="s">
        <v>608</v>
      </c>
      <c r="D56" s="808">
        <v>43.1</v>
      </c>
      <c r="E56" s="801">
        <v>1515</v>
      </c>
      <c r="F56" s="802">
        <v>45.449999999999996</v>
      </c>
      <c r="G56" s="802">
        <v>1238.5125000000003</v>
      </c>
      <c r="H56" s="803">
        <f t="shared" si="1"/>
        <v>2798.9625000000005</v>
      </c>
      <c r="I56" s="120">
        <f>ROUND((E56+F56+G56)*(kopsavilkums!$O$12)*D56*12*(1+kopsavilkums!$O$23),2)</f>
        <v>116292.65</v>
      </c>
      <c r="J56" s="57"/>
      <c r="K56" s="557" t="s">
        <v>813</v>
      </c>
      <c r="L56" s="72" t="s">
        <v>608</v>
      </c>
      <c r="M56" s="72" t="s">
        <v>698</v>
      </c>
      <c r="N56" s="769"/>
    </row>
    <row r="57" spans="1:14" x14ac:dyDescent="0.25">
      <c r="A57" s="616" t="s">
        <v>92</v>
      </c>
      <c r="B57" s="847" t="s">
        <v>646</v>
      </c>
      <c r="C57" s="584" t="s">
        <v>608</v>
      </c>
      <c r="D57" s="808">
        <v>653.15</v>
      </c>
      <c r="E57" s="801">
        <v>1515</v>
      </c>
      <c r="F57" s="802">
        <v>45.449999999999996</v>
      </c>
      <c r="G57" s="802">
        <v>784.01250000000016</v>
      </c>
      <c r="H57" s="803">
        <f t="shared" si="1"/>
        <v>2344.4625000000001</v>
      </c>
      <c r="I57" s="120">
        <f>ROUND((E57+F57+G57)*(kopsavilkums!$O$12)*D57*12*(1+kopsavilkums!$O$23),2)</f>
        <v>1476162.46</v>
      </c>
      <c r="J57" s="57"/>
      <c r="K57" s="557" t="s">
        <v>813</v>
      </c>
      <c r="L57" s="72" t="s">
        <v>608</v>
      </c>
      <c r="M57" s="72" t="s">
        <v>698</v>
      </c>
      <c r="N57" s="769"/>
    </row>
    <row r="58" spans="1:14" ht="26.25" x14ac:dyDescent="0.25">
      <c r="A58" s="616" t="s">
        <v>809</v>
      </c>
      <c r="B58" s="847" t="s">
        <v>646</v>
      </c>
      <c r="C58" s="584" t="s">
        <v>608</v>
      </c>
      <c r="D58" s="808">
        <v>3.2</v>
      </c>
      <c r="E58" s="801">
        <v>1330</v>
      </c>
      <c r="F58" s="802">
        <v>39.9</v>
      </c>
      <c r="G58" s="802">
        <v>794.67500000000007</v>
      </c>
      <c r="H58" s="803">
        <f t="shared" si="1"/>
        <v>2164.5750000000003</v>
      </c>
      <c r="I58" s="120">
        <f>ROUND((E58+F58+G58)*(kopsavilkums!$O$12)*D58*12*(1+kopsavilkums!$O$23),2)</f>
        <v>6677.29</v>
      </c>
      <c r="J58" s="57"/>
      <c r="K58" s="557" t="s">
        <v>813</v>
      </c>
      <c r="L58" s="72" t="s">
        <v>608</v>
      </c>
      <c r="M58" s="72" t="s">
        <v>698</v>
      </c>
      <c r="N58" s="769"/>
    </row>
    <row r="59" spans="1:14" ht="26.25" x14ac:dyDescent="0.25">
      <c r="A59" s="616" t="s">
        <v>288</v>
      </c>
      <c r="B59" s="847" t="s">
        <v>646</v>
      </c>
      <c r="C59" s="584" t="s">
        <v>608</v>
      </c>
      <c r="D59" s="808">
        <v>210.5</v>
      </c>
      <c r="E59" s="801">
        <v>1287.75</v>
      </c>
      <c r="F59" s="802">
        <v>38.6325</v>
      </c>
      <c r="G59" s="802">
        <v>666.4106250000001</v>
      </c>
      <c r="H59" s="803">
        <f t="shared" si="1"/>
        <v>1992.7931250000001</v>
      </c>
      <c r="I59" s="120">
        <f>ROUND((E59+F59+G59)*(kopsavilkums!$O$12)*D59*12*(1+kopsavilkums!$O$23),2)</f>
        <v>404382.41</v>
      </c>
      <c r="J59" s="57"/>
      <c r="K59" s="557" t="s">
        <v>813</v>
      </c>
      <c r="L59" s="72" t="s">
        <v>608</v>
      </c>
      <c r="M59" s="72" t="s">
        <v>698</v>
      </c>
      <c r="N59" s="769"/>
    </row>
    <row r="60" spans="1:14" x14ac:dyDescent="0.25">
      <c r="A60" s="616" t="s">
        <v>249</v>
      </c>
      <c r="B60" s="847" t="s">
        <v>646</v>
      </c>
      <c r="C60" s="584" t="s">
        <v>608</v>
      </c>
      <c r="D60" s="810">
        <v>36.5</v>
      </c>
      <c r="E60" s="802">
        <v>1580</v>
      </c>
      <c r="F60" s="802">
        <v>47.4</v>
      </c>
      <c r="G60" s="802">
        <v>817.65000000000009</v>
      </c>
      <c r="H60" s="803">
        <f t="shared" si="1"/>
        <v>2445.0500000000002</v>
      </c>
      <c r="I60" s="120">
        <f>ROUND((E60+F60+G60)*(kopsavilkums!$O$12)*D60*12*(1+kopsavilkums!$O$23),2)</f>
        <v>86031.71</v>
      </c>
      <c r="J60" s="57"/>
      <c r="K60" s="557" t="s">
        <v>813</v>
      </c>
      <c r="L60" s="72" t="s">
        <v>608</v>
      </c>
      <c r="M60" s="72" t="s">
        <v>698</v>
      </c>
      <c r="N60" s="769"/>
    </row>
    <row r="61" spans="1:14" ht="26.25" x14ac:dyDescent="0.25">
      <c r="A61" s="616" t="s">
        <v>289</v>
      </c>
      <c r="B61" s="847" t="s">
        <v>646</v>
      </c>
      <c r="C61" s="584" t="s">
        <v>608</v>
      </c>
      <c r="D61" s="810">
        <v>12</v>
      </c>
      <c r="E61" s="802">
        <v>1675</v>
      </c>
      <c r="F61" s="802">
        <v>50.25</v>
      </c>
      <c r="G61" s="802">
        <v>1084.5625</v>
      </c>
      <c r="H61" s="803">
        <f t="shared" si="1"/>
        <v>2809.8125</v>
      </c>
      <c r="I61" s="120">
        <f>ROUND((E61+F61+G61)*(kopsavilkums!$O$12)*D61*12*(1+kopsavilkums!$O$23),2)</f>
        <v>32503.98</v>
      </c>
      <c r="J61" s="57"/>
      <c r="K61" s="557" t="s">
        <v>813</v>
      </c>
      <c r="L61" s="72" t="s">
        <v>608</v>
      </c>
      <c r="M61" s="72" t="s">
        <v>698</v>
      </c>
      <c r="N61" s="769"/>
    </row>
    <row r="62" spans="1:14" ht="26.25" x14ac:dyDescent="0.25">
      <c r="A62" s="616" t="s">
        <v>290</v>
      </c>
      <c r="B62" s="847" t="s">
        <v>646</v>
      </c>
      <c r="C62" s="584" t="s">
        <v>608</v>
      </c>
      <c r="D62" s="810">
        <v>7</v>
      </c>
      <c r="E62" s="802">
        <v>1675</v>
      </c>
      <c r="F62" s="802">
        <v>50.25</v>
      </c>
      <c r="G62" s="802">
        <v>1017.5625000000001</v>
      </c>
      <c r="H62" s="803">
        <f t="shared" si="1"/>
        <v>2742.8125</v>
      </c>
      <c r="I62" s="120">
        <f>ROUND((E62+F62+G62)*(kopsavilkums!$O$12)*D62*12*(1+kopsavilkums!$O$23),2)</f>
        <v>18508.54</v>
      </c>
      <c r="J62" s="57"/>
      <c r="K62" s="557" t="s">
        <v>813</v>
      </c>
      <c r="L62" s="72" t="s">
        <v>608</v>
      </c>
      <c r="M62" s="72" t="s">
        <v>698</v>
      </c>
      <c r="N62" s="769"/>
    </row>
    <row r="63" spans="1:14" ht="26.25" x14ac:dyDescent="0.25">
      <c r="A63" s="616" t="s">
        <v>291</v>
      </c>
      <c r="B63" s="847" t="s">
        <v>646</v>
      </c>
      <c r="C63" s="584" t="s">
        <v>608</v>
      </c>
      <c r="D63" s="810">
        <v>3</v>
      </c>
      <c r="E63" s="802">
        <v>1675</v>
      </c>
      <c r="F63" s="802">
        <v>50.25</v>
      </c>
      <c r="G63" s="802">
        <v>1252.0625</v>
      </c>
      <c r="H63" s="803">
        <f t="shared" si="1"/>
        <v>2977.3125</v>
      </c>
      <c r="I63" s="120">
        <f>ROUND((E63+F63+G63)*(kopsavilkums!$O$12)*D63*12*(1+kopsavilkums!$O$23),2)</f>
        <v>8610.41</v>
      </c>
      <c r="J63" s="57"/>
      <c r="K63" s="557" t="s">
        <v>813</v>
      </c>
      <c r="L63" s="72" t="s">
        <v>608</v>
      </c>
      <c r="M63" s="72" t="s">
        <v>698</v>
      </c>
      <c r="N63" s="769"/>
    </row>
    <row r="64" spans="1:14" ht="26.25" x14ac:dyDescent="0.25">
      <c r="A64" s="616" t="s">
        <v>93</v>
      </c>
      <c r="B64" s="847" t="s">
        <v>646</v>
      </c>
      <c r="C64" s="584" t="s">
        <v>608</v>
      </c>
      <c r="D64" s="810">
        <v>42.75</v>
      </c>
      <c r="E64" s="802">
        <v>1515</v>
      </c>
      <c r="F64" s="802">
        <v>45.449999999999996</v>
      </c>
      <c r="G64" s="802">
        <v>784.01250000000016</v>
      </c>
      <c r="H64" s="803">
        <f t="shared" si="1"/>
        <v>2344.4625000000001</v>
      </c>
      <c r="I64" s="120">
        <f>ROUND((E64+F64+G64)*(kopsavilkums!$O$12)*D64*12*(1+kopsavilkums!$O$23),2)</f>
        <v>96617.84</v>
      </c>
      <c r="J64" s="57"/>
      <c r="K64" s="557" t="s">
        <v>813</v>
      </c>
      <c r="L64" s="72" t="s">
        <v>608</v>
      </c>
      <c r="M64" s="72" t="s">
        <v>698</v>
      </c>
      <c r="N64" s="769"/>
    </row>
    <row r="65" spans="1:14" ht="26.25" x14ac:dyDescent="0.25">
      <c r="A65" s="616" t="s">
        <v>94</v>
      </c>
      <c r="B65" s="847" t="s">
        <v>646</v>
      </c>
      <c r="C65" s="584" t="s">
        <v>608</v>
      </c>
      <c r="D65" s="810">
        <v>33.25</v>
      </c>
      <c r="E65" s="802">
        <v>1513</v>
      </c>
      <c r="F65" s="802">
        <v>45.39</v>
      </c>
      <c r="G65" s="802">
        <v>782.97750000000008</v>
      </c>
      <c r="H65" s="803">
        <f t="shared" si="1"/>
        <v>2341.3675000000003</v>
      </c>
      <c r="I65" s="120">
        <f>ROUND((E65+F65+G65)*(kopsavilkums!$O$12)*D65*12*(1+kopsavilkums!$O$23),2)</f>
        <v>75048.009999999995</v>
      </c>
      <c r="J65" s="57"/>
      <c r="K65" s="557" t="s">
        <v>813</v>
      </c>
      <c r="L65" s="72" t="s">
        <v>608</v>
      </c>
      <c r="M65" s="72" t="s">
        <v>698</v>
      </c>
      <c r="N65" s="769"/>
    </row>
    <row r="66" spans="1:14" x14ac:dyDescent="0.25">
      <c r="A66" s="616" t="s">
        <v>456</v>
      </c>
      <c r="B66" s="847" t="s">
        <v>646</v>
      </c>
      <c r="C66" s="584" t="s">
        <v>608</v>
      </c>
      <c r="D66" s="810">
        <v>4.5</v>
      </c>
      <c r="E66" s="802">
        <v>2040</v>
      </c>
      <c r="F66" s="802">
        <v>61.199999999999996</v>
      </c>
      <c r="G66" s="802">
        <v>688.49999999999989</v>
      </c>
      <c r="H66" s="803">
        <f t="shared" si="1"/>
        <v>2789.7</v>
      </c>
      <c r="I66" s="120">
        <f>ROUND((E66+F66+G66)*(kopsavilkums!$O$12)*D66*12*(1+kopsavilkums!$O$23),2)</f>
        <v>12101.74</v>
      </c>
      <c r="J66" s="57"/>
      <c r="K66" s="557" t="s">
        <v>813</v>
      </c>
      <c r="L66" s="72" t="s">
        <v>608</v>
      </c>
      <c r="M66" s="72" t="s">
        <v>698</v>
      </c>
      <c r="N66" s="769"/>
    </row>
    <row r="67" spans="1:14" x14ac:dyDescent="0.25">
      <c r="A67" s="616" t="s">
        <v>457</v>
      </c>
      <c r="B67" s="847" t="s">
        <v>646</v>
      </c>
      <c r="C67" s="584" t="s">
        <v>608</v>
      </c>
      <c r="D67" s="810">
        <v>10.5</v>
      </c>
      <c r="E67" s="802">
        <v>1730</v>
      </c>
      <c r="F67" s="802">
        <v>51.9</v>
      </c>
      <c r="G67" s="802">
        <v>583.87499999999989</v>
      </c>
      <c r="H67" s="803">
        <f t="shared" si="1"/>
        <v>2365.7750000000001</v>
      </c>
      <c r="I67" s="120">
        <f>ROUND((E67+F67+G67)*(kopsavilkums!$O$12)*D67*12*(1+kopsavilkums!$O$23),2)</f>
        <v>23946.42</v>
      </c>
      <c r="J67" s="57"/>
      <c r="K67" s="557" t="s">
        <v>813</v>
      </c>
      <c r="L67" s="72" t="s">
        <v>608</v>
      </c>
      <c r="M67" s="72" t="s">
        <v>698</v>
      </c>
      <c r="N67" s="769"/>
    </row>
    <row r="68" spans="1:14" x14ac:dyDescent="0.25">
      <c r="A68" s="616" t="s">
        <v>458</v>
      </c>
      <c r="B68" s="847" t="s">
        <v>646</v>
      </c>
      <c r="C68" s="584" t="s">
        <v>608</v>
      </c>
      <c r="D68" s="810">
        <v>9</v>
      </c>
      <c r="E68" s="802">
        <v>1750</v>
      </c>
      <c r="F68" s="802">
        <v>52.5</v>
      </c>
      <c r="G68" s="802">
        <v>590.62499999999989</v>
      </c>
      <c r="H68" s="803">
        <f t="shared" si="1"/>
        <v>2393.125</v>
      </c>
      <c r="I68" s="120">
        <f>ROUND((E68+F68+G68)*(kopsavilkums!$O$12)*D68*12*(1+kopsavilkums!$O$23),2)</f>
        <v>20762.8</v>
      </c>
      <c r="J68" s="57"/>
      <c r="K68" s="557" t="s">
        <v>813</v>
      </c>
      <c r="L68" s="72" t="s">
        <v>608</v>
      </c>
      <c r="M68" s="72" t="s">
        <v>698</v>
      </c>
      <c r="N68" s="769"/>
    </row>
    <row r="69" spans="1:14" x14ac:dyDescent="0.25">
      <c r="A69" s="848" t="s">
        <v>292</v>
      </c>
      <c r="B69" s="587" t="s">
        <v>646</v>
      </c>
      <c r="C69" s="587" t="s">
        <v>608</v>
      </c>
      <c r="D69" s="810">
        <v>41</v>
      </c>
      <c r="E69" s="802">
        <v>1830</v>
      </c>
      <c r="F69" s="802">
        <v>54.9</v>
      </c>
      <c r="G69" s="802">
        <v>617.62499999999989</v>
      </c>
      <c r="H69" s="803">
        <f t="shared" si="1"/>
        <v>2502.5250000000001</v>
      </c>
      <c r="I69" s="120">
        <f>ROUND((E69+F69+G69)*(kopsavilkums!$O$12)*D69*12*(1+kopsavilkums!$O$23),2)</f>
        <v>98910</v>
      </c>
      <c r="J69" s="57"/>
      <c r="K69" s="557" t="s">
        <v>813</v>
      </c>
      <c r="L69" s="72" t="s">
        <v>608</v>
      </c>
      <c r="M69" s="72" t="s">
        <v>698</v>
      </c>
      <c r="N69" s="769"/>
    </row>
    <row r="70" spans="1:14" ht="25.5" x14ac:dyDescent="0.25">
      <c r="A70" s="809" t="s">
        <v>293</v>
      </c>
      <c r="B70" s="587" t="s">
        <v>646</v>
      </c>
      <c r="C70" s="587" t="s">
        <v>608</v>
      </c>
      <c r="D70" s="810">
        <v>40</v>
      </c>
      <c r="E70" s="802">
        <v>1430</v>
      </c>
      <c r="F70" s="802">
        <v>42.9</v>
      </c>
      <c r="G70" s="802">
        <v>482.62499999999994</v>
      </c>
      <c r="H70" s="803">
        <f t="shared" si="1"/>
        <v>1955.5250000000001</v>
      </c>
      <c r="I70" s="120">
        <f>ROUND((E70+F70+G70)*(kopsavilkums!$O$12)*D70*12*(1+kopsavilkums!$O$23),2)</f>
        <v>75405.2</v>
      </c>
      <c r="J70" s="57"/>
      <c r="K70" s="557" t="s">
        <v>813</v>
      </c>
      <c r="L70" s="72" t="s">
        <v>608</v>
      </c>
      <c r="M70" s="72" t="s">
        <v>698</v>
      </c>
      <c r="N70" s="769"/>
    </row>
    <row r="71" spans="1:14" ht="25.5" x14ac:dyDescent="0.25">
      <c r="A71" s="809" t="s">
        <v>293</v>
      </c>
      <c r="B71" s="587" t="s">
        <v>646</v>
      </c>
      <c r="C71" s="587" t="s">
        <v>608</v>
      </c>
      <c r="D71" s="810">
        <v>14</v>
      </c>
      <c r="E71" s="802">
        <v>1300</v>
      </c>
      <c r="F71" s="802">
        <v>39</v>
      </c>
      <c r="G71" s="802">
        <v>438.74999999999994</v>
      </c>
      <c r="H71" s="803">
        <f t="shared" si="1"/>
        <v>1777.75</v>
      </c>
      <c r="I71" s="120">
        <f>ROUND((E71+F71+G71)*(kopsavilkums!$O$12)*D71*12*(1+kopsavilkums!$O$23),2)</f>
        <v>23992.560000000001</v>
      </c>
      <c r="J71" s="57"/>
      <c r="K71" s="557" t="s">
        <v>813</v>
      </c>
      <c r="L71" s="72" t="s">
        <v>608</v>
      </c>
      <c r="M71" s="72" t="s">
        <v>698</v>
      </c>
      <c r="N71" s="769"/>
    </row>
    <row r="72" spans="1:14" ht="26.25" x14ac:dyDescent="0.25">
      <c r="A72" s="616" t="s">
        <v>250</v>
      </c>
      <c r="B72" s="847" t="s">
        <v>646</v>
      </c>
      <c r="C72" s="584" t="s">
        <v>608</v>
      </c>
      <c r="D72" s="810">
        <v>25.5</v>
      </c>
      <c r="E72" s="802">
        <v>1670</v>
      </c>
      <c r="F72" s="802">
        <v>50.1</v>
      </c>
      <c r="G72" s="802">
        <v>563.625</v>
      </c>
      <c r="H72" s="803">
        <f t="shared" si="1"/>
        <v>2283.7249999999999</v>
      </c>
      <c r="I72" s="120">
        <f>ROUND((E72+F72+G72)*(kopsavilkums!$O$12)*D72*12*(1+kopsavilkums!$O$23),2)</f>
        <v>56138.64</v>
      </c>
      <c r="J72" s="57"/>
      <c r="K72" s="557" t="s">
        <v>813</v>
      </c>
      <c r="L72" s="72" t="s">
        <v>608</v>
      </c>
      <c r="M72" s="72" t="s">
        <v>698</v>
      </c>
      <c r="N72" s="769"/>
    </row>
    <row r="73" spans="1:14" x14ac:dyDescent="0.25">
      <c r="A73" s="616" t="s">
        <v>459</v>
      </c>
      <c r="B73" s="847" t="s">
        <v>646</v>
      </c>
      <c r="C73" s="584" t="s">
        <v>608</v>
      </c>
      <c r="D73" s="810">
        <v>9.5</v>
      </c>
      <c r="E73" s="802">
        <v>1700</v>
      </c>
      <c r="F73" s="802">
        <v>51</v>
      </c>
      <c r="G73" s="802">
        <v>573.75</v>
      </c>
      <c r="H73" s="803">
        <f t="shared" si="1"/>
        <v>2324.75</v>
      </c>
      <c r="I73" s="120">
        <f>ROUND((E73+F73+G73)*(kopsavilkums!$O$12)*D73*12*(1+kopsavilkums!$O$23),2)</f>
        <v>21290.1</v>
      </c>
      <c r="J73" s="57"/>
      <c r="K73" s="557" t="s">
        <v>813</v>
      </c>
      <c r="L73" s="72" t="s">
        <v>608</v>
      </c>
      <c r="M73" s="72" t="s">
        <v>698</v>
      </c>
      <c r="N73" s="769"/>
    </row>
    <row r="74" spans="1:14" x14ac:dyDescent="0.25">
      <c r="A74" s="616" t="s">
        <v>295</v>
      </c>
      <c r="B74" s="847" t="s">
        <v>646</v>
      </c>
      <c r="C74" s="584" t="s">
        <v>608</v>
      </c>
      <c r="D74" s="810">
        <v>1</v>
      </c>
      <c r="E74" s="802">
        <v>1820</v>
      </c>
      <c r="F74" s="802">
        <v>54.6</v>
      </c>
      <c r="G74" s="802">
        <v>54.6</v>
      </c>
      <c r="H74" s="803">
        <f t="shared" si="1"/>
        <v>1929.1999999999998</v>
      </c>
      <c r="I74" s="120">
        <f>ROUND((E74+F74+G74)*(kopsavilkums!$O$12)*D74*12*(1+kopsavilkums!$O$23),2)</f>
        <v>1859.75</v>
      </c>
      <c r="J74" s="57"/>
      <c r="K74" s="557" t="s">
        <v>813</v>
      </c>
      <c r="L74" s="72" t="s">
        <v>608</v>
      </c>
      <c r="M74" s="72" t="s">
        <v>698</v>
      </c>
      <c r="N74" s="769"/>
    </row>
    <row r="75" spans="1:14" x14ac:dyDescent="0.25">
      <c r="A75" s="616" t="s">
        <v>296</v>
      </c>
      <c r="B75" s="847" t="s">
        <v>646</v>
      </c>
      <c r="C75" s="584" t="s">
        <v>608</v>
      </c>
      <c r="D75" s="810">
        <v>9.5</v>
      </c>
      <c r="E75" s="802">
        <v>1450</v>
      </c>
      <c r="F75" s="802">
        <v>43.5</v>
      </c>
      <c r="G75" s="802">
        <v>750.37500000000011</v>
      </c>
      <c r="H75" s="803">
        <f t="shared" si="1"/>
        <v>2243.875</v>
      </c>
      <c r="I75" s="120">
        <f>ROUND((E75+F75+G75)*(kopsavilkums!$O$12)*D75*12*(1+kopsavilkums!$O$23),2)</f>
        <v>20549.45</v>
      </c>
      <c r="J75" s="57"/>
      <c r="K75" s="557" t="s">
        <v>813</v>
      </c>
      <c r="L75" s="72" t="s">
        <v>608</v>
      </c>
      <c r="M75" s="72" t="s">
        <v>698</v>
      </c>
      <c r="N75" s="769"/>
    </row>
    <row r="76" spans="1:14" x14ac:dyDescent="0.25">
      <c r="A76" s="809" t="s">
        <v>671</v>
      </c>
      <c r="B76" s="847" t="s">
        <v>647</v>
      </c>
      <c r="C76" s="587" t="s">
        <v>648</v>
      </c>
      <c r="D76" s="810">
        <v>4.75</v>
      </c>
      <c r="E76" s="802">
        <v>1450</v>
      </c>
      <c r="F76" s="802">
        <v>43.5</v>
      </c>
      <c r="G76" s="802">
        <v>750.37500000000011</v>
      </c>
      <c r="H76" s="803">
        <f t="shared" si="1"/>
        <v>2243.875</v>
      </c>
      <c r="I76" s="120">
        <f>ROUND((E76+F76+G76)*(kopsavilkums!$O$12)*D76*12*(1+kopsavilkums!$O$23),2)</f>
        <v>10274.719999999999</v>
      </c>
      <c r="J76" s="57"/>
      <c r="K76" s="557" t="s">
        <v>814</v>
      </c>
      <c r="L76" s="72" t="s">
        <v>648</v>
      </c>
      <c r="M76" s="72" t="s">
        <v>698</v>
      </c>
      <c r="N76" s="769"/>
    </row>
    <row r="77" spans="1:14" x14ac:dyDescent="0.25">
      <c r="A77" s="616" t="s">
        <v>672</v>
      </c>
      <c r="B77" s="847" t="s">
        <v>649</v>
      </c>
      <c r="C77" s="587" t="s">
        <v>530</v>
      </c>
      <c r="D77" s="810">
        <v>9.5</v>
      </c>
      <c r="E77" s="802">
        <v>1450</v>
      </c>
      <c r="F77" s="802">
        <v>43.5</v>
      </c>
      <c r="G77" s="802">
        <v>750.37500000000011</v>
      </c>
      <c r="H77" s="803">
        <f t="shared" si="1"/>
        <v>2243.875</v>
      </c>
      <c r="I77" s="120">
        <f>ROUND((E77+F77+G77)*(kopsavilkums!$O$12)*D77*12*(1+kopsavilkums!$O$23),2)</f>
        <v>20549.45</v>
      </c>
      <c r="J77" s="57"/>
      <c r="K77" s="557" t="s">
        <v>815</v>
      </c>
      <c r="L77" s="72" t="s">
        <v>530</v>
      </c>
      <c r="M77" s="72" t="s">
        <v>698</v>
      </c>
      <c r="N77" s="769"/>
    </row>
    <row r="78" spans="1:14" x14ac:dyDescent="0.25">
      <c r="A78" s="616" t="s">
        <v>673</v>
      </c>
      <c r="B78" s="847" t="s">
        <v>650</v>
      </c>
      <c r="C78" s="587" t="s">
        <v>605</v>
      </c>
      <c r="D78" s="810">
        <v>2</v>
      </c>
      <c r="E78" s="802">
        <v>1450</v>
      </c>
      <c r="F78" s="802">
        <v>43.5</v>
      </c>
      <c r="G78" s="802">
        <v>750.37500000000011</v>
      </c>
      <c r="H78" s="803">
        <f t="shared" si="1"/>
        <v>2243.875</v>
      </c>
      <c r="I78" s="120">
        <f>ROUND((E78+F78+G78)*(kopsavilkums!$O$12)*D78*12*(1+kopsavilkums!$O$23),2)</f>
        <v>4326.2</v>
      </c>
      <c r="J78" s="57"/>
      <c r="K78" s="557" t="s">
        <v>816</v>
      </c>
      <c r="L78" s="72" t="s">
        <v>605</v>
      </c>
      <c r="M78" s="72" t="s">
        <v>698</v>
      </c>
      <c r="N78" s="769"/>
    </row>
    <row r="79" spans="1:14" ht="26.25" x14ac:dyDescent="0.25">
      <c r="A79" s="616" t="s">
        <v>297</v>
      </c>
      <c r="B79" s="847" t="s">
        <v>646</v>
      </c>
      <c r="C79" s="587" t="s">
        <v>608</v>
      </c>
      <c r="D79" s="849">
        <v>2</v>
      </c>
      <c r="E79" s="802">
        <v>1450</v>
      </c>
      <c r="F79" s="802">
        <v>43.5</v>
      </c>
      <c r="G79" s="802">
        <v>489.37499999999994</v>
      </c>
      <c r="H79" s="803">
        <f t="shared" si="1"/>
        <v>1982.875</v>
      </c>
      <c r="I79" s="120">
        <f>ROUND((E79+F79+G79)*(kopsavilkums!$O$12)*D79*12*(1+kopsavilkums!$O$23),2)</f>
        <v>3822.99</v>
      </c>
      <c r="J79" s="57"/>
      <c r="K79" s="557" t="s">
        <v>813</v>
      </c>
      <c r="L79" s="72" t="s">
        <v>608</v>
      </c>
      <c r="M79" s="72" t="s">
        <v>698</v>
      </c>
      <c r="N79" s="769"/>
    </row>
    <row r="80" spans="1:14" x14ac:dyDescent="0.25">
      <c r="A80" s="616" t="s">
        <v>332</v>
      </c>
      <c r="B80" s="847" t="s">
        <v>646</v>
      </c>
      <c r="C80" s="587" t="s">
        <v>608</v>
      </c>
      <c r="D80" s="849">
        <v>7.75</v>
      </c>
      <c r="E80" s="802">
        <v>1730</v>
      </c>
      <c r="F80" s="802">
        <v>51.9</v>
      </c>
      <c r="G80" s="802"/>
      <c r="H80" s="803">
        <f t="shared" si="1"/>
        <v>1781.9</v>
      </c>
      <c r="I80" s="120">
        <f>ROUND((E80+F80+G80)*(kopsavilkums!$O$12)*D80*12*(1+kopsavilkums!$O$23),2)</f>
        <v>13312.6</v>
      </c>
      <c r="J80" s="57"/>
      <c r="K80" s="557" t="s">
        <v>813</v>
      </c>
      <c r="L80" s="72" t="s">
        <v>608</v>
      </c>
      <c r="M80" s="72" t="s">
        <v>698</v>
      </c>
      <c r="N80" s="769"/>
    </row>
    <row r="81" spans="1:14" x14ac:dyDescent="0.25">
      <c r="A81" s="616" t="s">
        <v>674</v>
      </c>
      <c r="B81" s="847" t="s">
        <v>810</v>
      </c>
      <c r="C81" s="587" t="s">
        <v>605</v>
      </c>
      <c r="D81" s="849">
        <v>1</v>
      </c>
      <c r="E81" s="802">
        <v>1800</v>
      </c>
      <c r="F81" s="802">
        <v>54</v>
      </c>
      <c r="G81" s="802"/>
      <c r="H81" s="803">
        <f t="shared" si="1"/>
        <v>1854</v>
      </c>
      <c r="I81" s="120">
        <f>ROUND((E81+F81+G81)*(kopsavilkums!$O$12)*D81*12*(1+kopsavilkums!$O$23),2)</f>
        <v>1787.26</v>
      </c>
      <c r="J81" s="57"/>
      <c r="K81" s="557" t="s">
        <v>817</v>
      </c>
      <c r="L81" s="72" t="s">
        <v>605</v>
      </c>
      <c r="M81" s="72" t="s">
        <v>698</v>
      </c>
      <c r="N81" s="769"/>
    </row>
    <row r="82" spans="1:14" ht="26.25" x14ac:dyDescent="0.25">
      <c r="A82" s="616" t="s">
        <v>298</v>
      </c>
      <c r="B82" s="847" t="s">
        <v>646</v>
      </c>
      <c r="C82" s="587" t="s">
        <v>608</v>
      </c>
      <c r="D82" s="849">
        <v>1</v>
      </c>
      <c r="E82" s="802">
        <v>1700</v>
      </c>
      <c r="F82" s="802">
        <v>51</v>
      </c>
      <c r="G82" s="802">
        <v>51</v>
      </c>
      <c r="H82" s="803">
        <f t="shared" si="1"/>
        <v>1802</v>
      </c>
      <c r="I82" s="120">
        <f>ROUND((E82+F82+G82)*(kopsavilkums!$O$12)*D82*12*(1+kopsavilkums!$O$23),2)</f>
        <v>1737.13</v>
      </c>
      <c r="J82" s="57"/>
      <c r="K82" s="557" t="s">
        <v>813</v>
      </c>
      <c r="L82" s="72" t="s">
        <v>608</v>
      </c>
      <c r="M82" s="72" t="s">
        <v>698</v>
      </c>
      <c r="N82" s="769"/>
    </row>
    <row r="83" spans="1:14" ht="26.25" x14ac:dyDescent="0.25">
      <c r="A83" s="616" t="s">
        <v>299</v>
      </c>
      <c r="B83" s="847" t="s">
        <v>646</v>
      </c>
      <c r="C83" s="584" t="s">
        <v>608</v>
      </c>
      <c r="D83" s="615">
        <v>1</v>
      </c>
      <c r="E83" s="802">
        <v>1330</v>
      </c>
      <c r="F83" s="802">
        <v>39.9</v>
      </c>
      <c r="G83" s="802">
        <v>39.9</v>
      </c>
      <c r="H83" s="803">
        <f t="shared" si="1"/>
        <v>1409.8000000000002</v>
      </c>
      <c r="I83" s="120">
        <f>ROUND((E83+F83+G83)*(kopsavilkums!$O$12)*D83*12*(1+kopsavilkums!$O$23),2)</f>
        <v>1359.05</v>
      </c>
      <c r="J83" s="57"/>
      <c r="K83" s="557" t="s">
        <v>813</v>
      </c>
      <c r="L83" s="72" t="s">
        <v>608</v>
      </c>
      <c r="M83" s="72" t="s">
        <v>698</v>
      </c>
      <c r="N83" s="769"/>
    </row>
    <row r="84" spans="1:14" ht="45" x14ac:dyDescent="0.25">
      <c r="A84" s="863" t="s">
        <v>460</v>
      </c>
      <c r="B84" s="847" t="s">
        <v>610</v>
      </c>
      <c r="C84" s="584" t="s">
        <v>608</v>
      </c>
      <c r="D84" s="615">
        <v>4</v>
      </c>
      <c r="E84" s="802">
        <v>1450</v>
      </c>
      <c r="F84" s="802">
        <v>43.5</v>
      </c>
      <c r="G84" s="802">
        <v>43.5</v>
      </c>
      <c r="H84" s="803">
        <f t="shared" si="1"/>
        <v>1537</v>
      </c>
      <c r="I84" s="120">
        <f>ROUND((E84+F84+G84)*(kopsavilkums!$O$12)*D84*12*(1+kopsavilkums!$O$23),2)</f>
        <v>5926.68</v>
      </c>
      <c r="J84" s="57"/>
      <c r="K84" s="557" t="s">
        <v>818</v>
      </c>
      <c r="L84" s="72" t="s">
        <v>608</v>
      </c>
      <c r="M84" s="72" t="s">
        <v>698</v>
      </c>
      <c r="N84" s="769" t="s">
        <v>819</v>
      </c>
    </row>
    <row r="85" spans="1:14" ht="26.25" x14ac:dyDescent="0.25">
      <c r="A85" s="616" t="s">
        <v>811</v>
      </c>
      <c r="B85" s="847" t="s">
        <v>646</v>
      </c>
      <c r="C85" s="587" t="s">
        <v>608</v>
      </c>
      <c r="D85" s="615">
        <v>3</v>
      </c>
      <c r="E85" s="802">
        <v>1530</v>
      </c>
      <c r="F85" s="802">
        <v>45.9</v>
      </c>
      <c r="G85" s="802"/>
      <c r="H85" s="803">
        <f t="shared" si="1"/>
        <v>1575.9</v>
      </c>
      <c r="I85" s="120">
        <f>ROUND((E85+F85+G85)*(kopsavilkums!$O$12)*D85*12*(1+kopsavilkums!$O$23),2)</f>
        <v>4557.51</v>
      </c>
      <c r="J85" s="57"/>
      <c r="K85" s="557" t="s">
        <v>820</v>
      </c>
      <c r="L85" s="72" t="s">
        <v>608</v>
      </c>
      <c r="M85" s="72"/>
      <c r="N85" s="769"/>
    </row>
    <row r="86" spans="1:14" x14ac:dyDescent="0.25">
      <c r="A86" s="32" t="s">
        <v>96</v>
      </c>
      <c r="B86" s="525"/>
      <c r="C86" s="525"/>
      <c r="D86" s="29"/>
      <c r="E86" s="30"/>
      <c r="F86" s="30"/>
      <c r="G86" s="30"/>
      <c r="H86" s="246"/>
      <c r="I86" s="389">
        <f>I87+I92+I94</f>
        <v>1081349.8</v>
      </c>
      <c r="K86" s="72"/>
      <c r="L86" s="72"/>
      <c r="M86" s="72"/>
      <c r="N86" s="769"/>
    </row>
    <row r="87" spans="1:14" x14ac:dyDescent="0.25">
      <c r="A87" s="25" t="s">
        <v>104</v>
      </c>
      <c r="B87" s="526"/>
      <c r="C87" s="526"/>
      <c r="D87" s="23"/>
      <c r="E87" s="20"/>
      <c r="F87" s="20"/>
      <c r="G87" s="20"/>
      <c r="H87" s="247"/>
      <c r="I87" s="390">
        <f>I88+I91+I89+I90</f>
        <v>283695.46000000002</v>
      </c>
      <c r="K87" s="72"/>
      <c r="L87" s="72"/>
      <c r="M87" s="72"/>
      <c r="N87" s="769"/>
    </row>
    <row r="88" spans="1:14" x14ac:dyDescent="0.25">
      <c r="A88" s="809" t="s">
        <v>97</v>
      </c>
      <c r="B88" s="841" t="s">
        <v>465</v>
      </c>
      <c r="C88" s="842" t="s">
        <v>606</v>
      </c>
      <c r="D88" s="850">
        <v>2</v>
      </c>
      <c r="E88" s="851">
        <v>1850</v>
      </c>
      <c r="F88" s="851">
        <v>55.5</v>
      </c>
      <c r="G88" s="851">
        <v>624.37499999999989</v>
      </c>
      <c r="H88" s="803">
        <f t="shared" ref="H88:H100" si="2">E88+F88+G88</f>
        <v>2529.875</v>
      </c>
      <c r="I88" s="120">
        <f>ROUND((E88+F88+G88)*(kopsavilkums!$O$8)*D88*12*(1+kopsavilkums!$O$23),2)</f>
        <v>7954.25</v>
      </c>
      <c r="J88" s="57"/>
      <c r="K88" s="557" t="s">
        <v>821</v>
      </c>
      <c r="L88" s="72" t="s">
        <v>606</v>
      </c>
      <c r="M88" s="72" t="s">
        <v>698</v>
      </c>
      <c r="N88" s="769"/>
    </row>
    <row r="89" spans="1:14" ht="25.5" x14ac:dyDescent="0.25">
      <c r="A89" s="852" t="s">
        <v>285</v>
      </c>
      <c r="B89" s="841" t="s">
        <v>651</v>
      </c>
      <c r="C89" s="853" t="s">
        <v>606</v>
      </c>
      <c r="D89" s="854">
        <v>2</v>
      </c>
      <c r="E89" s="851">
        <v>2350</v>
      </c>
      <c r="F89" s="851">
        <v>70.5</v>
      </c>
      <c r="G89" s="851">
        <v>816.62499999999989</v>
      </c>
      <c r="H89" s="803">
        <f t="shared" si="2"/>
        <v>3237.125</v>
      </c>
      <c r="I89" s="120">
        <f>ROUND((E89+F89+G89)*(kopsavilkums!$O$8)*D89*12*(1+kopsavilkums!$O$23),2)</f>
        <v>10177.94</v>
      </c>
      <c r="J89" s="57"/>
      <c r="K89" s="557" t="s">
        <v>822</v>
      </c>
      <c r="L89" s="72" t="s">
        <v>606</v>
      </c>
      <c r="M89" s="72" t="s">
        <v>698</v>
      </c>
      <c r="N89" s="769"/>
    </row>
    <row r="90" spans="1:14" ht="25.5" x14ac:dyDescent="0.25">
      <c r="A90" s="852" t="s">
        <v>98</v>
      </c>
      <c r="B90" s="841" t="s">
        <v>535</v>
      </c>
      <c r="C90" s="853" t="s">
        <v>606</v>
      </c>
      <c r="D90" s="854">
        <v>44</v>
      </c>
      <c r="E90" s="851">
        <v>1515</v>
      </c>
      <c r="F90" s="851">
        <v>45.449999999999996</v>
      </c>
      <c r="G90" s="851">
        <v>935.51250000000005</v>
      </c>
      <c r="H90" s="803">
        <f t="shared" si="2"/>
        <v>2495.9625000000001</v>
      </c>
      <c r="I90" s="120">
        <f>ROUND((E90+F90+G90)*(kopsavilkums!$O$8)*D90*12*(1+kopsavilkums!$O$23),2)</f>
        <v>172647.85</v>
      </c>
      <c r="J90" s="57"/>
      <c r="K90" s="557" t="s">
        <v>760</v>
      </c>
      <c r="L90" s="72" t="s">
        <v>606</v>
      </c>
      <c r="M90" s="72" t="s">
        <v>698</v>
      </c>
      <c r="N90" s="769"/>
    </row>
    <row r="91" spans="1:14" ht="63.75" x14ac:dyDescent="0.25">
      <c r="A91" s="843" t="s">
        <v>251</v>
      </c>
      <c r="B91" s="841" t="s">
        <v>465</v>
      </c>
      <c r="C91" s="844" t="s">
        <v>606</v>
      </c>
      <c r="D91" s="808">
        <v>20.5</v>
      </c>
      <c r="E91" s="801">
        <v>1750</v>
      </c>
      <c r="F91" s="802">
        <v>52.5</v>
      </c>
      <c r="G91" s="802">
        <v>1080.625</v>
      </c>
      <c r="H91" s="803">
        <f t="shared" si="2"/>
        <v>2883.125</v>
      </c>
      <c r="I91" s="120">
        <f>ROUND((E91+F91+G91)*(kopsavilkums!$O$8)*D91*12*(1+kopsavilkums!$O$23),2)</f>
        <v>92915.42</v>
      </c>
      <c r="J91" s="57"/>
      <c r="K91" s="557" t="s">
        <v>794</v>
      </c>
      <c r="L91" s="72" t="s">
        <v>606</v>
      </c>
      <c r="M91" s="72" t="s">
        <v>698</v>
      </c>
      <c r="N91" s="769"/>
    </row>
    <row r="92" spans="1:14" ht="51" x14ac:dyDescent="0.25">
      <c r="A92" s="25" t="s">
        <v>437</v>
      </c>
      <c r="B92" s="526"/>
      <c r="C92" s="526"/>
      <c r="D92" s="23"/>
      <c r="E92" s="20"/>
      <c r="F92" s="20"/>
      <c r="G92" s="20"/>
      <c r="H92" s="24"/>
      <c r="I92" s="390">
        <f>I93</f>
        <v>86848.76</v>
      </c>
      <c r="K92" s="72"/>
      <c r="L92" s="72"/>
      <c r="M92" s="72"/>
      <c r="N92" s="769"/>
    </row>
    <row r="93" spans="1:14" ht="25.5" x14ac:dyDescent="0.25">
      <c r="A93" s="809" t="s">
        <v>669</v>
      </c>
      <c r="B93" s="841" t="s">
        <v>529</v>
      </c>
      <c r="C93" s="842" t="s">
        <v>488</v>
      </c>
      <c r="D93" s="855">
        <v>49</v>
      </c>
      <c r="E93" s="801">
        <v>1116</v>
      </c>
      <c r="F93" s="802">
        <v>33.479999999999997</v>
      </c>
      <c r="G93" s="802">
        <v>689.13000000000011</v>
      </c>
      <c r="H93" s="803">
        <f t="shared" si="2"/>
        <v>1838.6100000000001</v>
      </c>
      <c r="I93" s="120">
        <f>ROUND((E93+F93+G93)*(kopsavilkums!$O$12)*D93*12*(1+kopsavilkums!$O$23),2)</f>
        <v>86848.76</v>
      </c>
      <c r="J93" s="57"/>
      <c r="K93" s="557" t="s">
        <v>823</v>
      </c>
      <c r="L93" s="72" t="s">
        <v>488</v>
      </c>
      <c r="M93" s="72" t="s">
        <v>698</v>
      </c>
      <c r="N93" s="769"/>
    </row>
    <row r="94" spans="1:14" ht="38.25" x14ac:dyDescent="0.25">
      <c r="A94" s="25" t="s">
        <v>438</v>
      </c>
      <c r="B94" s="526"/>
      <c r="C94" s="526"/>
      <c r="D94" s="23"/>
      <c r="E94" s="22"/>
      <c r="F94" s="22"/>
      <c r="G94" s="22"/>
      <c r="H94" s="245"/>
      <c r="I94" s="390">
        <f>SUM(I95:I100)</f>
        <v>710805.58000000007</v>
      </c>
      <c r="K94" s="72"/>
      <c r="L94" s="72"/>
      <c r="M94" s="72"/>
      <c r="N94" s="769"/>
    </row>
    <row r="95" spans="1:14" x14ac:dyDescent="0.25">
      <c r="A95" s="616" t="s">
        <v>294</v>
      </c>
      <c r="B95" s="847" t="s">
        <v>646</v>
      </c>
      <c r="C95" s="584" t="s">
        <v>608</v>
      </c>
      <c r="D95" s="810">
        <v>8.5</v>
      </c>
      <c r="E95" s="802">
        <v>1450</v>
      </c>
      <c r="F95" s="802">
        <v>43.5</v>
      </c>
      <c r="G95" s="802">
        <v>489.37499999999994</v>
      </c>
      <c r="H95" s="803">
        <f t="shared" si="2"/>
        <v>1982.875</v>
      </c>
      <c r="I95" s="120">
        <f>ROUND((E95+F95+G95)*(kopsavilkums!$O$12)*D95*12*(1+kopsavilkums!$O$23),2)</f>
        <v>16247.71</v>
      </c>
      <c r="J95" s="57"/>
      <c r="K95" s="557" t="s">
        <v>820</v>
      </c>
      <c r="L95" s="72" t="s">
        <v>608</v>
      </c>
      <c r="M95" s="72" t="s">
        <v>698</v>
      </c>
      <c r="N95" s="769"/>
    </row>
    <row r="96" spans="1:14" ht="26.25" x14ac:dyDescent="0.25">
      <c r="A96" s="616" t="s">
        <v>670</v>
      </c>
      <c r="B96" s="847" t="s">
        <v>646</v>
      </c>
      <c r="C96" s="584" t="s">
        <v>608</v>
      </c>
      <c r="D96" s="810">
        <v>25</v>
      </c>
      <c r="E96" s="802">
        <v>1120</v>
      </c>
      <c r="F96" s="802">
        <v>33.6</v>
      </c>
      <c r="G96" s="802">
        <v>377.99999999999994</v>
      </c>
      <c r="H96" s="803">
        <f t="shared" si="2"/>
        <v>1531.6</v>
      </c>
      <c r="I96" s="120">
        <f>ROUND((E96+F96+G96)*(kopsavilkums!$O$12)*D96*12*(1+kopsavilkums!$O$23),2)</f>
        <v>36911.64</v>
      </c>
      <c r="J96" s="57"/>
      <c r="K96" s="557" t="s">
        <v>820</v>
      </c>
      <c r="L96" s="72" t="s">
        <v>608</v>
      </c>
      <c r="M96" s="72" t="s">
        <v>698</v>
      </c>
      <c r="N96" s="769"/>
    </row>
    <row r="97" spans="1:14" ht="26.25" x14ac:dyDescent="0.25">
      <c r="A97" s="616" t="s">
        <v>670</v>
      </c>
      <c r="B97" s="587" t="s">
        <v>646</v>
      </c>
      <c r="C97" s="587" t="s">
        <v>608</v>
      </c>
      <c r="D97" s="810">
        <v>7</v>
      </c>
      <c r="E97" s="802">
        <v>1230</v>
      </c>
      <c r="F97" s="802">
        <v>36.9</v>
      </c>
      <c r="G97" s="802">
        <v>415.12499999999994</v>
      </c>
      <c r="H97" s="803">
        <f t="shared" si="2"/>
        <v>1682.0250000000001</v>
      </c>
      <c r="I97" s="120">
        <f>ROUND((E97+F97+G97)*(kopsavilkums!$O$12)*D97*12*(1+kopsavilkums!$O$23),2)</f>
        <v>11350.33</v>
      </c>
      <c r="J97" s="57"/>
      <c r="K97" s="557" t="s">
        <v>820</v>
      </c>
      <c r="L97" s="72" t="s">
        <v>608</v>
      </c>
      <c r="M97" s="72" t="s">
        <v>698</v>
      </c>
      <c r="N97" s="769"/>
    </row>
    <row r="98" spans="1:14" x14ac:dyDescent="0.25">
      <c r="A98" s="572" t="s">
        <v>333</v>
      </c>
      <c r="B98" s="847" t="s">
        <v>646</v>
      </c>
      <c r="C98" s="584" t="s">
        <v>608</v>
      </c>
      <c r="D98" s="615">
        <v>1</v>
      </c>
      <c r="E98" s="802">
        <v>1450</v>
      </c>
      <c r="F98" s="802">
        <v>43.5</v>
      </c>
      <c r="G98" s="856"/>
      <c r="H98" s="803">
        <f t="shared" si="2"/>
        <v>1493.5</v>
      </c>
      <c r="I98" s="120">
        <f>ROUND((E98+F98+G98)*(kopsavilkums!$O$12)*D98*12*(1+kopsavilkums!$O$23),2)</f>
        <v>1439.74</v>
      </c>
      <c r="J98" s="57"/>
      <c r="K98" s="557" t="s">
        <v>820</v>
      </c>
      <c r="L98" s="72" t="s">
        <v>608</v>
      </c>
      <c r="M98" s="72" t="s">
        <v>698</v>
      </c>
      <c r="N98" s="769"/>
    </row>
    <row r="99" spans="1:14" ht="105" x14ac:dyDescent="0.25">
      <c r="A99" s="843" t="s">
        <v>99</v>
      </c>
      <c r="B99" s="847" t="s">
        <v>646</v>
      </c>
      <c r="C99" s="844" t="s">
        <v>487</v>
      </c>
      <c r="D99" s="855">
        <v>352.35</v>
      </c>
      <c r="E99" s="801">
        <v>1116</v>
      </c>
      <c r="F99" s="857">
        <v>33.479999999999997</v>
      </c>
      <c r="G99" s="857">
        <v>577.53000000000009</v>
      </c>
      <c r="H99" s="803">
        <f t="shared" si="2"/>
        <v>1727.0100000000002</v>
      </c>
      <c r="I99" s="120">
        <f>ROUND((E99+F99+G99)*(kopsavilkums!$O$12)*D99*12*(1+kopsavilkums!$O$23),2)</f>
        <v>586606.76</v>
      </c>
      <c r="J99" s="57"/>
      <c r="K99" s="557" t="s">
        <v>820</v>
      </c>
      <c r="L99" s="72" t="s">
        <v>487</v>
      </c>
      <c r="M99" s="72" t="s">
        <v>698</v>
      </c>
      <c r="N99" s="769" t="s">
        <v>825</v>
      </c>
    </row>
    <row r="100" spans="1:14" ht="165" x14ac:dyDescent="0.25">
      <c r="A100" s="843" t="s">
        <v>824</v>
      </c>
      <c r="B100" s="841" t="s">
        <v>646</v>
      </c>
      <c r="C100" s="844" t="s">
        <v>487</v>
      </c>
      <c r="D100" s="855">
        <v>28.8</v>
      </c>
      <c r="E100" s="801">
        <v>1330</v>
      </c>
      <c r="F100" s="857">
        <v>39.9</v>
      </c>
      <c r="G100" s="857">
        <v>728.17499999999995</v>
      </c>
      <c r="H100" s="803">
        <f t="shared" si="2"/>
        <v>2098.0749999999998</v>
      </c>
      <c r="I100" s="120">
        <f>ROUND((E100+F100+G100)*(kopsavilkums!$O$12)*D100*12*(1+kopsavilkums!$O$23),2)</f>
        <v>58249.4</v>
      </c>
      <c r="J100" s="57"/>
      <c r="K100" s="557" t="s">
        <v>820</v>
      </c>
      <c r="L100" s="72" t="s">
        <v>487</v>
      </c>
      <c r="M100" s="72" t="s">
        <v>698</v>
      </c>
      <c r="N100" s="769" t="s">
        <v>826</v>
      </c>
    </row>
    <row r="101" spans="1:14" x14ac:dyDescent="0.25">
      <c r="A101" s="32" t="s">
        <v>100</v>
      </c>
      <c r="B101" s="525"/>
      <c r="C101" s="525"/>
      <c r="D101" s="29"/>
      <c r="E101" s="30"/>
      <c r="F101" s="30"/>
      <c r="G101" s="30"/>
      <c r="H101" s="246"/>
      <c r="I101" s="388">
        <f t="shared" ref="I101" si="3">I102</f>
        <v>1286781.0899999999</v>
      </c>
      <c r="K101" s="72"/>
      <c r="L101" s="72"/>
      <c r="M101" s="72"/>
      <c r="N101" s="769"/>
    </row>
    <row r="102" spans="1:14" x14ac:dyDescent="0.25">
      <c r="A102" s="25" t="s">
        <v>105</v>
      </c>
      <c r="B102" s="526"/>
      <c r="C102" s="526"/>
      <c r="D102" s="23"/>
      <c r="E102" s="24"/>
      <c r="F102" s="20"/>
      <c r="G102" s="20"/>
      <c r="H102" s="248"/>
      <c r="I102" s="390">
        <f>SUM(I103:I107)</f>
        <v>1286781.0899999999</v>
      </c>
      <c r="K102" s="72"/>
      <c r="L102" s="72"/>
      <c r="M102" s="72"/>
      <c r="N102" s="769"/>
    </row>
    <row r="103" spans="1:14" x14ac:dyDescent="0.25">
      <c r="A103" s="836" t="s">
        <v>300</v>
      </c>
      <c r="B103" s="858" t="s">
        <v>652</v>
      </c>
      <c r="C103" s="859"/>
      <c r="D103" s="860">
        <v>724.3</v>
      </c>
      <c r="E103" s="802">
        <v>960</v>
      </c>
      <c r="F103" s="802">
        <v>28.799999999999997</v>
      </c>
      <c r="G103" s="802">
        <v>496.80000000000007</v>
      </c>
      <c r="H103" s="803">
        <f t="shared" ref="H103:H107" si="4">E103+F103+G103</f>
        <v>1485.6</v>
      </c>
      <c r="I103" s="120">
        <f>ROUND((E103+F103+G103)*(kopsavilkums!$O$15)*D103*12*(1+kopsavilkums!$O$23),2)</f>
        <v>1101118.46</v>
      </c>
      <c r="J103" s="57"/>
      <c r="K103" s="557" t="s">
        <v>827</v>
      </c>
      <c r="L103" s="72"/>
      <c r="M103" s="72" t="s">
        <v>698</v>
      </c>
      <c r="N103" s="769"/>
    </row>
    <row r="104" spans="1:14" x14ac:dyDescent="0.25">
      <c r="A104" s="861" t="s">
        <v>252</v>
      </c>
      <c r="B104" s="858" t="s">
        <v>652</v>
      </c>
      <c r="C104" s="859"/>
      <c r="D104" s="860">
        <v>30</v>
      </c>
      <c r="E104" s="802">
        <v>1024</v>
      </c>
      <c r="F104" s="802">
        <v>30.72</v>
      </c>
      <c r="G104" s="802">
        <v>529.92000000000007</v>
      </c>
      <c r="H104" s="803">
        <f t="shared" si="4"/>
        <v>1584.64</v>
      </c>
      <c r="I104" s="120">
        <f>ROUND((E104+F104+G104)*(kopsavilkums!$O$15)*D104*12*(1+kopsavilkums!$O$23),2)</f>
        <v>48648.06</v>
      </c>
      <c r="J104" s="57"/>
      <c r="K104" s="557" t="s">
        <v>827</v>
      </c>
      <c r="L104" s="72"/>
      <c r="M104" s="72" t="s">
        <v>698</v>
      </c>
      <c r="N104" s="769"/>
    </row>
    <row r="105" spans="1:14" x14ac:dyDescent="0.25">
      <c r="A105" s="861" t="s">
        <v>252</v>
      </c>
      <c r="B105" s="858" t="s">
        <v>652</v>
      </c>
      <c r="C105" s="859"/>
      <c r="D105" s="860">
        <v>14</v>
      </c>
      <c r="E105" s="802">
        <v>1102</v>
      </c>
      <c r="F105" s="802">
        <v>33.06</v>
      </c>
      <c r="G105" s="802">
        <v>658.44500000000005</v>
      </c>
      <c r="H105" s="803">
        <f t="shared" si="4"/>
        <v>1793.5050000000001</v>
      </c>
      <c r="I105" s="120">
        <f>ROUND((E105+F105+G105)*(kopsavilkums!$O$15)*D105*12*(1+kopsavilkums!$O$23),2)</f>
        <v>25694.74</v>
      </c>
      <c r="J105" s="57"/>
      <c r="K105" s="557" t="s">
        <v>827</v>
      </c>
      <c r="L105" s="72"/>
      <c r="M105" s="72" t="s">
        <v>698</v>
      </c>
      <c r="N105" s="769"/>
    </row>
    <row r="106" spans="1:14" x14ac:dyDescent="0.25">
      <c r="A106" s="861" t="s">
        <v>252</v>
      </c>
      <c r="B106" s="858" t="s">
        <v>652</v>
      </c>
      <c r="C106" s="859"/>
      <c r="D106" s="860">
        <v>31</v>
      </c>
      <c r="E106" s="802">
        <v>1102</v>
      </c>
      <c r="F106" s="802">
        <v>33.06</v>
      </c>
      <c r="G106" s="802">
        <v>768.64499999999998</v>
      </c>
      <c r="H106" s="803">
        <f t="shared" si="4"/>
        <v>1903.7049999999999</v>
      </c>
      <c r="I106" s="120">
        <f>ROUND((E106+F106+G106)*(kopsavilkums!$O$15)*D106*12*(1+kopsavilkums!$O$23),2)</f>
        <v>60391.39</v>
      </c>
      <c r="J106" s="57"/>
      <c r="K106" s="557" t="s">
        <v>827</v>
      </c>
      <c r="L106" s="72"/>
      <c r="M106" s="72" t="s">
        <v>698</v>
      </c>
      <c r="N106" s="769"/>
    </row>
    <row r="107" spans="1:14" x14ac:dyDescent="0.25">
      <c r="A107" s="861" t="s">
        <v>101</v>
      </c>
      <c r="B107" s="858" t="s">
        <v>652</v>
      </c>
      <c r="C107" s="859"/>
      <c r="D107" s="860">
        <v>33.5</v>
      </c>
      <c r="E107" s="802">
        <v>960</v>
      </c>
      <c r="F107" s="802">
        <v>28.799999999999997</v>
      </c>
      <c r="G107" s="802">
        <v>496.80000000000007</v>
      </c>
      <c r="H107" s="803">
        <f t="shared" si="4"/>
        <v>1485.6</v>
      </c>
      <c r="I107" s="120">
        <f>ROUND((E107+F107+G107)*(kopsavilkums!$O$15)*D107*12*(1+kopsavilkums!$O$23),2)</f>
        <v>50928.44</v>
      </c>
      <c r="J107" s="57"/>
      <c r="K107" s="557" t="s">
        <v>827</v>
      </c>
      <c r="L107" s="72"/>
      <c r="M107" s="72" t="s">
        <v>698</v>
      </c>
      <c r="N107" s="769"/>
    </row>
    <row r="108" spans="1:14" x14ac:dyDescent="0.25">
      <c r="A108" s="32" t="s">
        <v>594</v>
      </c>
      <c r="B108" s="525"/>
      <c r="C108" s="525"/>
      <c r="D108" s="29"/>
      <c r="E108" s="30"/>
      <c r="F108" s="30"/>
      <c r="G108" s="30"/>
      <c r="H108" s="246"/>
      <c r="I108" s="388">
        <f t="shared" ref="I108" si="5">I109</f>
        <v>151039.4</v>
      </c>
      <c r="K108" s="72"/>
      <c r="L108" s="72"/>
      <c r="M108" s="72"/>
      <c r="N108" s="769"/>
    </row>
    <row r="109" spans="1:14" x14ac:dyDescent="0.25">
      <c r="A109" s="25" t="s">
        <v>595</v>
      </c>
      <c r="B109" s="526"/>
      <c r="C109" s="526"/>
      <c r="D109" s="23"/>
      <c r="E109" s="24"/>
      <c r="F109" s="20"/>
      <c r="G109" s="20"/>
      <c r="H109" s="248"/>
      <c r="I109" s="390">
        <f t="shared" ref="I109" si="6">SUM(I110:I110)</f>
        <v>151039.4</v>
      </c>
      <c r="K109" s="72"/>
      <c r="L109" s="72"/>
      <c r="M109" s="72"/>
      <c r="N109" s="769"/>
    </row>
    <row r="110" spans="1:14" ht="15.75" thickBot="1" x14ac:dyDescent="0.3">
      <c r="A110" s="861" t="s">
        <v>53</v>
      </c>
      <c r="B110" s="862" t="s">
        <v>476</v>
      </c>
      <c r="C110" s="859"/>
      <c r="D110" s="860">
        <v>117.75</v>
      </c>
      <c r="E110" s="802">
        <v>810</v>
      </c>
      <c r="F110" s="802">
        <v>24.3</v>
      </c>
      <c r="G110" s="802">
        <v>419.17500000000007</v>
      </c>
      <c r="H110" s="803">
        <f t="shared" ref="H110" si="7">E110+F110+G110</f>
        <v>1253.4749999999999</v>
      </c>
      <c r="I110" s="120">
        <f>ROUND((E110+F110+G110)*(kopsavilkums!$O$15)*D110*12*(1+kopsavilkums!$O$23),2)</f>
        <v>151039.4</v>
      </c>
      <c r="J110" s="57"/>
      <c r="K110" s="557"/>
      <c r="L110" s="72"/>
      <c r="M110" s="72"/>
      <c r="N110" s="769"/>
    </row>
    <row r="111" spans="1:14" ht="15.75" thickBot="1" x14ac:dyDescent="0.3">
      <c r="A111" s="111" t="s">
        <v>32</v>
      </c>
      <c r="B111" s="520"/>
      <c r="C111" s="520"/>
      <c r="D111" s="285">
        <f>SUM(D12:D48,D50:D85,D88:D91,D93:D93,D95:D100,D103:D110)</f>
        <v>3046.25</v>
      </c>
      <c r="E111" s="112" t="s">
        <v>102</v>
      </c>
      <c r="F111" s="112" t="s">
        <v>102</v>
      </c>
      <c r="G111" s="112" t="s">
        <v>102</v>
      </c>
      <c r="H111" s="112" t="s">
        <v>102</v>
      </c>
      <c r="I111" s="286">
        <f>I101+I86+I10+I108</f>
        <v>6608194.0099999998</v>
      </c>
      <c r="K111" s="72"/>
      <c r="L111" s="72"/>
      <c r="M111" s="72"/>
      <c r="N111" s="769"/>
    </row>
    <row r="112" spans="1:14" x14ac:dyDescent="0.25">
      <c r="A112" s="15"/>
      <c r="B112" s="15"/>
      <c r="C112" s="15"/>
      <c r="D112" s="16"/>
      <c r="E112" s="15"/>
      <c r="F112" s="15"/>
      <c r="G112" s="15"/>
      <c r="H112" s="17"/>
      <c r="I112" s="92">
        <f>I111+'VM padotibas iest MK361'!U17</f>
        <v>6641521.7799999993</v>
      </c>
    </row>
    <row r="113" spans="1:11" ht="15" customHeight="1" x14ac:dyDescent="0.25">
      <c r="A113" s="253"/>
      <c r="B113" s="253"/>
      <c r="C113" s="253"/>
      <c r="D113" s="253"/>
      <c r="E113" s="253"/>
      <c r="F113" s="253"/>
      <c r="G113" s="253"/>
      <c r="H113" s="253"/>
      <c r="I113" s="253"/>
      <c r="J113" s="329"/>
      <c r="K113" s="329"/>
    </row>
    <row r="114" spans="1:11" x14ac:dyDescent="0.25">
      <c r="A114" s="253"/>
      <c r="B114" s="253"/>
      <c r="C114" s="253"/>
      <c r="D114" s="326"/>
      <c r="E114" s="253"/>
      <c r="F114" s="253"/>
      <c r="G114" s="253"/>
      <c r="H114" s="253"/>
      <c r="I114" s="253"/>
    </row>
    <row r="115" spans="1:11" x14ac:dyDescent="0.25">
      <c r="A115" s="253"/>
      <c r="B115" s="253"/>
      <c r="C115" s="253"/>
      <c r="D115" s="326"/>
      <c r="E115" s="253"/>
      <c r="F115" s="253"/>
      <c r="G115" s="253"/>
      <c r="H115" s="253"/>
      <c r="I115" s="253"/>
    </row>
    <row r="116" spans="1:11" x14ac:dyDescent="0.25">
      <c r="D116" s="327"/>
    </row>
    <row r="117" spans="1:11" x14ac:dyDescent="0.25">
      <c r="D117" s="327"/>
    </row>
    <row r="118" spans="1:11" x14ac:dyDescent="0.25">
      <c r="D118" s="327"/>
    </row>
    <row r="119" spans="1:11" x14ac:dyDescent="0.25">
      <c r="D119" s="327"/>
    </row>
    <row r="120" spans="1:11" x14ac:dyDescent="0.25">
      <c r="D120" s="327"/>
    </row>
  </sheetData>
  <mergeCells count="13">
    <mergeCell ref="A5:I5"/>
    <mergeCell ref="A8:H8"/>
    <mergeCell ref="A9:H9"/>
    <mergeCell ref="A2:H3"/>
    <mergeCell ref="A6:A7"/>
    <mergeCell ref="D6:D7"/>
    <mergeCell ref="E6:E7"/>
    <mergeCell ref="F6:F7"/>
    <mergeCell ref="G6:G7"/>
    <mergeCell ref="H6:H7"/>
    <mergeCell ref="B6:B7"/>
    <mergeCell ref="C6:C7"/>
    <mergeCell ref="I6:I7"/>
  </mergeCells>
  <phoneticPr fontId="80" type="noConversion"/>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144F0-6F3A-4EBE-860C-B3BA8810319A}">
  <sheetPr>
    <tabColor rgb="FFFFFF00"/>
  </sheetPr>
  <dimension ref="A1:N83"/>
  <sheetViews>
    <sheetView view="pageBreakPreview" topLeftCell="A55" zoomScale="60" zoomScaleNormal="100" workbookViewId="0">
      <selection activeCell="I77" sqref="I77"/>
    </sheetView>
  </sheetViews>
  <sheetFormatPr defaultColWidth="9.140625" defaultRowHeight="15" x14ac:dyDescent="0.25"/>
  <cols>
    <col min="1" max="1" width="40.140625" customWidth="1"/>
    <col min="2" max="2" width="16" customWidth="1"/>
    <col min="3" max="3" width="13.42578125" customWidth="1"/>
    <col min="4" max="4" width="10.42578125" customWidth="1"/>
    <col min="6" max="6" width="9.7109375" customWidth="1"/>
    <col min="8" max="8" width="9.85546875" bestFit="1" customWidth="1"/>
    <col min="9" max="9" width="13.140625" customWidth="1"/>
    <col min="10" max="10" width="14" bestFit="1" customWidth="1"/>
    <col min="11" max="11" width="16.7109375" customWidth="1"/>
    <col min="12" max="12" width="18.140625" customWidth="1"/>
    <col min="13" max="13" width="18.42578125" customWidth="1"/>
    <col min="14" max="14" width="11.7109375" customWidth="1"/>
  </cols>
  <sheetData>
    <row r="1" spans="1:14" ht="15" customHeight="1" x14ac:dyDescent="0.25">
      <c r="I1" s="927" t="s">
        <v>982</v>
      </c>
    </row>
    <row r="2" spans="1:14" x14ac:dyDescent="0.25">
      <c r="A2" s="1092" t="s">
        <v>319</v>
      </c>
      <c r="B2" s="1092"/>
      <c r="C2" s="1092"/>
      <c r="D2" s="1092"/>
      <c r="E2" s="1092"/>
      <c r="F2" s="1092"/>
      <c r="G2" s="1092"/>
      <c r="H2" s="1092"/>
    </row>
    <row r="3" spans="1:14" x14ac:dyDescent="0.25">
      <c r="A3" s="1092"/>
      <c r="B3" s="1092"/>
      <c r="C3" s="1092"/>
      <c r="D3" s="1092"/>
      <c r="E3" s="1092"/>
      <c r="F3" s="1092"/>
      <c r="G3" s="1092"/>
      <c r="H3" s="1092"/>
    </row>
    <row r="4" spans="1:14" ht="15.75" thickBot="1" x14ac:dyDescent="0.3">
      <c r="I4" s="201" t="s">
        <v>225</v>
      </c>
    </row>
    <row r="5" spans="1:14" ht="15.75" x14ac:dyDescent="0.25">
      <c r="A5" s="1088" t="s">
        <v>0</v>
      </c>
      <c r="B5" s="1089"/>
      <c r="C5" s="1089"/>
      <c r="D5" s="1089"/>
      <c r="E5" s="1089"/>
      <c r="F5" s="1089"/>
      <c r="G5" s="1089"/>
      <c r="H5" s="1089"/>
      <c r="I5" s="1103"/>
    </row>
    <row r="6" spans="1:14" x14ac:dyDescent="0.25">
      <c r="A6" s="1093" t="s">
        <v>55</v>
      </c>
      <c r="B6" s="1098" t="s">
        <v>461</v>
      </c>
      <c r="C6" s="1098" t="s">
        <v>462</v>
      </c>
      <c r="D6" s="1095" t="s">
        <v>56</v>
      </c>
      <c r="E6" s="1097" t="s">
        <v>57</v>
      </c>
      <c r="F6" s="1097" t="s">
        <v>58</v>
      </c>
      <c r="G6" s="1097" t="s">
        <v>145</v>
      </c>
      <c r="H6" s="1099" t="s">
        <v>59</v>
      </c>
      <c r="I6" s="1102" t="s">
        <v>846</v>
      </c>
    </row>
    <row r="7" spans="1:14" ht="68.25" customHeight="1" thickBot="1" x14ac:dyDescent="0.3">
      <c r="A7" s="1094"/>
      <c r="B7" s="1101"/>
      <c r="C7" s="1101"/>
      <c r="D7" s="1096"/>
      <c r="E7" s="1098"/>
      <c r="F7" s="1098"/>
      <c r="G7" s="1098"/>
      <c r="H7" s="1100"/>
      <c r="I7" s="1044"/>
      <c r="K7" s="599" t="s">
        <v>678</v>
      </c>
      <c r="L7" s="599" t="s">
        <v>462</v>
      </c>
      <c r="M7" s="599" t="s">
        <v>679</v>
      </c>
      <c r="N7" s="600" t="s">
        <v>680</v>
      </c>
    </row>
    <row r="8" spans="1:14" ht="15.75" thickBot="1" x14ac:dyDescent="0.3">
      <c r="A8" s="999" t="s">
        <v>33</v>
      </c>
      <c r="B8" s="1000"/>
      <c r="C8" s="1000"/>
      <c r="D8" s="1000"/>
      <c r="E8" s="1000"/>
      <c r="F8" s="1000"/>
      <c r="G8" s="1000"/>
      <c r="H8" s="1000"/>
      <c r="I8" s="250"/>
      <c r="K8" s="72"/>
      <c r="L8" s="72"/>
      <c r="M8" s="72"/>
      <c r="N8" s="72"/>
    </row>
    <row r="9" spans="1:14" x14ac:dyDescent="0.25">
      <c r="A9" s="1090" t="s">
        <v>7</v>
      </c>
      <c r="B9" s="1091"/>
      <c r="C9" s="1091"/>
      <c r="D9" s="1091"/>
      <c r="E9" s="1091"/>
      <c r="F9" s="1091"/>
      <c r="G9" s="1091"/>
      <c r="H9" s="1091"/>
      <c r="I9" s="129"/>
      <c r="K9" s="72"/>
      <c r="L9" s="72"/>
      <c r="M9" s="72"/>
      <c r="N9" s="72"/>
    </row>
    <row r="10" spans="1:14" x14ac:dyDescent="0.25">
      <c r="A10" s="26" t="s">
        <v>60</v>
      </c>
      <c r="B10" s="516"/>
      <c r="C10" s="516"/>
      <c r="D10" s="27"/>
      <c r="E10" s="28"/>
      <c r="F10" s="28"/>
      <c r="G10" s="28"/>
      <c r="H10" s="243"/>
      <c r="I10" s="287">
        <f>I11+I27</f>
        <v>101595.25999999998</v>
      </c>
      <c r="K10" s="72"/>
      <c r="L10" s="72"/>
      <c r="M10" s="72"/>
      <c r="N10" s="72"/>
    </row>
    <row r="11" spans="1:14" x14ac:dyDescent="0.25">
      <c r="A11" s="21" t="s">
        <v>103</v>
      </c>
      <c r="B11" s="517"/>
      <c r="C11" s="517"/>
      <c r="D11" s="19"/>
      <c r="E11" s="20"/>
      <c r="F11" s="20"/>
      <c r="G11" s="20"/>
      <c r="H11" s="244"/>
      <c r="I11" s="288">
        <f>SUM(I12:I26)</f>
        <v>48410.689999999988</v>
      </c>
      <c r="K11" s="72"/>
      <c r="L11" s="72"/>
      <c r="M11" s="72"/>
      <c r="N11" s="72"/>
    </row>
    <row r="12" spans="1:14" x14ac:dyDescent="0.25">
      <c r="A12" s="807" t="s">
        <v>302</v>
      </c>
      <c r="B12" s="814">
        <v>134203</v>
      </c>
      <c r="C12" s="812" t="s">
        <v>665</v>
      </c>
      <c r="D12" s="808">
        <v>1</v>
      </c>
      <c r="E12" s="801">
        <v>2526</v>
      </c>
      <c r="F12" s="802">
        <v>75.78</v>
      </c>
      <c r="G12" s="802">
        <v>105.25</v>
      </c>
      <c r="H12" s="803">
        <f>E12+F12+G12</f>
        <v>2707.03</v>
      </c>
      <c r="I12" s="120">
        <f>ROUND((E12+F12+G12)*(kopsavilkums!$O$8)*D12*12*(1+kopsavilkums!$O$23),2)</f>
        <v>4255.63</v>
      </c>
      <c r="J12" s="57"/>
      <c r="K12" s="72"/>
      <c r="L12" s="72" t="s">
        <v>665</v>
      </c>
      <c r="M12" s="72">
        <v>10015701</v>
      </c>
      <c r="N12" s="72"/>
    </row>
    <row r="13" spans="1:14" x14ac:dyDescent="0.25">
      <c r="A13" s="807" t="s">
        <v>303</v>
      </c>
      <c r="B13" s="815">
        <v>134203</v>
      </c>
      <c r="C13" s="812" t="s">
        <v>665</v>
      </c>
      <c r="D13" s="808">
        <v>1</v>
      </c>
      <c r="E13" s="801">
        <v>2205</v>
      </c>
      <c r="F13" s="802">
        <v>66.150000000000006</v>
      </c>
      <c r="G13" s="802">
        <v>91.875</v>
      </c>
      <c r="H13" s="803">
        <f t="shared" ref="H13:H38" si="0">E13+F13+G13</f>
        <v>2363.0250000000001</v>
      </c>
      <c r="I13" s="120">
        <f>ROUND((E13+F13+G13)*(kopsavilkums!$O$8)*D13*12*(1+kopsavilkums!$O$23),2)</f>
        <v>3714.83</v>
      </c>
      <c r="J13" s="57"/>
      <c r="K13" s="72"/>
      <c r="L13" s="72" t="s">
        <v>665</v>
      </c>
      <c r="M13" s="72">
        <v>10015701</v>
      </c>
      <c r="N13" s="72"/>
    </row>
    <row r="14" spans="1:14" x14ac:dyDescent="0.25">
      <c r="A14" s="807" t="s">
        <v>709</v>
      </c>
      <c r="B14" s="815">
        <v>134203</v>
      </c>
      <c r="C14" s="812" t="s">
        <v>665</v>
      </c>
      <c r="D14" s="808">
        <v>1</v>
      </c>
      <c r="E14" s="801">
        <v>2108</v>
      </c>
      <c r="F14" s="802">
        <v>63.24</v>
      </c>
      <c r="G14" s="802">
        <v>87.833333333333329</v>
      </c>
      <c r="H14" s="803">
        <f t="shared" si="0"/>
        <v>2259.0733333333333</v>
      </c>
      <c r="I14" s="120">
        <f>ROUND((E14+F14+G14)*(kopsavilkums!$O$8)*D14*12*(1+kopsavilkums!$O$23),2)</f>
        <v>3551.41</v>
      </c>
      <c r="J14" s="57"/>
      <c r="K14" s="72"/>
      <c r="L14" s="72" t="s">
        <v>665</v>
      </c>
      <c r="M14" s="72">
        <v>10015701</v>
      </c>
      <c r="N14" s="72"/>
    </row>
    <row r="15" spans="1:14" x14ac:dyDescent="0.25">
      <c r="A15" s="807" t="s">
        <v>710</v>
      </c>
      <c r="B15" s="815">
        <v>134203</v>
      </c>
      <c r="C15" s="812" t="s">
        <v>665</v>
      </c>
      <c r="D15" s="808">
        <v>1</v>
      </c>
      <c r="E15" s="801">
        <v>2108</v>
      </c>
      <c r="F15" s="802">
        <v>63.24</v>
      </c>
      <c r="G15" s="802">
        <v>87.833333333333329</v>
      </c>
      <c r="H15" s="803">
        <f t="shared" si="0"/>
        <v>2259.0733333333333</v>
      </c>
      <c r="I15" s="120">
        <f>ROUND((E15+F15+G15)*(kopsavilkums!$O$8)*D15*12*(1+kopsavilkums!$O$23),2)</f>
        <v>3551.41</v>
      </c>
      <c r="J15" s="57"/>
      <c r="K15" s="72"/>
      <c r="L15" s="72" t="s">
        <v>665</v>
      </c>
      <c r="M15" s="72">
        <v>10015701</v>
      </c>
      <c r="N15" s="72"/>
    </row>
    <row r="16" spans="1:14" x14ac:dyDescent="0.25">
      <c r="A16" s="807" t="s">
        <v>304</v>
      </c>
      <c r="B16" s="815">
        <v>134203</v>
      </c>
      <c r="C16" s="812" t="s">
        <v>665</v>
      </c>
      <c r="D16" s="808">
        <v>1</v>
      </c>
      <c r="E16" s="801">
        <v>2108</v>
      </c>
      <c r="F16" s="802">
        <v>63.24</v>
      </c>
      <c r="G16" s="802">
        <v>87.833333333333329</v>
      </c>
      <c r="H16" s="803">
        <f t="shared" si="0"/>
        <v>2259.0733333333333</v>
      </c>
      <c r="I16" s="120">
        <f>ROUND((E16+F16+G16)*(kopsavilkums!$O$8)*D16*12*(1+kopsavilkums!$O$23),2)</f>
        <v>3551.41</v>
      </c>
      <c r="J16" s="57"/>
      <c r="K16" s="72"/>
      <c r="L16" s="72" t="s">
        <v>665</v>
      </c>
      <c r="M16" s="72">
        <v>10015701</v>
      </c>
      <c r="N16" s="72"/>
    </row>
    <row r="17" spans="1:14" x14ac:dyDescent="0.25">
      <c r="A17" s="807" t="s">
        <v>675</v>
      </c>
      <c r="B17" s="815">
        <v>221101</v>
      </c>
      <c r="C17" s="812" t="s">
        <v>555</v>
      </c>
      <c r="D17" s="808">
        <v>1</v>
      </c>
      <c r="E17" s="801">
        <v>1768</v>
      </c>
      <c r="F17" s="802">
        <v>53.04</v>
      </c>
      <c r="G17" s="802">
        <v>73.666666666666671</v>
      </c>
      <c r="H17" s="803">
        <f t="shared" si="0"/>
        <v>1894.7066666666667</v>
      </c>
      <c r="I17" s="120">
        <f>ROUND((E17+F17+G17)*(kopsavilkums!$O$8)*D17*12*(1+kopsavilkums!$O$23),2)</f>
        <v>2978.6</v>
      </c>
      <c r="J17" s="57"/>
      <c r="K17" s="72"/>
      <c r="L17" s="72" t="s">
        <v>555</v>
      </c>
      <c r="M17" s="72">
        <v>10015701</v>
      </c>
      <c r="N17" s="72"/>
    </row>
    <row r="18" spans="1:14" x14ac:dyDescent="0.25">
      <c r="A18" s="807" t="s">
        <v>675</v>
      </c>
      <c r="B18" s="815">
        <v>221101</v>
      </c>
      <c r="C18" s="812" t="s">
        <v>546</v>
      </c>
      <c r="D18" s="808">
        <v>1</v>
      </c>
      <c r="E18" s="801">
        <v>1768</v>
      </c>
      <c r="F18" s="802">
        <v>53.04</v>
      </c>
      <c r="G18" s="802">
        <v>73.666666666666671</v>
      </c>
      <c r="H18" s="803">
        <f t="shared" si="0"/>
        <v>1894.7066666666667</v>
      </c>
      <c r="I18" s="120">
        <f>ROUND((E18+F18+G18)*(kopsavilkums!$O$8)*D18*12*(1+kopsavilkums!$O$23),2)</f>
        <v>2978.6</v>
      </c>
      <c r="J18" s="57"/>
      <c r="K18" s="72"/>
      <c r="L18" s="72" t="s">
        <v>546</v>
      </c>
      <c r="M18" s="72">
        <v>10015701</v>
      </c>
      <c r="N18" s="72"/>
    </row>
    <row r="19" spans="1:14" x14ac:dyDescent="0.25">
      <c r="A19" s="807" t="s">
        <v>675</v>
      </c>
      <c r="B19" s="815">
        <v>221101</v>
      </c>
      <c r="C19" s="812" t="s">
        <v>666</v>
      </c>
      <c r="D19" s="808">
        <v>1</v>
      </c>
      <c r="E19" s="801">
        <v>1768</v>
      </c>
      <c r="F19" s="802">
        <v>53.04</v>
      </c>
      <c r="G19" s="802">
        <v>73.666666666666671</v>
      </c>
      <c r="H19" s="803">
        <f t="shared" si="0"/>
        <v>1894.7066666666667</v>
      </c>
      <c r="I19" s="120">
        <f>ROUND((E19+F19+G19)*(kopsavilkums!$O$8)*D19*12*(1+kopsavilkums!$O$23),2)</f>
        <v>2978.6</v>
      </c>
      <c r="J19" s="57"/>
      <c r="K19" s="72"/>
      <c r="L19" s="72" t="s">
        <v>666</v>
      </c>
      <c r="M19" s="72">
        <v>10015701</v>
      </c>
      <c r="N19" s="72"/>
    </row>
    <row r="20" spans="1:14" x14ac:dyDescent="0.25">
      <c r="A20" s="807" t="s">
        <v>675</v>
      </c>
      <c r="B20" s="815">
        <v>221101</v>
      </c>
      <c r="C20" s="812">
        <v>0</v>
      </c>
      <c r="D20" s="808">
        <v>1</v>
      </c>
      <c r="E20" s="801">
        <v>1768</v>
      </c>
      <c r="F20" s="802">
        <v>53.04</v>
      </c>
      <c r="G20" s="802">
        <v>73.666666666666671</v>
      </c>
      <c r="H20" s="803">
        <f t="shared" si="0"/>
        <v>1894.7066666666667</v>
      </c>
      <c r="I20" s="120">
        <f>ROUND((E20+F20+G20)*(kopsavilkums!$O$8)*D20*12*(1+kopsavilkums!$O$23),2)</f>
        <v>2978.6</v>
      </c>
      <c r="J20" s="57"/>
      <c r="K20" s="72"/>
      <c r="L20" s="72">
        <v>0</v>
      </c>
      <c r="M20" s="72">
        <v>10015701</v>
      </c>
      <c r="N20" s="72"/>
    </row>
    <row r="21" spans="1:14" x14ac:dyDescent="0.25">
      <c r="A21" s="807" t="s">
        <v>305</v>
      </c>
      <c r="B21" s="815">
        <v>221101</v>
      </c>
      <c r="C21" s="812" t="s">
        <v>665</v>
      </c>
      <c r="D21" s="808">
        <v>1</v>
      </c>
      <c r="E21" s="801">
        <v>1768</v>
      </c>
      <c r="F21" s="802">
        <v>53.04</v>
      </c>
      <c r="G21" s="802">
        <v>73.666666666666671</v>
      </c>
      <c r="H21" s="803">
        <f t="shared" si="0"/>
        <v>1894.7066666666667</v>
      </c>
      <c r="I21" s="120">
        <f>ROUND((E21+F21+G21)*(kopsavilkums!$O$8)*D21*12*(1+kopsavilkums!$O$23),2)</f>
        <v>2978.6</v>
      </c>
      <c r="J21" s="57"/>
      <c r="K21" s="72"/>
      <c r="L21" s="72" t="s">
        <v>665</v>
      </c>
      <c r="M21" s="72">
        <v>10015701</v>
      </c>
      <c r="N21" s="72"/>
    </row>
    <row r="22" spans="1:14" x14ac:dyDescent="0.25">
      <c r="A22" s="807" t="s">
        <v>711</v>
      </c>
      <c r="B22" s="815">
        <v>221101</v>
      </c>
      <c r="C22" s="812" t="s">
        <v>665</v>
      </c>
      <c r="D22" s="808">
        <v>1</v>
      </c>
      <c r="E22" s="801">
        <v>1768</v>
      </c>
      <c r="F22" s="802">
        <v>53.04</v>
      </c>
      <c r="G22" s="802">
        <v>73.666666666666671</v>
      </c>
      <c r="H22" s="803">
        <f t="shared" si="0"/>
        <v>1894.7066666666667</v>
      </c>
      <c r="I22" s="120">
        <f>ROUND((E22+F22+G22)*(kopsavilkums!$O$8)*D22*12*(1+kopsavilkums!$O$23),2)</f>
        <v>2978.6</v>
      </c>
      <c r="J22" s="57"/>
      <c r="K22" s="72"/>
      <c r="L22" s="72" t="s">
        <v>665</v>
      </c>
      <c r="M22" s="72">
        <v>10015701</v>
      </c>
      <c r="N22" s="72"/>
    </row>
    <row r="23" spans="1:14" x14ac:dyDescent="0.25">
      <c r="A23" s="807" t="s">
        <v>712</v>
      </c>
      <c r="B23" s="815">
        <v>221101</v>
      </c>
      <c r="C23" s="812" t="s">
        <v>667</v>
      </c>
      <c r="D23" s="808">
        <v>1</v>
      </c>
      <c r="E23" s="801">
        <v>1768</v>
      </c>
      <c r="F23" s="802">
        <v>53.04</v>
      </c>
      <c r="G23" s="802">
        <v>73.666666666666671</v>
      </c>
      <c r="H23" s="803">
        <f t="shared" si="0"/>
        <v>1894.7066666666667</v>
      </c>
      <c r="I23" s="120">
        <f>ROUND((E23+F23+G23)*(kopsavilkums!$O$8)*D23*12*(1+kopsavilkums!$O$23),2)</f>
        <v>2978.6</v>
      </c>
      <c r="J23" s="57"/>
      <c r="K23" s="72"/>
      <c r="L23" s="72" t="s">
        <v>667</v>
      </c>
      <c r="M23" s="72">
        <v>10015701</v>
      </c>
      <c r="N23" s="72"/>
    </row>
    <row r="24" spans="1:14" x14ac:dyDescent="0.25">
      <c r="A24" s="807" t="s">
        <v>712</v>
      </c>
      <c r="B24" s="815">
        <v>221101</v>
      </c>
      <c r="C24" s="812" t="s">
        <v>665</v>
      </c>
      <c r="D24" s="808">
        <v>1</v>
      </c>
      <c r="E24" s="801">
        <v>1768</v>
      </c>
      <c r="F24" s="802">
        <v>53.04</v>
      </c>
      <c r="G24" s="802">
        <v>73.666666666666671</v>
      </c>
      <c r="H24" s="803">
        <f t="shared" si="0"/>
        <v>1894.7066666666667</v>
      </c>
      <c r="I24" s="120">
        <f>ROUND((E24+F24+G24)*(kopsavilkums!$O$8)*D24*12*(1+kopsavilkums!$O$23),2)</f>
        <v>2978.6</v>
      </c>
      <c r="J24" s="57"/>
      <c r="K24" s="72"/>
      <c r="L24" s="72" t="s">
        <v>665</v>
      </c>
      <c r="M24" s="72">
        <v>10015701</v>
      </c>
      <c r="N24" s="72"/>
    </row>
    <row r="25" spans="1:14" x14ac:dyDescent="0.25">
      <c r="A25" s="807" t="s">
        <v>712</v>
      </c>
      <c r="B25" s="815">
        <v>221101</v>
      </c>
      <c r="C25" s="812" t="s">
        <v>665</v>
      </c>
      <c r="D25" s="808">
        <v>1</v>
      </c>
      <c r="E25" s="801">
        <v>1768</v>
      </c>
      <c r="F25" s="802">
        <v>53.04</v>
      </c>
      <c r="G25" s="802">
        <v>73.666666666666671</v>
      </c>
      <c r="H25" s="803">
        <f t="shared" si="0"/>
        <v>1894.7066666666667</v>
      </c>
      <c r="I25" s="120">
        <f>ROUND((E25+F25+G25)*(kopsavilkums!$O$8)*D25*12*(1+kopsavilkums!$O$23),2)</f>
        <v>2978.6</v>
      </c>
      <c r="J25" s="57"/>
      <c r="K25" s="72"/>
      <c r="L25" s="72" t="s">
        <v>665</v>
      </c>
      <c r="M25" s="72">
        <v>10015701</v>
      </c>
      <c r="N25" s="72"/>
    </row>
    <row r="26" spans="1:14" x14ac:dyDescent="0.25">
      <c r="A26" s="807" t="s">
        <v>712</v>
      </c>
      <c r="B26" s="815">
        <v>221101</v>
      </c>
      <c r="C26" s="812" t="s">
        <v>665</v>
      </c>
      <c r="D26" s="808">
        <v>1</v>
      </c>
      <c r="E26" s="801">
        <v>1768</v>
      </c>
      <c r="F26" s="802">
        <v>53.04</v>
      </c>
      <c r="G26" s="802">
        <v>73.666666666666671</v>
      </c>
      <c r="H26" s="803">
        <f t="shared" si="0"/>
        <v>1894.7066666666667</v>
      </c>
      <c r="I26" s="120">
        <f>ROUND((E26+F26+G26)*(kopsavilkums!$O$8)*D26*12*(1+kopsavilkums!$O$23),2)</f>
        <v>2978.6</v>
      </c>
      <c r="J26" s="57"/>
      <c r="K26" s="72"/>
      <c r="L26" s="72" t="s">
        <v>665</v>
      </c>
      <c r="M26" s="72">
        <v>10015701</v>
      </c>
      <c r="N26" s="72"/>
    </row>
    <row r="27" spans="1:14" ht="38.25" x14ac:dyDescent="0.25">
      <c r="A27" s="18" t="s">
        <v>455</v>
      </c>
      <c r="B27" s="519"/>
      <c r="C27" s="519"/>
      <c r="D27" s="31"/>
      <c r="E27" s="22"/>
      <c r="F27" s="22"/>
      <c r="G27" s="22"/>
      <c r="H27" s="245"/>
      <c r="I27" s="288">
        <f>SUM(I28:I38)</f>
        <v>53184.57</v>
      </c>
      <c r="K27" s="72"/>
      <c r="L27" s="72"/>
      <c r="M27" s="72"/>
      <c r="N27" s="72"/>
    </row>
    <row r="28" spans="1:14" ht="25.5" x14ac:dyDescent="0.25">
      <c r="A28" s="807" t="s">
        <v>713</v>
      </c>
      <c r="B28" s="816">
        <v>134204</v>
      </c>
      <c r="C28" s="812" t="s">
        <v>538</v>
      </c>
      <c r="D28" s="808">
        <v>1</v>
      </c>
      <c r="E28" s="801">
        <v>2393</v>
      </c>
      <c r="F28" s="802">
        <v>71.790000000000006</v>
      </c>
      <c r="G28" s="802">
        <v>99.708333333333329</v>
      </c>
      <c r="H28" s="803">
        <f t="shared" si="0"/>
        <v>2564.4983333333334</v>
      </c>
      <c r="I28" s="120">
        <f>ROUND((E28+F28+G28)*(kopsavilkums!$O$12)*D28*12*(1+kopsavilkums!$O$23),2)</f>
        <v>2472.1799999999998</v>
      </c>
      <c r="J28" s="57"/>
      <c r="K28" s="72"/>
      <c r="L28" s="72" t="s">
        <v>538</v>
      </c>
      <c r="M28" s="72">
        <v>10015701</v>
      </c>
      <c r="N28" s="72"/>
    </row>
    <row r="29" spans="1:14" x14ac:dyDescent="0.25">
      <c r="A29" s="798" t="s">
        <v>714</v>
      </c>
      <c r="B29" s="817">
        <v>134204</v>
      </c>
      <c r="C29" s="812" t="s">
        <v>487</v>
      </c>
      <c r="D29" s="808">
        <v>1</v>
      </c>
      <c r="E29" s="801">
        <v>1992</v>
      </c>
      <c r="F29" s="802">
        <v>59.76</v>
      </c>
      <c r="G29" s="802">
        <v>83</v>
      </c>
      <c r="H29" s="803">
        <f t="shared" si="0"/>
        <v>2134.7600000000002</v>
      </c>
      <c r="I29" s="120">
        <f>ROUND((E29+F29+G29)*(kopsavilkums!$O$12)*D29*12*(1+kopsavilkums!$O$23),2)</f>
        <v>2057.91</v>
      </c>
      <c r="J29" s="57"/>
      <c r="K29" s="72"/>
      <c r="L29" s="72" t="s">
        <v>487</v>
      </c>
      <c r="M29" s="72">
        <v>10015701</v>
      </c>
      <c r="N29" s="72"/>
    </row>
    <row r="30" spans="1:14" x14ac:dyDescent="0.25">
      <c r="A30" s="798" t="s">
        <v>715</v>
      </c>
      <c r="B30" s="818">
        <v>134204</v>
      </c>
      <c r="C30" s="812" t="s">
        <v>547</v>
      </c>
      <c r="D30" s="808">
        <v>1</v>
      </c>
      <c r="E30" s="801">
        <v>1847</v>
      </c>
      <c r="F30" s="802">
        <v>55.41</v>
      </c>
      <c r="G30" s="802">
        <v>76.958333333333329</v>
      </c>
      <c r="H30" s="803">
        <f t="shared" si="0"/>
        <v>1979.3683333333333</v>
      </c>
      <c r="I30" s="120">
        <f>ROUND((E30+F30+G30)*(kopsavilkums!$O$12)*D30*12*(1+kopsavilkums!$O$23),2)</f>
        <v>1908.12</v>
      </c>
      <c r="J30" s="57"/>
      <c r="K30" s="72"/>
      <c r="L30" s="72" t="s">
        <v>547</v>
      </c>
      <c r="M30" s="72">
        <v>10015701</v>
      </c>
      <c r="N30" s="72"/>
    </row>
    <row r="31" spans="1:14" x14ac:dyDescent="0.25">
      <c r="A31" s="798" t="s">
        <v>15</v>
      </c>
      <c r="B31" s="818">
        <v>321203</v>
      </c>
      <c r="C31" s="812" t="s">
        <v>538</v>
      </c>
      <c r="D31" s="808">
        <v>2</v>
      </c>
      <c r="E31" s="801">
        <v>1555</v>
      </c>
      <c r="F31" s="802">
        <v>46.65</v>
      </c>
      <c r="G31" s="802">
        <v>64.791666666666671</v>
      </c>
      <c r="H31" s="803">
        <f t="shared" si="0"/>
        <v>1666.4416666666668</v>
      </c>
      <c r="I31" s="120">
        <f>ROUND((E31+F31+G31)*(kopsavilkums!$O$12)*D31*12*(1+kopsavilkums!$O$23),2)</f>
        <v>3212.91</v>
      </c>
      <c r="J31" s="57"/>
      <c r="K31" s="72"/>
      <c r="L31" s="72" t="s">
        <v>538</v>
      </c>
      <c r="M31" s="72">
        <v>10015701</v>
      </c>
      <c r="N31" s="72"/>
    </row>
    <row r="32" spans="1:14" x14ac:dyDescent="0.25">
      <c r="A32" s="798" t="s">
        <v>16</v>
      </c>
      <c r="B32" s="818">
        <v>321203</v>
      </c>
      <c r="C32" s="812" t="s">
        <v>538</v>
      </c>
      <c r="D32" s="808">
        <v>9</v>
      </c>
      <c r="E32" s="801">
        <v>1458</v>
      </c>
      <c r="F32" s="802">
        <v>43.74</v>
      </c>
      <c r="G32" s="802">
        <v>60.75</v>
      </c>
      <c r="H32" s="803">
        <f t="shared" si="0"/>
        <v>1562.49</v>
      </c>
      <c r="I32" s="120">
        <f>ROUND((E32+F32+G32)*(kopsavilkums!$O$12)*D32*12*(1+kopsavilkums!$O$23),2)</f>
        <v>13556.19</v>
      </c>
      <c r="J32" s="57"/>
      <c r="K32" s="72"/>
      <c r="L32" s="72" t="s">
        <v>538</v>
      </c>
      <c r="M32" s="72">
        <v>10015701</v>
      </c>
      <c r="N32" s="72"/>
    </row>
    <row r="33" spans="1:14" x14ac:dyDescent="0.25">
      <c r="A33" s="819" t="s">
        <v>335</v>
      </c>
      <c r="B33" s="820">
        <v>321203</v>
      </c>
      <c r="C33" s="812" t="s">
        <v>538</v>
      </c>
      <c r="D33" s="810">
        <v>1.5</v>
      </c>
      <c r="E33" s="802">
        <v>1458</v>
      </c>
      <c r="F33" s="802">
        <v>43.74</v>
      </c>
      <c r="G33" s="802">
        <v>60.75</v>
      </c>
      <c r="H33" s="803">
        <f t="shared" si="0"/>
        <v>1562.49</v>
      </c>
      <c r="I33" s="120">
        <f>ROUND((E33+F33+G33)*(kopsavilkums!$O$12)*D33*12*(1+kopsavilkums!$O$23),2)</f>
        <v>2259.37</v>
      </c>
      <c r="J33" s="57"/>
      <c r="K33" s="72"/>
      <c r="L33" s="72" t="s">
        <v>538</v>
      </c>
      <c r="M33" s="72">
        <v>10015701</v>
      </c>
      <c r="N33" s="72"/>
    </row>
    <row r="34" spans="1:14" x14ac:dyDescent="0.25">
      <c r="A34" s="819" t="s">
        <v>17</v>
      </c>
      <c r="B34" s="820">
        <v>321202</v>
      </c>
      <c r="C34" s="812" t="s">
        <v>538</v>
      </c>
      <c r="D34" s="810">
        <v>1</v>
      </c>
      <c r="E34" s="802">
        <v>1458</v>
      </c>
      <c r="F34" s="802">
        <v>43.74</v>
      </c>
      <c r="G34" s="802">
        <v>60.75</v>
      </c>
      <c r="H34" s="803">
        <f t="shared" si="0"/>
        <v>1562.49</v>
      </c>
      <c r="I34" s="120">
        <f>ROUND((E34+F34+G34)*(kopsavilkums!$O$12)*D34*12*(1+kopsavilkums!$O$23),2)</f>
        <v>1506.24</v>
      </c>
      <c r="J34" s="57"/>
      <c r="K34" s="72"/>
      <c r="L34" s="72" t="s">
        <v>538</v>
      </c>
      <c r="M34" s="72">
        <v>10015701</v>
      </c>
      <c r="N34" s="72"/>
    </row>
    <row r="35" spans="1:14" x14ac:dyDescent="0.25">
      <c r="A35" s="819" t="s">
        <v>336</v>
      </c>
      <c r="B35" s="820">
        <v>224001</v>
      </c>
      <c r="C35" s="821" t="s">
        <v>487</v>
      </c>
      <c r="D35" s="810">
        <v>1</v>
      </c>
      <c r="E35" s="802">
        <v>1604</v>
      </c>
      <c r="F35" s="802">
        <v>48.12</v>
      </c>
      <c r="G35" s="802">
        <v>179.11333333333334</v>
      </c>
      <c r="H35" s="803">
        <f t="shared" si="0"/>
        <v>1831.2333333333331</v>
      </c>
      <c r="I35" s="120">
        <f>ROUND((E35+F35+G35)*(kopsavilkums!$O$12)*D35*12*(1+kopsavilkums!$O$23),2)</f>
        <v>1765.31</v>
      </c>
      <c r="J35" s="57"/>
      <c r="K35" s="72"/>
      <c r="L35" s="72" t="s">
        <v>487</v>
      </c>
      <c r="M35" s="72">
        <v>10015701</v>
      </c>
      <c r="N35" s="72"/>
    </row>
    <row r="36" spans="1:14" x14ac:dyDescent="0.25">
      <c r="A36" s="819" t="s">
        <v>716</v>
      </c>
      <c r="B36" s="820">
        <v>224001</v>
      </c>
      <c r="C36" s="821" t="s">
        <v>487</v>
      </c>
      <c r="D36" s="810">
        <v>12</v>
      </c>
      <c r="E36" s="802">
        <v>1555</v>
      </c>
      <c r="F36" s="802">
        <v>46.65</v>
      </c>
      <c r="G36" s="802">
        <v>173.64166666666668</v>
      </c>
      <c r="H36" s="803">
        <f t="shared" si="0"/>
        <v>1775.2916666666667</v>
      </c>
      <c r="I36" s="120">
        <f>ROUND((E36+F36+G36)*(kopsavilkums!$O$12)*D36*12*(1+kopsavilkums!$O$23),2)</f>
        <v>20536.62</v>
      </c>
      <c r="J36" s="57"/>
      <c r="K36" s="72"/>
      <c r="L36" s="72" t="s">
        <v>487</v>
      </c>
      <c r="M36" s="72">
        <v>10015701</v>
      </c>
      <c r="N36" s="72"/>
    </row>
    <row r="37" spans="1:14" x14ac:dyDescent="0.25">
      <c r="A37" s="819" t="s">
        <v>243</v>
      </c>
      <c r="B37" s="820">
        <v>224001</v>
      </c>
      <c r="C37" s="821" t="s">
        <v>487</v>
      </c>
      <c r="D37" s="810">
        <v>1.5</v>
      </c>
      <c r="E37" s="802">
        <v>1555</v>
      </c>
      <c r="F37" s="802">
        <v>46.65</v>
      </c>
      <c r="G37" s="802">
        <v>64.791666666666671</v>
      </c>
      <c r="H37" s="803">
        <f t="shared" si="0"/>
        <v>1666.4416666666668</v>
      </c>
      <c r="I37" s="120">
        <f>ROUND((E37+F37+G37)*(kopsavilkums!$O$12)*D37*12*(1+kopsavilkums!$O$23),2)</f>
        <v>2409.6799999999998</v>
      </c>
      <c r="J37" s="57"/>
      <c r="K37" s="72"/>
      <c r="L37" s="72" t="s">
        <v>487</v>
      </c>
      <c r="M37" s="72">
        <v>10015701</v>
      </c>
      <c r="N37" s="72"/>
    </row>
    <row r="38" spans="1:14" x14ac:dyDescent="0.25">
      <c r="A38" s="819" t="s">
        <v>717</v>
      </c>
      <c r="B38" s="820">
        <v>224001</v>
      </c>
      <c r="C38" s="821" t="s">
        <v>487</v>
      </c>
      <c r="D38" s="810">
        <v>1</v>
      </c>
      <c r="E38" s="802">
        <v>1452</v>
      </c>
      <c r="F38" s="802">
        <v>43.56</v>
      </c>
      <c r="G38" s="802">
        <v>60.5</v>
      </c>
      <c r="H38" s="803">
        <f t="shared" si="0"/>
        <v>1556.06</v>
      </c>
      <c r="I38" s="120">
        <f>ROUND((E38+F38+G38)*(kopsavilkums!$O$12)*D38*12*(1+kopsavilkums!$O$23),2)</f>
        <v>1500.04</v>
      </c>
      <c r="J38" s="57"/>
      <c r="K38" s="72"/>
      <c r="L38" s="72" t="s">
        <v>487</v>
      </c>
      <c r="M38" s="72">
        <v>10015701</v>
      </c>
      <c r="N38" s="72"/>
    </row>
    <row r="39" spans="1:14" x14ac:dyDescent="0.25">
      <c r="A39" s="32" t="s">
        <v>96</v>
      </c>
      <c r="B39" s="525"/>
      <c r="C39" s="525"/>
      <c r="D39" s="29"/>
      <c r="E39" s="30"/>
      <c r="F39" s="30"/>
      <c r="G39" s="30"/>
      <c r="H39" s="246"/>
      <c r="I39" s="287">
        <f>I51+I40</f>
        <v>89998.97</v>
      </c>
      <c r="K39" s="72"/>
      <c r="L39" s="72"/>
      <c r="M39" s="72"/>
      <c r="N39" s="72"/>
    </row>
    <row r="40" spans="1:14" ht="51" x14ac:dyDescent="0.25">
      <c r="A40" s="25" t="s">
        <v>437</v>
      </c>
      <c r="B40" s="526"/>
      <c r="C40" s="526"/>
      <c r="D40" s="23"/>
      <c r="E40" s="20"/>
      <c r="F40" s="20"/>
      <c r="G40" s="20"/>
      <c r="H40" s="24"/>
      <c r="I40" s="390">
        <f>SUM(I41:I50)</f>
        <v>68164.960000000006</v>
      </c>
      <c r="K40" s="72"/>
      <c r="L40" s="72"/>
      <c r="M40" s="72"/>
      <c r="N40" s="72"/>
    </row>
    <row r="41" spans="1:14" x14ac:dyDescent="0.25">
      <c r="A41" s="798" t="s">
        <v>718</v>
      </c>
      <c r="B41" s="818">
        <v>242210</v>
      </c>
      <c r="C41" s="818" t="s">
        <v>488</v>
      </c>
      <c r="D41" s="800">
        <v>1</v>
      </c>
      <c r="E41" s="801">
        <v>1600</v>
      </c>
      <c r="F41" s="802">
        <v>48</v>
      </c>
      <c r="G41" s="802">
        <v>66.666666666666671</v>
      </c>
      <c r="H41" s="803">
        <f>E41+F41+G41</f>
        <v>1714.6666666666667</v>
      </c>
      <c r="I41" s="120">
        <f>ROUND((E41+F41+G41)*(kopsavilkums!$O$12)*D41*12*(1+kopsavilkums!$O$23),2)</f>
        <v>1652.94</v>
      </c>
      <c r="J41" s="57"/>
      <c r="K41" s="72"/>
      <c r="L41" s="72" t="s">
        <v>488</v>
      </c>
      <c r="M41" s="72">
        <v>10015701</v>
      </c>
      <c r="N41" s="72"/>
    </row>
    <row r="42" spans="1:14" x14ac:dyDescent="0.25">
      <c r="A42" s="798" t="s">
        <v>719</v>
      </c>
      <c r="B42" s="818">
        <v>432103</v>
      </c>
      <c r="C42" s="818" t="s">
        <v>488</v>
      </c>
      <c r="D42" s="800">
        <v>1</v>
      </c>
      <c r="E42" s="801">
        <v>1247</v>
      </c>
      <c r="F42" s="802">
        <v>37.409999999999997</v>
      </c>
      <c r="G42" s="802">
        <v>51.958333333333336</v>
      </c>
      <c r="H42" s="803">
        <f t="shared" ref="H42:H58" si="1">E42+F42+G42</f>
        <v>1336.3683333333333</v>
      </c>
      <c r="I42" s="120">
        <f>ROUND((E42+F42+G42)*(kopsavilkums!$O$12)*D42*12*(1+kopsavilkums!$O$23),2)</f>
        <v>1288.26</v>
      </c>
      <c r="J42" s="57"/>
      <c r="K42" s="72"/>
      <c r="L42" s="72" t="s">
        <v>488</v>
      </c>
      <c r="M42" s="72">
        <v>10015701</v>
      </c>
      <c r="N42" s="72"/>
    </row>
    <row r="43" spans="1:14" x14ac:dyDescent="0.25">
      <c r="A43" s="798" t="s">
        <v>720</v>
      </c>
      <c r="B43" s="818">
        <v>134204</v>
      </c>
      <c r="C43" s="818" t="s">
        <v>547</v>
      </c>
      <c r="D43" s="800">
        <v>1</v>
      </c>
      <c r="E43" s="801">
        <v>1992</v>
      </c>
      <c r="F43" s="802">
        <v>59.76</v>
      </c>
      <c r="G43" s="802">
        <v>83</v>
      </c>
      <c r="H43" s="803">
        <f t="shared" si="1"/>
        <v>2134.7600000000002</v>
      </c>
      <c r="I43" s="120">
        <f>ROUND((E43+F43+G43)*(kopsavilkums!$O$12)*D43*12*(1+kopsavilkums!$O$23),2)</f>
        <v>2057.91</v>
      </c>
      <c r="J43" s="57"/>
      <c r="K43" s="72"/>
      <c r="L43" s="72" t="s">
        <v>547</v>
      </c>
      <c r="M43" s="72">
        <v>10015701</v>
      </c>
      <c r="N43" s="72"/>
    </row>
    <row r="44" spans="1:14" x14ac:dyDescent="0.25">
      <c r="A44" s="798" t="s">
        <v>450</v>
      </c>
      <c r="B44" s="818">
        <v>134205</v>
      </c>
      <c r="C44" s="818" t="s">
        <v>488</v>
      </c>
      <c r="D44" s="800">
        <v>1</v>
      </c>
      <c r="E44" s="801">
        <v>1798</v>
      </c>
      <c r="F44" s="802">
        <v>53.94</v>
      </c>
      <c r="G44" s="802">
        <v>74.916666666666671</v>
      </c>
      <c r="H44" s="803">
        <f t="shared" si="1"/>
        <v>1926.8566666666668</v>
      </c>
      <c r="I44" s="120">
        <f>ROUND((E44+F44+G44)*(kopsavilkums!$O$12)*D44*12*(1+kopsavilkums!$O$23),2)</f>
        <v>1857.49</v>
      </c>
      <c r="J44" s="57"/>
      <c r="K44" s="72"/>
      <c r="L44" s="72" t="s">
        <v>488</v>
      </c>
      <c r="M44" s="72">
        <v>10015701</v>
      </c>
      <c r="N44" s="72"/>
    </row>
    <row r="45" spans="1:14" x14ac:dyDescent="0.25">
      <c r="A45" s="819" t="s">
        <v>306</v>
      </c>
      <c r="B45" s="820">
        <v>222102</v>
      </c>
      <c r="C45" s="820" t="s">
        <v>488</v>
      </c>
      <c r="D45" s="822">
        <v>3</v>
      </c>
      <c r="E45" s="802">
        <v>1555</v>
      </c>
      <c r="F45" s="802">
        <v>46.65</v>
      </c>
      <c r="G45" s="802">
        <v>64.791666666666671</v>
      </c>
      <c r="H45" s="803">
        <f t="shared" si="1"/>
        <v>1666.4416666666668</v>
      </c>
      <c r="I45" s="120">
        <f>ROUND((E45+F45+G45)*(kopsavilkums!$O$12)*D45*12*(1+kopsavilkums!$O$23),2)</f>
        <v>4819.3599999999997</v>
      </c>
      <c r="J45" s="57"/>
      <c r="K45" s="72"/>
      <c r="L45" s="72" t="s">
        <v>488</v>
      </c>
      <c r="M45" s="72">
        <v>10015701</v>
      </c>
      <c r="N45" s="72"/>
    </row>
    <row r="46" spans="1:14" x14ac:dyDescent="0.25">
      <c r="A46" s="819" t="s">
        <v>439</v>
      </c>
      <c r="B46" s="820">
        <v>222146</v>
      </c>
      <c r="C46" s="818" t="s">
        <v>488</v>
      </c>
      <c r="D46" s="822">
        <v>19</v>
      </c>
      <c r="E46" s="802">
        <v>1410</v>
      </c>
      <c r="F46" s="802">
        <v>42.3</v>
      </c>
      <c r="G46" s="802">
        <v>58.75</v>
      </c>
      <c r="H46" s="803">
        <f t="shared" si="1"/>
        <v>1511.05</v>
      </c>
      <c r="I46" s="120">
        <f>ROUND((E46+F46+G46)*(kopsavilkums!$O$12)*D46*12*(1+kopsavilkums!$O$23),2)</f>
        <v>27676.45</v>
      </c>
      <c r="J46" s="57"/>
      <c r="K46" s="72"/>
      <c r="L46" s="72" t="s">
        <v>488</v>
      </c>
      <c r="M46" s="72">
        <v>10015701</v>
      </c>
      <c r="N46" s="72"/>
    </row>
    <row r="47" spans="1:14" x14ac:dyDescent="0.25">
      <c r="A47" s="819" t="s">
        <v>440</v>
      </c>
      <c r="B47" s="820">
        <v>222146</v>
      </c>
      <c r="C47" s="820" t="s">
        <v>488</v>
      </c>
      <c r="D47" s="822">
        <v>2</v>
      </c>
      <c r="E47" s="802">
        <v>1410</v>
      </c>
      <c r="F47" s="802">
        <v>42.3</v>
      </c>
      <c r="G47" s="802">
        <v>58.75</v>
      </c>
      <c r="H47" s="803">
        <f t="shared" si="1"/>
        <v>1511.05</v>
      </c>
      <c r="I47" s="120">
        <f>ROUND((E47+F47+G47)*(kopsavilkums!$O$12)*D47*12*(1+kopsavilkums!$O$23),2)</f>
        <v>2913.31</v>
      </c>
      <c r="J47" s="57"/>
      <c r="K47" s="72"/>
      <c r="L47" s="72" t="s">
        <v>488</v>
      </c>
      <c r="M47" s="72">
        <v>10015701</v>
      </c>
      <c r="N47" s="72"/>
    </row>
    <row r="48" spans="1:14" x14ac:dyDescent="0.25">
      <c r="A48" s="819" t="s">
        <v>441</v>
      </c>
      <c r="B48" s="820">
        <v>222146</v>
      </c>
      <c r="C48" s="818" t="s">
        <v>488</v>
      </c>
      <c r="D48" s="822">
        <v>6</v>
      </c>
      <c r="E48" s="802">
        <v>1410</v>
      </c>
      <c r="F48" s="802">
        <v>42.3</v>
      </c>
      <c r="G48" s="802">
        <v>129.25</v>
      </c>
      <c r="H48" s="803">
        <f t="shared" si="1"/>
        <v>1581.55</v>
      </c>
      <c r="I48" s="120">
        <f>ROUND((E48+F48+G48)*(kopsavilkums!$O$12)*D48*12*(1+kopsavilkums!$O$23),2)</f>
        <v>9147.7000000000007</v>
      </c>
      <c r="J48" s="57"/>
      <c r="K48" s="72"/>
      <c r="L48" s="72" t="s">
        <v>488</v>
      </c>
      <c r="M48" s="72">
        <v>10015701</v>
      </c>
      <c r="N48" s="72"/>
    </row>
    <row r="49" spans="1:14" x14ac:dyDescent="0.25">
      <c r="A49" s="819" t="s">
        <v>442</v>
      </c>
      <c r="B49" s="820">
        <v>222146</v>
      </c>
      <c r="C49" s="820" t="s">
        <v>488</v>
      </c>
      <c r="D49" s="822">
        <v>6.5</v>
      </c>
      <c r="E49" s="802">
        <v>1410</v>
      </c>
      <c r="F49" s="802">
        <v>42.3</v>
      </c>
      <c r="G49" s="802">
        <v>58.75</v>
      </c>
      <c r="H49" s="803">
        <f t="shared" si="1"/>
        <v>1511.05</v>
      </c>
      <c r="I49" s="120">
        <f>ROUND((E49+F49+G49)*(kopsavilkums!$O$12)*D49*12*(1+kopsavilkums!$O$23),2)</f>
        <v>9468.26</v>
      </c>
      <c r="J49" s="57"/>
      <c r="K49" s="72"/>
      <c r="L49" s="72" t="s">
        <v>488</v>
      </c>
      <c r="M49" s="72">
        <v>10015701</v>
      </c>
      <c r="N49" s="72"/>
    </row>
    <row r="50" spans="1:14" x14ac:dyDescent="0.25">
      <c r="A50" s="823" t="s">
        <v>443</v>
      </c>
      <c r="B50" s="824">
        <v>222146</v>
      </c>
      <c r="C50" s="818" t="s">
        <v>488</v>
      </c>
      <c r="D50" s="822">
        <v>5</v>
      </c>
      <c r="E50" s="802">
        <v>1410</v>
      </c>
      <c r="F50" s="802">
        <v>42.3</v>
      </c>
      <c r="G50" s="802">
        <v>58.75</v>
      </c>
      <c r="H50" s="803">
        <f t="shared" si="1"/>
        <v>1511.05</v>
      </c>
      <c r="I50" s="120">
        <f>ROUND((E50+F50+G50)*(kopsavilkums!$O$12)*D50*12*(1+kopsavilkums!$O$23),2)</f>
        <v>7283.28</v>
      </c>
      <c r="J50" s="57"/>
      <c r="K50" s="72"/>
      <c r="L50" s="72" t="s">
        <v>488</v>
      </c>
      <c r="M50" s="72">
        <v>10015701</v>
      </c>
      <c r="N50" s="72"/>
    </row>
    <row r="51" spans="1:14" x14ac:dyDescent="0.25">
      <c r="A51" s="25" t="s">
        <v>444</v>
      </c>
      <c r="B51" s="526"/>
      <c r="C51" s="526"/>
      <c r="D51" s="23"/>
      <c r="E51" s="24"/>
      <c r="F51" s="20"/>
      <c r="G51" s="20"/>
      <c r="H51" s="248"/>
      <c r="I51" s="288">
        <f>SUM(I52:I58)</f>
        <v>21834.009999999995</v>
      </c>
      <c r="K51" s="72"/>
      <c r="L51" s="72"/>
      <c r="M51" s="72"/>
      <c r="N51" s="72"/>
    </row>
    <row r="52" spans="1:14" x14ac:dyDescent="0.25">
      <c r="A52" s="798" t="s">
        <v>721</v>
      </c>
      <c r="B52" s="818">
        <v>134204</v>
      </c>
      <c r="C52" s="818" t="s">
        <v>498</v>
      </c>
      <c r="D52" s="800">
        <v>1</v>
      </c>
      <c r="E52" s="801">
        <v>1945</v>
      </c>
      <c r="F52" s="802">
        <v>58.35</v>
      </c>
      <c r="G52" s="802">
        <v>81.041666666666671</v>
      </c>
      <c r="H52" s="803">
        <f t="shared" si="1"/>
        <v>2084.3916666666664</v>
      </c>
      <c r="I52" s="120">
        <f>ROUND((E52+F52+G52)*(kopsavilkums!$O$15)*D52*12*(1+kopsavilkums!$O$23),2)</f>
        <v>2133.0100000000002</v>
      </c>
      <c r="J52" s="57"/>
      <c r="K52" s="72"/>
      <c r="L52" s="72" t="s">
        <v>498</v>
      </c>
      <c r="M52" s="72">
        <v>10015701</v>
      </c>
      <c r="N52" s="72"/>
    </row>
    <row r="53" spans="1:14" x14ac:dyDescent="0.25">
      <c r="A53" s="825" t="s">
        <v>722</v>
      </c>
      <c r="B53" s="826">
        <v>532103</v>
      </c>
      <c r="C53" s="826" t="s">
        <v>498</v>
      </c>
      <c r="D53" s="827">
        <v>10</v>
      </c>
      <c r="E53" s="802">
        <v>1159</v>
      </c>
      <c r="F53" s="802">
        <v>34.770000000000003</v>
      </c>
      <c r="G53" s="802">
        <v>48.291666666666664</v>
      </c>
      <c r="H53" s="803">
        <f t="shared" si="1"/>
        <v>1242.0616666666667</v>
      </c>
      <c r="I53" s="120">
        <f>ROUND((E53+F53+G53)*(kopsavilkums!$O$15)*D53*12*(1+kopsavilkums!$O$23),2)</f>
        <v>12710.33</v>
      </c>
      <c r="J53" s="57"/>
      <c r="K53" s="72"/>
      <c r="L53" s="72" t="s">
        <v>498</v>
      </c>
      <c r="M53" s="72">
        <v>10015701</v>
      </c>
      <c r="N53" s="72"/>
    </row>
    <row r="54" spans="1:14" x14ac:dyDescent="0.25">
      <c r="A54" s="825" t="s">
        <v>723</v>
      </c>
      <c r="B54" s="826">
        <v>532103</v>
      </c>
      <c r="C54" s="818" t="s">
        <v>498</v>
      </c>
      <c r="D54" s="827">
        <v>1.5</v>
      </c>
      <c r="E54" s="802">
        <v>1159</v>
      </c>
      <c r="F54" s="802">
        <v>34.770000000000003</v>
      </c>
      <c r="G54" s="802">
        <v>48.291666666666664</v>
      </c>
      <c r="H54" s="803">
        <f t="shared" si="1"/>
        <v>1242.0616666666667</v>
      </c>
      <c r="I54" s="120">
        <f>ROUND((E54+F54+G54)*(kopsavilkums!$O$15)*D54*12*(1+kopsavilkums!$O$23),2)</f>
        <v>1906.55</v>
      </c>
      <c r="J54" s="57"/>
      <c r="K54" s="72"/>
      <c r="L54" s="72" t="s">
        <v>498</v>
      </c>
      <c r="M54" s="72">
        <v>10015701</v>
      </c>
      <c r="N54" s="72"/>
    </row>
    <row r="55" spans="1:14" x14ac:dyDescent="0.25">
      <c r="A55" s="825" t="s">
        <v>724</v>
      </c>
      <c r="B55" s="826">
        <v>532103</v>
      </c>
      <c r="C55" s="826" t="s">
        <v>498</v>
      </c>
      <c r="D55" s="827">
        <v>1</v>
      </c>
      <c r="E55" s="802">
        <v>1159</v>
      </c>
      <c r="F55" s="802">
        <v>34.770000000000003</v>
      </c>
      <c r="G55" s="802">
        <v>48.291666666666664</v>
      </c>
      <c r="H55" s="803">
        <f t="shared" si="1"/>
        <v>1242.0616666666667</v>
      </c>
      <c r="I55" s="120">
        <f>ROUND((E55+F55+G55)*(kopsavilkums!$O$15)*D55*12*(1+kopsavilkums!$O$23),2)</f>
        <v>1271.03</v>
      </c>
      <c r="J55" s="57"/>
      <c r="K55" s="72"/>
      <c r="L55" s="72" t="s">
        <v>498</v>
      </c>
      <c r="M55" s="72">
        <v>10015701</v>
      </c>
      <c r="N55" s="72"/>
    </row>
    <row r="56" spans="1:14" x14ac:dyDescent="0.25">
      <c r="A56" s="825" t="s">
        <v>725</v>
      </c>
      <c r="B56" s="826">
        <v>532103</v>
      </c>
      <c r="C56" s="818" t="s">
        <v>498</v>
      </c>
      <c r="D56" s="827">
        <v>1</v>
      </c>
      <c r="E56" s="802">
        <v>1159</v>
      </c>
      <c r="F56" s="802">
        <v>34.770000000000003</v>
      </c>
      <c r="G56" s="802">
        <v>48.291666666666664</v>
      </c>
      <c r="H56" s="803">
        <f t="shared" si="1"/>
        <v>1242.0616666666667</v>
      </c>
      <c r="I56" s="120">
        <f>ROUND((E56+F56+G56)*(kopsavilkums!$O$15)*D56*12*(1+kopsavilkums!$O$23),2)</f>
        <v>1271.03</v>
      </c>
      <c r="J56" s="57"/>
      <c r="K56" s="72"/>
      <c r="L56" s="72" t="s">
        <v>498</v>
      </c>
      <c r="M56" s="72">
        <v>10015701</v>
      </c>
      <c r="N56" s="72"/>
    </row>
    <row r="57" spans="1:14" x14ac:dyDescent="0.25">
      <c r="A57" s="825" t="s">
        <v>726</v>
      </c>
      <c r="B57" s="826">
        <v>532103</v>
      </c>
      <c r="C57" s="818" t="s">
        <v>498</v>
      </c>
      <c r="D57" s="827">
        <v>1</v>
      </c>
      <c r="E57" s="802">
        <v>1159</v>
      </c>
      <c r="F57" s="802">
        <v>34.770000000000003</v>
      </c>
      <c r="G57" s="802">
        <v>48.291666666666664</v>
      </c>
      <c r="H57" s="803">
        <f t="shared" si="1"/>
        <v>1242.0616666666667</v>
      </c>
      <c r="I57" s="120">
        <f>ROUND((E57+F57+G57)*(kopsavilkums!$O$15)*D57*12*(1+kopsavilkums!$O$23),2)</f>
        <v>1271.03</v>
      </c>
      <c r="J57" s="57"/>
      <c r="K57" s="72"/>
      <c r="L57" s="72" t="s">
        <v>498</v>
      </c>
      <c r="M57" s="72">
        <v>10015701</v>
      </c>
      <c r="N57" s="72"/>
    </row>
    <row r="58" spans="1:14" x14ac:dyDescent="0.25">
      <c r="A58" s="825" t="s">
        <v>727</v>
      </c>
      <c r="B58" s="826">
        <v>532103</v>
      </c>
      <c r="C58" s="826" t="s">
        <v>498</v>
      </c>
      <c r="D58" s="827">
        <v>1</v>
      </c>
      <c r="E58" s="802">
        <v>1159</v>
      </c>
      <c r="F58" s="802">
        <v>34.770000000000003</v>
      </c>
      <c r="G58" s="802">
        <v>48.291666666666664</v>
      </c>
      <c r="H58" s="803">
        <f t="shared" si="1"/>
        <v>1242.0616666666667</v>
      </c>
      <c r="I58" s="120">
        <f>ROUND((E58+F58+G58)*(kopsavilkums!$O$15)*D58*12*(1+kopsavilkums!$O$23),2)</f>
        <v>1271.03</v>
      </c>
      <c r="J58" s="57"/>
      <c r="K58" s="72"/>
      <c r="L58" s="72" t="s">
        <v>498</v>
      </c>
      <c r="M58" s="72">
        <v>10015701</v>
      </c>
      <c r="N58" s="72"/>
    </row>
    <row r="59" spans="1:14" x14ac:dyDescent="0.25">
      <c r="A59" s="32" t="s">
        <v>601</v>
      </c>
      <c r="B59" s="525"/>
      <c r="C59" s="525"/>
      <c r="D59" s="29"/>
      <c r="E59" s="30"/>
      <c r="F59" s="30"/>
      <c r="G59" s="30"/>
      <c r="H59" s="246"/>
      <c r="I59" s="287">
        <f>I60</f>
        <v>8897.23</v>
      </c>
      <c r="K59" s="72"/>
      <c r="L59" s="72"/>
      <c r="M59" s="72"/>
      <c r="N59" s="72"/>
    </row>
    <row r="60" spans="1:14" x14ac:dyDescent="0.25">
      <c r="A60" s="25" t="s">
        <v>602</v>
      </c>
      <c r="B60" s="526"/>
      <c r="C60" s="526"/>
      <c r="D60" s="23"/>
      <c r="E60" s="20"/>
      <c r="F60" s="20"/>
      <c r="G60" s="20"/>
      <c r="H60" s="24"/>
      <c r="I60" s="390">
        <f>SUM(I61:I61)</f>
        <v>8897.23</v>
      </c>
      <c r="K60" s="72"/>
      <c r="L60" s="72"/>
      <c r="M60" s="72"/>
      <c r="N60" s="72"/>
    </row>
    <row r="61" spans="1:14" ht="15.75" thickBot="1" x14ac:dyDescent="0.3">
      <c r="A61" s="798" t="s">
        <v>728</v>
      </c>
      <c r="B61" s="828">
        <v>833208</v>
      </c>
      <c r="C61" s="829" t="s">
        <v>664</v>
      </c>
      <c r="D61" s="800">
        <v>7</v>
      </c>
      <c r="E61" s="801">
        <v>1159</v>
      </c>
      <c r="F61" s="802">
        <v>34.770000000000003</v>
      </c>
      <c r="G61" s="802">
        <v>48.291666666666664</v>
      </c>
      <c r="H61" s="803">
        <f t="shared" ref="H61" si="2">E61+F61+G61</f>
        <v>1242.0616666666667</v>
      </c>
      <c r="I61" s="120">
        <f>ROUND((E61+F61+G61)*(kopsavilkums!$O$15)*D61*12*(1+kopsavilkums!$O$23),2)</f>
        <v>8897.23</v>
      </c>
      <c r="J61" s="57"/>
      <c r="K61" s="72"/>
      <c r="L61" s="72" t="s">
        <v>664</v>
      </c>
      <c r="M61" s="72">
        <v>10015701</v>
      </c>
      <c r="N61" s="72"/>
    </row>
    <row r="62" spans="1:14" ht="15.75" thickBot="1" x14ac:dyDescent="0.3">
      <c r="A62" s="111" t="s">
        <v>32</v>
      </c>
      <c r="B62" s="545"/>
      <c r="C62" s="520"/>
      <c r="D62" s="285">
        <f>SUM(D12:D26,D28:D38,D41:D50,D52:D58,D61)</f>
        <v>116</v>
      </c>
      <c r="E62" s="112" t="s">
        <v>102</v>
      </c>
      <c r="F62" s="112" t="s">
        <v>102</v>
      </c>
      <c r="G62" s="112" t="s">
        <v>102</v>
      </c>
      <c r="H62" s="249"/>
      <c r="I62" s="286">
        <f>I39+I10+I59</f>
        <v>200491.46</v>
      </c>
      <c r="K62" s="72"/>
      <c r="L62" s="72"/>
      <c r="M62" s="72"/>
      <c r="N62" s="72"/>
    </row>
    <row r="63" spans="1:14" ht="15.75" thickBot="1" x14ac:dyDescent="0.3">
      <c r="A63" s="15"/>
      <c r="B63" s="15"/>
      <c r="C63" s="15"/>
      <c r="D63" s="16"/>
      <c r="E63" s="15"/>
      <c r="F63" s="15"/>
      <c r="G63" s="15"/>
      <c r="H63" s="17"/>
      <c r="K63" s="72"/>
      <c r="L63" s="72"/>
      <c r="M63" s="72"/>
      <c r="N63" s="72"/>
    </row>
    <row r="64" spans="1:14" ht="15.75" thickBot="1" x14ac:dyDescent="0.3">
      <c r="A64" s="999" t="s">
        <v>30</v>
      </c>
      <c r="B64" s="1000"/>
      <c r="C64" s="1000"/>
      <c r="D64" s="1000"/>
      <c r="E64" s="1000"/>
      <c r="F64" s="1000"/>
      <c r="G64" s="1000"/>
      <c r="H64" s="1001"/>
      <c r="I64" s="250"/>
      <c r="K64" s="72"/>
      <c r="L64" s="72"/>
      <c r="M64" s="72"/>
      <c r="N64" s="72"/>
    </row>
    <row r="65" spans="1:14" ht="29.25" customHeight="1" x14ac:dyDescent="0.25">
      <c r="A65" s="1090" t="s">
        <v>31</v>
      </c>
      <c r="B65" s="1091"/>
      <c r="C65" s="1091"/>
      <c r="D65" s="1091"/>
      <c r="E65" s="1091"/>
      <c r="F65" s="1091"/>
      <c r="G65" s="1091"/>
      <c r="H65" s="1091"/>
      <c r="I65" s="129"/>
      <c r="K65" s="72"/>
      <c r="L65" s="72"/>
      <c r="M65" s="72"/>
      <c r="N65" s="72"/>
    </row>
    <row r="66" spans="1:14" x14ac:dyDescent="0.25">
      <c r="A66" s="26" t="s">
        <v>60</v>
      </c>
      <c r="B66" s="516"/>
      <c r="C66" s="516"/>
      <c r="D66" s="27"/>
      <c r="E66" s="28"/>
      <c r="F66" s="28"/>
      <c r="G66" s="28"/>
      <c r="H66" s="243"/>
      <c r="I66" s="287">
        <f>I67+I69</f>
        <v>29260.120000000003</v>
      </c>
      <c r="K66" s="72"/>
      <c r="L66" s="72"/>
      <c r="M66" s="72"/>
      <c r="N66" s="72"/>
    </row>
    <row r="67" spans="1:14" x14ac:dyDescent="0.25">
      <c r="A67" s="21" t="s">
        <v>103</v>
      </c>
      <c r="B67" s="517"/>
      <c r="C67" s="517"/>
      <c r="D67" s="19"/>
      <c r="E67" s="20"/>
      <c r="F67" s="20"/>
      <c r="G67" s="20"/>
      <c r="H67" s="244"/>
      <c r="I67" s="288">
        <f>SUM(I68:I68)</f>
        <v>11165.12</v>
      </c>
      <c r="K67" s="72"/>
      <c r="L67" s="72"/>
      <c r="M67" s="72"/>
      <c r="N67" s="72"/>
    </row>
    <row r="68" spans="1:14" x14ac:dyDescent="0.25">
      <c r="A68" s="807" t="s">
        <v>307</v>
      </c>
      <c r="B68" s="812" t="s">
        <v>465</v>
      </c>
      <c r="C68" s="812"/>
      <c r="D68" s="808">
        <v>3.5</v>
      </c>
      <c r="E68" s="801">
        <v>1893.5</v>
      </c>
      <c r="F68" s="802">
        <v>56.805</v>
      </c>
      <c r="G68" s="802">
        <v>78.895833333333329</v>
      </c>
      <c r="H68" s="803">
        <f t="shared" ref="H68" si="3">E68+F68+G68</f>
        <v>2029.2008333333333</v>
      </c>
      <c r="I68" s="120">
        <f>ROUND((E68+F68+G68)*(kopsavilkums!$O$8)*D68*12*(1+kopsavilkums!$O$23),2)</f>
        <v>11165.12</v>
      </c>
      <c r="J68" s="57"/>
      <c r="K68" s="72"/>
      <c r="L68" s="72"/>
      <c r="M68" s="72"/>
      <c r="N68" s="72"/>
    </row>
    <row r="69" spans="1:14" ht="38.25" x14ac:dyDescent="0.25">
      <c r="A69" s="18" t="s">
        <v>593</v>
      </c>
      <c r="B69" s="519"/>
      <c r="C69" s="541"/>
      <c r="D69" s="31"/>
      <c r="E69" s="22"/>
      <c r="F69" s="22"/>
      <c r="G69" s="22"/>
      <c r="H69" s="245"/>
      <c r="I69" s="288">
        <f>SUM(I70:I70)</f>
        <v>18095</v>
      </c>
      <c r="K69" s="72"/>
      <c r="L69" s="72"/>
      <c r="M69" s="72"/>
      <c r="N69" s="72"/>
    </row>
    <row r="70" spans="1:14" x14ac:dyDescent="0.25">
      <c r="A70" s="807" t="s">
        <v>445</v>
      </c>
      <c r="B70" s="812" t="s">
        <v>529</v>
      </c>
      <c r="C70" s="812"/>
      <c r="D70" s="808">
        <v>13.75</v>
      </c>
      <c r="E70" s="801">
        <v>1273.8499999999999</v>
      </c>
      <c r="F70" s="802">
        <v>38.215499999999999</v>
      </c>
      <c r="G70" s="802">
        <v>53.077083333333327</v>
      </c>
      <c r="H70" s="803">
        <f t="shared" ref="H70" si="4">E70+F70+G70</f>
        <v>1365.1425833333333</v>
      </c>
      <c r="I70" s="120">
        <f>ROUND((E70+F70+G70)*(kopsavilkums!$O$12)*D70*12*(1+kopsavilkums!$O$23),2)</f>
        <v>18095</v>
      </c>
      <c r="J70" s="57"/>
      <c r="K70" s="72"/>
      <c r="L70" s="72"/>
      <c r="M70" s="72"/>
      <c r="N70" s="72"/>
    </row>
    <row r="71" spans="1:14" x14ac:dyDescent="0.25">
      <c r="A71" s="830" t="s">
        <v>96</v>
      </c>
      <c r="B71" s="831"/>
      <c r="C71" s="832"/>
      <c r="D71" s="833"/>
      <c r="E71" s="834"/>
      <c r="F71" s="834"/>
      <c r="G71" s="834"/>
      <c r="H71" s="835"/>
      <c r="I71" s="287">
        <f>I72</f>
        <v>3420.5299999999997</v>
      </c>
      <c r="K71" s="72"/>
      <c r="L71" s="72"/>
      <c r="M71" s="72"/>
      <c r="N71" s="72"/>
    </row>
    <row r="72" spans="1:14" x14ac:dyDescent="0.25">
      <c r="A72" s="25" t="s">
        <v>444</v>
      </c>
      <c r="B72" s="526"/>
      <c r="C72" s="540"/>
      <c r="D72" s="23"/>
      <c r="E72" s="24"/>
      <c r="F72" s="20"/>
      <c r="G72" s="20"/>
      <c r="H72" s="248"/>
      <c r="I72" s="288">
        <f>SUM(I73:I74)</f>
        <v>3420.5299999999997</v>
      </c>
      <c r="K72" s="72"/>
      <c r="L72" s="72"/>
      <c r="M72" s="72"/>
      <c r="N72" s="72"/>
    </row>
    <row r="73" spans="1:14" x14ac:dyDescent="0.25">
      <c r="A73" s="836" t="s">
        <v>729</v>
      </c>
      <c r="B73" s="826">
        <v>532103</v>
      </c>
      <c r="C73" s="826"/>
      <c r="D73" s="612">
        <v>3.15</v>
      </c>
      <c r="E73" s="802">
        <v>840</v>
      </c>
      <c r="F73" s="802">
        <v>25.2</v>
      </c>
      <c r="G73" s="802">
        <v>35</v>
      </c>
      <c r="H73" s="803">
        <f t="shared" ref="H73:H74" si="5">E73+F73+G73</f>
        <v>900.2</v>
      </c>
      <c r="I73" s="120">
        <f>ROUND((E73+F73+G73)*(kopsavilkums!$O$15)*D73*12*(1+kopsavilkums!$O$23),2)</f>
        <v>2901.77</v>
      </c>
      <c r="J73" s="57"/>
      <c r="K73" s="72"/>
      <c r="L73" s="72"/>
      <c r="M73" s="72"/>
      <c r="N73" s="72"/>
    </row>
    <row r="74" spans="1:14" ht="15.75" thickBot="1" x14ac:dyDescent="0.3">
      <c r="A74" s="837" t="s">
        <v>603</v>
      </c>
      <c r="B74" s="838">
        <v>334401</v>
      </c>
      <c r="C74" s="838"/>
      <c r="D74" s="839">
        <v>0.6</v>
      </c>
      <c r="E74" s="840">
        <v>788.39</v>
      </c>
      <c r="F74" s="840">
        <v>23.651700000000002</v>
      </c>
      <c r="G74" s="840">
        <v>32.849583333333335</v>
      </c>
      <c r="H74" s="803">
        <f t="shared" si="5"/>
        <v>844.89128333333338</v>
      </c>
      <c r="I74" s="120">
        <f>ROUND((E74+F74+G74)*(kopsavilkums!$O$15)*D74*12*(1+kopsavilkums!$O$23),2)</f>
        <v>518.76</v>
      </c>
      <c r="J74" s="57"/>
      <c r="K74" s="72"/>
      <c r="L74" s="72"/>
      <c r="M74" s="72"/>
      <c r="N74" s="72"/>
    </row>
    <row r="75" spans="1:14" ht="15.75" thickBot="1" x14ac:dyDescent="0.3">
      <c r="A75" s="111" t="s">
        <v>32</v>
      </c>
      <c r="B75" s="545"/>
      <c r="C75" s="520"/>
      <c r="D75" s="285">
        <f>SUM(D68:D68,D70:D70,,D73:D74)</f>
        <v>21</v>
      </c>
      <c r="E75" s="112" t="s">
        <v>102</v>
      </c>
      <c r="F75" s="112" t="s">
        <v>102</v>
      </c>
      <c r="G75" s="112" t="s">
        <v>102</v>
      </c>
      <c r="H75" s="249"/>
      <c r="I75" s="286">
        <f>I71+I66</f>
        <v>32680.65</v>
      </c>
      <c r="K75" s="72"/>
      <c r="L75" s="72"/>
      <c r="M75" s="72"/>
      <c r="N75" s="72"/>
    </row>
    <row r="76" spans="1:14" ht="15" customHeight="1" x14ac:dyDescent="0.25">
      <c r="A76" s="253"/>
      <c r="B76" s="253"/>
      <c r="C76" s="253"/>
      <c r="D76" s="253"/>
      <c r="E76" s="253"/>
      <c r="F76" s="253"/>
      <c r="G76" s="253"/>
      <c r="H76" s="253"/>
      <c r="J76" s="329"/>
      <c r="K76" s="65"/>
      <c r="M76" s="65"/>
    </row>
    <row r="77" spans="1:14" x14ac:dyDescent="0.25">
      <c r="A77" s="253"/>
      <c r="B77" s="253"/>
      <c r="C77" s="253"/>
      <c r="D77" s="326"/>
      <c r="E77" s="253"/>
      <c r="F77" s="253"/>
      <c r="G77" s="253"/>
      <c r="H77" s="253"/>
      <c r="I77" s="57">
        <f>I62+I75</f>
        <v>233172.11</v>
      </c>
      <c r="K77" s="58"/>
      <c r="M77" s="58"/>
    </row>
    <row r="78" spans="1:14" x14ac:dyDescent="0.25">
      <c r="A78" s="253"/>
      <c r="B78" s="253"/>
      <c r="C78" s="253"/>
      <c r="D78" s="326"/>
      <c r="E78" s="253"/>
      <c r="F78" s="253"/>
      <c r="G78" s="253"/>
      <c r="H78" s="253"/>
      <c r="I78" s="57">
        <f>I77+'VM padotibas iest MK361'!U30</f>
        <v>267625.91249999998</v>
      </c>
    </row>
    <row r="79" spans="1:14" x14ac:dyDescent="0.25">
      <c r="D79" s="327"/>
    </row>
    <row r="80" spans="1:14" x14ac:dyDescent="0.25">
      <c r="D80" s="327"/>
    </row>
    <row r="81" spans="4:9" x14ac:dyDescent="0.25">
      <c r="D81" s="327"/>
      <c r="I81" s="57"/>
    </row>
    <row r="82" spans="4:9" x14ac:dyDescent="0.25">
      <c r="D82" s="327"/>
    </row>
    <row r="83" spans="4:9" x14ac:dyDescent="0.25">
      <c r="D83" s="327"/>
    </row>
  </sheetData>
  <mergeCells count="15">
    <mergeCell ref="A8:H8"/>
    <mergeCell ref="A9:H9"/>
    <mergeCell ref="A64:H64"/>
    <mergeCell ref="A65:H65"/>
    <mergeCell ref="A2:H3"/>
    <mergeCell ref="A5:I5"/>
    <mergeCell ref="A6:A7"/>
    <mergeCell ref="D6:D7"/>
    <mergeCell ref="E6:E7"/>
    <mergeCell ref="F6:F7"/>
    <mergeCell ref="G6:G7"/>
    <mergeCell ref="H6:H7"/>
    <mergeCell ref="I6:I7"/>
    <mergeCell ref="B6:B7"/>
    <mergeCell ref="C6:C7"/>
  </mergeCells>
  <phoneticPr fontId="80" type="noConversion"/>
  <pageMargins left="0.70866141732283472" right="0.70866141732283472" top="0.74803149606299213" bottom="0.74803149606299213" header="0.31496062992125984" footer="0.31496062992125984"/>
  <pageSetup paperSize="9" scale="6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2D231-EEC6-407C-BD52-76358E57E200}">
  <sheetPr>
    <tabColor rgb="FFFFFF00"/>
  </sheetPr>
  <dimension ref="A1:N51"/>
  <sheetViews>
    <sheetView view="pageBreakPreview" zoomScale="60" zoomScaleNormal="115" workbookViewId="0">
      <selection activeCell="I11" sqref="I11"/>
    </sheetView>
  </sheetViews>
  <sheetFormatPr defaultColWidth="9.140625" defaultRowHeight="15" x14ac:dyDescent="0.25"/>
  <cols>
    <col min="1" max="1" width="40.140625" customWidth="1"/>
    <col min="2" max="2" width="16" customWidth="1"/>
    <col min="3" max="3" width="14" customWidth="1"/>
    <col min="4" max="4" width="10.42578125" customWidth="1"/>
    <col min="8" max="8" width="9.85546875" bestFit="1" customWidth="1"/>
    <col min="9" max="9" width="13.140625" customWidth="1"/>
    <col min="10" max="10" width="14" bestFit="1" customWidth="1"/>
    <col min="11" max="11" width="18.28515625" style="12" customWidth="1"/>
    <col min="12" max="12" width="20" style="12" customWidth="1"/>
    <col min="13" max="13" width="14" style="12" bestFit="1" customWidth="1"/>
    <col min="14" max="14" width="34" style="12" customWidth="1"/>
  </cols>
  <sheetData>
    <row r="1" spans="1:14" ht="15" customHeight="1" x14ac:dyDescent="0.25">
      <c r="H1" s="927"/>
      <c r="I1" s="927" t="s">
        <v>983</v>
      </c>
    </row>
    <row r="2" spans="1:14" x14ac:dyDescent="0.25">
      <c r="A2" s="1005" t="s">
        <v>318</v>
      </c>
      <c r="B2" s="1005"/>
      <c r="C2" s="1005"/>
      <c r="D2" s="1005"/>
      <c r="E2" s="1005"/>
      <c r="F2" s="1005"/>
      <c r="G2" s="1005"/>
      <c r="H2" s="1005"/>
    </row>
    <row r="3" spans="1:14" x14ac:dyDescent="0.25">
      <c r="A3" s="1005"/>
      <c r="B3" s="1005"/>
      <c r="C3" s="1005"/>
      <c r="D3" s="1005"/>
      <c r="E3" s="1005"/>
      <c r="F3" s="1005"/>
      <c r="G3" s="1005"/>
      <c r="H3" s="1005"/>
    </row>
    <row r="4" spans="1:14" ht="15.75" thickBot="1" x14ac:dyDescent="0.3">
      <c r="I4" s="201" t="s">
        <v>225</v>
      </c>
    </row>
    <row r="5" spans="1:14" ht="15.75" x14ac:dyDescent="0.25">
      <c r="A5" s="1088" t="s">
        <v>0</v>
      </c>
      <c r="B5" s="1089"/>
      <c r="C5" s="1089"/>
      <c r="D5" s="1089"/>
      <c r="E5" s="1089"/>
      <c r="F5" s="1089"/>
      <c r="G5" s="1089"/>
      <c r="H5" s="1089"/>
      <c r="I5" s="1103"/>
    </row>
    <row r="6" spans="1:14" x14ac:dyDescent="0.25">
      <c r="A6" s="1093" t="s">
        <v>55</v>
      </c>
      <c r="B6" s="1098" t="s">
        <v>461</v>
      </c>
      <c r="C6" s="1098" t="s">
        <v>462</v>
      </c>
      <c r="D6" s="1095" t="s">
        <v>56</v>
      </c>
      <c r="E6" s="1097" t="s">
        <v>57</v>
      </c>
      <c r="F6" s="1097" t="s">
        <v>58</v>
      </c>
      <c r="G6" s="1097" t="s">
        <v>145</v>
      </c>
      <c r="H6" s="1099" t="s">
        <v>59</v>
      </c>
      <c r="I6" s="1102" t="s">
        <v>846</v>
      </c>
    </row>
    <row r="7" spans="1:14" ht="68.25" customHeight="1" thickBot="1" x14ac:dyDescent="0.3">
      <c r="A7" s="1094"/>
      <c r="B7" s="1101"/>
      <c r="C7" s="1101"/>
      <c r="D7" s="1096"/>
      <c r="E7" s="1098"/>
      <c r="F7" s="1098"/>
      <c r="G7" s="1098"/>
      <c r="H7" s="1100"/>
      <c r="I7" s="1044"/>
      <c r="K7" s="931" t="s">
        <v>678</v>
      </c>
      <c r="L7" s="931" t="s">
        <v>462</v>
      </c>
      <c r="M7" s="931" t="s">
        <v>679</v>
      </c>
      <c r="N7" s="931" t="s">
        <v>680</v>
      </c>
    </row>
    <row r="8" spans="1:14" ht="15.75" thickBot="1" x14ac:dyDescent="0.3">
      <c r="A8" s="999" t="s">
        <v>183</v>
      </c>
      <c r="B8" s="1000"/>
      <c r="C8" s="1000"/>
      <c r="D8" s="1000"/>
      <c r="E8" s="1000"/>
      <c r="F8" s="1000"/>
      <c r="G8" s="1000"/>
      <c r="H8" s="1000"/>
      <c r="I8" s="250"/>
      <c r="K8" s="362"/>
      <c r="L8" s="362"/>
      <c r="M8" s="362"/>
      <c r="N8" s="362"/>
    </row>
    <row r="9" spans="1:14" x14ac:dyDescent="0.25">
      <c r="A9" s="1090" t="s">
        <v>191</v>
      </c>
      <c r="B9" s="1091"/>
      <c r="C9" s="1091"/>
      <c r="D9" s="1091"/>
      <c r="E9" s="1091"/>
      <c r="F9" s="1091"/>
      <c r="G9" s="1091"/>
      <c r="H9" s="1091"/>
      <c r="I9" s="129"/>
      <c r="K9" s="362"/>
      <c r="L9" s="362"/>
      <c r="M9" s="362"/>
      <c r="N9" s="362"/>
    </row>
    <row r="10" spans="1:14" x14ac:dyDescent="0.25">
      <c r="A10" s="26" t="s">
        <v>60</v>
      </c>
      <c r="B10" s="516"/>
      <c r="C10" s="516"/>
      <c r="D10" s="27"/>
      <c r="E10" s="28"/>
      <c r="F10" s="28"/>
      <c r="G10" s="28"/>
      <c r="H10" s="243"/>
      <c r="I10" s="929">
        <f>I11</f>
        <v>191079.02</v>
      </c>
      <c r="K10" s="362"/>
      <c r="L10" s="362"/>
      <c r="M10" s="362"/>
      <c r="N10" s="362"/>
    </row>
    <row r="11" spans="1:14" x14ac:dyDescent="0.25">
      <c r="A11" s="21" t="s">
        <v>103</v>
      </c>
      <c r="B11" s="517"/>
      <c r="C11" s="517"/>
      <c r="D11" s="19"/>
      <c r="E11" s="20"/>
      <c r="F11" s="20"/>
      <c r="G11" s="20"/>
      <c r="H11" s="244"/>
      <c r="I11" s="930">
        <f>SUM(I12:I41)</f>
        <v>191079.02</v>
      </c>
      <c r="K11" s="362"/>
      <c r="L11" s="362"/>
      <c r="M11" s="362"/>
      <c r="N11" s="362"/>
    </row>
    <row r="12" spans="1:14" ht="77.25" x14ac:dyDescent="0.25">
      <c r="A12" s="807" t="s">
        <v>320</v>
      </c>
      <c r="B12" s="811">
        <v>121302</v>
      </c>
      <c r="C12" s="812" t="s">
        <v>656</v>
      </c>
      <c r="D12" s="808">
        <v>1</v>
      </c>
      <c r="E12" s="801">
        <v>3344</v>
      </c>
      <c r="F12" s="802">
        <v>133.76</v>
      </c>
      <c r="G12" s="802">
        <v>300.95999999999998</v>
      </c>
      <c r="H12" s="803">
        <f>E12+F12+G12</f>
        <v>3778.7200000000003</v>
      </c>
      <c r="I12" s="120">
        <f>ROUND((E12+F12+G12)*(kopsavilkums!$O$8)*D12*12*(1+kopsavilkums!$O$23),2)</f>
        <v>5940.39</v>
      </c>
      <c r="J12" s="57"/>
      <c r="K12" s="362" t="s">
        <v>751</v>
      </c>
      <c r="L12" s="362" t="s">
        <v>656</v>
      </c>
      <c r="M12" s="362" t="s">
        <v>698</v>
      </c>
      <c r="N12" s="607" t="s">
        <v>754</v>
      </c>
    </row>
    <row r="13" spans="1:14" ht="77.25" x14ac:dyDescent="0.25">
      <c r="A13" s="807" t="s">
        <v>321</v>
      </c>
      <c r="B13" s="813">
        <v>121305</v>
      </c>
      <c r="C13" s="812" t="s">
        <v>656</v>
      </c>
      <c r="D13" s="808">
        <v>1</v>
      </c>
      <c r="E13" s="801">
        <v>2903</v>
      </c>
      <c r="F13" s="802">
        <v>232.24</v>
      </c>
      <c r="G13" s="802">
        <v>319.33</v>
      </c>
      <c r="H13" s="803">
        <f t="shared" ref="H13:H41" si="0">E13+F13+G13</f>
        <v>3454.5699999999997</v>
      </c>
      <c r="I13" s="120">
        <f>ROUND((E13+F13+G13)*(kopsavilkums!$O$8)*D13*12*(1+kopsavilkums!$O$23),2)</f>
        <v>5430.81</v>
      </c>
      <c r="J13" s="57"/>
      <c r="K13" s="362" t="s">
        <v>752</v>
      </c>
      <c r="L13" s="362" t="s">
        <v>656</v>
      </c>
      <c r="M13" s="362" t="s">
        <v>698</v>
      </c>
      <c r="N13" s="607" t="s">
        <v>755</v>
      </c>
    </row>
    <row r="14" spans="1:14" ht="77.25" x14ac:dyDescent="0.25">
      <c r="A14" s="807" t="s">
        <v>322</v>
      </c>
      <c r="B14" s="813">
        <v>121305</v>
      </c>
      <c r="C14" s="812" t="s">
        <v>656</v>
      </c>
      <c r="D14" s="808">
        <v>1</v>
      </c>
      <c r="E14" s="801">
        <v>2758</v>
      </c>
      <c r="F14" s="802">
        <v>110.32</v>
      </c>
      <c r="G14" s="802">
        <v>303.38</v>
      </c>
      <c r="H14" s="803">
        <f t="shared" si="0"/>
        <v>3171.7000000000003</v>
      </c>
      <c r="I14" s="120">
        <f>ROUND((E14+F14+G14)*(kopsavilkums!$O$8)*D14*12*(1+kopsavilkums!$O$23),2)</f>
        <v>4986.12</v>
      </c>
      <c r="J14" s="57"/>
      <c r="K14" s="362" t="s">
        <v>752</v>
      </c>
      <c r="L14" s="362" t="s">
        <v>656</v>
      </c>
      <c r="M14" s="362" t="s">
        <v>698</v>
      </c>
      <c r="N14" s="607" t="s">
        <v>755</v>
      </c>
    </row>
    <row r="15" spans="1:14" ht="25.5" x14ac:dyDescent="0.25">
      <c r="A15" s="807" t="s">
        <v>323</v>
      </c>
      <c r="B15" s="813">
        <v>221239</v>
      </c>
      <c r="C15" s="812" t="s">
        <v>656</v>
      </c>
      <c r="D15" s="808">
        <v>1</v>
      </c>
      <c r="E15" s="801">
        <v>2614</v>
      </c>
      <c r="F15" s="802">
        <v>104.56</v>
      </c>
      <c r="G15" s="802">
        <v>392.1</v>
      </c>
      <c r="H15" s="803">
        <f t="shared" si="0"/>
        <v>3110.66</v>
      </c>
      <c r="I15" s="120">
        <f>ROUND((E15+F15+G15)*(kopsavilkums!$O$8)*D15*12*(1+kopsavilkums!$O$23),2)</f>
        <v>4890.16</v>
      </c>
      <c r="J15" s="57"/>
      <c r="K15" s="362" t="s">
        <v>753</v>
      </c>
      <c r="L15" s="362" t="s">
        <v>656</v>
      </c>
      <c r="M15" s="362" t="s">
        <v>698</v>
      </c>
      <c r="N15" s="362"/>
    </row>
    <row r="16" spans="1:14" ht="25.5" x14ac:dyDescent="0.25">
      <c r="A16" s="807" t="s">
        <v>323</v>
      </c>
      <c r="B16" s="813">
        <v>221239</v>
      </c>
      <c r="C16" s="812" t="s">
        <v>656</v>
      </c>
      <c r="D16" s="808">
        <v>1</v>
      </c>
      <c r="E16" s="801">
        <v>2614</v>
      </c>
      <c r="F16" s="802">
        <v>52.28</v>
      </c>
      <c r="G16" s="802">
        <v>235.26</v>
      </c>
      <c r="H16" s="803">
        <f t="shared" si="0"/>
        <v>2901.54</v>
      </c>
      <c r="I16" s="120">
        <f>ROUND((E16+F16+G16)*(kopsavilkums!$O$8)*D16*12*(1+kopsavilkums!$O$23),2)</f>
        <v>4561.41</v>
      </c>
      <c r="J16" s="57"/>
      <c r="K16" s="362" t="s">
        <v>753</v>
      </c>
      <c r="L16" s="362" t="s">
        <v>656</v>
      </c>
      <c r="M16" s="362" t="s">
        <v>698</v>
      </c>
      <c r="N16" s="362"/>
    </row>
    <row r="17" spans="1:14" ht="25.5" x14ac:dyDescent="0.25">
      <c r="A17" s="807" t="s">
        <v>323</v>
      </c>
      <c r="B17" s="813">
        <v>221239</v>
      </c>
      <c r="C17" s="812" t="s">
        <v>656</v>
      </c>
      <c r="D17" s="808">
        <v>1</v>
      </c>
      <c r="E17" s="801">
        <v>2325</v>
      </c>
      <c r="F17" s="802">
        <v>116.25</v>
      </c>
      <c r="G17" s="802">
        <v>302.25</v>
      </c>
      <c r="H17" s="803">
        <f t="shared" si="0"/>
        <v>2743.5</v>
      </c>
      <c r="I17" s="120">
        <f>ROUND((E17+F17+G17)*(kopsavilkums!$O$8)*D17*12*(1+kopsavilkums!$O$23),2)</f>
        <v>4312.96</v>
      </c>
      <c r="J17" s="57"/>
      <c r="K17" s="362" t="s">
        <v>753</v>
      </c>
      <c r="L17" s="362" t="s">
        <v>656</v>
      </c>
      <c r="M17" s="362" t="s">
        <v>698</v>
      </c>
      <c r="N17" s="362"/>
    </row>
    <row r="18" spans="1:14" ht="25.5" x14ac:dyDescent="0.25">
      <c r="A18" s="807" t="s">
        <v>323</v>
      </c>
      <c r="B18" s="813">
        <v>221239</v>
      </c>
      <c r="C18" s="812" t="s">
        <v>656</v>
      </c>
      <c r="D18" s="808">
        <v>2</v>
      </c>
      <c r="E18" s="801">
        <v>2325</v>
      </c>
      <c r="F18" s="802">
        <v>93</v>
      </c>
      <c r="G18" s="802">
        <v>302.25</v>
      </c>
      <c r="H18" s="803">
        <f t="shared" si="0"/>
        <v>2720.25</v>
      </c>
      <c r="I18" s="120">
        <f>ROUND((E18+F18+G18)*(kopsavilkums!$O$8)*D18*12*(1+kopsavilkums!$O$23),2)</f>
        <v>8552.82</v>
      </c>
      <c r="J18" s="57"/>
      <c r="K18" s="362" t="s">
        <v>753</v>
      </c>
      <c r="L18" s="362" t="s">
        <v>656</v>
      </c>
      <c r="M18" s="362" t="s">
        <v>698</v>
      </c>
      <c r="N18" s="362"/>
    </row>
    <row r="19" spans="1:14" ht="25.5" x14ac:dyDescent="0.25">
      <c r="A19" s="807" t="s">
        <v>323</v>
      </c>
      <c r="B19" s="813">
        <v>221239</v>
      </c>
      <c r="C19" s="812" t="s">
        <v>656</v>
      </c>
      <c r="D19" s="808">
        <v>2</v>
      </c>
      <c r="E19" s="801">
        <v>2325</v>
      </c>
      <c r="F19" s="802">
        <v>69.75</v>
      </c>
      <c r="G19" s="802">
        <v>302.25</v>
      </c>
      <c r="H19" s="803">
        <f t="shared" si="0"/>
        <v>2697</v>
      </c>
      <c r="I19" s="120">
        <f>ROUND((E19+F19+G19)*(kopsavilkums!$O$8)*D19*12*(1+kopsavilkums!$O$23),2)</f>
        <v>8479.7199999999993</v>
      </c>
      <c r="J19" s="57"/>
      <c r="K19" s="362" t="s">
        <v>753</v>
      </c>
      <c r="L19" s="362" t="s">
        <v>656</v>
      </c>
      <c r="M19" s="362" t="s">
        <v>698</v>
      </c>
      <c r="N19" s="362"/>
    </row>
    <row r="20" spans="1:14" ht="25.5" x14ac:dyDescent="0.25">
      <c r="A20" s="807" t="s">
        <v>323</v>
      </c>
      <c r="B20" s="813">
        <v>221239</v>
      </c>
      <c r="C20" s="812" t="s">
        <v>656</v>
      </c>
      <c r="D20" s="808">
        <v>1</v>
      </c>
      <c r="E20" s="801">
        <v>2325</v>
      </c>
      <c r="F20" s="802">
        <v>23.25</v>
      </c>
      <c r="G20" s="802">
        <v>302.25</v>
      </c>
      <c r="H20" s="803">
        <f t="shared" si="0"/>
        <v>2650.5</v>
      </c>
      <c r="I20" s="120">
        <f>ROUND((E20+F20+G20)*(kopsavilkums!$O$8)*D20*12*(1+kopsavilkums!$O$23),2)</f>
        <v>4166.76</v>
      </c>
      <c r="J20" s="57"/>
      <c r="K20" s="362" t="s">
        <v>753</v>
      </c>
      <c r="L20" s="362" t="s">
        <v>656</v>
      </c>
      <c r="M20" s="362" t="s">
        <v>698</v>
      </c>
      <c r="N20" s="362"/>
    </row>
    <row r="21" spans="1:14" ht="25.5" x14ac:dyDescent="0.25">
      <c r="A21" s="807" t="s">
        <v>323</v>
      </c>
      <c r="B21" s="813">
        <v>221239</v>
      </c>
      <c r="C21" s="812" t="s">
        <v>656</v>
      </c>
      <c r="D21" s="808">
        <v>1</v>
      </c>
      <c r="E21" s="801">
        <v>2036</v>
      </c>
      <c r="F21" s="802">
        <v>81.44</v>
      </c>
      <c r="G21" s="802">
        <v>264.68</v>
      </c>
      <c r="H21" s="803">
        <f t="shared" si="0"/>
        <v>2382.12</v>
      </c>
      <c r="I21" s="120">
        <f>ROUND((E21+F21+G21)*(kopsavilkums!$O$8)*D21*12*(1+kopsavilkums!$O$23),2)</f>
        <v>3744.85</v>
      </c>
      <c r="J21" s="57"/>
      <c r="K21" s="362" t="s">
        <v>753</v>
      </c>
      <c r="L21" s="362" t="s">
        <v>656</v>
      </c>
      <c r="M21" s="362" t="s">
        <v>698</v>
      </c>
      <c r="N21" s="362"/>
    </row>
    <row r="22" spans="1:14" ht="25.5" x14ac:dyDescent="0.25">
      <c r="A22" s="807" t="s">
        <v>185</v>
      </c>
      <c r="B22" s="813">
        <v>221239</v>
      </c>
      <c r="C22" s="812" t="s">
        <v>656</v>
      </c>
      <c r="D22" s="808">
        <v>1</v>
      </c>
      <c r="E22" s="801">
        <v>2325</v>
      </c>
      <c r="F22" s="802">
        <v>116.25</v>
      </c>
      <c r="G22" s="802">
        <v>255.75</v>
      </c>
      <c r="H22" s="803">
        <f t="shared" si="0"/>
        <v>2697</v>
      </c>
      <c r="I22" s="120">
        <f>ROUND((E22+F22+G22)*(kopsavilkums!$O$8)*D22*12*(1+kopsavilkums!$O$23),2)</f>
        <v>4239.8599999999997</v>
      </c>
      <c r="J22" s="57"/>
      <c r="K22" s="362" t="s">
        <v>753</v>
      </c>
      <c r="L22" s="362" t="s">
        <v>656</v>
      </c>
      <c r="M22" s="362" t="s">
        <v>698</v>
      </c>
      <c r="N22" s="362"/>
    </row>
    <row r="23" spans="1:14" ht="25.5" x14ac:dyDescent="0.25">
      <c r="A23" s="807" t="s">
        <v>185</v>
      </c>
      <c r="B23" s="813">
        <v>221239</v>
      </c>
      <c r="C23" s="812" t="s">
        <v>656</v>
      </c>
      <c r="D23" s="808">
        <v>1</v>
      </c>
      <c r="E23" s="801">
        <v>2325</v>
      </c>
      <c r="F23" s="802">
        <v>116.25</v>
      </c>
      <c r="G23" s="802">
        <v>302.25</v>
      </c>
      <c r="H23" s="803">
        <f t="shared" si="0"/>
        <v>2743.5</v>
      </c>
      <c r="I23" s="120">
        <f>ROUND((E23+F23+G23)*(kopsavilkums!$O$8)*D23*12*(1+kopsavilkums!$O$23),2)</f>
        <v>4312.96</v>
      </c>
      <c r="J23" s="57"/>
      <c r="K23" s="362" t="s">
        <v>753</v>
      </c>
      <c r="L23" s="362" t="s">
        <v>656</v>
      </c>
      <c r="M23" s="362" t="s">
        <v>698</v>
      </c>
      <c r="N23" s="362"/>
    </row>
    <row r="24" spans="1:14" ht="25.5" x14ac:dyDescent="0.25">
      <c r="A24" s="807" t="s">
        <v>185</v>
      </c>
      <c r="B24" s="813">
        <v>221239</v>
      </c>
      <c r="C24" s="812" t="s">
        <v>656</v>
      </c>
      <c r="D24" s="808">
        <v>1</v>
      </c>
      <c r="E24" s="801">
        <v>2325</v>
      </c>
      <c r="F24" s="802">
        <v>69.75</v>
      </c>
      <c r="G24" s="802">
        <v>302.25</v>
      </c>
      <c r="H24" s="803">
        <f t="shared" si="0"/>
        <v>2697</v>
      </c>
      <c r="I24" s="120">
        <f>ROUND((E24+F24+G24)*(kopsavilkums!$O$8)*D24*12*(1+kopsavilkums!$O$23),2)</f>
        <v>4239.8599999999997</v>
      </c>
      <c r="J24" s="57"/>
      <c r="K24" s="362" t="s">
        <v>753</v>
      </c>
      <c r="L24" s="362" t="s">
        <v>656</v>
      </c>
      <c r="M24" s="362" t="s">
        <v>698</v>
      </c>
      <c r="N24" s="362"/>
    </row>
    <row r="25" spans="1:14" ht="25.5" x14ac:dyDescent="0.25">
      <c r="A25" s="807" t="s">
        <v>748</v>
      </c>
      <c r="B25" s="813">
        <v>221239</v>
      </c>
      <c r="C25" s="812" t="s">
        <v>656</v>
      </c>
      <c r="D25" s="808">
        <v>1</v>
      </c>
      <c r="E25" s="801">
        <v>2325</v>
      </c>
      <c r="F25" s="802">
        <v>93</v>
      </c>
      <c r="G25" s="802">
        <v>302.25</v>
      </c>
      <c r="H25" s="803">
        <f t="shared" si="0"/>
        <v>2720.25</v>
      </c>
      <c r="I25" s="120">
        <f>ROUND((E25+F25+G25)*(kopsavilkums!$O$8)*D25*12*(1+kopsavilkums!$O$23),2)</f>
        <v>4276.41</v>
      </c>
      <c r="J25" s="57"/>
      <c r="K25" s="362" t="s">
        <v>753</v>
      </c>
      <c r="L25" s="362" t="s">
        <v>656</v>
      </c>
      <c r="M25" s="362" t="s">
        <v>698</v>
      </c>
      <c r="N25" s="362"/>
    </row>
    <row r="26" spans="1:14" ht="25.5" x14ac:dyDescent="0.25">
      <c r="A26" s="807" t="s">
        <v>337</v>
      </c>
      <c r="B26" s="813">
        <v>221239</v>
      </c>
      <c r="C26" s="812" t="s">
        <v>656</v>
      </c>
      <c r="D26" s="808">
        <v>1</v>
      </c>
      <c r="E26" s="801">
        <v>2180</v>
      </c>
      <c r="F26" s="802">
        <v>87.2</v>
      </c>
      <c r="G26" s="802">
        <v>327</v>
      </c>
      <c r="H26" s="803">
        <f t="shared" si="0"/>
        <v>2594.1999999999998</v>
      </c>
      <c r="I26" s="120">
        <f>ROUND((E26+F26+G26)*(kopsavilkums!$O$8)*D26*12*(1+kopsavilkums!$O$23),2)</f>
        <v>4078.25</v>
      </c>
      <c r="J26" s="57"/>
      <c r="K26" s="362" t="s">
        <v>753</v>
      </c>
      <c r="L26" s="362" t="s">
        <v>656</v>
      </c>
      <c r="M26" s="362" t="s">
        <v>698</v>
      </c>
      <c r="N26" s="362"/>
    </row>
    <row r="27" spans="1:14" x14ac:dyDescent="0.25">
      <c r="A27" s="807" t="s">
        <v>186</v>
      </c>
      <c r="B27" s="813">
        <v>221239</v>
      </c>
      <c r="C27" s="812" t="s">
        <v>656</v>
      </c>
      <c r="D27" s="808">
        <v>2</v>
      </c>
      <c r="E27" s="801">
        <v>2036</v>
      </c>
      <c r="F27" s="802">
        <v>81.44</v>
      </c>
      <c r="G27" s="802">
        <v>305.39999999999998</v>
      </c>
      <c r="H27" s="803">
        <f t="shared" si="0"/>
        <v>2422.84</v>
      </c>
      <c r="I27" s="120">
        <f>ROUND((E27+F27+G27)*(kopsavilkums!$O$8)*D27*12*(1+kopsavilkums!$O$23),2)</f>
        <v>7617.72</v>
      </c>
      <c r="J27" s="57"/>
      <c r="K27" s="362" t="s">
        <v>753</v>
      </c>
      <c r="L27" s="362" t="s">
        <v>656</v>
      </c>
      <c r="M27" s="362" t="s">
        <v>698</v>
      </c>
      <c r="N27" s="362"/>
    </row>
    <row r="28" spans="1:14" x14ac:dyDescent="0.25">
      <c r="A28" s="807" t="s">
        <v>186</v>
      </c>
      <c r="B28" s="813">
        <v>221239</v>
      </c>
      <c r="C28" s="812" t="s">
        <v>656</v>
      </c>
      <c r="D28" s="808">
        <v>1</v>
      </c>
      <c r="E28" s="801">
        <v>2036</v>
      </c>
      <c r="F28" s="802">
        <v>162.88</v>
      </c>
      <c r="G28" s="802">
        <v>305.39999999999998</v>
      </c>
      <c r="H28" s="803">
        <f t="shared" si="0"/>
        <v>2504.2800000000002</v>
      </c>
      <c r="I28" s="120">
        <f>ROUND((E28+F28+G28)*(kopsavilkums!$O$8)*D28*12*(1+kopsavilkums!$O$23),2)</f>
        <v>3936.89</v>
      </c>
      <c r="J28" s="57"/>
      <c r="K28" s="362" t="s">
        <v>753</v>
      </c>
      <c r="L28" s="362" t="s">
        <v>656</v>
      </c>
      <c r="M28" s="362" t="s">
        <v>698</v>
      </c>
      <c r="N28" s="362"/>
    </row>
    <row r="29" spans="1:14" x14ac:dyDescent="0.25">
      <c r="A29" s="807" t="s">
        <v>186</v>
      </c>
      <c r="B29" s="813">
        <v>221239</v>
      </c>
      <c r="C29" s="812" t="s">
        <v>656</v>
      </c>
      <c r="D29" s="808">
        <v>3</v>
      </c>
      <c r="E29" s="801">
        <v>2036</v>
      </c>
      <c r="F29" s="802">
        <v>81.44</v>
      </c>
      <c r="G29" s="802">
        <v>264.68</v>
      </c>
      <c r="H29" s="803">
        <f t="shared" si="0"/>
        <v>2382.12</v>
      </c>
      <c r="I29" s="120">
        <f>ROUND((E29+F29+G29)*(kopsavilkums!$O$8)*D29*12*(1+kopsavilkums!$O$23),2)</f>
        <v>11234.54</v>
      </c>
      <c r="J29" s="57"/>
      <c r="K29" s="362" t="s">
        <v>753</v>
      </c>
      <c r="L29" s="362" t="s">
        <v>656</v>
      </c>
      <c r="M29" s="362" t="s">
        <v>698</v>
      </c>
      <c r="N29" s="362"/>
    </row>
    <row r="30" spans="1:14" x14ac:dyDescent="0.25">
      <c r="A30" s="807" t="s">
        <v>186</v>
      </c>
      <c r="B30" s="813">
        <v>221239</v>
      </c>
      <c r="C30" s="812" t="s">
        <v>656</v>
      </c>
      <c r="D30" s="808">
        <v>3.5</v>
      </c>
      <c r="E30" s="801">
        <v>2036</v>
      </c>
      <c r="F30" s="802">
        <v>61.08</v>
      </c>
      <c r="G30" s="802">
        <v>264.68</v>
      </c>
      <c r="H30" s="803">
        <f t="shared" si="0"/>
        <v>2361.7599999999998</v>
      </c>
      <c r="I30" s="120">
        <f>ROUND((E30+F30+G30)*(kopsavilkums!$O$8)*D30*12*(1+kopsavilkums!$O$23),2)</f>
        <v>12994.94</v>
      </c>
      <c r="J30" s="57"/>
      <c r="K30" s="362" t="s">
        <v>753</v>
      </c>
      <c r="L30" s="362" t="s">
        <v>656</v>
      </c>
      <c r="M30" s="362" t="s">
        <v>698</v>
      </c>
      <c r="N30" s="362"/>
    </row>
    <row r="31" spans="1:14" x14ac:dyDescent="0.25">
      <c r="A31" s="807" t="s">
        <v>186</v>
      </c>
      <c r="B31" s="813">
        <v>221239</v>
      </c>
      <c r="C31" s="812" t="s">
        <v>656</v>
      </c>
      <c r="D31" s="808">
        <v>1</v>
      </c>
      <c r="E31" s="801">
        <v>2036</v>
      </c>
      <c r="F31" s="802">
        <v>162.88</v>
      </c>
      <c r="G31" s="802">
        <v>264.68</v>
      </c>
      <c r="H31" s="803">
        <f t="shared" si="0"/>
        <v>2463.56</v>
      </c>
      <c r="I31" s="120">
        <f>ROUND((E31+F31+G31)*(kopsavilkums!$O$8)*D31*12*(1+kopsavilkums!$O$23),2)</f>
        <v>3872.88</v>
      </c>
      <c r="J31" s="57"/>
      <c r="K31" s="362" t="s">
        <v>753</v>
      </c>
      <c r="L31" s="362" t="s">
        <v>656</v>
      </c>
      <c r="M31" s="362" t="s">
        <v>698</v>
      </c>
      <c r="N31" s="362"/>
    </row>
    <row r="32" spans="1:14" x14ac:dyDescent="0.25">
      <c r="A32" s="807" t="s">
        <v>186</v>
      </c>
      <c r="B32" s="813">
        <v>221239</v>
      </c>
      <c r="C32" s="812" t="s">
        <v>656</v>
      </c>
      <c r="D32" s="808">
        <v>2</v>
      </c>
      <c r="E32" s="801">
        <v>2036</v>
      </c>
      <c r="F32" s="802">
        <v>40.72</v>
      </c>
      <c r="G32" s="802">
        <v>223.96</v>
      </c>
      <c r="H32" s="803">
        <f t="shared" si="0"/>
        <v>2300.6799999999998</v>
      </c>
      <c r="I32" s="120">
        <f>ROUND((E32+F32+G32)*(kopsavilkums!$O$8)*D32*12*(1+kopsavilkums!$O$23),2)</f>
        <v>7233.64</v>
      </c>
      <c r="J32" s="57"/>
      <c r="K32" s="362" t="s">
        <v>753</v>
      </c>
      <c r="L32" s="362" t="s">
        <v>656</v>
      </c>
      <c r="M32" s="362" t="s">
        <v>698</v>
      </c>
      <c r="N32" s="362"/>
    </row>
    <row r="33" spans="1:14" x14ac:dyDescent="0.25">
      <c r="A33" s="807" t="s">
        <v>186</v>
      </c>
      <c r="B33" s="813">
        <v>221239</v>
      </c>
      <c r="C33" s="812" t="s">
        <v>656</v>
      </c>
      <c r="D33" s="808">
        <v>2</v>
      </c>
      <c r="E33" s="801">
        <v>2036</v>
      </c>
      <c r="F33" s="802">
        <v>81.44</v>
      </c>
      <c r="G33" s="802">
        <v>183.24</v>
      </c>
      <c r="H33" s="803">
        <f t="shared" si="0"/>
        <v>2300.6800000000003</v>
      </c>
      <c r="I33" s="120">
        <f>ROUND((E33+F33+G33)*(kopsavilkums!$O$8)*D33*12*(1+kopsavilkums!$O$23),2)</f>
        <v>7233.64</v>
      </c>
      <c r="J33" s="57"/>
      <c r="K33" s="362" t="s">
        <v>753</v>
      </c>
      <c r="L33" s="362" t="s">
        <v>656</v>
      </c>
      <c r="M33" s="362" t="s">
        <v>698</v>
      </c>
      <c r="N33" s="362"/>
    </row>
    <row r="34" spans="1:14" x14ac:dyDescent="0.25">
      <c r="A34" s="807" t="s">
        <v>186</v>
      </c>
      <c r="B34" s="813">
        <v>221239</v>
      </c>
      <c r="C34" s="812" t="s">
        <v>656</v>
      </c>
      <c r="D34" s="808">
        <v>4</v>
      </c>
      <c r="E34" s="801">
        <v>2036</v>
      </c>
      <c r="F34" s="802">
        <v>0</v>
      </c>
      <c r="G34" s="802">
        <v>183.24</v>
      </c>
      <c r="H34" s="803">
        <f t="shared" si="0"/>
        <v>2219.2399999999998</v>
      </c>
      <c r="I34" s="120">
        <f>ROUND((E34+F34+G34)*(kopsavilkums!$O$8)*D34*12*(1+kopsavilkums!$O$23),2)</f>
        <v>13955.16</v>
      </c>
      <c r="J34" s="57"/>
      <c r="K34" s="362" t="s">
        <v>753</v>
      </c>
      <c r="L34" s="362" t="s">
        <v>656</v>
      </c>
      <c r="M34" s="362" t="s">
        <v>698</v>
      </c>
      <c r="N34" s="362"/>
    </row>
    <row r="35" spans="1:14" x14ac:dyDescent="0.25">
      <c r="A35" s="807" t="s">
        <v>749</v>
      </c>
      <c r="B35" s="813">
        <v>221239</v>
      </c>
      <c r="C35" s="812" t="s">
        <v>656</v>
      </c>
      <c r="D35" s="808">
        <v>2</v>
      </c>
      <c r="E35" s="801">
        <v>2036</v>
      </c>
      <c r="F35" s="802">
        <v>61.08</v>
      </c>
      <c r="G35" s="802">
        <v>223.96</v>
      </c>
      <c r="H35" s="803">
        <f t="shared" si="0"/>
        <v>2321.04</v>
      </c>
      <c r="I35" s="120">
        <f>ROUND((E35+F35+G35)*(kopsavilkums!$O$8)*D35*12*(1+kopsavilkums!$O$23),2)</f>
        <v>7297.65</v>
      </c>
      <c r="J35" s="57"/>
      <c r="K35" s="362" t="s">
        <v>753</v>
      </c>
      <c r="L35" s="362" t="s">
        <v>656</v>
      </c>
      <c r="M35" s="362" t="s">
        <v>698</v>
      </c>
      <c r="N35" s="362"/>
    </row>
    <row r="36" spans="1:14" x14ac:dyDescent="0.25">
      <c r="A36" s="807" t="s">
        <v>188</v>
      </c>
      <c r="B36" s="813">
        <v>221239</v>
      </c>
      <c r="C36" s="812" t="s">
        <v>656</v>
      </c>
      <c r="D36" s="808">
        <v>3</v>
      </c>
      <c r="E36" s="801">
        <v>1930</v>
      </c>
      <c r="F36" s="802">
        <v>0</v>
      </c>
      <c r="G36" s="802">
        <v>289.5</v>
      </c>
      <c r="H36" s="803">
        <f t="shared" si="0"/>
        <v>2219.5</v>
      </c>
      <c r="I36" s="120">
        <f>ROUND((E36+F36+G36)*(kopsavilkums!$O$8)*D36*12*(1+kopsavilkums!$O$23),2)</f>
        <v>10467.59</v>
      </c>
      <c r="J36" s="57"/>
      <c r="K36" s="362" t="s">
        <v>753</v>
      </c>
      <c r="L36" s="362" t="s">
        <v>656</v>
      </c>
      <c r="M36" s="362" t="s">
        <v>698</v>
      </c>
      <c r="N36" s="362"/>
    </row>
    <row r="37" spans="1:14" x14ac:dyDescent="0.25">
      <c r="A37" s="807" t="s">
        <v>188</v>
      </c>
      <c r="B37" s="813">
        <v>221239</v>
      </c>
      <c r="C37" s="812" t="s">
        <v>656</v>
      </c>
      <c r="D37" s="808">
        <v>3</v>
      </c>
      <c r="E37" s="801">
        <v>1930</v>
      </c>
      <c r="F37" s="802">
        <v>0</v>
      </c>
      <c r="G37" s="802">
        <v>250.9</v>
      </c>
      <c r="H37" s="803">
        <f t="shared" si="0"/>
        <v>2180.9</v>
      </c>
      <c r="I37" s="120">
        <f>ROUND((E37+F37+G37)*(kopsavilkums!$O$8)*D37*12*(1+kopsavilkums!$O$23),2)</f>
        <v>10285.549999999999</v>
      </c>
      <c r="J37" s="57"/>
      <c r="K37" s="362" t="s">
        <v>753</v>
      </c>
      <c r="L37" s="362" t="s">
        <v>656</v>
      </c>
      <c r="M37" s="362" t="s">
        <v>698</v>
      </c>
      <c r="N37" s="362"/>
    </row>
    <row r="38" spans="1:14" x14ac:dyDescent="0.25">
      <c r="A38" s="807" t="s">
        <v>188</v>
      </c>
      <c r="B38" s="813">
        <v>221239</v>
      </c>
      <c r="C38" s="812" t="s">
        <v>656</v>
      </c>
      <c r="D38" s="808">
        <v>2</v>
      </c>
      <c r="E38" s="801">
        <v>1930</v>
      </c>
      <c r="F38" s="802">
        <v>19.3</v>
      </c>
      <c r="G38" s="802">
        <v>250.9</v>
      </c>
      <c r="H38" s="803">
        <f t="shared" si="0"/>
        <v>2200.1999999999998</v>
      </c>
      <c r="I38" s="120">
        <f>ROUND((E38+F38+G38)*(kopsavilkums!$O$8)*D38*12*(1+kopsavilkums!$O$23),2)</f>
        <v>6917.71</v>
      </c>
      <c r="J38" s="57"/>
      <c r="K38" s="362" t="s">
        <v>753</v>
      </c>
      <c r="L38" s="362" t="s">
        <v>656</v>
      </c>
      <c r="M38" s="362" t="s">
        <v>698</v>
      </c>
      <c r="N38" s="362"/>
    </row>
    <row r="39" spans="1:14" x14ac:dyDescent="0.25">
      <c r="A39" s="807" t="s">
        <v>188</v>
      </c>
      <c r="B39" s="813">
        <v>221239</v>
      </c>
      <c r="C39" s="812" t="s">
        <v>656</v>
      </c>
      <c r="D39" s="808">
        <v>0.5</v>
      </c>
      <c r="E39" s="801">
        <v>1930</v>
      </c>
      <c r="F39" s="802">
        <v>0</v>
      </c>
      <c r="G39" s="802">
        <v>212.3</v>
      </c>
      <c r="H39" s="803">
        <f t="shared" si="0"/>
        <v>2142.3000000000002</v>
      </c>
      <c r="I39" s="120">
        <f>ROUND((E39+F39+G39)*(kopsavilkums!$O$8)*D39*12*(1+kopsavilkums!$O$23),2)</f>
        <v>1683.92</v>
      </c>
      <c r="J39" s="57"/>
      <c r="K39" s="362" t="s">
        <v>753</v>
      </c>
      <c r="L39" s="362" t="s">
        <v>656</v>
      </c>
      <c r="M39" s="362" t="s">
        <v>698</v>
      </c>
      <c r="N39" s="362"/>
    </row>
    <row r="40" spans="1:14" x14ac:dyDescent="0.25">
      <c r="A40" s="807" t="s">
        <v>750</v>
      </c>
      <c r="B40" s="813">
        <v>221239</v>
      </c>
      <c r="C40" s="812" t="s">
        <v>656</v>
      </c>
      <c r="D40" s="808">
        <v>1</v>
      </c>
      <c r="E40" s="801">
        <v>1930</v>
      </c>
      <c r="F40" s="802">
        <v>19.3</v>
      </c>
      <c r="G40" s="802">
        <v>212.3</v>
      </c>
      <c r="H40" s="803">
        <f t="shared" si="0"/>
        <v>2161.6</v>
      </c>
      <c r="I40" s="120">
        <f>ROUND((E40+F40+G40)*(kopsavilkums!$O$8)*D40*12*(1+kopsavilkums!$O$23),2)</f>
        <v>3398.18</v>
      </c>
      <c r="J40" s="57"/>
      <c r="K40" s="362" t="s">
        <v>753</v>
      </c>
      <c r="L40" s="362" t="s">
        <v>656</v>
      </c>
      <c r="M40" s="362" t="s">
        <v>698</v>
      </c>
      <c r="N40" s="362"/>
    </row>
    <row r="41" spans="1:14" ht="15.75" thickBot="1" x14ac:dyDescent="0.3">
      <c r="A41" s="807" t="s">
        <v>750</v>
      </c>
      <c r="B41" s="813">
        <v>221239</v>
      </c>
      <c r="C41" s="812" t="s">
        <v>656</v>
      </c>
      <c r="D41" s="808">
        <v>2</v>
      </c>
      <c r="E41" s="801">
        <v>1930</v>
      </c>
      <c r="F41" s="802">
        <v>0</v>
      </c>
      <c r="G41" s="802">
        <v>212.3</v>
      </c>
      <c r="H41" s="803">
        <f t="shared" si="0"/>
        <v>2142.3000000000002</v>
      </c>
      <c r="I41" s="120">
        <f>ROUND((E41+F41+G41)*(kopsavilkums!$O$8)*D41*12*(1+kopsavilkums!$O$23),2)</f>
        <v>6735.67</v>
      </c>
      <c r="J41" s="57"/>
      <c r="K41" s="362" t="s">
        <v>753</v>
      </c>
      <c r="L41" s="362" t="s">
        <v>656</v>
      </c>
      <c r="M41" s="362" t="s">
        <v>698</v>
      </c>
      <c r="N41" s="362"/>
    </row>
    <row r="42" spans="1:14" ht="15.75" thickBot="1" x14ac:dyDescent="0.3">
      <c r="A42" s="111" t="s">
        <v>32</v>
      </c>
      <c r="B42" s="520"/>
      <c r="C42" s="520"/>
      <c r="D42" s="285">
        <f>SUM(D12:D41)</f>
        <v>49</v>
      </c>
      <c r="E42" s="112" t="s">
        <v>102</v>
      </c>
      <c r="F42" s="112" t="s">
        <v>102</v>
      </c>
      <c r="G42" s="112" t="s">
        <v>102</v>
      </c>
      <c r="H42" s="249"/>
      <c r="I42" s="934">
        <f>+I10</f>
        <v>191079.02</v>
      </c>
    </row>
    <row r="43" spans="1:14" x14ac:dyDescent="0.25">
      <c r="A43" s="15"/>
      <c r="B43" s="15"/>
      <c r="C43" s="15"/>
      <c r="D43" s="16"/>
      <c r="E43" s="15"/>
      <c r="F43" s="15"/>
      <c r="G43" s="15"/>
      <c r="H43" s="17"/>
      <c r="I43" s="15"/>
    </row>
    <row r="44" spans="1:14" ht="15" customHeight="1" x14ac:dyDescent="0.25">
      <c r="A44" s="253"/>
      <c r="B44" s="253"/>
      <c r="C44" s="253"/>
      <c r="D44" s="253"/>
      <c r="E44" s="253"/>
      <c r="F44" s="253"/>
      <c r="G44" s="253"/>
      <c r="H44" s="253"/>
      <c r="I44" s="93">
        <f>I42+'VM padotibas iest MK361'!U232</f>
        <v>316379.2379999999</v>
      </c>
      <c r="J44" s="329"/>
      <c r="K44" s="932"/>
      <c r="M44" s="932"/>
    </row>
    <row r="45" spans="1:14" x14ac:dyDescent="0.25">
      <c r="A45" s="253"/>
      <c r="B45" s="253"/>
      <c r="C45" s="253"/>
      <c r="D45" s="326"/>
      <c r="E45" s="253"/>
      <c r="F45" s="253"/>
      <c r="G45" s="253"/>
      <c r="H45" s="253"/>
      <c r="I45" s="57"/>
      <c r="K45" s="933"/>
      <c r="M45" s="933"/>
    </row>
    <row r="46" spans="1:14" x14ac:dyDescent="0.25">
      <c r="A46" s="253"/>
      <c r="B46" s="253"/>
      <c r="C46" s="253"/>
      <c r="D46" s="326"/>
      <c r="E46" s="253"/>
      <c r="F46" s="253"/>
      <c r="G46" s="253"/>
      <c r="H46" s="253"/>
      <c r="I46" s="57"/>
    </row>
    <row r="47" spans="1:14" x14ac:dyDescent="0.25">
      <c r="D47" s="327"/>
    </row>
    <row r="48" spans="1:14" x14ac:dyDescent="0.25">
      <c r="D48" s="327"/>
    </row>
    <row r="49" spans="4:9" x14ac:dyDescent="0.25">
      <c r="D49" s="327"/>
      <c r="I49" s="57"/>
    </row>
    <row r="50" spans="4:9" x14ac:dyDescent="0.25">
      <c r="D50" s="327"/>
    </row>
    <row r="51" spans="4:9" x14ac:dyDescent="0.25">
      <c r="D51" s="327"/>
    </row>
  </sheetData>
  <mergeCells count="13">
    <mergeCell ref="A8:H8"/>
    <mergeCell ref="A9:H9"/>
    <mergeCell ref="A2:H3"/>
    <mergeCell ref="A5:I5"/>
    <mergeCell ref="A6:A7"/>
    <mergeCell ref="D6:D7"/>
    <mergeCell ref="E6:E7"/>
    <mergeCell ref="F6:F7"/>
    <mergeCell ref="G6:G7"/>
    <mergeCell ref="H6:H7"/>
    <mergeCell ref="I6:I7"/>
    <mergeCell ref="B6:B7"/>
    <mergeCell ref="C6:C7"/>
  </mergeCells>
  <phoneticPr fontId="80" type="noConversion"/>
  <pageMargins left="0.70866141732283472" right="0.70866141732283472" top="0.74803149606299213" bottom="0.74803149606299213" header="0.31496062992125984" footer="0.31496062992125984"/>
  <pageSetup paperSize="9" scale="3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0F328-6917-477D-985A-3FE53B476939}">
  <sheetPr>
    <tabColor rgb="FFFFFF00"/>
  </sheetPr>
  <dimension ref="B1:M449"/>
  <sheetViews>
    <sheetView view="pageBreakPreview" topLeftCell="B1" zoomScale="60" zoomScaleNormal="90" workbookViewId="0">
      <selection activeCell="L10" sqref="L10"/>
    </sheetView>
  </sheetViews>
  <sheetFormatPr defaultRowHeight="15" x14ac:dyDescent="0.25"/>
  <cols>
    <col min="1" max="1" width="9.140625" style="401"/>
    <col min="2" max="2" width="46.7109375" style="401" customWidth="1"/>
    <col min="3" max="3" width="14.85546875" style="401" customWidth="1"/>
    <col min="4" max="4" width="15.28515625" style="401" customWidth="1"/>
    <col min="5" max="5" width="11.28515625" style="401" customWidth="1"/>
    <col min="6" max="6" width="11.5703125" style="401" customWidth="1"/>
    <col min="7" max="7" width="10.5703125" style="401" customWidth="1"/>
    <col min="8" max="8" width="10.28515625" style="401" customWidth="1"/>
    <col min="9" max="9" width="11.85546875" style="454" customWidth="1"/>
    <col min="10" max="10" width="14.42578125" style="401" customWidth="1"/>
    <col min="11" max="11" width="9.140625" style="401"/>
    <col min="12" max="12" width="30.5703125" style="401" customWidth="1"/>
    <col min="13" max="258" width="9.140625" style="401"/>
    <col min="259" max="259" width="31.5703125" style="401" customWidth="1"/>
    <col min="260" max="260" width="11.28515625" style="401" customWidth="1"/>
    <col min="261" max="261" width="11.5703125" style="401" customWidth="1"/>
    <col min="262" max="262" width="10.5703125" style="401" customWidth="1"/>
    <col min="263" max="263" width="10.28515625" style="401" customWidth="1"/>
    <col min="264" max="264" width="11.85546875" style="401" customWidth="1"/>
    <col min="265" max="265" width="14.42578125" style="401" customWidth="1"/>
    <col min="266" max="267" width="9.140625" style="401"/>
    <col min="268" max="268" width="30.5703125" style="401" customWidth="1"/>
    <col min="269" max="514" width="9.140625" style="401"/>
    <col min="515" max="515" width="31.5703125" style="401" customWidth="1"/>
    <col min="516" max="516" width="11.28515625" style="401" customWidth="1"/>
    <col min="517" max="517" width="11.5703125" style="401" customWidth="1"/>
    <col min="518" max="518" width="10.5703125" style="401" customWidth="1"/>
    <col min="519" max="519" width="10.28515625" style="401" customWidth="1"/>
    <col min="520" max="520" width="11.85546875" style="401" customWidth="1"/>
    <col min="521" max="521" width="14.42578125" style="401" customWidth="1"/>
    <col min="522" max="523" width="9.140625" style="401"/>
    <col min="524" max="524" width="30.5703125" style="401" customWidth="1"/>
    <col min="525" max="770" width="9.140625" style="401"/>
    <col min="771" max="771" width="31.5703125" style="401" customWidth="1"/>
    <col min="772" max="772" width="11.28515625" style="401" customWidth="1"/>
    <col min="773" max="773" width="11.5703125" style="401" customWidth="1"/>
    <col min="774" max="774" width="10.5703125" style="401" customWidth="1"/>
    <col min="775" max="775" width="10.28515625" style="401" customWidth="1"/>
    <col min="776" max="776" width="11.85546875" style="401" customWidth="1"/>
    <col min="777" max="777" width="14.42578125" style="401" customWidth="1"/>
    <col min="778" max="779" width="9.140625" style="401"/>
    <col min="780" max="780" width="30.5703125" style="401" customWidth="1"/>
    <col min="781" max="1026" width="9.140625" style="401"/>
    <col min="1027" max="1027" width="31.5703125" style="401" customWidth="1"/>
    <col min="1028" max="1028" width="11.28515625" style="401" customWidth="1"/>
    <col min="1029" max="1029" width="11.5703125" style="401" customWidth="1"/>
    <col min="1030" max="1030" width="10.5703125" style="401" customWidth="1"/>
    <col min="1031" max="1031" width="10.28515625" style="401" customWidth="1"/>
    <col min="1032" max="1032" width="11.85546875" style="401" customWidth="1"/>
    <col min="1033" max="1033" width="14.42578125" style="401" customWidth="1"/>
    <col min="1034" max="1035" width="9.140625" style="401"/>
    <col min="1036" max="1036" width="30.5703125" style="401" customWidth="1"/>
    <col min="1037" max="1282" width="9.140625" style="401"/>
    <col min="1283" max="1283" width="31.5703125" style="401" customWidth="1"/>
    <col min="1284" max="1284" width="11.28515625" style="401" customWidth="1"/>
    <col min="1285" max="1285" width="11.5703125" style="401" customWidth="1"/>
    <col min="1286" max="1286" width="10.5703125" style="401" customWidth="1"/>
    <col min="1287" max="1287" width="10.28515625" style="401" customWidth="1"/>
    <col min="1288" max="1288" width="11.85546875" style="401" customWidth="1"/>
    <col min="1289" max="1289" width="14.42578125" style="401" customWidth="1"/>
    <col min="1290" max="1291" width="9.140625" style="401"/>
    <col min="1292" max="1292" width="30.5703125" style="401" customWidth="1"/>
    <col min="1293" max="1538" width="9.140625" style="401"/>
    <col min="1539" max="1539" width="31.5703125" style="401" customWidth="1"/>
    <col min="1540" max="1540" width="11.28515625" style="401" customWidth="1"/>
    <col min="1541" max="1541" width="11.5703125" style="401" customWidth="1"/>
    <col min="1542" max="1542" width="10.5703125" style="401" customWidth="1"/>
    <col min="1543" max="1543" width="10.28515625" style="401" customWidth="1"/>
    <col min="1544" max="1544" width="11.85546875" style="401" customWidth="1"/>
    <col min="1545" max="1545" width="14.42578125" style="401" customWidth="1"/>
    <col min="1546" max="1547" width="9.140625" style="401"/>
    <col min="1548" max="1548" width="30.5703125" style="401" customWidth="1"/>
    <col min="1549" max="1794" width="9.140625" style="401"/>
    <col min="1795" max="1795" width="31.5703125" style="401" customWidth="1"/>
    <col min="1796" max="1796" width="11.28515625" style="401" customWidth="1"/>
    <col min="1797" max="1797" width="11.5703125" style="401" customWidth="1"/>
    <col min="1798" max="1798" width="10.5703125" style="401" customWidth="1"/>
    <col min="1799" max="1799" width="10.28515625" style="401" customWidth="1"/>
    <col min="1800" max="1800" width="11.85546875" style="401" customWidth="1"/>
    <col min="1801" max="1801" width="14.42578125" style="401" customWidth="1"/>
    <col min="1802" max="1803" width="9.140625" style="401"/>
    <col min="1804" max="1804" width="30.5703125" style="401" customWidth="1"/>
    <col min="1805" max="2050" width="9.140625" style="401"/>
    <col min="2051" max="2051" width="31.5703125" style="401" customWidth="1"/>
    <col min="2052" max="2052" width="11.28515625" style="401" customWidth="1"/>
    <col min="2053" max="2053" width="11.5703125" style="401" customWidth="1"/>
    <col min="2054" max="2054" width="10.5703125" style="401" customWidth="1"/>
    <col min="2055" max="2055" width="10.28515625" style="401" customWidth="1"/>
    <col min="2056" max="2056" width="11.85546875" style="401" customWidth="1"/>
    <col min="2057" max="2057" width="14.42578125" style="401" customWidth="1"/>
    <col min="2058" max="2059" width="9.140625" style="401"/>
    <col min="2060" max="2060" width="30.5703125" style="401" customWidth="1"/>
    <col min="2061" max="2306" width="9.140625" style="401"/>
    <col min="2307" max="2307" width="31.5703125" style="401" customWidth="1"/>
    <col min="2308" max="2308" width="11.28515625" style="401" customWidth="1"/>
    <col min="2309" max="2309" width="11.5703125" style="401" customWidth="1"/>
    <col min="2310" max="2310" width="10.5703125" style="401" customWidth="1"/>
    <col min="2311" max="2311" width="10.28515625" style="401" customWidth="1"/>
    <col min="2312" max="2312" width="11.85546875" style="401" customWidth="1"/>
    <col min="2313" max="2313" width="14.42578125" style="401" customWidth="1"/>
    <col min="2314" max="2315" width="9.140625" style="401"/>
    <col min="2316" max="2316" width="30.5703125" style="401" customWidth="1"/>
    <col min="2317" max="2562" width="9.140625" style="401"/>
    <col min="2563" max="2563" width="31.5703125" style="401" customWidth="1"/>
    <col min="2564" max="2564" width="11.28515625" style="401" customWidth="1"/>
    <col min="2565" max="2565" width="11.5703125" style="401" customWidth="1"/>
    <col min="2566" max="2566" width="10.5703125" style="401" customWidth="1"/>
    <col min="2567" max="2567" width="10.28515625" style="401" customWidth="1"/>
    <col min="2568" max="2568" width="11.85546875" style="401" customWidth="1"/>
    <col min="2569" max="2569" width="14.42578125" style="401" customWidth="1"/>
    <col min="2570" max="2571" width="9.140625" style="401"/>
    <col min="2572" max="2572" width="30.5703125" style="401" customWidth="1"/>
    <col min="2573" max="2818" width="9.140625" style="401"/>
    <col min="2819" max="2819" width="31.5703125" style="401" customWidth="1"/>
    <col min="2820" max="2820" width="11.28515625" style="401" customWidth="1"/>
    <col min="2821" max="2821" width="11.5703125" style="401" customWidth="1"/>
    <col min="2822" max="2822" width="10.5703125" style="401" customWidth="1"/>
    <col min="2823" max="2823" width="10.28515625" style="401" customWidth="1"/>
    <col min="2824" max="2824" width="11.85546875" style="401" customWidth="1"/>
    <col min="2825" max="2825" width="14.42578125" style="401" customWidth="1"/>
    <col min="2826" max="2827" width="9.140625" style="401"/>
    <col min="2828" max="2828" width="30.5703125" style="401" customWidth="1"/>
    <col min="2829" max="3074" width="9.140625" style="401"/>
    <col min="3075" max="3075" width="31.5703125" style="401" customWidth="1"/>
    <col min="3076" max="3076" width="11.28515625" style="401" customWidth="1"/>
    <col min="3077" max="3077" width="11.5703125" style="401" customWidth="1"/>
    <col min="3078" max="3078" width="10.5703125" style="401" customWidth="1"/>
    <col min="3079" max="3079" width="10.28515625" style="401" customWidth="1"/>
    <col min="3080" max="3080" width="11.85546875" style="401" customWidth="1"/>
    <col min="3081" max="3081" width="14.42578125" style="401" customWidth="1"/>
    <col min="3082" max="3083" width="9.140625" style="401"/>
    <col min="3084" max="3084" width="30.5703125" style="401" customWidth="1"/>
    <col min="3085" max="3330" width="9.140625" style="401"/>
    <col min="3331" max="3331" width="31.5703125" style="401" customWidth="1"/>
    <col min="3332" max="3332" width="11.28515625" style="401" customWidth="1"/>
    <col min="3333" max="3333" width="11.5703125" style="401" customWidth="1"/>
    <col min="3334" max="3334" width="10.5703125" style="401" customWidth="1"/>
    <col min="3335" max="3335" width="10.28515625" style="401" customWidth="1"/>
    <col min="3336" max="3336" width="11.85546875" style="401" customWidth="1"/>
    <col min="3337" max="3337" width="14.42578125" style="401" customWidth="1"/>
    <col min="3338" max="3339" width="9.140625" style="401"/>
    <col min="3340" max="3340" width="30.5703125" style="401" customWidth="1"/>
    <col min="3341" max="3586" width="9.140625" style="401"/>
    <col min="3587" max="3587" width="31.5703125" style="401" customWidth="1"/>
    <col min="3588" max="3588" width="11.28515625" style="401" customWidth="1"/>
    <col min="3589" max="3589" width="11.5703125" style="401" customWidth="1"/>
    <col min="3590" max="3590" width="10.5703125" style="401" customWidth="1"/>
    <col min="3591" max="3591" width="10.28515625" style="401" customWidth="1"/>
    <col min="3592" max="3592" width="11.85546875" style="401" customWidth="1"/>
    <col min="3593" max="3593" width="14.42578125" style="401" customWidth="1"/>
    <col min="3594" max="3595" width="9.140625" style="401"/>
    <col min="3596" max="3596" width="30.5703125" style="401" customWidth="1"/>
    <col min="3597" max="3842" width="9.140625" style="401"/>
    <col min="3843" max="3843" width="31.5703125" style="401" customWidth="1"/>
    <col min="3844" max="3844" width="11.28515625" style="401" customWidth="1"/>
    <col min="3845" max="3845" width="11.5703125" style="401" customWidth="1"/>
    <col min="3846" max="3846" width="10.5703125" style="401" customWidth="1"/>
    <col min="3847" max="3847" width="10.28515625" style="401" customWidth="1"/>
    <col min="3848" max="3848" width="11.85546875" style="401" customWidth="1"/>
    <col min="3849" max="3849" width="14.42578125" style="401" customWidth="1"/>
    <col min="3850" max="3851" width="9.140625" style="401"/>
    <col min="3852" max="3852" width="30.5703125" style="401" customWidth="1"/>
    <col min="3853" max="4098" width="9.140625" style="401"/>
    <col min="4099" max="4099" width="31.5703125" style="401" customWidth="1"/>
    <col min="4100" max="4100" width="11.28515625" style="401" customWidth="1"/>
    <col min="4101" max="4101" width="11.5703125" style="401" customWidth="1"/>
    <col min="4102" max="4102" width="10.5703125" style="401" customWidth="1"/>
    <col min="4103" max="4103" width="10.28515625" style="401" customWidth="1"/>
    <col min="4104" max="4104" width="11.85546875" style="401" customWidth="1"/>
    <col min="4105" max="4105" width="14.42578125" style="401" customWidth="1"/>
    <col min="4106" max="4107" width="9.140625" style="401"/>
    <col min="4108" max="4108" width="30.5703125" style="401" customWidth="1"/>
    <col min="4109" max="4354" width="9.140625" style="401"/>
    <col min="4355" max="4355" width="31.5703125" style="401" customWidth="1"/>
    <col min="4356" max="4356" width="11.28515625" style="401" customWidth="1"/>
    <col min="4357" max="4357" width="11.5703125" style="401" customWidth="1"/>
    <col min="4358" max="4358" width="10.5703125" style="401" customWidth="1"/>
    <col min="4359" max="4359" width="10.28515625" style="401" customWidth="1"/>
    <col min="4360" max="4360" width="11.85546875" style="401" customWidth="1"/>
    <col min="4361" max="4361" width="14.42578125" style="401" customWidth="1"/>
    <col min="4362" max="4363" width="9.140625" style="401"/>
    <col min="4364" max="4364" width="30.5703125" style="401" customWidth="1"/>
    <col min="4365" max="4610" width="9.140625" style="401"/>
    <col min="4611" max="4611" width="31.5703125" style="401" customWidth="1"/>
    <col min="4612" max="4612" width="11.28515625" style="401" customWidth="1"/>
    <col min="4613" max="4613" width="11.5703125" style="401" customWidth="1"/>
    <col min="4614" max="4614" width="10.5703125" style="401" customWidth="1"/>
    <col min="4615" max="4615" width="10.28515625" style="401" customWidth="1"/>
    <col min="4616" max="4616" width="11.85546875" style="401" customWidth="1"/>
    <col min="4617" max="4617" width="14.42578125" style="401" customWidth="1"/>
    <col min="4618" max="4619" width="9.140625" style="401"/>
    <col min="4620" max="4620" width="30.5703125" style="401" customWidth="1"/>
    <col min="4621" max="4866" width="9.140625" style="401"/>
    <col min="4867" max="4867" width="31.5703125" style="401" customWidth="1"/>
    <col min="4868" max="4868" width="11.28515625" style="401" customWidth="1"/>
    <col min="4869" max="4869" width="11.5703125" style="401" customWidth="1"/>
    <col min="4870" max="4870" width="10.5703125" style="401" customWidth="1"/>
    <col min="4871" max="4871" width="10.28515625" style="401" customWidth="1"/>
    <col min="4872" max="4872" width="11.85546875" style="401" customWidth="1"/>
    <col min="4873" max="4873" width="14.42578125" style="401" customWidth="1"/>
    <col min="4874" max="4875" width="9.140625" style="401"/>
    <col min="4876" max="4876" width="30.5703125" style="401" customWidth="1"/>
    <col min="4877" max="5122" width="9.140625" style="401"/>
    <col min="5123" max="5123" width="31.5703125" style="401" customWidth="1"/>
    <col min="5124" max="5124" width="11.28515625" style="401" customWidth="1"/>
    <col min="5125" max="5125" width="11.5703125" style="401" customWidth="1"/>
    <col min="5126" max="5126" width="10.5703125" style="401" customWidth="1"/>
    <col min="5127" max="5127" width="10.28515625" style="401" customWidth="1"/>
    <col min="5128" max="5128" width="11.85546875" style="401" customWidth="1"/>
    <col min="5129" max="5129" width="14.42578125" style="401" customWidth="1"/>
    <col min="5130" max="5131" width="9.140625" style="401"/>
    <col min="5132" max="5132" width="30.5703125" style="401" customWidth="1"/>
    <col min="5133" max="5378" width="9.140625" style="401"/>
    <col min="5379" max="5379" width="31.5703125" style="401" customWidth="1"/>
    <col min="5380" max="5380" width="11.28515625" style="401" customWidth="1"/>
    <col min="5381" max="5381" width="11.5703125" style="401" customWidth="1"/>
    <col min="5382" max="5382" width="10.5703125" style="401" customWidth="1"/>
    <col min="5383" max="5383" width="10.28515625" style="401" customWidth="1"/>
    <col min="5384" max="5384" width="11.85546875" style="401" customWidth="1"/>
    <col min="5385" max="5385" width="14.42578125" style="401" customWidth="1"/>
    <col min="5386" max="5387" width="9.140625" style="401"/>
    <col min="5388" max="5388" width="30.5703125" style="401" customWidth="1"/>
    <col min="5389" max="5634" width="9.140625" style="401"/>
    <col min="5635" max="5635" width="31.5703125" style="401" customWidth="1"/>
    <col min="5636" max="5636" width="11.28515625" style="401" customWidth="1"/>
    <col min="5637" max="5637" width="11.5703125" style="401" customWidth="1"/>
    <col min="5638" max="5638" width="10.5703125" style="401" customWidth="1"/>
    <col min="5639" max="5639" width="10.28515625" style="401" customWidth="1"/>
    <col min="5640" max="5640" width="11.85546875" style="401" customWidth="1"/>
    <col min="5641" max="5641" width="14.42578125" style="401" customWidth="1"/>
    <col min="5642" max="5643" width="9.140625" style="401"/>
    <col min="5644" max="5644" width="30.5703125" style="401" customWidth="1"/>
    <col min="5645" max="5890" width="9.140625" style="401"/>
    <col min="5891" max="5891" width="31.5703125" style="401" customWidth="1"/>
    <col min="5892" max="5892" width="11.28515625" style="401" customWidth="1"/>
    <col min="5893" max="5893" width="11.5703125" style="401" customWidth="1"/>
    <col min="5894" max="5894" width="10.5703125" style="401" customWidth="1"/>
    <col min="5895" max="5895" width="10.28515625" style="401" customWidth="1"/>
    <col min="5896" max="5896" width="11.85546875" style="401" customWidth="1"/>
    <col min="5897" max="5897" width="14.42578125" style="401" customWidth="1"/>
    <col min="5898" max="5899" width="9.140625" style="401"/>
    <col min="5900" max="5900" width="30.5703125" style="401" customWidth="1"/>
    <col min="5901" max="6146" width="9.140625" style="401"/>
    <col min="6147" max="6147" width="31.5703125" style="401" customWidth="1"/>
    <col min="6148" max="6148" width="11.28515625" style="401" customWidth="1"/>
    <col min="6149" max="6149" width="11.5703125" style="401" customWidth="1"/>
    <col min="6150" max="6150" width="10.5703125" style="401" customWidth="1"/>
    <col min="6151" max="6151" width="10.28515625" style="401" customWidth="1"/>
    <col min="6152" max="6152" width="11.85546875" style="401" customWidth="1"/>
    <col min="6153" max="6153" width="14.42578125" style="401" customWidth="1"/>
    <col min="6154" max="6155" width="9.140625" style="401"/>
    <col min="6156" max="6156" width="30.5703125" style="401" customWidth="1"/>
    <col min="6157" max="6402" width="9.140625" style="401"/>
    <col min="6403" max="6403" width="31.5703125" style="401" customWidth="1"/>
    <col min="6404" max="6404" width="11.28515625" style="401" customWidth="1"/>
    <col min="6405" max="6405" width="11.5703125" style="401" customWidth="1"/>
    <col min="6406" max="6406" width="10.5703125" style="401" customWidth="1"/>
    <col min="6407" max="6407" width="10.28515625" style="401" customWidth="1"/>
    <col min="6408" max="6408" width="11.85546875" style="401" customWidth="1"/>
    <col min="6409" max="6409" width="14.42578125" style="401" customWidth="1"/>
    <col min="6410" max="6411" width="9.140625" style="401"/>
    <col min="6412" max="6412" width="30.5703125" style="401" customWidth="1"/>
    <col min="6413" max="6658" width="9.140625" style="401"/>
    <col min="6659" max="6659" width="31.5703125" style="401" customWidth="1"/>
    <col min="6660" max="6660" width="11.28515625" style="401" customWidth="1"/>
    <col min="6661" max="6661" width="11.5703125" style="401" customWidth="1"/>
    <col min="6662" max="6662" width="10.5703125" style="401" customWidth="1"/>
    <col min="6663" max="6663" width="10.28515625" style="401" customWidth="1"/>
    <col min="6664" max="6664" width="11.85546875" style="401" customWidth="1"/>
    <col min="6665" max="6665" width="14.42578125" style="401" customWidth="1"/>
    <col min="6666" max="6667" width="9.140625" style="401"/>
    <col min="6668" max="6668" width="30.5703125" style="401" customWidth="1"/>
    <col min="6669" max="6914" width="9.140625" style="401"/>
    <col min="6915" max="6915" width="31.5703125" style="401" customWidth="1"/>
    <col min="6916" max="6916" width="11.28515625" style="401" customWidth="1"/>
    <col min="6917" max="6917" width="11.5703125" style="401" customWidth="1"/>
    <col min="6918" max="6918" width="10.5703125" style="401" customWidth="1"/>
    <col min="6919" max="6919" width="10.28515625" style="401" customWidth="1"/>
    <col min="6920" max="6920" width="11.85546875" style="401" customWidth="1"/>
    <col min="6921" max="6921" width="14.42578125" style="401" customWidth="1"/>
    <col min="6922" max="6923" width="9.140625" style="401"/>
    <col min="6924" max="6924" width="30.5703125" style="401" customWidth="1"/>
    <col min="6925" max="7170" width="9.140625" style="401"/>
    <col min="7171" max="7171" width="31.5703125" style="401" customWidth="1"/>
    <col min="7172" max="7172" width="11.28515625" style="401" customWidth="1"/>
    <col min="7173" max="7173" width="11.5703125" style="401" customWidth="1"/>
    <col min="7174" max="7174" width="10.5703125" style="401" customWidth="1"/>
    <col min="7175" max="7175" width="10.28515625" style="401" customWidth="1"/>
    <col min="7176" max="7176" width="11.85546875" style="401" customWidth="1"/>
    <col min="7177" max="7177" width="14.42578125" style="401" customWidth="1"/>
    <col min="7178" max="7179" width="9.140625" style="401"/>
    <col min="7180" max="7180" width="30.5703125" style="401" customWidth="1"/>
    <col min="7181" max="7426" width="9.140625" style="401"/>
    <col min="7427" max="7427" width="31.5703125" style="401" customWidth="1"/>
    <col min="7428" max="7428" width="11.28515625" style="401" customWidth="1"/>
    <col min="7429" max="7429" width="11.5703125" style="401" customWidth="1"/>
    <col min="7430" max="7430" width="10.5703125" style="401" customWidth="1"/>
    <col min="7431" max="7431" width="10.28515625" style="401" customWidth="1"/>
    <col min="7432" max="7432" width="11.85546875" style="401" customWidth="1"/>
    <col min="7433" max="7433" width="14.42578125" style="401" customWidth="1"/>
    <col min="7434" max="7435" width="9.140625" style="401"/>
    <col min="7436" max="7436" width="30.5703125" style="401" customWidth="1"/>
    <col min="7437" max="7682" width="9.140625" style="401"/>
    <col min="7683" max="7683" width="31.5703125" style="401" customWidth="1"/>
    <col min="7684" max="7684" width="11.28515625" style="401" customWidth="1"/>
    <col min="7685" max="7685" width="11.5703125" style="401" customWidth="1"/>
    <col min="7686" max="7686" width="10.5703125" style="401" customWidth="1"/>
    <col min="7687" max="7687" width="10.28515625" style="401" customWidth="1"/>
    <col min="7688" max="7688" width="11.85546875" style="401" customWidth="1"/>
    <col min="7689" max="7689" width="14.42578125" style="401" customWidth="1"/>
    <col min="7690" max="7691" width="9.140625" style="401"/>
    <col min="7692" max="7692" width="30.5703125" style="401" customWidth="1"/>
    <col min="7693" max="7938" width="9.140625" style="401"/>
    <col min="7939" max="7939" width="31.5703125" style="401" customWidth="1"/>
    <col min="7940" max="7940" width="11.28515625" style="401" customWidth="1"/>
    <col min="7941" max="7941" width="11.5703125" style="401" customWidth="1"/>
    <col min="7942" max="7942" width="10.5703125" style="401" customWidth="1"/>
    <col min="7943" max="7943" width="10.28515625" style="401" customWidth="1"/>
    <col min="7944" max="7944" width="11.85546875" style="401" customWidth="1"/>
    <col min="7945" max="7945" width="14.42578125" style="401" customWidth="1"/>
    <col min="7946" max="7947" width="9.140625" style="401"/>
    <col min="7948" max="7948" width="30.5703125" style="401" customWidth="1"/>
    <col min="7949" max="8194" width="9.140625" style="401"/>
    <col min="8195" max="8195" width="31.5703125" style="401" customWidth="1"/>
    <col min="8196" max="8196" width="11.28515625" style="401" customWidth="1"/>
    <col min="8197" max="8197" width="11.5703125" style="401" customWidth="1"/>
    <col min="8198" max="8198" width="10.5703125" style="401" customWidth="1"/>
    <col min="8199" max="8199" width="10.28515625" style="401" customWidth="1"/>
    <col min="8200" max="8200" width="11.85546875" style="401" customWidth="1"/>
    <col min="8201" max="8201" width="14.42578125" style="401" customWidth="1"/>
    <col min="8202" max="8203" width="9.140625" style="401"/>
    <col min="8204" max="8204" width="30.5703125" style="401" customWidth="1"/>
    <col min="8205" max="8450" width="9.140625" style="401"/>
    <col min="8451" max="8451" width="31.5703125" style="401" customWidth="1"/>
    <col min="8452" max="8452" width="11.28515625" style="401" customWidth="1"/>
    <col min="8453" max="8453" width="11.5703125" style="401" customWidth="1"/>
    <col min="8454" max="8454" width="10.5703125" style="401" customWidth="1"/>
    <col min="8455" max="8455" width="10.28515625" style="401" customWidth="1"/>
    <col min="8456" max="8456" width="11.85546875" style="401" customWidth="1"/>
    <col min="8457" max="8457" width="14.42578125" style="401" customWidth="1"/>
    <col min="8458" max="8459" width="9.140625" style="401"/>
    <col min="8460" max="8460" width="30.5703125" style="401" customWidth="1"/>
    <col min="8461" max="8706" width="9.140625" style="401"/>
    <col min="8707" max="8707" width="31.5703125" style="401" customWidth="1"/>
    <col min="8708" max="8708" width="11.28515625" style="401" customWidth="1"/>
    <col min="8709" max="8709" width="11.5703125" style="401" customWidth="1"/>
    <col min="8710" max="8710" width="10.5703125" style="401" customWidth="1"/>
    <col min="8711" max="8711" width="10.28515625" style="401" customWidth="1"/>
    <col min="8712" max="8712" width="11.85546875" style="401" customWidth="1"/>
    <col min="8713" max="8713" width="14.42578125" style="401" customWidth="1"/>
    <col min="8714" max="8715" width="9.140625" style="401"/>
    <col min="8716" max="8716" width="30.5703125" style="401" customWidth="1"/>
    <col min="8717" max="8962" width="9.140625" style="401"/>
    <col min="8963" max="8963" width="31.5703125" style="401" customWidth="1"/>
    <col min="8964" max="8964" width="11.28515625" style="401" customWidth="1"/>
    <col min="8965" max="8965" width="11.5703125" style="401" customWidth="1"/>
    <col min="8966" max="8966" width="10.5703125" style="401" customWidth="1"/>
    <col min="8967" max="8967" width="10.28515625" style="401" customWidth="1"/>
    <col min="8968" max="8968" width="11.85546875" style="401" customWidth="1"/>
    <col min="8969" max="8969" width="14.42578125" style="401" customWidth="1"/>
    <col min="8970" max="8971" width="9.140625" style="401"/>
    <col min="8972" max="8972" width="30.5703125" style="401" customWidth="1"/>
    <col min="8973" max="9218" width="9.140625" style="401"/>
    <col min="9219" max="9219" width="31.5703125" style="401" customWidth="1"/>
    <col min="9220" max="9220" width="11.28515625" style="401" customWidth="1"/>
    <col min="9221" max="9221" width="11.5703125" style="401" customWidth="1"/>
    <col min="9222" max="9222" width="10.5703125" style="401" customWidth="1"/>
    <col min="9223" max="9223" width="10.28515625" style="401" customWidth="1"/>
    <col min="9224" max="9224" width="11.85546875" style="401" customWidth="1"/>
    <col min="9225" max="9225" width="14.42578125" style="401" customWidth="1"/>
    <col min="9226" max="9227" width="9.140625" style="401"/>
    <col min="9228" max="9228" width="30.5703125" style="401" customWidth="1"/>
    <col min="9229" max="9474" width="9.140625" style="401"/>
    <col min="9475" max="9475" width="31.5703125" style="401" customWidth="1"/>
    <col min="9476" max="9476" width="11.28515625" style="401" customWidth="1"/>
    <col min="9477" max="9477" width="11.5703125" style="401" customWidth="1"/>
    <col min="9478" max="9478" width="10.5703125" style="401" customWidth="1"/>
    <col min="9479" max="9479" width="10.28515625" style="401" customWidth="1"/>
    <col min="9480" max="9480" width="11.85546875" style="401" customWidth="1"/>
    <col min="9481" max="9481" width="14.42578125" style="401" customWidth="1"/>
    <col min="9482" max="9483" width="9.140625" style="401"/>
    <col min="9484" max="9484" width="30.5703125" style="401" customWidth="1"/>
    <col min="9485" max="9730" width="9.140625" style="401"/>
    <col min="9731" max="9731" width="31.5703125" style="401" customWidth="1"/>
    <col min="9732" max="9732" width="11.28515625" style="401" customWidth="1"/>
    <col min="9733" max="9733" width="11.5703125" style="401" customWidth="1"/>
    <col min="9734" max="9734" width="10.5703125" style="401" customWidth="1"/>
    <col min="9735" max="9735" width="10.28515625" style="401" customWidth="1"/>
    <col min="9736" max="9736" width="11.85546875" style="401" customWidth="1"/>
    <col min="9737" max="9737" width="14.42578125" style="401" customWidth="1"/>
    <col min="9738" max="9739" width="9.140625" style="401"/>
    <col min="9740" max="9740" width="30.5703125" style="401" customWidth="1"/>
    <col min="9741" max="9986" width="9.140625" style="401"/>
    <col min="9987" max="9987" width="31.5703125" style="401" customWidth="1"/>
    <col min="9988" max="9988" width="11.28515625" style="401" customWidth="1"/>
    <col min="9989" max="9989" width="11.5703125" style="401" customWidth="1"/>
    <col min="9990" max="9990" width="10.5703125" style="401" customWidth="1"/>
    <col min="9991" max="9991" width="10.28515625" style="401" customWidth="1"/>
    <col min="9992" max="9992" width="11.85546875" style="401" customWidth="1"/>
    <col min="9993" max="9993" width="14.42578125" style="401" customWidth="1"/>
    <col min="9994" max="9995" width="9.140625" style="401"/>
    <col min="9996" max="9996" width="30.5703125" style="401" customWidth="1"/>
    <col min="9997" max="10242" width="9.140625" style="401"/>
    <col min="10243" max="10243" width="31.5703125" style="401" customWidth="1"/>
    <col min="10244" max="10244" width="11.28515625" style="401" customWidth="1"/>
    <col min="10245" max="10245" width="11.5703125" style="401" customWidth="1"/>
    <col min="10246" max="10246" width="10.5703125" style="401" customWidth="1"/>
    <col min="10247" max="10247" width="10.28515625" style="401" customWidth="1"/>
    <col min="10248" max="10248" width="11.85546875" style="401" customWidth="1"/>
    <col min="10249" max="10249" width="14.42578125" style="401" customWidth="1"/>
    <col min="10250" max="10251" width="9.140625" style="401"/>
    <col min="10252" max="10252" width="30.5703125" style="401" customWidth="1"/>
    <col min="10253" max="10498" width="9.140625" style="401"/>
    <col min="10499" max="10499" width="31.5703125" style="401" customWidth="1"/>
    <col min="10500" max="10500" width="11.28515625" style="401" customWidth="1"/>
    <col min="10501" max="10501" width="11.5703125" style="401" customWidth="1"/>
    <col min="10502" max="10502" width="10.5703125" style="401" customWidth="1"/>
    <col min="10503" max="10503" width="10.28515625" style="401" customWidth="1"/>
    <col min="10504" max="10504" width="11.85546875" style="401" customWidth="1"/>
    <col min="10505" max="10505" width="14.42578125" style="401" customWidth="1"/>
    <col min="10506" max="10507" width="9.140625" style="401"/>
    <col min="10508" max="10508" width="30.5703125" style="401" customWidth="1"/>
    <col min="10509" max="10754" width="9.140625" style="401"/>
    <col min="10755" max="10755" width="31.5703125" style="401" customWidth="1"/>
    <col min="10756" max="10756" width="11.28515625" style="401" customWidth="1"/>
    <col min="10757" max="10757" width="11.5703125" style="401" customWidth="1"/>
    <col min="10758" max="10758" width="10.5703125" style="401" customWidth="1"/>
    <col min="10759" max="10759" width="10.28515625" style="401" customWidth="1"/>
    <col min="10760" max="10760" width="11.85546875" style="401" customWidth="1"/>
    <col min="10761" max="10761" width="14.42578125" style="401" customWidth="1"/>
    <col min="10762" max="10763" width="9.140625" style="401"/>
    <col min="10764" max="10764" width="30.5703125" style="401" customWidth="1"/>
    <col min="10765" max="11010" width="9.140625" style="401"/>
    <col min="11011" max="11011" width="31.5703125" style="401" customWidth="1"/>
    <col min="11012" max="11012" width="11.28515625" style="401" customWidth="1"/>
    <col min="11013" max="11013" width="11.5703125" style="401" customWidth="1"/>
    <col min="11014" max="11014" width="10.5703125" style="401" customWidth="1"/>
    <col min="11015" max="11015" width="10.28515625" style="401" customWidth="1"/>
    <col min="11016" max="11016" width="11.85546875" style="401" customWidth="1"/>
    <col min="11017" max="11017" width="14.42578125" style="401" customWidth="1"/>
    <col min="11018" max="11019" width="9.140625" style="401"/>
    <col min="11020" max="11020" width="30.5703125" style="401" customWidth="1"/>
    <col min="11021" max="11266" width="9.140625" style="401"/>
    <col min="11267" max="11267" width="31.5703125" style="401" customWidth="1"/>
    <col min="11268" max="11268" width="11.28515625" style="401" customWidth="1"/>
    <col min="11269" max="11269" width="11.5703125" style="401" customWidth="1"/>
    <col min="11270" max="11270" width="10.5703125" style="401" customWidth="1"/>
    <col min="11271" max="11271" width="10.28515625" style="401" customWidth="1"/>
    <col min="11272" max="11272" width="11.85546875" style="401" customWidth="1"/>
    <col min="11273" max="11273" width="14.42578125" style="401" customWidth="1"/>
    <col min="11274" max="11275" width="9.140625" style="401"/>
    <col min="11276" max="11276" width="30.5703125" style="401" customWidth="1"/>
    <col min="11277" max="11522" width="9.140625" style="401"/>
    <col min="11523" max="11523" width="31.5703125" style="401" customWidth="1"/>
    <col min="11524" max="11524" width="11.28515625" style="401" customWidth="1"/>
    <col min="11525" max="11525" width="11.5703125" style="401" customWidth="1"/>
    <col min="11526" max="11526" width="10.5703125" style="401" customWidth="1"/>
    <col min="11527" max="11527" width="10.28515625" style="401" customWidth="1"/>
    <col min="11528" max="11528" width="11.85546875" style="401" customWidth="1"/>
    <col min="11529" max="11529" width="14.42578125" style="401" customWidth="1"/>
    <col min="11530" max="11531" width="9.140625" style="401"/>
    <col min="11532" max="11532" width="30.5703125" style="401" customWidth="1"/>
    <col min="11533" max="11778" width="9.140625" style="401"/>
    <col min="11779" max="11779" width="31.5703125" style="401" customWidth="1"/>
    <col min="11780" max="11780" width="11.28515625" style="401" customWidth="1"/>
    <col min="11781" max="11781" width="11.5703125" style="401" customWidth="1"/>
    <col min="11782" max="11782" width="10.5703125" style="401" customWidth="1"/>
    <col min="11783" max="11783" width="10.28515625" style="401" customWidth="1"/>
    <col min="11784" max="11784" width="11.85546875" style="401" customWidth="1"/>
    <col min="11785" max="11785" width="14.42578125" style="401" customWidth="1"/>
    <col min="11786" max="11787" width="9.140625" style="401"/>
    <col min="11788" max="11788" width="30.5703125" style="401" customWidth="1"/>
    <col min="11789" max="12034" width="9.140625" style="401"/>
    <col min="12035" max="12035" width="31.5703125" style="401" customWidth="1"/>
    <col min="12036" max="12036" width="11.28515625" style="401" customWidth="1"/>
    <col min="12037" max="12037" width="11.5703125" style="401" customWidth="1"/>
    <col min="12038" max="12038" width="10.5703125" style="401" customWidth="1"/>
    <col min="12039" max="12039" width="10.28515625" style="401" customWidth="1"/>
    <col min="12040" max="12040" width="11.85546875" style="401" customWidth="1"/>
    <col min="12041" max="12041" width="14.42578125" style="401" customWidth="1"/>
    <col min="12042" max="12043" width="9.140625" style="401"/>
    <col min="12044" max="12044" width="30.5703125" style="401" customWidth="1"/>
    <col min="12045" max="12290" width="9.140625" style="401"/>
    <col min="12291" max="12291" width="31.5703125" style="401" customWidth="1"/>
    <col min="12292" max="12292" width="11.28515625" style="401" customWidth="1"/>
    <col min="12293" max="12293" width="11.5703125" style="401" customWidth="1"/>
    <col min="12294" max="12294" width="10.5703125" style="401" customWidth="1"/>
    <col min="12295" max="12295" width="10.28515625" style="401" customWidth="1"/>
    <col min="12296" max="12296" width="11.85546875" style="401" customWidth="1"/>
    <col min="12297" max="12297" width="14.42578125" style="401" customWidth="1"/>
    <col min="12298" max="12299" width="9.140625" style="401"/>
    <col min="12300" max="12300" width="30.5703125" style="401" customWidth="1"/>
    <col min="12301" max="12546" width="9.140625" style="401"/>
    <col min="12547" max="12547" width="31.5703125" style="401" customWidth="1"/>
    <col min="12548" max="12548" width="11.28515625" style="401" customWidth="1"/>
    <col min="12549" max="12549" width="11.5703125" style="401" customWidth="1"/>
    <col min="12550" max="12550" width="10.5703125" style="401" customWidth="1"/>
    <col min="12551" max="12551" width="10.28515625" style="401" customWidth="1"/>
    <col min="12552" max="12552" width="11.85546875" style="401" customWidth="1"/>
    <col min="12553" max="12553" width="14.42578125" style="401" customWidth="1"/>
    <col min="12554" max="12555" width="9.140625" style="401"/>
    <col min="12556" max="12556" width="30.5703125" style="401" customWidth="1"/>
    <col min="12557" max="12802" width="9.140625" style="401"/>
    <col min="12803" max="12803" width="31.5703125" style="401" customWidth="1"/>
    <col min="12804" max="12804" width="11.28515625" style="401" customWidth="1"/>
    <col min="12805" max="12805" width="11.5703125" style="401" customWidth="1"/>
    <col min="12806" max="12806" width="10.5703125" style="401" customWidth="1"/>
    <col min="12807" max="12807" width="10.28515625" style="401" customWidth="1"/>
    <col min="12808" max="12808" width="11.85546875" style="401" customWidth="1"/>
    <col min="12809" max="12809" width="14.42578125" style="401" customWidth="1"/>
    <col min="12810" max="12811" width="9.140625" style="401"/>
    <col min="12812" max="12812" width="30.5703125" style="401" customWidth="1"/>
    <col min="12813" max="13058" width="9.140625" style="401"/>
    <col min="13059" max="13059" width="31.5703125" style="401" customWidth="1"/>
    <col min="13060" max="13060" width="11.28515625" style="401" customWidth="1"/>
    <col min="13061" max="13061" width="11.5703125" style="401" customWidth="1"/>
    <col min="13062" max="13062" width="10.5703125" style="401" customWidth="1"/>
    <col min="13063" max="13063" width="10.28515625" style="401" customWidth="1"/>
    <col min="13064" max="13064" width="11.85546875" style="401" customWidth="1"/>
    <col min="13065" max="13065" width="14.42578125" style="401" customWidth="1"/>
    <col min="13066" max="13067" width="9.140625" style="401"/>
    <col min="13068" max="13068" width="30.5703125" style="401" customWidth="1"/>
    <col min="13069" max="13314" width="9.140625" style="401"/>
    <col min="13315" max="13315" width="31.5703125" style="401" customWidth="1"/>
    <col min="13316" max="13316" width="11.28515625" style="401" customWidth="1"/>
    <col min="13317" max="13317" width="11.5703125" style="401" customWidth="1"/>
    <col min="13318" max="13318" width="10.5703125" style="401" customWidth="1"/>
    <col min="13319" max="13319" width="10.28515625" style="401" customWidth="1"/>
    <col min="13320" max="13320" width="11.85546875" style="401" customWidth="1"/>
    <col min="13321" max="13321" width="14.42578125" style="401" customWidth="1"/>
    <col min="13322" max="13323" width="9.140625" style="401"/>
    <col min="13324" max="13324" width="30.5703125" style="401" customWidth="1"/>
    <col min="13325" max="13570" width="9.140625" style="401"/>
    <col min="13571" max="13571" width="31.5703125" style="401" customWidth="1"/>
    <col min="13572" max="13572" width="11.28515625" style="401" customWidth="1"/>
    <col min="13573" max="13573" width="11.5703125" style="401" customWidth="1"/>
    <col min="13574" max="13574" width="10.5703125" style="401" customWidth="1"/>
    <col min="13575" max="13575" width="10.28515625" style="401" customWidth="1"/>
    <col min="13576" max="13576" width="11.85546875" style="401" customWidth="1"/>
    <col min="13577" max="13577" width="14.42578125" style="401" customWidth="1"/>
    <col min="13578" max="13579" width="9.140625" style="401"/>
    <col min="13580" max="13580" width="30.5703125" style="401" customWidth="1"/>
    <col min="13581" max="13826" width="9.140625" style="401"/>
    <col min="13827" max="13827" width="31.5703125" style="401" customWidth="1"/>
    <col min="13828" max="13828" width="11.28515625" style="401" customWidth="1"/>
    <col min="13829" max="13829" width="11.5703125" style="401" customWidth="1"/>
    <col min="13830" max="13830" width="10.5703125" style="401" customWidth="1"/>
    <col min="13831" max="13831" width="10.28515625" style="401" customWidth="1"/>
    <col min="13832" max="13832" width="11.85546875" style="401" customWidth="1"/>
    <col min="13833" max="13833" width="14.42578125" style="401" customWidth="1"/>
    <col min="13834" max="13835" width="9.140625" style="401"/>
    <col min="13836" max="13836" width="30.5703125" style="401" customWidth="1"/>
    <col min="13837" max="14082" width="9.140625" style="401"/>
    <col min="14083" max="14083" width="31.5703125" style="401" customWidth="1"/>
    <col min="14084" max="14084" width="11.28515625" style="401" customWidth="1"/>
    <col min="14085" max="14085" width="11.5703125" style="401" customWidth="1"/>
    <col min="14086" max="14086" width="10.5703125" style="401" customWidth="1"/>
    <col min="14087" max="14087" width="10.28515625" style="401" customWidth="1"/>
    <col min="14088" max="14088" width="11.85546875" style="401" customWidth="1"/>
    <col min="14089" max="14089" width="14.42578125" style="401" customWidth="1"/>
    <col min="14090" max="14091" width="9.140625" style="401"/>
    <col min="14092" max="14092" width="30.5703125" style="401" customWidth="1"/>
    <col min="14093" max="14338" width="9.140625" style="401"/>
    <col min="14339" max="14339" width="31.5703125" style="401" customWidth="1"/>
    <col min="14340" max="14340" width="11.28515625" style="401" customWidth="1"/>
    <col min="14341" max="14341" width="11.5703125" style="401" customWidth="1"/>
    <col min="14342" max="14342" width="10.5703125" style="401" customWidth="1"/>
    <col min="14343" max="14343" width="10.28515625" style="401" customWidth="1"/>
    <col min="14344" max="14344" width="11.85546875" style="401" customWidth="1"/>
    <col min="14345" max="14345" width="14.42578125" style="401" customWidth="1"/>
    <col min="14346" max="14347" width="9.140625" style="401"/>
    <col min="14348" max="14348" width="30.5703125" style="401" customWidth="1"/>
    <col min="14349" max="14594" width="9.140625" style="401"/>
    <col min="14595" max="14595" width="31.5703125" style="401" customWidth="1"/>
    <col min="14596" max="14596" width="11.28515625" style="401" customWidth="1"/>
    <col min="14597" max="14597" width="11.5703125" style="401" customWidth="1"/>
    <col min="14598" max="14598" width="10.5703125" style="401" customWidth="1"/>
    <col min="14599" max="14599" width="10.28515625" style="401" customWidth="1"/>
    <col min="14600" max="14600" width="11.85546875" style="401" customWidth="1"/>
    <col min="14601" max="14601" width="14.42578125" style="401" customWidth="1"/>
    <col min="14602" max="14603" width="9.140625" style="401"/>
    <col min="14604" max="14604" width="30.5703125" style="401" customWidth="1"/>
    <col min="14605" max="14850" width="9.140625" style="401"/>
    <col min="14851" max="14851" width="31.5703125" style="401" customWidth="1"/>
    <col min="14852" max="14852" width="11.28515625" style="401" customWidth="1"/>
    <col min="14853" max="14853" width="11.5703125" style="401" customWidth="1"/>
    <col min="14854" max="14854" width="10.5703125" style="401" customWidth="1"/>
    <col min="14855" max="14855" width="10.28515625" style="401" customWidth="1"/>
    <col min="14856" max="14856" width="11.85546875" style="401" customWidth="1"/>
    <col min="14857" max="14857" width="14.42578125" style="401" customWidth="1"/>
    <col min="14858" max="14859" width="9.140625" style="401"/>
    <col min="14860" max="14860" width="30.5703125" style="401" customWidth="1"/>
    <col min="14861" max="15106" width="9.140625" style="401"/>
    <col min="15107" max="15107" width="31.5703125" style="401" customWidth="1"/>
    <col min="15108" max="15108" width="11.28515625" style="401" customWidth="1"/>
    <col min="15109" max="15109" width="11.5703125" style="401" customWidth="1"/>
    <col min="15110" max="15110" width="10.5703125" style="401" customWidth="1"/>
    <col min="15111" max="15111" width="10.28515625" style="401" customWidth="1"/>
    <col min="15112" max="15112" width="11.85546875" style="401" customWidth="1"/>
    <col min="15113" max="15113" width="14.42578125" style="401" customWidth="1"/>
    <col min="15114" max="15115" width="9.140625" style="401"/>
    <col min="15116" max="15116" width="30.5703125" style="401" customWidth="1"/>
    <col min="15117" max="15362" width="9.140625" style="401"/>
    <col min="15363" max="15363" width="31.5703125" style="401" customWidth="1"/>
    <col min="15364" max="15364" width="11.28515625" style="401" customWidth="1"/>
    <col min="15365" max="15365" width="11.5703125" style="401" customWidth="1"/>
    <col min="15366" max="15366" width="10.5703125" style="401" customWidth="1"/>
    <col min="15367" max="15367" width="10.28515625" style="401" customWidth="1"/>
    <col min="15368" max="15368" width="11.85546875" style="401" customWidth="1"/>
    <col min="15369" max="15369" width="14.42578125" style="401" customWidth="1"/>
    <col min="15370" max="15371" width="9.140625" style="401"/>
    <col min="15372" max="15372" width="30.5703125" style="401" customWidth="1"/>
    <col min="15373" max="15618" width="9.140625" style="401"/>
    <col min="15619" max="15619" width="31.5703125" style="401" customWidth="1"/>
    <col min="15620" max="15620" width="11.28515625" style="401" customWidth="1"/>
    <col min="15621" max="15621" width="11.5703125" style="401" customWidth="1"/>
    <col min="15622" max="15622" width="10.5703125" style="401" customWidth="1"/>
    <col min="15623" max="15623" width="10.28515625" style="401" customWidth="1"/>
    <col min="15624" max="15624" width="11.85546875" style="401" customWidth="1"/>
    <col min="15625" max="15625" width="14.42578125" style="401" customWidth="1"/>
    <col min="15626" max="15627" width="9.140625" style="401"/>
    <col min="15628" max="15628" width="30.5703125" style="401" customWidth="1"/>
    <col min="15629" max="15874" width="9.140625" style="401"/>
    <col min="15875" max="15875" width="31.5703125" style="401" customWidth="1"/>
    <col min="15876" max="15876" width="11.28515625" style="401" customWidth="1"/>
    <col min="15877" max="15877" width="11.5703125" style="401" customWidth="1"/>
    <col min="15878" max="15878" width="10.5703125" style="401" customWidth="1"/>
    <col min="15879" max="15879" width="10.28515625" style="401" customWidth="1"/>
    <col min="15880" max="15880" width="11.85546875" style="401" customWidth="1"/>
    <col min="15881" max="15881" width="14.42578125" style="401" customWidth="1"/>
    <col min="15882" max="15883" width="9.140625" style="401"/>
    <col min="15884" max="15884" width="30.5703125" style="401" customWidth="1"/>
    <col min="15885" max="16130" width="9.140625" style="401"/>
    <col min="16131" max="16131" width="31.5703125" style="401" customWidth="1"/>
    <col min="16132" max="16132" width="11.28515625" style="401" customWidth="1"/>
    <col min="16133" max="16133" width="11.5703125" style="401" customWidth="1"/>
    <col min="16134" max="16134" width="10.5703125" style="401" customWidth="1"/>
    <col min="16135" max="16135" width="10.28515625" style="401" customWidth="1"/>
    <col min="16136" max="16136" width="11.85546875" style="401" customWidth="1"/>
    <col min="16137" max="16137" width="14.42578125" style="401" customWidth="1"/>
    <col min="16138" max="16139" width="9.140625" style="401"/>
    <col min="16140" max="16140" width="30.5703125" style="401" customWidth="1"/>
    <col min="16141" max="16384" width="9.140625" style="401"/>
  </cols>
  <sheetData>
    <row r="1" spans="2:10" ht="21" customHeight="1" x14ac:dyDescent="0.3">
      <c r="B1" s="402"/>
      <c r="C1" s="402"/>
      <c r="D1" s="402"/>
      <c r="E1" s="402"/>
      <c r="F1" s="402"/>
      <c r="G1" s="402"/>
      <c r="H1" s="403"/>
      <c r="I1" s="403"/>
      <c r="J1" s="927" t="s">
        <v>984</v>
      </c>
    </row>
    <row r="2" spans="2:10" s="404" customFormat="1" ht="15.75" customHeight="1" x14ac:dyDescent="0.25">
      <c r="B2" s="1104"/>
      <c r="C2" s="1104"/>
      <c r="D2" s="1104"/>
      <c r="E2" s="1104"/>
      <c r="F2" s="1104"/>
      <c r="G2" s="1104"/>
      <c r="H2" s="1104"/>
      <c r="I2" s="1104"/>
    </row>
    <row r="3" spans="2:10" s="404" customFormat="1" ht="36" customHeight="1" x14ac:dyDescent="0.25">
      <c r="B3" s="1048" t="s">
        <v>990</v>
      </c>
      <c r="C3" s="1048"/>
      <c r="D3" s="1048"/>
      <c r="E3" s="1048"/>
      <c r="F3" s="1048"/>
      <c r="G3" s="1048"/>
      <c r="H3" s="1048"/>
      <c r="I3" s="1048"/>
    </row>
    <row r="4" spans="2:10" s="405" customFormat="1" ht="16.5" customHeight="1" thickBot="1" x14ac:dyDescent="0.3">
      <c r="B4" s="273"/>
      <c r="C4" s="273"/>
      <c r="D4" s="273"/>
      <c r="E4" s="274"/>
      <c r="F4" s="274"/>
      <c r="G4" s="274"/>
      <c r="H4" s="274"/>
      <c r="I4" s="274"/>
    </row>
    <row r="5" spans="2:10" s="405" customFormat="1" ht="16.5" customHeight="1" thickBot="1" x14ac:dyDescent="0.3">
      <c r="B5" s="1116" t="s">
        <v>0</v>
      </c>
      <c r="C5" s="1117"/>
      <c r="D5" s="1117"/>
      <c r="E5" s="1117"/>
      <c r="F5" s="1117"/>
      <c r="G5" s="1117"/>
      <c r="H5" s="1117"/>
      <c r="I5" s="1117"/>
      <c r="J5" s="1118"/>
    </row>
    <row r="6" spans="2:10" s="406" customFormat="1" ht="12.75" customHeight="1" x14ac:dyDescent="0.25">
      <c r="B6" s="1105" t="s">
        <v>55</v>
      </c>
      <c r="C6" s="1108" t="s">
        <v>461</v>
      </c>
      <c r="D6" s="1108" t="s">
        <v>462</v>
      </c>
      <c r="E6" s="1106" t="s">
        <v>56</v>
      </c>
      <c r="F6" s="1106" t="s">
        <v>57</v>
      </c>
      <c r="G6" s="1106" t="s">
        <v>58</v>
      </c>
      <c r="H6" s="1106" t="s">
        <v>145</v>
      </c>
      <c r="I6" s="1107" t="s">
        <v>59</v>
      </c>
      <c r="J6" s="1115" t="s">
        <v>846</v>
      </c>
    </row>
    <row r="7" spans="2:10" s="406" customFormat="1" ht="65.25" customHeight="1" thickBot="1" x14ac:dyDescent="0.3">
      <c r="B7" s="1054"/>
      <c r="C7" s="1059"/>
      <c r="D7" s="1059"/>
      <c r="E7" s="1056"/>
      <c r="F7" s="1056"/>
      <c r="G7" s="1056"/>
      <c r="H7" s="1056"/>
      <c r="I7" s="1058"/>
      <c r="J7" s="1044"/>
    </row>
    <row r="8" spans="2:10" s="203" customFormat="1" ht="15.75" thickBot="1" x14ac:dyDescent="0.25">
      <c r="B8" s="1121" t="s">
        <v>373</v>
      </c>
      <c r="C8" s="1122"/>
      <c r="D8" s="1122"/>
      <c r="E8" s="1122"/>
      <c r="F8" s="1122"/>
      <c r="G8" s="1122"/>
      <c r="H8" s="1122"/>
      <c r="I8" s="1122"/>
      <c r="J8" s="468"/>
    </row>
    <row r="9" spans="2:10" s="203" customFormat="1" ht="24" customHeight="1" x14ac:dyDescent="0.2">
      <c r="B9" s="1109" t="s">
        <v>324</v>
      </c>
      <c r="C9" s="1110"/>
      <c r="D9" s="1110"/>
      <c r="E9" s="1110"/>
      <c r="F9" s="1110"/>
      <c r="G9" s="1110"/>
      <c r="H9" s="1110"/>
      <c r="I9" s="1110"/>
      <c r="J9" s="468"/>
    </row>
    <row r="10" spans="2:10" s="12" customFormat="1" ht="24.75" customHeight="1" x14ac:dyDescent="0.2">
      <c r="B10" s="407" t="s">
        <v>60</v>
      </c>
      <c r="C10" s="495"/>
      <c r="D10" s="495"/>
      <c r="E10" s="410">
        <f>E11+E15+E35+E39</f>
        <v>16.3</v>
      </c>
      <c r="F10" s="409">
        <f>F11+F15+F35+F39</f>
        <v>38070</v>
      </c>
      <c r="G10" s="409">
        <f>G11+G15+G35+G39</f>
        <v>649.75</v>
      </c>
      <c r="H10" s="410">
        <f>H11+H15+H35+H39</f>
        <v>0</v>
      </c>
      <c r="I10" s="458">
        <f>I11+I15+I35+I39</f>
        <v>38719.75</v>
      </c>
      <c r="J10" s="469"/>
    </row>
    <row r="11" spans="2:10" s="12" customFormat="1" ht="12.75" x14ac:dyDescent="0.2">
      <c r="B11" s="411" t="s">
        <v>61</v>
      </c>
      <c r="C11" s="496"/>
      <c r="D11" s="496"/>
      <c r="E11" s="412">
        <f>SUM(E12:E14)</f>
        <v>2.5</v>
      </c>
      <c r="F11" s="413">
        <f t="shared" ref="F11:I11" si="0">SUM(F12:F14)</f>
        <v>6870</v>
      </c>
      <c r="G11" s="412">
        <f t="shared" si="0"/>
        <v>160.30000000000001</v>
      </c>
      <c r="H11" s="412">
        <f t="shared" si="0"/>
        <v>0</v>
      </c>
      <c r="I11" s="433">
        <f t="shared" si="0"/>
        <v>7030.2999999999993</v>
      </c>
      <c r="J11" s="1"/>
    </row>
    <row r="12" spans="2:10" s="12" customFormat="1" ht="12.75" x14ac:dyDescent="0.2">
      <c r="B12" s="642" t="s">
        <v>85</v>
      </c>
      <c r="C12" s="641" t="s">
        <v>552</v>
      </c>
      <c r="D12" s="643" t="s">
        <v>466</v>
      </c>
      <c r="E12" s="644">
        <v>0.5</v>
      </c>
      <c r="F12" s="640">
        <v>2290</v>
      </c>
      <c r="G12" s="640">
        <v>91.6</v>
      </c>
      <c r="H12" s="640">
        <v>0</v>
      </c>
      <c r="I12" s="640">
        <v>2381.6</v>
      </c>
      <c r="J12" s="1">
        <f>ROUND((F12+G12+H12)*(kopsavilkums!$O$8)*E12*12*(1+kopsavilkums!$O$23),2)</f>
        <v>1872.01</v>
      </c>
    </row>
    <row r="13" spans="2:10" s="12" customFormat="1" ht="12.75" x14ac:dyDescent="0.2">
      <c r="B13" s="642" t="s">
        <v>851</v>
      </c>
      <c r="C13" s="641" t="s">
        <v>655</v>
      </c>
      <c r="D13" s="643" t="s">
        <v>467</v>
      </c>
      <c r="E13" s="644">
        <v>1.3</v>
      </c>
      <c r="F13" s="640">
        <v>2290</v>
      </c>
      <c r="G13" s="640">
        <v>68.7</v>
      </c>
      <c r="H13" s="640">
        <v>0</v>
      </c>
      <c r="I13" s="640">
        <v>2358.6999999999998</v>
      </c>
      <c r="J13" s="1">
        <f>ROUND((F13+G13+H13)*(kopsavilkums!$O$8)*E13*12*(1+kopsavilkums!$O$23),2)</f>
        <v>4820.4399999999996</v>
      </c>
    </row>
    <row r="14" spans="2:10" s="12" customFormat="1" ht="12.75" x14ac:dyDescent="0.2">
      <c r="B14" s="642" t="s">
        <v>851</v>
      </c>
      <c r="C14" s="641" t="s">
        <v>655</v>
      </c>
      <c r="D14" s="643" t="s">
        <v>467</v>
      </c>
      <c r="E14" s="644">
        <v>0.7</v>
      </c>
      <c r="F14" s="640">
        <v>2290</v>
      </c>
      <c r="G14" s="640">
        <v>0</v>
      </c>
      <c r="H14" s="640">
        <v>0</v>
      </c>
      <c r="I14" s="640">
        <v>2290</v>
      </c>
      <c r="J14" s="1">
        <f>ROUND((F14+G14+H14)*(kopsavilkums!$O$8)*E14*12*(1+kopsavilkums!$O$23),2)</f>
        <v>2520.02</v>
      </c>
    </row>
    <row r="15" spans="2:10" s="12" customFormat="1" ht="38.25" x14ac:dyDescent="0.2">
      <c r="B15" s="411" t="s">
        <v>596</v>
      </c>
      <c r="C15" s="496"/>
      <c r="D15" s="496"/>
      <c r="E15" s="412">
        <f>SUM(E16:E34)</f>
        <v>13.8</v>
      </c>
      <c r="F15" s="413">
        <f>SUM(F16:F34)</f>
        <v>31200</v>
      </c>
      <c r="G15" s="412">
        <f>SUM(G16:G34)</f>
        <v>489.45</v>
      </c>
      <c r="H15" s="412">
        <f>SUM(H16:H34)</f>
        <v>0</v>
      </c>
      <c r="I15" s="433">
        <f>SUM(I16:I34)</f>
        <v>31689.45</v>
      </c>
      <c r="J15" s="1"/>
    </row>
    <row r="16" spans="2:10" s="12" customFormat="1" ht="12.75" x14ac:dyDescent="0.2">
      <c r="B16" s="645" t="s">
        <v>246</v>
      </c>
      <c r="C16" s="641" t="s">
        <v>468</v>
      </c>
      <c r="D16" s="643" t="s">
        <v>469</v>
      </c>
      <c r="E16" s="644">
        <v>0.5</v>
      </c>
      <c r="F16" s="640">
        <v>1970</v>
      </c>
      <c r="G16" s="640">
        <v>157.6</v>
      </c>
      <c r="H16" s="640">
        <v>0</v>
      </c>
      <c r="I16" s="640">
        <v>2127.6</v>
      </c>
      <c r="J16" s="1">
        <f>ROUND((F16+G16+H16)*(kopsavilkums!$O$8)*E16*12*(1+kopsavilkums!$O$23),2)</f>
        <v>1672.36</v>
      </c>
    </row>
    <row r="17" spans="2:10" s="12" customFormat="1" ht="12.75" x14ac:dyDescent="0.2">
      <c r="B17" s="645" t="s">
        <v>246</v>
      </c>
      <c r="C17" s="641" t="s">
        <v>468</v>
      </c>
      <c r="D17" s="643" t="s">
        <v>469</v>
      </c>
      <c r="E17" s="644">
        <v>0.5</v>
      </c>
      <c r="F17" s="640">
        <v>1970</v>
      </c>
      <c r="G17" s="640">
        <v>0</v>
      </c>
      <c r="H17" s="640">
        <v>0</v>
      </c>
      <c r="I17" s="640">
        <v>1970</v>
      </c>
      <c r="J17" s="1">
        <f>ROUND((F17+G17+H17)*(kopsavilkums!$O$8)*E17*12*(1+kopsavilkums!$O$23),2)</f>
        <v>1548.48</v>
      </c>
    </row>
    <row r="18" spans="2:10" s="12" customFormat="1" ht="12.75" x14ac:dyDescent="0.2">
      <c r="B18" s="645" t="s">
        <v>247</v>
      </c>
      <c r="C18" s="641" t="s">
        <v>468</v>
      </c>
      <c r="D18" s="643" t="s">
        <v>469</v>
      </c>
      <c r="E18" s="644">
        <v>1</v>
      </c>
      <c r="F18" s="640">
        <v>1665</v>
      </c>
      <c r="G18" s="640">
        <v>99.9</v>
      </c>
      <c r="H18" s="640">
        <v>0</v>
      </c>
      <c r="I18" s="640">
        <v>1764.9</v>
      </c>
      <c r="J18" s="1">
        <f>ROUND((F18+G18+H18)*(kopsavilkums!$O$8)*E18*12*(1+kopsavilkums!$O$23),2)</f>
        <v>2774.54</v>
      </c>
    </row>
    <row r="19" spans="2:10" s="12" customFormat="1" ht="12.75" x14ac:dyDescent="0.2">
      <c r="B19" s="645" t="s">
        <v>247</v>
      </c>
      <c r="C19" s="641" t="s">
        <v>468</v>
      </c>
      <c r="D19" s="643" t="s">
        <v>469</v>
      </c>
      <c r="E19" s="644">
        <v>1</v>
      </c>
      <c r="F19" s="640">
        <v>1665</v>
      </c>
      <c r="G19" s="640">
        <v>0</v>
      </c>
      <c r="H19" s="640">
        <v>0</v>
      </c>
      <c r="I19" s="640">
        <v>1665</v>
      </c>
      <c r="J19" s="1">
        <f>ROUND((F19+G19+H19)*(kopsavilkums!$O$8)*E19*12*(1+kopsavilkums!$O$23),2)</f>
        <v>2617.4899999999998</v>
      </c>
    </row>
    <row r="20" spans="2:10" s="12" customFormat="1" ht="12.75" x14ac:dyDescent="0.2">
      <c r="B20" s="645" t="s">
        <v>247</v>
      </c>
      <c r="C20" s="641" t="s">
        <v>468</v>
      </c>
      <c r="D20" s="643" t="s">
        <v>469</v>
      </c>
      <c r="E20" s="644">
        <v>0.5</v>
      </c>
      <c r="F20" s="640">
        <v>1665</v>
      </c>
      <c r="G20" s="640">
        <v>0</v>
      </c>
      <c r="H20" s="640">
        <v>0</v>
      </c>
      <c r="I20" s="640">
        <v>1665</v>
      </c>
      <c r="J20" s="1">
        <f>ROUND((F20+G20+H20)*(kopsavilkums!$O$8)*E20*12*(1+kopsavilkums!$O$23),2)</f>
        <v>1308.74</v>
      </c>
    </row>
    <row r="21" spans="2:10" s="12" customFormat="1" ht="12.75" x14ac:dyDescent="0.2">
      <c r="B21" s="645" t="s">
        <v>151</v>
      </c>
      <c r="C21" s="641" t="s">
        <v>470</v>
      </c>
      <c r="D21" s="643" t="s">
        <v>471</v>
      </c>
      <c r="E21" s="644">
        <v>1</v>
      </c>
      <c r="F21" s="640">
        <v>1820</v>
      </c>
      <c r="G21" s="640">
        <v>54.6</v>
      </c>
      <c r="H21" s="640">
        <v>0</v>
      </c>
      <c r="I21" s="640">
        <v>1874.6</v>
      </c>
      <c r="J21" s="1">
        <f>ROUND((F21+G21+H21)*(kopsavilkums!$O$8)*E21*12*(1+kopsavilkums!$O$23),2)</f>
        <v>2946.99</v>
      </c>
    </row>
    <row r="22" spans="2:10" s="12" customFormat="1" ht="12.75" x14ac:dyDescent="0.2">
      <c r="B22" s="645" t="s">
        <v>151</v>
      </c>
      <c r="C22" s="641" t="s">
        <v>470</v>
      </c>
      <c r="D22" s="643" t="s">
        <v>471</v>
      </c>
      <c r="E22" s="644">
        <v>1</v>
      </c>
      <c r="F22" s="640">
        <v>1820</v>
      </c>
      <c r="G22" s="640">
        <v>0</v>
      </c>
      <c r="H22" s="640">
        <v>0</v>
      </c>
      <c r="I22" s="640">
        <v>1820</v>
      </c>
      <c r="J22" s="1">
        <f>ROUND((F22+G22+H22)*(kopsavilkums!$O$8)*E22*12*(1+kopsavilkums!$O$23),2)</f>
        <v>2861.16</v>
      </c>
    </row>
    <row r="23" spans="2:10" s="12" customFormat="1" ht="12.75" x14ac:dyDescent="0.2">
      <c r="B23" s="645" t="s">
        <v>152</v>
      </c>
      <c r="C23" s="641" t="s">
        <v>470</v>
      </c>
      <c r="D23" s="643" t="s">
        <v>471</v>
      </c>
      <c r="E23" s="644">
        <v>1</v>
      </c>
      <c r="F23" s="640">
        <v>1665</v>
      </c>
      <c r="G23" s="640">
        <v>0</v>
      </c>
      <c r="H23" s="640">
        <v>0</v>
      </c>
      <c r="I23" s="640">
        <v>1665</v>
      </c>
      <c r="J23" s="1">
        <f>ROUND((F23+G23+H23)*(kopsavilkums!$O$8)*E23*12*(1+kopsavilkums!$O$23),2)</f>
        <v>2617.4899999999998</v>
      </c>
    </row>
    <row r="24" spans="2:10" s="12" customFormat="1" ht="12.75" x14ac:dyDescent="0.2">
      <c r="B24" s="645" t="s">
        <v>153</v>
      </c>
      <c r="C24" s="641" t="s">
        <v>852</v>
      </c>
      <c r="D24" s="643" t="s">
        <v>473</v>
      </c>
      <c r="E24" s="644">
        <v>0.5</v>
      </c>
      <c r="F24" s="640">
        <v>1820</v>
      </c>
      <c r="G24" s="640">
        <v>127.4</v>
      </c>
      <c r="H24" s="640">
        <v>0</v>
      </c>
      <c r="I24" s="640">
        <v>1947.4</v>
      </c>
      <c r="J24" s="1">
        <f>ROUND((F24+G24+H24)*(kopsavilkums!$O$8)*E24*12*(1+kopsavilkums!$O$23),2)</f>
        <v>1530.72</v>
      </c>
    </row>
    <row r="25" spans="2:10" s="12" customFormat="1" ht="12.75" x14ac:dyDescent="0.2">
      <c r="B25" s="645" t="s">
        <v>153</v>
      </c>
      <c r="C25" s="641" t="s">
        <v>852</v>
      </c>
      <c r="D25" s="643" t="s">
        <v>473</v>
      </c>
      <c r="E25" s="644">
        <v>0.5</v>
      </c>
      <c r="F25" s="640">
        <v>1820</v>
      </c>
      <c r="G25" s="640">
        <v>0</v>
      </c>
      <c r="H25" s="640">
        <v>0</v>
      </c>
      <c r="I25" s="640">
        <v>1820</v>
      </c>
      <c r="J25" s="1">
        <f>ROUND((F25+G25+H25)*(kopsavilkums!$O$8)*E25*12*(1+kopsavilkums!$O$23),2)</f>
        <v>1430.58</v>
      </c>
    </row>
    <row r="26" spans="2:10" s="12" customFormat="1" ht="12.75" x14ac:dyDescent="0.2">
      <c r="B26" s="645" t="s">
        <v>853</v>
      </c>
      <c r="C26" s="641" t="s">
        <v>852</v>
      </c>
      <c r="D26" s="643" t="s">
        <v>473</v>
      </c>
      <c r="E26" s="644">
        <v>1</v>
      </c>
      <c r="F26" s="640">
        <v>1665</v>
      </c>
      <c r="G26" s="640">
        <v>0</v>
      </c>
      <c r="H26" s="640">
        <v>0</v>
      </c>
      <c r="I26" s="640">
        <v>1665</v>
      </c>
      <c r="J26" s="1">
        <f>ROUND((F26+G26+H26)*(kopsavilkums!$O$8)*E26*12*(1+kopsavilkums!$O$23),2)</f>
        <v>2617.4899999999998</v>
      </c>
    </row>
    <row r="27" spans="2:10" s="12" customFormat="1" ht="12.75" x14ac:dyDescent="0.2">
      <c r="B27" s="645" t="s">
        <v>247</v>
      </c>
      <c r="C27" s="641" t="s">
        <v>468</v>
      </c>
      <c r="D27" s="643" t="s">
        <v>469</v>
      </c>
      <c r="E27" s="644">
        <v>0.5</v>
      </c>
      <c r="F27" s="640">
        <v>1665</v>
      </c>
      <c r="G27" s="640">
        <v>0</v>
      </c>
      <c r="H27" s="640">
        <v>0</v>
      </c>
      <c r="I27" s="640">
        <v>1665</v>
      </c>
      <c r="J27" s="1">
        <f>ROUND((F27+G27+H27)*(kopsavilkums!$O$8)*E27*12*(1+kopsavilkums!$O$23),2)</f>
        <v>1308.74</v>
      </c>
    </row>
    <row r="28" spans="2:10" s="12" customFormat="1" ht="12.75" x14ac:dyDescent="0.2">
      <c r="B28" s="645" t="s">
        <v>247</v>
      </c>
      <c r="C28" s="641" t="s">
        <v>468</v>
      </c>
      <c r="D28" s="643" t="s">
        <v>469</v>
      </c>
      <c r="E28" s="644">
        <v>1</v>
      </c>
      <c r="F28" s="640">
        <v>1665</v>
      </c>
      <c r="G28" s="640">
        <v>0</v>
      </c>
      <c r="H28" s="640">
        <v>0</v>
      </c>
      <c r="I28" s="640">
        <v>1665</v>
      </c>
      <c r="J28" s="1">
        <f>ROUND((F28+G28+H28)*(kopsavilkums!$O$8)*E28*12*(1+kopsavilkums!$O$23),2)</f>
        <v>2617.4899999999998</v>
      </c>
    </row>
    <row r="29" spans="2:10" s="12" customFormat="1" ht="12.75" x14ac:dyDescent="0.2">
      <c r="B29" s="645" t="s">
        <v>152</v>
      </c>
      <c r="C29" s="641" t="s">
        <v>470</v>
      </c>
      <c r="D29" s="643" t="s">
        <v>471</v>
      </c>
      <c r="E29" s="644">
        <v>1</v>
      </c>
      <c r="F29" s="640">
        <v>1665</v>
      </c>
      <c r="G29" s="640">
        <v>0</v>
      </c>
      <c r="H29" s="640">
        <v>0</v>
      </c>
      <c r="I29" s="640">
        <v>1665</v>
      </c>
      <c r="J29" s="1">
        <f>ROUND((F29+G29+H29)*(kopsavilkums!$O$8)*E29*12*(1+kopsavilkums!$O$23),2)</f>
        <v>2617.4899999999998</v>
      </c>
    </row>
    <row r="30" spans="2:10" s="12" customFormat="1" ht="12.75" x14ac:dyDescent="0.2">
      <c r="B30" s="645" t="s">
        <v>152</v>
      </c>
      <c r="C30" s="641" t="s">
        <v>470</v>
      </c>
      <c r="D30" s="643" t="s">
        <v>471</v>
      </c>
      <c r="E30" s="644">
        <v>1</v>
      </c>
      <c r="F30" s="640">
        <v>1665</v>
      </c>
      <c r="G30" s="640">
        <v>0</v>
      </c>
      <c r="H30" s="640">
        <v>0</v>
      </c>
      <c r="I30" s="640">
        <v>1665</v>
      </c>
      <c r="J30" s="1">
        <f>ROUND((F30+G30+H30)*(kopsavilkums!$O$8)*E30*12*(1+kopsavilkums!$O$23),2)</f>
        <v>2617.4899999999998</v>
      </c>
    </row>
    <row r="31" spans="2:10" s="12" customFormat="1" ht="12.75" x14ac:dyDescent="0.2">
      <c r="B31" s="645" t="s">
        <v>854</v>
      </c>
      <c r="C31" s="641" t="s">
        <v>536</v>
      </c>
      <c r="D31" s="643" t="s">
        <v>480</v>
      </c>
      <c r="E31" s="644">
        <v>0.3</v>
      </c>
      <c r="F31" s="640">
        <v>1665</v>
      </c>
      <c r="G31" s="640">
        <v>49.95</v>
      </c>
      <c r="H31" s="640">
        <v>0</v>
      </c>
      <c r="I31" s="640">
        <v>1714.95</v>
      </c>
      <c r="J31" s="1">
        <f>ROUND((F31+G31+H31)*(kopsavilkums!$O$8)*E31*12*(1+kopsavilkums!$O$23),2)</f>
        <v>808.8</v>
      </c>
    </row>
    <row r="32" spans="2:10" s="12" customFormat="1" ht="12.75" x14ac:dyDescent="0.2">
      <c r="B32" s="645" t="s">
        <v>853</v>
      </c>
      <c r="C32" s="641" t="s">
        <v>852</v>
      </c>
      <c r="D32" s="643" t="s">
        <v>473</v>
      </c>
      <c r="E32" s="644">
        <v>1</v>
      </c>
      <c r="F32" s="640">
        <v>1665</v>
      </c>
      <c r="G32" s="640">
        <v>0</v>
      </c>
      <c r="H32" s="640">
        <v>0</v>
      </c>
      <c r="I32" s="640">
        <v>1665</v>
      </c>
      <c r="J32" s="1">
        <f>ROUND((F32+G32+H32)*(kopsavilkums!$O$8)*E32*12*(1+kopsavilkums!$O$23),2)</f>
        <v>2617.4899999999998</v>
      </c>
    </row>
    <row r="33" spans="2:10" s="12" customFormat="1" ht="12.75" x14ac:dyDescent="0.2">
      <c r="B33" s="645" t="s">
        <v>853</v>
      </c>
      <c r="C33" s="641" t="s">
        <v>852</v>
      </c>
      <c r="D33" s="643" t="s">
        <v>473</v>
      </c>
      <c r="E33" s="644">
        <v>0.5</v>
      </c>
      <c r="F33" s="640">
        <v>1665</v>
      </c>
      <c r="G33" s="640">
        <v>0</v>
      </c>
      <c r="H33" s="640">
        <v>0</v>
      </c>
      <c r="I33" s="640">
        <v>1665</v>
      </c>
      <c r="J33" s="1">
        <f>ROUND((F33+G33+H33)*(kopsavilkums!$O$8)*E33*12*(1+kopsavilkums!$O$23),2)</f>
        <v>1308.74</v>
      </c>
    </row>
    <row r="34" spans="2:10" s="12" customFormat="1" ht="12.75" hidden="1" x14ac:dyDescent="0.2">
      <c r="B34" s="414"/>
      <c r="C34" s="497"/>
      <c r="D34" s="497"/>
      <c r="E34" s="415"/>
      <c r="F34" s="392"/>
      <c r="G34" s="416"/>
      <c r="H34" s="416"/>
      <c r="I34" s="142">
        <f t="shared" ref="I34" si="1">F34+G34+H34</f>
        <v>0</v>
      </c>
      <c r="J34" s="1"/>
    </row>
    <row r="35" spans="2:10" s="12" customFormat="1" ht="25.5" hidden="1" x14ac:dyDescent="0.2">
      <c r="B35" s="411" t="s">
        <v>88</v>
      </c>
      <c r="C35" s="496"/>
      <c r="D35" s="496"/>
      <c r="E35" s="412">
        <f>SUM(E36:E38)</f>
        <v>0</v>
      </c>
      <c r="F35" s="417">
        <f t="shared" ref="F35:I35" si="2">SUM(F36:F38)</f>
        <v>0</v>
      </c>
      <c r="G35" s="412">
        <f t="shared" si="2"/>
        <v>0</v>
      </c>
      <c r="H35" s="412">
        <f t="shared" si="2"/>
        <v>0</v>
      </c>
      <c r="I35" s="433">
        <f t="shared" si="2"/>
        <v>0</v>
      </c>
      <c r="J35" s="1"/>
    </row>
    <row r="36" spans="2:10" s="12" customFormat="1" ht="12.75" hidden="1" x14ac:dyDescent="0.2">
      <c r="B36" s="46"/>
      <c r="C36" s="489"/>
      <c r="D36" s="489"/>
      <c r="E36" s="415"/>
      <c r="F36" s="418"/>
      <c r="G36" s="416"/>
      <c r="H36" s="416"/>
      <c r="I36" s="142">
        <f>F36+G36+H36</f>
        <v>0</v>
      </c>
      <c r="J36" s="1"/>
    </row>
    <row r="37" spans="2:10" s="12" customFormat="1" ht="12.75" hidden="1" x14ac:dyDescent="0.2">
      <c r="B37" s="414"/>
      <c r="C37" s="497"/>
      <c r="D37" s="497"/>
      <c r="E37" s="415"/>
      <c r="F37" s="392"/>
      <c r="G37" s="416"/>
      <c r="H37" s="416"/>
      <c r="I37" s="142">
        <f>F37+G37+H37</f>
        <v>0</v>
      </c>
      <c r="J37" s="1"/>
    </row>
    <row r="38" spans="2:10" s="12" customFormat="1" ht="12.75" hidden="1" x14ac:dyDescent="0.2">
      <c r="B38" s="414"/>
      <c r="C38" s="497"/>
      <c r="D38" s="497"/>
      <c r="E38" s="415"/>
      <c r="F38" s="418"/>
      <c r="G38" s="416"/>
      <c r="H38" s="416"/>
      <c r="I38" s="142">
        <f>F38+G38+H38</f>
        <v>0</v>
      </c>
      <c r="J38" s="1"/>
    </row>
    <row r="39" spans="2:10" s="12" customFormat="1" ht="38.25" hidden="1" x14ac:dyDescent="0.2">
      <c r="B39" s="411" t="s">
        <v>95</v>
      </c>
      <c r="C39" s="496"/>
      <c r="D39" s="496"/>
      <c r="E39" s="412">
        <f>SUM(E40:E40)</f>
        <v>0</v>
      </c>
      <c r="F39" s="413">
        <f>SUM(F40:F40)</f>
        <v>0</v>
      </c>
      <c r="G39" s="412">
        <f>SUM(G40:G40)</f>
        <v>0</v>
      </c>
      <c r="H39" s="412">
        <f>SUM(H40:H40)</f>
        <v>0</v>
      </c>
      <c r="I39" s="433">
        <f>SUM(I40:I40)</f>
        <v>0</v>
      </c>
      <c r="J39" s="1"/>
    </row>
    <row r="40" spans="2:10" s="12" customFormat="1" ht="12.75" hidden="1" x14ac:dyDescent="0.2">
      <c r="B40" s="414"/>
      <c r="C40" s="497"/>
      <c r="D40" s="497"/>
      <c r="E40" s="415"/>
      <c r="F40" s="418"/>
      <c r="G40" s="416"/>
      <c r="H40" s="416"/>
      <c r="I40" s="142">
        <f>F40+G40+H40</f>
        <v>0</v>
      </c>
      <c r="J40" s="1"/>
    </row>
    <row r="41" spans="2:10" s="12" customFormat="1" ht="27" customHeight="1" x14ac:dyDescent="0.2">
      <c r="B41" s="419" t="s">
        <v>96</v>
      </c>
      <c r="C41" s="498"/>
      <c r="D41" s="498"/>
      <c r="E41" s="410">
        <f>E42</f>
        <v>10</v>
      </c>
      <c r="F41" s="410">
        <f t="shared" ref="F41:I41" si="3">F42</f>
        <v>9220</v>
      </c>
      <c r="G41" s="410">
        <f t="shared" si="3"/>
        <v>330.4</v>
      </c>
      <c r="H41" s="410">
        <f t="shared" si="3"/>
        <v>0</v>
      </c>
      <c r="I41" s="410">
        <f t="shared" si="3"/>
        <v>9550.4</v>
      </c>
      <c r="J41" s="1"/>
    </row>
    <row r="42" spans="2:10" s="12" customFormat="1" ht="38.25" x14ac:dyDescent="0.2">
      <c r="B42" s="411" t="s">
        <v>433</v>
      </c>
      <c r="C42" s="496"/>
      <c r="D42" s="496"/>
      <c r="E42" s="433">
        <f t="shared" ref="E42:H42" si="4">SUM(E43:E48)</f>
        <v>10</v>
      </c>
      <c r="F42" s="433">
        <f t="shared" si="4"/>
        <v>9220</v>
      </c>
      <c r="G42" s="433">
        <f t="shared" si="4"/>
        <v>330.4</v>
      </c>
      <c r="H42" s="433">
        <f t="shared" si="4"/>
        <v>0</v>
      </c>
      <c r="I42" s="433">
        <f>SUM(I43:I48)</f>
        <v>9550.4</v>
      </c>
      <c r="J42" s="1"/>
    </row>
    <row r="43" spans="2:10" s="12" customFormat="1" ht="12.75" x14ac:dyDescent="0.2">
      <c r="B43" s="645" t="s">
        <v>150</v>
      </c>
      <c r="C43" s="641" t="s">
        <v>468</v>
      </c>
      <c r="D43" s="643" t="s">
        <v>469</v>
      </c>
      <c r="E43" s="644">
        <v>1</v>
      </c>
      <c r="F43" s="640">
        <v>1720</v>
      </c>
      <c r="G43" s="640">
        <v>120.4</v>
      </c>
      <c r="H43" s="640">
        <v>0</v>
      </c>
      <c r="I43" s="640">
        <v>1840.4</v>
      </c>
      <c r="J43" s="1">
        <f>ROUND((F43+G43+H43)*(kopsavilkums!$O$8)*E43*12*(1+kopsavilkums!$O$23),2)</f>
        <v>2893.23</v>
      </c>
    </row>
    <row r="44" spans="2:10" s="12" customFormat="1" ht="12.75" x14ac:dyDescent="0.2">
      <c r="B44" s="645" t="s">
        <v>134</v>
      </c>
      <c r="C44" s="641" t="s">
        <v>468</v>
      </c>
      <c r="D44" s="643" t="s">
        <v>469</v>
      </c>
      <c r="E44" s="644">
        <v>1</v>
      </c>
      <c r="F44" s="640">
        <v>1500</v>
      </c>
      <c r="G44" s="640">
        <v>105</v>
      </c>
      <c r="H44" s="640">
        <v>0</v>
      </c>
      <c r="I44" s="640">
        <v>1605</v>
      </c>
      <c r="J44" s="1">
        <f>ROUND((F44+G44+H44)*(kopsavilkums!$O$8)*E44*12*(1+kopsavilkums!$O$23),2)</f>
        <v>2523.16</v>
      </c>
    </row>
    <row r="45" spans="2:10" s="12" customFormat="1" ht="12.75" x14ac:dyDescent="0.2">
      <c r="B45" s="645" t="s">
        <v>134</v>
      </c>
      <c r="C45" s="641" t="s">
        <v>468</v>
      </c>
      <c r="D45" s="643" t="s">
        <v>469</v>
      </c>
      <c r="E45" s="644">
        <v>1</v>
      </c>
      <c r="F45" s="640">
        <v>1500</v>
      </c>
      <c r="G45" s="640">
        <v>45</v>
      </c>
      <c r="H45" s="640">
        <v>0</v>
      </c>
      <c r="I45" s="640">
        <v>1545</v>
      </c>
      <c r="J45" s="1">
        <f>ROUND((F45+G45+H45)*(kopsavilkums!$O$8)*E45*12*(1+kopsavilkums!$O$23),2)</f>
        <v>2428.84</v>
      </c>
    </row>
    <row r="46" spans="2:10" s="12" customFormat="1" ht="12.75" x14ac:dyDescent="0.2">
      <c r="B46" s="645" t="s">
        <v>124</v>
      </c>
      <c r="C46" s="641" t="s">
        <v>470</v>
      </c>
      <c r="D46" s="643" t="s">
        <v>471</v>
      </c>
      <c r="E46" s="644">
        <v>1</v>
      </c>
      <c r="F46" s="640">
        <v>1500</v>
      </c>
      <c r="G46" s="640">
        <v>60</v>
      </c>
      <c r="H46" s="640">
        <v>0</v>
      </c>
      <c r="I46" s="640">
        <v>1560</v>
      </c>
      <c r="J46" s="1">
        <f>ROUND((F46+G46+H46)*(kopsavilkums!$O$8)*E46*12*(1+kopsavilkums!$O$23),2)</f>
        <v>2452.42</v>
      </c>
    </row>
    <row r="47" spans="2:10" s="12" customFormat="1" ht="12.75" x14ac:dyDescent="0.2">
      <c r="B47" s="645" t="s">
        <v>124</v>
      </c>
      <c r="C47" s="641" t="s">
        <v>470</v>
      </c>
      <c r="D47" s="643" t="s">
        <v>471</v>
      </c>
      <c r="E47" s="644">
        <v>5</v>
      </c>
      <c r="F47" s="640">
        <v>1500</v>
      </c>
      <c r="G47" s="640">
        <v>0</v>
      </c>
      <c r="H47" s="640">
        <v>0</v>
      </c>
      <c r="I47" s="640">
        <v>1500</v>
      </c>
      <c r="J47" s="1">
        <f>ROUND((F47+G47+H47)*(kopsavilkums!$O$8)*E47*12*(1+kopsavilkums!$O$23),2)</f>
        <v>11790.49</v>
      </c>
    </row>
    <row r="48" spans="2:10" s="12" customFormat="1" ht="12.75" x14ac:dyDescent="0.2">
      <c r="B48" s="646" t="s">
        <v>474</v>
      </c>
      <c r="C48" s="643" t="s">
        <v>852</v>
      </c>
      <c r="D48" s="643" t="s">
        <v>473</v>
      </c>
      <c r="E48" s="640">
        <v>1</v>
      </c>
      <c r="F48" s="640">
        <v>1500</v>
      </c>
      <c r="G48" s="640">
        <v>0</v>
      </c>
      <c r="H48" s="640">
        <v>0</v>
      </c>
      <c r="I48" s="640">
        <v>1500</v>
      </c>
      <c r="J48" s="1">
        <f>ROUND((F48+G48+H48)*(kopsavilkums!$O$8)*E48*12*(1+kopsavilkums!$O$23),2)</f>
        <v>2358.1</v>
      </c>
    </row>
    <row r="49" spans="2:10" s="12" customFormat="1" ht="27" customHeight="1" x14ac:dyDescent="0.2">
      <c r="B49" s="419" t="s">
        <v>594</v>
      </c>
      <c r="C49" s="498"/>
      <c r="D49" s="498"/>
      <c r="E49" s="410">
        <f>E50</f>
        <v>1</v>
      </c>
      <c r="F49" s="410">
        <f t="shared" ref="F49:I49" si="5">F50</f>
        <v>1150</v>
      </c>
      <c r="G49" s="410">
        <f t="shared" si="5"/>
        <v>0</v>
      </c>
      <c r="H49" s="410">
        <f t="shared" si="5"/>
        <v>0</v>
      </c>
      <c r="I49" s="410">
        <f t="shared" si="5"/>
        <v>1150</v>
      </c>
      <c r="J49" s="1"/>
    </row>
    <row r="50" spans="2:10" s="12" customFormat="1" ht="12.75" x14ac:dyDescent="0.2">
      <c r="B50" s="411" t="s">
        <v>475</v>
      </c>
      <c r="C50" s="496"/>
      <c r="D50" s="496"/>
      <c r="E50" s="412">
        <f>E51</f>
        <v>1</v>
      </c>
      <c r="F50" s="412">
        <f t="shared" ref="F50:I50" si="6">F51</f>
        <v>1150</v>
      </c>
      <c r="G50" s="412">
        <f t="shared" si="6"/>
        <v>0</v>
      </c>
      <c r="H50" s="412">
        <f t="shared" si="6"/>
        <v>0</v>
      </c>
      <c r="I50" s="412">
        <f t="shared" si="6"/>
        <v>1150</v>
      </c>
      <c r="J50" s="1"/>
    </row>
    <row r="51" spans="2:10" s="12" customFormat="1" ht="13.5" thickBot="1" x14ac:dyDescent="0.25">
      <c r="B51" s="646" t="s">
        <v>343</v>
      </c>
      <c r="C51" s="643" t="s">
        <v>476</v>
      </c>
      <c r="D51" s="647"/>
      <c r="E51" s="640">
        <v>1</v>
      </c>
      <c r="F51" s="640">
        <v>1150</v>
      </c>
      <c r="G51" s="640">
        <v>0</v>
      </c>
      <c r="H51" s="640">
        <v>0</v>
      </c>
      <c r="I51" s="640">
        <v>1150</v>
      </c>
      <c r="J51" s="1">
        <f>ROUND((F51+G51+H51)*(kopsavilkums!$O$15)*E51*12*(1+kopsavilkums!$O$23),2)</f>
        <v>1176.82</v>
      </c>
    </row>
    <row r="52" spans="2:10" s="12" customFormat="1" ht="14.25" thickBot="1" x14ac:dyDescent="0.25">
      <c r="B52" s="423" t="s">
        <v>146</v>
      </c>
      <c r="C52" s="499"/>
      <c r="D52" s="499"/>
      <c r="E52" s="424">
        <f>E10+E41+E49</f>
        <v>27.3</v>
      </c>
      <c r="F52" s="425" t="s">
        <v>29</v>
      </c>
      <c r="G52" s="425" t="s">
        <v>29</v>
      </c>
      <c r="H52" s="425" t="s">
        <v>29</v>
      </c>
      <c r="I52" s="461" t="s">
        <v>29</v>
      </c>
      <c r="J52" s="1"/>
    </row>
    <row r="53" spans="2:10" s="12" customFormat="1" ht="27" customHeight="1" x14ac:dyDescent="0.2">
      <c r="B53" s="1109" t="s">
        <v>345</v>
      </c>
      <c r="C53" s="1110"/>
      <c r="D53" s="1110"/>
      <c r="E53" s="1110"/>
      <c r="F53" s="1110"/>
      <c r="G53" s="1110"/>
      <c r="H53" s="1110"/>
      <c r="I53" s="1110"/>
      <c r="J53" s="1"/>
    </row>
    <row r="54" spans="2:10" s="12" customFormat="1" ht="24.75" customHeight="1" x14ac:dyDescent="0.2">
      <c r="B54" s="407" t="s">
        <v>60</v>
      </c>
      <c r="C54" s="495"/>
      <c r="D54" s="495"/>
      <c r="E54" s="410">
        <f>E55+E57+E61</f>
        <v>5.6</v>
      </c>
      <c r="F54" s="409">
        <f t="shared" ref="F54:I54" si="7">F55+F57+F61</f>
        <v>5841</v>
      </c>
      <c r="G54" s="410">
        <f t="shared" si="7"/>
        <v>584</v>
      </c>
      <c r="H54" s="410">
        <f t="shared" si="7"/>
        <v>0</v>
      </c>
      <c r="I54" s="458">
        <f t="shared" si="7"/>
        <v>6425</v>
      </c>
      <c r="J54" s="1"/>
    </row>
    <row r="55" spans="2:10" s="12" customFormat="1" ht="12.75" x14ac:dyDescent="0.2">
      <c r="B55" s="411" t="s">
        <v>61</v>
      </c>
      <c r="C55" s="496"/>
      <c r="D55" s="496"/>
      <c r="E55" s="412">
        <f>E56</f>
        <v>3.5</v>
      </c>
      <c r="F55" s="413">
        <f t="shared" ref="F55:I55" si="8">F56</f>
        <v>2321</v>
      </c>
      <c r="G55" s="412">
        <f t="shared" si="8"/>
        <v>232</v>
      </c>
      <c r="H55" s="412">
        <f t="shared" si="8"/>
        <v>0</v>
      </c>
      <c r="I55" s="433">
        <f t="shared" si="8"/>
        <v>2553</v>
      </c>
      <c r="J55" s="1"/>
    </row>
    <row r="56" spans="2:10" s="12" customFormat="1" ht="12.75" x14ac:dyDescent="0.2">
      <c r="B56" s="648" t="s">
        <v>148</v>
      </c>
      <c r="C56" s="649" t="s">
        <v>477</v>
      </c>
      <c r="D56" s="649" t="s">
        <v>478</v>
      </c>
      <c r="E56" s="650">
        <v>3.5</v>
      </c>
      <c r="F56" s="651">
        <v>2321</v>
      </c>
      <c r="G56" s="651">
        <v>232</v>
      </c>
      <c r="H56" s="651">
        <v>0</v>
      </c>
      <c r="I56" s="652">
        <f>F56+G56+H56</f>
        <v>2553</v>
      </c>
      <c r="J56" s="1">
        <f>ROUND((F56+G56+H56)*(kopsavilkums!$O$8)*E56*12*(1+kopsavilkums!$O$23),2)</f>
        <v>14047.19</v>
      </c>
    </row>
    <row r="57" spans="2:10" s="12" customFormat="1" ht="38.25" x14ac:dyDescent="0.2">
      <c r="B57" s="411" t="s">
        <v>596</v>
      </c>
      <c r="C57" s="496"/>
      <c r="D57" s="496"/>
      <c r="E57" s="412">
        <f>SUM(E58:E60)</f>
        <v>2.1</v>
      </c>
      <c r="F57" s="413">
        <f t="shared" ref="F57:H57" si="9">SUM(F58:F60)</f>
        <v>3520</v>
      </c>
      <c r="G57" s="412">
        <f t="shared" si="9"/>
        <v>352</v>
      </c>
      <c r="H57" s="412">
        <f t="shared" si="9"/>
        <v>0</v>
      </c>
      <c r="I57" s="433">
        <f>SUM(I58:I60)</f>
        <v>3872</v>
      </c>
      <c r="J57" s="1"/>
    </row>
    <row r="58" spans="2:10" s="12" customFormat="1" ht="12.75" x14ac:dyDescent="0.2">
      <c r="B58" s="648" t="s">
        <v>245</v>
      </c>
      <c r="C58" s="653" t="s">
        <v>479</v>
      </c>
      <c r="D58" s="649" t="s">
        <v>480</v>
      </c>
      <c r="E58" s="650">
        <v>1.1000000000000001</v>
      </c>
      <c r="F58" s="651">
        <v>1920</v>
      </c>
      <c r="G58" s="651">
        <v>192</v>
      </c>
      <c r="H58" s="651">
        <v>0</v>
      </c>
      <c r="I58" s="652">
        <f>F58+G58+H58</f>
        <v>2112</v>
      </c>
      <c r="J58" s="1">
        <f>ROUND((F58+G58+H58)*(kopsavilkums!$O$8)*E58*12*(1+kopsavilkums!$O$23),2)</f>
        <v>3652.22</v>
      </c>
    </row>
    <row r="59" spans="2:10" s="12" customFormat="1" ht="13.5" thickBot="1" x14ac:dyDescent="0.25">
      <c r="B59" s="648" t="s">
        <v>149</v>
      </c>
      <c r="C59" s="649" t="s">
        <v>472</v>
      </c>
      <c r="D59" s="649" t="s">
        <v>473</v>
      </c>
      <c r="E59" s="650">
        <v>1</v>
      </c>
      <c r="F59" s="651">
        <v>1600</v>
      </c>
      <c r="G59" s="651">
        <v>160</v>
      </c>
      <c r="H59" s="651">
        <v>0</v>
      </c>
      <c r="I59" s="652">
        <f>F59+G59+H59</f>
        <v>1760</v>
      </c>
      <c r="J59" s="1">
        <f>ROUND((F59+G59+H59)*(kopsavilkums!$O$8)*E59*12*(1+kopsavilkums!$O$23),2)</f>
        <v>2766.83</v>
      </c>
    </row>
    <row r="60" spans="2:10" s="12" customFormat="1" ht="12.75" hidden="1" x14ac:dyDescent="0.2">
      <c r="B60" s="414"/>
      <c r="C60" s="497"/>
      <c r="D60" s="497"/>
      <c r="E60" s="420"/>
      <c r="F60" s="426"/>
      <c r="G60" s="422"/>
      <c r="H60" s="422"/>
      <c r="I60" s="460">
        <f>F60+G60+H60</f>
        <v>0</v>
      </c>
      <c r="J60" s="1"/>
    </row>
    <row r="61" spans="2:10" s="12" customFormat="1" ht="25.5" hidden="1" x14ac:dyDescent="0.2">
      <c r="B61" s="411" t="s">
        <v>88</v>
      </c>
      <c r="C61" s="496"/>
      <c r="D61" s="496"/>
      <c r="E61" s="427">
        <f>SUM(E62:E64)</f>
        <v>0</v>
      </c>
      <c r="F61" s="428">
        <f t="shared" ref="F61:I61" si="10">SUM(F62:F64)</f>
        <v>0</v>
      </c>
      <c r="G61" s="427">
        <f t="shared" si="10"/>
        <v>0</v>
      </c>
      <c r="H61" s="427">
        <f t="shared" si="10"/>
        <v>0</v>
      </c>
      <c r="I61" s="462">
        <f t="shared" si="10"/>
        <v>0</v>
      </c>
      <c r="J61" s="1"/>
    </row>
    <row r="62" spans="2:10" s="12" customFormat="1" ht="12.75" hidden="1" x14ac:dyDescent="0.2">
      <c r="B62" s="46"/>
      <c r="C62" s="489"/>
      <c r="D62" s="489"/>
      <c r="E62" s="420"/>
      <c r="F62" s="426"/>
      <c r="G62" s="422"/>
      <c r="H62" s="422"/>
      <c r="I62" s="460">
        <f>F62+G62+H62</f>
        <v>0</v>
      </c>
      <c r="J62" s="1"/>
    </row>
    <row r="63" spans="2:10" s="12" customFormat="1" ht="12.75" hidden="1" x14ac:dyDescent="0.2">
      <c r="B63" s="414"/>
      <c r="C63" s="497"/>
      <c r="D63" s="497"/>
      <c r="E63" s="420"/>
      <c r="F63" s="421"/>
      <c r="G63" s="422"/>
      <c r="H63" s="422"/>
      <c r="I63" s="460">
        <f>F63+G63+H63</f>
        <v>0</v>
      </c>
      <c r="J63" s="1"/>
    </row>
    <row r="64" spans="2:10" s="12" customFormat="1" ht="12.75" hidden="1" x14ac:dyDescent="0.2">
      <c r="B64" s="414"/>
      <c r="C64" s="497"/>
      <c r="D64" s="497"/>
      <c r="E64" s="420"/>
      <c r="F64" s="426"/>
      <c r="G64" s="422"/>
      <c r="H64" s="422"/>
      <c r="I64" s="460">
        <f>F64+G64+H64</f>
        <v>0</v>
      </c>
      <c r="J64" s="1"/>
    </row>
    <row r="65" spans="2:10" s="12" customFormat="1" ht="27" hidden="1" customHeight="1" x14ac:dyDescent="0.2">
      <c r="B65" s="419" t="s">
        <v>96</v>
      </c>
      <c r="C65" s="498"/>
      <c r="D65" s="498"/>
      <c r="E65" s="410">
        <f>E66</f>
        <v>0</v>
      </c>
      <c r="F65" s="429">
        <f t="shared" ref="F65:I66" si="11">F66</f>
        <v>0</v>
      </c>
      <c r="G65" s="410">
        <f t="shared" si="11"/>
        <v>0</v>
      </c>
      <c r="H65" s="410">
        <f t="shared" si="11"/>
        <v>0</v>
      </c>
      <c r="I65" s="458">
        <f t="shared" si="11"/>
        <v>0</v>
      </c>
      <c r="J65" s="1"/>
    </row>
    <row r="66" spans="2:10" s="12" customFormat="1" ht="25.5" hidden="1" x14ac:dyDescent="0.2">
      <c r="B66" s="411" t="s">
        <v>235</v>
      </c>
      <c r="C66" s="496"/>
      <c r="D66" s="496"/>
      <c r="E66" s="412">
        <f>E67</f>
        <v>0</v>
      </c>
      <c r="F66" s="417">
        <f t="shared" si="11"/>
        <v>0</v>
      </c>
      <c r="G66" s="412">
        <f t="shared" si="11"/>
        <v>0</v>
      </c>
      <c r="H66" s="412">
        <f t="shared" si="11"/>
        <v>0</v>
      </c>
      <c r="I66" s="433">
        <f t="shared" si="11"/>
        <v>0</v>
      </c>
      <c r="J66" s="1"/>
    </row>
    <row r="67" spans="2:10" s="12" customFormat="1" ht="13.5" hidden="1" thickBot="1" x14ac:dyDescent="0.25">
      <c r="B67" s="414"/>
      <c r="C67" s="497"/>
      <c r="D67" s="497"/>
      <c r="E67" s="415"/>
      <c r="F67" s="418"/>
      <c r="G67" s="416"/>
      <c r="H67" s="416"/>
      <c r="I67" s="142">
        <f>F67+G67+H67</f>
        <v>0</v>
      </c>
      <c r="J67" s="1"/>
    </row>
    <row r="68" spans="2:10" s="12" customFormat="1" ht="14.25" thickBot="1" x14ac:dyDescent="0.25">
      <c r="B68" s="423" t="s">
        <v>146</v>
      </c>
      <c r="C68" s="499"/>
      <c r="D68" s="499"/>
      <c r="E68" s="424">
        <f>E54+E65</f>
        <v>5.6</v>
      </c>
      <c r="F68" s="425" t="s">
        <v>29</v>
      </c>
      <c r="G68" s="425" t="s">
        <v>29</v>
      </c>
      <c r="H68" s="425" t="s">
        <v>29</v>
      </c>
      <c r="I68" s="461" t="s">
        <v>29</v>
      </c>
      <c r="J68" s="1"/>
    </row>
    <row r="69" spans="2:10" s="140" customFormat="1" ht="36.75" customHeight="1" x14ac:dyDescent="0.25">
      <c r="B69" s="1123" t="s">
        <v>374</v>
      </c>
      <c r="C69" s="1124"/>
      <c r="D69" s="1124"/>
      <c r="E69" s="1124"/>
      <c r="F69" s="1124"/>
      <c r="G69" s="1124"/>
      <c r="H69" s="1124"/>
      <c r="I69" s="1124"/>
      <c r="J69" s="470"/>
    </row>
    <row r="70" spans="2:10" s="12" customFormat="1" ht="24.75" customHeight="1" x14ac:dyDescent="0.2">
      <c r="B70" s="407" t="s">
        <v>60</v>
      </c>
      <c r="C70" s="495"/>
      <c r="D70" s="495"/>
      <c r="E70" s="410">
        <f>E71+E73+E77</f>
        <v>2</v>
      </c>
      <c r="F70" s="409">
        <f t="shared" ref="F70:I70" si="12">F71+F73+F77</f>
        <v>2232</v>
      </c>
      <c r="G70" s="410">
        <f t="shared" si="12"/>
        <v>0</v>
      </c>
      <c r="H70" s="410">
        <f t="shared" si="12"/>
        <v>100.44</v>
      </c>
      <c r="I70" s="458">
        <f t="shared" si="12"/>
        <v>2332.4399999999996</v>
      </c>
      <c r="J70" s="1"/>
    </row>
    <row r="71" spans="2:10" s="12" customFormat="1" ht="12.75" hidden="1" x14ac:dyDescent="0.2">
      <c r="B71" s="411" t="s">
        <v>61</v>
      </c>
      <c r="C71" s="496"/>
      <c r="D71" s="496"/>
      <c r="E71" s="412">
        <f>E72</f>
        <v>0</v>
      </c>
      <c r="F71" s="413">
        <f t="shared" ref="F71:I71" si="13">F72</f>
        <v>0</v>
      </c>
      <c r="G71" s="412">
        <f t="shared" si="13"/>
        <v>0</v>
      </c>
      <c r="H71" s="412">
        <f t="shared" si="13"/>
        <v>0</v>
      </c>
      <c r="I71" s="433">
        <f t="shared" si="13"/>
        <v>0</v>
      </c>
      <c r="J71" s="1"/>
    </row>
    <row r="72" spans="2:10" s="12" customFormat="1" ht="12.75" hidden="1" x14ac:dyDescent="0.2">
      <c r="B72" s="414"/>
      <c r="C72" s="508"/>
      <c r="D72" s="507"/>
      <c r="E72" s="415"/>
      <c r="F72" s="392"/>
      <c r="G72" s="416"/>
      <c r="H72" s="416"/>
      <c r="I72" s="459"/>
      <c r="J72" s="1"/>
    </row>
    <row r="73" spans="2:10" s="12" customFormat="1" ht="38.25" hidden="1" x14ac:dyDescent="0.2">
      <c r="B73" s="411" t="s">
        <v>87</v>
      </c>
      <c r="C73" s="496"/>
      <c r="D73" s="496"/>
      <c r="E73" s="412">
        <f>SUM(E74:E76)</f>
        <v>0</v>
      </c>
      <c r="F73" s="413">
        <f t="shared" ref="F73:H73" si="14">SUM(F74:F76)</f>
        <v>0</v>
      </c>
      <c r="G73" s="412">
        <f t="shared" si="14"/>
        <v>0</v>
      </c>
      <c r="H73" s="412">
        <f t="shared" si="14"/>
        <v>0</v>
      </c>
      <c r="I73" s="433">
        <f>SUM(I74:I76)</f>
        <v>0</v>
      </c>
      <c r="J73" s="1"/>
    </row>
    <row r="74" spans="2:10" s="12" customFormat="1" ht="12.75" hidden="1" x14ac:dyDescent="0.2">
      <c r="B74" s="414" t="s">
        <v>121</v>
      </c>
      <c r="C74" s="497"/>
      <c r="D74" s="497"/>
      <c r="E74" s="415"/>
      <c r="F74" s="392"/>
      <c r="G74" s="416"/>
      <c r="H74" s="416"/>
      <c r="I74" s="142">
        <f>F74+G74+H74</f>
        <v>0</v>
      </c>
      <c r="J74" s="1"/>
    </row>
    <row r="75" spans="2:10" s="12" customFormat="1" ht="12.75" hidden="1" x14ac:dyDescent="0.2">
      <c r="B75" s="414" t="s">
        <v>126</v>
      </c>
      <c r="C75" s="497"/>
      <c r="D75" s="497"/>
      <c r="E75" s="415"/>
      <c r="F75" s="392"/>
      <c r="G75" s="416"/>
      <c r="H75" s="416"/>
      <c r="I75" s="142">
        <f>F75+G75+H75</f>
        <v>0</v>
      </c>
      <c r="J75" s="1"/>
    </row>
    <row r="76" spans="2:10" s="12" customFormat="1" ht="12.75" hidden="1" x14ac:dyDescent="0.2">
      <c r="B76" s="414" t="s">
        <v>128</v>
      </c>
      <c r="C76" s="497"/>
      <c r="D76" s="497"/>
      <c r="E76" s="415"/>
      <c r="F76" s="392"/>
      <c r="G76" s="416"/>
      <c r="H76" s="416"/>
      <c r="I76" s="142">
        <f>F76+G76+H76</f>
        <v>0</v>
      </c>
      <c r="J76" s="1"/>
    </row>
    <row r="77" spans="2:10" s="12" customFormat="1" ht="38.25" x14ac:dyDescent="0.2">
      <c r="B77" s="411" t="s">
        <v>434</v>
      </c>
      <c r="C77" s="496"/>
      <c r="D77" s="496"/>
      <c r="E77" s="412">
        <f>SUM(E78:E79)</f>
        <v>2</v>
      </c>
      <c r="F77" s="412">
        <f>SUM(F78:F79)</f>
        <v>2232</v>
      </c>
      <c r="G77" s="412">
        <f>SUM(G78:G79)</f>
        <v>0</v>
      </c>
      <c r="H77" s="412">
        <f>SUM(H78:H79)</f>
        <v>100.44</v>
      </c>
      <c r="I77" s="412">
        <f>SUM(I78:I79)</f>
        <v>2332.4399999999996</v>
      </c>
      <c r="J77" s="1"/>
    </row>
    <row r="78" spans="2:10" s="12" customFormat="1" ht="12.75" x14ac:dyDescent="0.2">
      <c r="B78" s="655" t="s">
        <v>107</v>
      </c>
      <c r="C78" s="656" t="s">
        <v>855</v>
      </c>
      <c r="D78" s="657" t="s">
        <v>856</v>
      </c>
      <c r="E78" s="658">
        <v>1</v>
      </c>
      <c r="F78" s="659">
        <v>1116</v>
      </c>
      <c r="G78" s="652">
        <v>0</v>
      </c>
      <c r="H78" s="652">
        <v>78.12</v>
      </c>
      <c r="I78" s="659">
        <f>F78+G78+H78</f>
        <v>1194.1199999999999</v>
      </c>
      <c r="J78" s="120">
        <f>ROUND((F78+G78+H78)*(kopsavilkums!$O$12)*E78*12*(1+kopsavilkums!$O$23),2)</f>
        <v>1151.1300000000001</v>
      </c>
    </row>
    <row r="79" spans="2:10" s="12" customFormat="1" ht="12.75" x14ac:dyDescent="0.2">
      <c r="B79" s="655" t="s">
        <v>107</v>
      </c>
      <c r="C79" s="656" t="s">
        <v>486</v>
      </c>
      <c r="D79" s="657" t="s">
        <v>487</v>
      </c>
      <c r="E79" s="658">
        <v>1</v>
      </c>
      <c r="F79" s="659">
        <v>1116</v>
      </c>
      <c r="G79" s="652">
        <v>0</v>
      </c>
      <c r="H79" s="652">
        <v>22.32</v>
      </c>
      <c r="I79" s="659">
        <f>F79+G79+H79</f>
        <v>1138.32</v>
      </c>
      <c r="J79" s="120">
        <f>ROUND((F79+G79+H79)*(kopsavilkums!$O$12)*E79*12*(1+kopsavilkums!$O$23),2)</f>
        <v>1097.3399999999999</v>
      </c>
    </row>
    <row r="80" spans="2:10" s="12" customFormat="1" ht="27" customHeight="1" x14ac:dyDescent="0.2">
      <c r="B80" s="419" t="s">
        <v>96</v>
      </c>
      <c r="C80" s="498"/>
      <c r="D80" s="498"/>
      <c r="E80" s="408">
        <f>E81</f>
        <v>1</v>
      </c>
      <c r="F80" s="429">
        <f t="shared" ref="F80:I81" si="15">F81</f>
        <v>1116</v>
      </c>
      <c r="G80" s="410">
        <f t="shared" si="15"/>
        <v>0</v>
      </c>
      <c r="H80" s="410">
        <f t="shared" si="15"/>
        <v>22.32</v>
      </c>
      <c r="I80" s="458">
        <f t="shared" si="15"/>
        <v>1138.32</v>
      </c>
      <c r="J80" s="1"/>
    </row>
    <row r="81" spans="2:10" s="12" customFormat="1" ht="38.25" x14ac:dyDescent="0.2">
      <c r="B81" s="411" t="s">
        <v>430</v>
      </c>
      <c r="C81" s="496"/>
      <c r="D81" s="496"/>
      <c r="E81" s="412">
        <f>E82</f>
        <v>1</v>
      </c>
      <c r="F81" s="412">
        <f t="shared" si="15"/>
        <v>1116</v>
      </c>
      <c r="G81" s="412">
        <f t="shared" si="15"/>
        <v>0</v>
      </c>
      <c r="H81" s="412">
        <f t="shared" si="15"/>
        <v>22.32</v>
      </c>
      <c r="I81" s="412">
        <f t="shared" si="15"/>
        <v>1138.32</v>
      </c>
      <c r="J81" s="1"/>
    </row>
    <row r="82" spans="2:10" s="12" customFormat="1" ht="13.5" thickBot="1" x14ac:dyDescent="0.25">
      <c r="B82" s="660" t="s">
        <v>112</v>
      </c>
      <c r="C82" s="656" t="s">
        <v>529</v>
      </c>
      <c r="D82" s="647" t="s">
        <v>490</v>
      </c>
      <c r="E82" s="658">
        <v>1</v>
      </c>
      <c r="F82" s="659">
        <v>1116</v>
      </c>
      <c r="G82" s="652">
        <v>0</v>
      </c>
      <c r="H82" s="652">
        <v>22.32</v>
      </c>
      <c r="I82" s="659">
        <f>F82+G82+H82</f>
        <v>1138.32</v>
      </c>
      <c r="J82" s="120">
        <f>ROUND((F82+G82+H82)*(kopsavilkums!$O$12)*E82*12*(1+kopsavilkums!$O$23),2)</f>
        <v>1097.3399999999999</v>
      </c>
    </row>
    <row r="83" spans="2:10" s="12" customFormat="1" ht="14.25" thickBot="1" x14ac:dyDescent="0.25">
      <c r="B83" s="423" t="s">
        <v>146</v>
      </c>
      <c r="C83" s="499"/>
      <c r="D83" s="499"/>
      <c r="E83" s="424">
        <f>E70+E80</f>
        <v>3</v>
      </c>
      <c r="F83" s="425" t="s">
        <v>29</v>
      </c>
      <c r="G83" s="425" t="s">
        <v>29</v>
      </c>
      <c r="H83" s="425" t="s">
        <v>29</v>
      </c>
      <c r="I83" s="461" t="s">
        <v>29</v>
      </c>
      <c r="J83" s="1"/>
    </row>
    <row r="84" spans="2:10" s="140" customFormat="1" ht="38.25" customHeight="1" x14ac:dyDescent="0.25">
      <c r="B84" s="1109" t="s">
        <v>375</v>
      </c>
      <c r="C84" s="1110"/>
      <c r="D84" s="1110"/>
      <c r="E84" s="1110"/>
      <c r="F84" s="1110"/>
      <c r="G84" s="1110"/>
      <c r="H84" s="1110"/>
      <c r="I84" s="1110"/>
      <c r="J84" s="470"/>
    </row>
    <row r="85" spans="2:10" s="12" customFormat="1" ht="24.75" customHeight="1" x14ac:dyDescent="0.2">
      <c r="B85" s="407" t="s">
        <v>60</v>
      </c>
      <c r="C85" s="495"/>
      <c r="D85" s="495"/>
      <c r="E85" s="410">
        <f>E86+E88+E90</f>
        <v>2</v>
      </c>
      <c r="F85" s="409">
        <f>F86+F88+F90</f>
        <v>3045.6</v>
      </c>
      <c r="G85" s="410">
        <f>G86+G88+G90</f>
        <v>0</v>
      </c>
      <c r="H85" s="410">
        <f>H86+H88+H90</f>
        <v>0</v>
      </c>
      <c r="I85" s="458">
        <f>I86+I88+I90</f>
        <v>3045.6</v>
      </c>
      <c r="J85" s="1"/>
    </row>
    <row r="86" spans="2:10" s="12" customFormat="1" ht="12.75" hidden="1" x14ac:dyDescent="0.2">
      <c r="B86" s="411" t="s">
        <v>61</v>
      </c>
      <c r="C86" s="496"/>
      <c r="D86" s="496"/>
      <c r="E86" s="412">
        <f>E87</f>
        <v>0</v>
      </c>
      <c r="F86" s="413">
        <f t="shared" ref="F86:I86" si="16">F87</f>
        <v>0</v>
      </c>
      <c r="G86" s="412">
        <f t="shared" si="16"/>
        <v>0</v>
      </c>
      <c r="H86" s="412">
        <f t="shared" si="16"/>
        <v>0</v>
      </c>
      <c r="I86" s="433">
        <f t="shared" si="16"/>
        <v>0</v>
      </c>
      <c r="J86" s="1"/>
    </row>
    <row r="87" spans="2:10" s="12" customFormat="1" ht="12.75" hidden="1" x14ac:dyDescent="0.2">
      <c r="B87" s="414"/>
      <c r="C87" s="508"/>
      <c r="D87" s="507"/>
      <c r="E87" s="415"/>
      <c r="F87" s="392"/>
      <c r="G87" s="416"/>
      <c r="H87" s="416"/>
      <c r="I87" s="459"/>
      <c r="J87" s="1"/>
    </row>
    <row r="88" spans="2:10" s="12" customFormat="1" ht="38.25" x14ac:dyDescent="0.2">
      <c r="B88" s="411" t="s">
        <v>596</v>
      </c>
      <c r="C88" s="496"/>
      <c r="D88" s="496"/>
      <c r="E88" s="412">
        <f>SUM(E89:E89)</f>
        <v>1</v>
      </c>
      <c r="F88" s="413">
        <f>SUM(F89:F89)</f>
        <v>1920</v>
      </c>
      <c r="G88" s="412">
        <f>SUM(G89:G89)</f>
        <v>0</v>
      </c>
      <c r="H88" s="412">
        <f>SUM(H89:H89)</f>
        <v>0</v>
      </c>
      <c r="I88" s="433">
        <f>SUM(I89:I89)</f>
        <v>1920</v>
      </c>
      <c r="J88" s="1"/>
    </row>
    <row r="89" spans="2:10" s="12" customFormat="1" ht="12.75" x14ac:dyDescent="0.2">
      <c r="B89" s="648" t="s">
        <v>121</v>
      </c>
      <c r="C89" s="653" t="s">
        <v>470</v>
      </c>
      <c r="D89" s="649" t="s">
        <v>471</v>
      </c>
      <c r="E89" s="650">
        <v>1</v>
      </c>
      <c r="F89" s="654">
        <v>1920</v>
      </c>
      <c r="G89" s="651">
        <v>0</v>
      </c>
      <c r="H89" s="651">
        <v>0</v>
      </c>
      <c r="I89" s="659">
        <f>F89+G89+H89</f>
        <v>1920</v>
      </c>
      <c r="J89" s="1">
        <f>ROUND((F89+G89+H89)*(kopsavilkums!$O$8)*E89*12*(1+kopsavilkums!$O$23),2)</f>
        <v>3018.36</v>
      </c>
    </row>
    <row r="90" spans="2:10" s="12" customFormat="1" ht="38.25" x14ac:dyDescent="0.2">
      <c r="B90" s="411" t="s">
        <v>434</v>
      </c>
      <c r="C90" s="496"/>
      <c r="D90" s="496"/>
      <c r="E90" s="412">
        <f>SUM(E91:E91)</f>
        <v>1</v>
      </c>
      <c r="F90" s="413">
        <f>SUM(F91:F91)</f>
        <v>1125.5999999999999</v>
      </c>
      <c r="G90" s="412">
        <f>SUM(G91:G91)</f>
        <v>0</v>
      </c>
      <c r="H90" s="412">
        <f>SUM(H91:H91)</f>
        <v>0</v>
      </c>
      <c r="I90" s="433">
        <f>SUM(I91:I91)</f>
        <v>1125.5999999999999</v>
      </c>
      <c r="J90" s="1"/>
    </row>
    <row r="91" spans="2:10" s="12" customFormat="1" ht="12.75" x14ac:dyDescent="0.2">
      <c r="B91" s="663" t="s">
        <v>112</v>
      </c>
      <c r="C91" s="664" t="s">
        <v>529</v>
      </c>
      <c r="D91" s="649" t="s">
        <v>488</v>
      </c>
      <c r="E91" s="658">
        <v>1</v>
      </c>
      <c r="F91" s="659">
        <v>1125.5999999999999</v>
      </c>
      <c r="G91" s="652">
        <v>0</v>
      </c>
      <c r="H91" s="652">
        <v>0</v>
      </c>
      <c r="I91" s="659">
        <f>F91+G91+H91</f>
        <v>1125.5999999999999</v>
      </c>
      <c r="J91" s="120">
        <f>ROUND((F91+G91+H91)*(kopsavilkums!$O$12)*E91*12*(1+kopsavilkums!$O$23),2)</f>
        <v>1085.08</v>
      </c>
    </row>
    <row r="92" spans="2:10" s="12" customFormat="1" ht="27" customHeight="1" x14ac:dyDescent="0.2">
      <c r="B92" s="419" t="s">
        <v>96</v>
      </c>
      <c r="C92" s="498"/>
      <c r="D92" s="498"/>
      <c r="E92" s="410">
        <f>E93+E95</f>
        <v>2</v>
      </c>
      <c r="F92" s="410">
        <f>F93+F95</f>
        <v>2555.6</v>
      </c>
      <c r="G92" s="410">
        <f>G93+G95</f>
        <v>0</v>
      </c>
      <c r="H92" s="410">
        <f>H93+H95</f>
        <v>0</v>
      </c>
      <c r="I92" s="410">
        <f>I93+I95</f>
        <v>2555.6</v>
      </c>
      <c r="J92" s="120"/>
    </row>
    <row r="93" spans="2:10" s="12" customFormat="1" ht="38.25" x14ac:dyDescent="0.2">
      <c r="B93" s="411" t="s">
        <v>430</v>
      </c>
      <c r="C93" s="496"/>
      <c r="D93" s="496"/>
      <c r="E93" s="412">
        <f>E94</f>
        <v>1</v>
      </c>
      <c r="F93" s="412">
        <f t="shared" ref="F93:I93" si="17">F94</f>
        <v>1430</v>
      </c>
      <c r="G93" s="412">
        <f t="shared" si="17"/>
        <v>0</v>
      </c>
      <c r="H93" s="412">
        <f t="shared" si="17"/>
        <v>0</v>
      </c>
      <c r="I93" s="412">
        <f t="shared" si="17"/>
        <v>1430</v>
      </c>
      <c r="J93" s="120"/>
    </row>
    <row r="94" spans="2:10" s="12" customFormat="1" ht="12.75" x14ac:dyDescent="0.2">
      <c r="B94" s="665" t="s">
        <v>108</v>
      </c>
      <c r="C94" s="653" t="s">
        <v>492</v>
      </c>
      <c r="D94" s="666" t="s">
        <v>490</v>
      </c>
      <c r="E94" s="667">
        <v>1</v>
      </c>
      <c r="F94" s="668">
        <v>1430</v>
      </c>
      <c r="G94" s="669">
        <v>0</v>
      </c>
      <c r="H94" s="669">
        <v>0</v>
      </c>
      <c r="I94" s="670">
        <f>F94+G94+H94</f>
        <v>1430</v>
      </c>
      <c r="J94" s="120">
        <f>ROUND((F94+G94+H94)*(kopsavilkums!$O$12)*E94*12*(1+kopsavilkums!$O$23),2)</f>
        <v>1378.52</v>
      </c>
    </row>
    <row r="95" spans="2:10" s="12" customFormat="1" ht="25.5" x14ac:dyDescent="0.2">
      <c r="B95" s="661" t="s">
        <v>431</v>
      </c>
      <c r="C95" s="661"/>
      <c r="D95" s="661"/>
      <c r="E95" s="662">
        <f>E96</f>
        <v>1</v>
      </c>
      <c r="F95" s="662">
        <f t="shared" ref="F95:I95" si="18">F96</f>
        <v>1125.5999999999999</v>
      </c>
      <c r="G95" s="662">
        <f t="shared" si="18"/>
        <v>0</v>
      </c>
      <c r="H95" s="662">
        <f t="shared" si="18"/>
        <v>0</v>
      </c>
      <c r="I95" s="662">
        <f t="shared" si="18"/>
        <v>1125.5999999999999</v>
      </c>
      <c r="J95" s="120"/>
    </row>
    <row r="96" spans="2:10" s="12" customFormat="1" ht="13.5" thickBot="1" x14ac:dyDescent="0.25">
      <c r="B96" s="671" t="s">
        <v>243</v>
      </c>
      <c r="C96" s="664" t="s">
        <v>486</v>
      </c>
      <c r="D96" s="672" t="s">
        <v>487</v>
      </c>
      <c r="E96" s="650">
        <v>1</v>
      </c>
      <c r="F96" s="654">
        <v>1125.5999999999999</v>
      </c>
      <c r="G96" s="651">
        <v>0</v>
      </c>
      <c r="H96" s="651">
        <v>0</v>
      </c>
      <c r="I96" s="659">
        <f>F96+G96+H96</f>
        <v>1125.5999999999999</v>
      </c>
      <c r="J96" s="120">
        <f>ROUND((F96+G96+H96)*(kopsavilkums!$O$12)*E96*12*(1+kopsavilkums!$O$23),2)</f>
        <v>1085.08</v>
      </c>
    </row>
    <row r="97" spans="2:10" s="12" customFormat="1" ht="14.25" thickBot="1" x14ac:dyDescent="0.25">
      <c r="B97" s="423" t="s">
        <v>146</v>
      </c>
      <c r="C97" s="499"/>
      <c r="D97" s="499"/>
      <c r="E97" s="424">
        <f>E85+E92</f>
        <v>4</v>
      </c>
      <c r="F97" s="425" t="s">
        <v>29</v>
      </c>
      <c r="G97" s="425" t="s">
        <v>29</v>
      </c>
      <c r="H97" s="425" t="s">
        <v>29</v>
      </c>
      <c r="I97" s="461" t="s">
        <v>29</v>
      </c>
      <c r="J97" s="1"/>
    </row>
    <row r="98" spans="2:10" s="140" customFormat="1" ht="40.5" customHeight="1" x14ac:dyDescent="0.25">
      <c r="B98" s="1109" t="s">
        <v>344</v>
      </c>
      <c r="C98" s="1110"/>
      <c r="D98" s="1110"/>
      <c r="E98" s="1110"/>
      <c r="F98" s="1110"/>
      <c r="G98" s="1110"/>
      <c r="H98" s="1110"/>
      <c r="I98" s="1110"/>
      <c r="J98" s="470"/>
    </row>
    <row r="99" spans="2:10" s="12" customFormat="1" ht="24.75" customHeight="1" x14ac:dyDescent="0.2">
      <c r="B99" s="407" t="s">
        <v>60</v>
      </c>
      <c r="C99" s="495"/>
      <c r="D99" s="495"/>
      <c r="E99" s="410">
        <f>E100+E102+E106</f>
        <v>1.25</v>
      </c>
      <c r="F99" s="409">
        <f t="shared" ref="F99:I99" si="19">F100+F102+F106</f>
        <v>1990</v>
      </c>
      <c r="G99" s="410">
        <f t="shared" si="19"/>
        <v>19.899999999999999</v>
      </c>
      <c r="H99" s="410">
        <f t="shared" si="19"/>
        <v>0</v>
      </c>
      <c r="I99" s="458">
        <f t="shared" si="19"/>
        <v>2009.9</v>
      </c>
      <c r="J99" s="1"/>
    </row>
    <row r="100" spans="2:10" s="12" customFormat="1" ht="12.75" x14ac:dyDescent="0.2">
      <c r="B100" s="411" t="s">
        <v>61</v>
      </c>
      <c r="C100" s="496"/>
      <c r="D100" s="496"/>
      <c r="E100" s="412">
        <f>E101</f>
        <v>1.25</v>
      </c>
      <c r="F100" s="413">
        <f t="shared" ref="F100:I100" si="20">F101</f>
        <v>1990</v>
      </c>
      <c r="G100" s="412">
        <f t="shared" si="20"/>
        <v>19.899999999999999</v>
      </c>
      <c r="H100" s="412">
        <f t="shared" si="20"/>
        <v>0</v>
      </c>
      <c r="I100" s="433">
        <f t="shared" si="20"/>
        <v>2009.9</v>
      </c>
      <c r="J100" s="1"/>
    </row>
    <row r="101" spans="2:10" s="12" customFormat="1" ht="12.75" x14ac:dyDescent="0.2">
      <c r="B101" s="648" t="s">
        <v>118</v>
      </c>
      <c r="C101" s="653" t="s">
        <v>481</v>
      </c>
      <c r="D101" s="649" t="s">
        <v>489</v>
      </c>
      <c r="E101" s="658">
        <v>1.25</v>
      </c>
      <c r="F101" s="659">
        <v>1990</v>
      </c>
      <c r="G101" s="652">
        <v>19.899999999999999</v>
      </c>
      <c r="H101" s="652">
        <v>0</v>
      </c>
      <c r="I101" s="659">
        <f>F101+G101+H101</f>
        <v>2009.9</v>
      </c>
      <c r="J101" s="1">
        <f>ROUND((F101+G101+H101)*(kopsavilkums!$O$8)*E101*12*(1+kopsavilkums!$O$23),2)</f>
        <v>3949.62</v>
      </c>
    </row>
    <row r="102" spans="2:10" s="12" customFormat="1" ht="38.25" hidden="1" x14ac:dyDescent="0.2">
      <c r="B102" s="411" t="s">
        <v>87</v>
      </c>
      <c r="C102" s="496"/>
      <c r="D102" s="496"/>
      <c r="E102" s="412">
        <f>SUM(E103:E105)</f>
        <v>0</v>
      </c>
      <c r="F102" s="413">
        <f t="shared" ref="F102:H102" si="21">SUM(F103:F105)</f>
        <v>0</v>
      </c>
      <c r="G102" s="412">
        <f t="shared" si="21"/>
        <v>0</v>
      </c>
      <c r="H102" s="412">
        <f t="shared" si="21"/>
        <v>0</v>
      </c>
      <c r="I102" s="433">
        <f>SUM(I103:I105)</f>
        <v>0</v>
      </c>
      <c r="J102" s="1"/>
    </row>
    <row r="103" spans="2:10" s="12" customFormat="1" ht="12.75" hidden="1" x14ac:dyDescent="0.2">
      <c r="B103" s="414" t="s">
        <v>121</v>
      </c>
      <c r="C103" s="497"/>
      <c r="D103" s="497"/>
      <c r="E103" s="415"/>
      <c r="F103" s="392"/>
      <c r="G103" s="416"/>
      <c r="H103" s="416"/>
      <c r="I103" s="142">
        <f>F103+G103+H103</f>
        <v>0</v>
      </c>
      <c r="J103" s="1"/>
    </row>
    <row r="104" spans="2:10" s="12" customFormat="1" ht="12.75" hidden="1" x14ac:dyDescent="0.2">
      <c r="B104" s="414" t="s">
        <v>126</v>
      </c>
      <c r="C104" s="497"/>
      <c r="D104" s="497"/>
      <c r="E104" s="415"/>
      <c r="F104" s="392"/>
      <c r="G104" s="416"/>
      <c r="H104" s="416"/>
      <c r="I104" s="142">
        <f>F104+G104+H104</f>
        <v>0</v>
      </c>
      <c r="J104" s="1"/>
    </row>
    <row r="105" spans="2:10" s="12" customFormat="1" ht="12.75" hidden="1" x14ac:dyDescent="0.2">
      <c r="B105" s="414" t="s">
        <v>128</v>
      </c>
      <c r="C105" s="497"/>
      <c r="D105" s="497"/>
      <c r="E105" s="415"/>
      <c r="F105" s="392"/>
      <c r="G105" s="416"/>
      <c r="H105" s="416"/>
      <c r="I105" s="142">
        <f>F105+G105+H105</f>
        <v>0</v>
      </c>
      <c r="J105" s="1"/>
    </row>
    <row r="106" spans="2:10" s="12" customFormat="1" ht="25.5" hidden="1" x14ac:dyDescent="0.2">
      <c r="B106" s="411" t="s">
        <v>88</v>
      </c>
      <c r="C106" s="496"/>
      <c r="D106" s="496"/>
      <c r="E106" s="412">
        <f>SUM(E107:E107)</f>
        <v>0</v>
      </c>
      <c r="F106" s="413">
        <f>SUM(F107:F107)</f>
        <v>0</v>
      </c>
      <c r="G106" s="412">
        <f>SUM(G107:G107)</f>
        <v>0</v>
      </c>
      <c r="H106" s="412">
        <f>SUM(H107:H107)</f>
        <v>0</v>
      </c>
      <c r="I106" s="433">
        <f>SUM(I107:I107)</f>
        <v>0</v>
      </c>
      <c r="J106" s="1"/>
    </row>
    <row r="107" spans="2:10" s="12" customFormat="1" ht="12.75" hidden="1" x14ac:dyDescent="0.2">
      <c r="B107" s="414"/>
      <c r="C107" s="497"/>
      <c r="D107" s="497"/>
      <c r="E107" s="420"/>
      <c r="F107" s="426"/>
      <c r="G107" s="422"/>
      <c r="H107" s="422"/>
      <c r="I107" s="460">
        <f>F107+G107+H107</f>
        <v>0</v>
      </c>
      <c r="J107" s="1"/>
    </row>
    <row r="108" spans="2:10" s="12" customFormat="1" ht="27" customHeight="1" x14ac:dyDescent="0.2">
      <c r="B108" s="419" t="s">
        <v>96</v>
      </c>
      <c r="C108" s="498"/>
      <c r="D108" s="498"/>
      <c r="E108" s="408">
        <f>E109</f>
        <v>14</v>
      </c>
      <c r="F108" s="429">
        <f t="shared" ref="F108:I108" si="22">F109</f>
        <v>3340</v>
      </c>
      <c r="G108" s="410">
        <f t="shared" si="22"/>
        <v>66.8</v>
      </c>
      <c r="H108" s="410">
        <f t="shared" si="22"/>
        <v>120</v>
      </c>
      <c r="I108" s="458">
        <f t="shared" si="22"/>
        <v>3526.8</v>
      </c>
      <c r="J108" s="1"/>
    </row>
    <row r="109" spans="2:10" s="12" customFormat="1" ht="38.25" x14ac:dyDescent="0.2">
      <c r="B109" s="411" t="s">
        <v>430</v>
      </c>
      <c r="C109" s="496"/>
      <c r="D109" s="496"/>
      <c r="E109" s="412">
        <f>E110+E111</f>
        <v>14</v>
      </c>
      <c r="F109" s="412">
        <f t="shared" ref="F109:I109" si="23">F110+F111</f>
        <v>3340</v>
      </c>
      <c r="G109" s="412">
        <f t="shared" si="23"/>
        <v>66.8</v>
      </c>
      <c r="H109" s="412">
        <f t="shared" si="23"/>
        <v>120</v>
      </c>
      <c r="I109" s="412">
        <f t="shared" si="23"/>
        <v>3526.8</v>
      </c>
      <c r="J109" s="1"/>
    </row>
    <row r="110" spans="2:10" s="12" customFormat="1" ht="12.75" x14ac:dyDescent="0.2">
      <c r="B110" s="671" t="s">
        <v>18</v>
      </c>
      <c r="C110" s="673" t="s">
        <v>564</v>
      </c>
      <c r="D110" s="666" t="s">
        <v>490</v>
      </c>
      <c r="E110" s="658">
        <v>1</v>
      </c>
      <c r="F110" s="659">
        <v>1820</v>
      </c>
      <c r="G110" s="652">
        <v>36.4</v>
      </c>
      <c r="H110" s="652">
        <v>0</v>
      </c>
      <c r="I110" s="659">
        <f>F110+G110+H110</f>
        <v>1856.4</v>
      </c>
      <c r="J110" s="120">
        <f>ROUND((F110+G110+H110)*(kopsavilkums!$O$12)*E110*12*(1+kopsavilkums!$O$23),2)</f>
        <v>1789.57</v>
      </c>
    </row>
    <row r="111" spans="2:10" s="12" customFormat="1" ht="13.5" thickBot="1" x14ac:dyDescent="0.25">
      <c r="B111" s="674" t="s">
        <v>112</v>
      </c>
      <c r="C111" s="673" t="s">
        <v>529</v>
      </c>
      <c r="D111" s="649" t="s">
        <v>490</v>
      </c>
      <c r="E111" s="658">
        <v>13</v>
      </c>
      <c r="F111" s="659">
        <v>1520</v>
      </c>
      <c r="G111" s="652">
        <v>30.4</v>
      </c>
      <c r="H111" s="652">
        <v>120</v>
      </c>
      <c r="I111" s="659">
        <f>F111+G111+H111</f>
        <v>1670.4</v>
      </c>
      <c r="J111" s="120">
        <f>ROUND((F111+G111+H111)*(kopsavilkums!$O$12)*E111*12*(1+kopsavilkums!$O$23),2)</f>
        <v>20933.5</v>
      </c>
    </row>
    <row r="112" spans="2:10" s="12" customFormat="1" ht="14.25" thickBot="1" x14ac:dyDescent="0.25">
      <c r="B112" s="423" t="s">
        <v>146</v>
      </c>
      <c r="C112" s="499"/>
      <c r="D112" s="499"/>
      <c r="E112" s="424">
        <f>E99+E108</f>
        <v>15.25</v>
      </c>
      <c r="F112" s="425" t="s">
        <v>29</v>
      </c>
      <c r="G112" s="425" t="s">
        <v>29</v>
      </c>
      <c r="H112" s="425" t="s">
        <v>29</v>
      </c>
      <c r="I112" s="461" t="s">
        <v>29</v>
      </c>
      <c r="J112" s="1"/>
    </row>
    <row r="113" spans="2:10" s="140" customFormat="1" ht="27.75" customHeight="1" x14ac:dyDescent="0.25">
      <c r="B113" s="1119" t="s">
        <v>376</v>
      </c>
      <c r="C113" s="1120"/>
      <c r="D113" s="1120"/>
      <c r="E113" s="1120"/>
      <c r="F113" s="1120"/>
      <c r="G113" s="1120"/>
      <c r="H113" s="1120"/>
      <c r="I113" s="1120"/>
      <c r="J113" s="470"/>
    </row>
    <row r="114" spans="2:10" s="12" customFormat="1" ht="24.75" customHeight="1" x14ac:dyDescent="0.2">
      <c r="B114" s="407" t="s">
        <v>60</v>
      </c>
      <c r="C114" s="495"/>
      <c r="D114" s="495"/>
      <c r="E114" s="410">
        <f>E115+E117+E121</f>
        <v>2</v>
      </c>
      <c r="F114" s="429">
        <f>F115+F117+F121</f>
        <v>8107</v>
      </c>
      <c r="G114" s="410">
        <f>G115+G117+G121</f>
        <v>688.85</v>
      </c>
      <c r="H114" s="410">
        <f>H115+H117+H121</f>
        <v>405.35</v>
      </c>
      <c r="I114" s="458">
        <f>I115+I117+I121</f>
        <v>9201.2000000000007</v>
      </c>
      <c r="J114" s="1"/>
    </row>
    <row r="115" spans="2:10" s="12" customFormat="1" ht="12.75" x14ac:dyDescent="0.2">
      <c r="B115" s="411" t="s">
        <v>61</v>
      </c>
      <c r="C115" s="496"/>
      <c r="D115" s="496"/>
      <c r="E115" s="412">
        <f>E116</f>
        <v>0.5</v>
      </c>
      <c r="F115" s="417">
        <f t="shared" ref="F115:I115" si="24">F116</f>
        <v>2437</v>
      </c>
      <c r="G115" s="412">
        <f t="shared" si="24"/>
        <v>121.85</v>
      </c>
      <c r="H115" s="412">
        <f t="shared" si="24"/>
        <v>121.85</v>
      </c>
      <c r="I115" s="433">
        <f t="shared" si="24"/>
        <v>2680.7</v>
      </c>
      <c r="J115" s="1"/>
    </row>
    <row r="116" spans="2:10" s="12" customFormat="1" ht="12.75" x14ac:dyDescent="0.2">
      <c r="B116" s="648" t="s">
        <v>118</v>
      </c>
      <c r="C116" s="653" t="s">
        <v>481</v>
      </c>
      <c r="D116" s="649" t="s">
        <v>489</v>
      </c>
      <c r="E116" s="650">
        <v>0.5</v>
      </c>
      <c r="F116" s="651">
        <v>2437</v>
      </c>
      <c r="G116" s="651">
        <v>121.85</v>
      </c>
      <c r="H116" s="651">
        <v>121.85</v>
      </c>
      <c r="I116" s="652">
        <f>F116+G116+H116</f>
        <v>2680.7</v>
      </c>
      <c r="J116" s="1">
        <f>ROUND((F116+G116+H116)*(kopsavilkums!$O$8)*E116*12*(1+kopsavilkums!$O$23),2)</f>
        <v>2107.12</v>
      </c>
    </row>
    <row r="117" spans="2:10" s="12" customFormat="1" ht="38.25" x14ac:dyDescent="0.2">
      <c r="B117" s="411" t="s">
        <v>596</v>
      </c>
      <c r="C117" s="496"/>
      <c r="D117" s="496"/>
      <c r="E117" s="412">
        <f>SUM(E118:E120)</f>
        <v>1.5</v>
      </c>
      <c r="F117" s="417">
        <f t="shared" ref="F117:H117" si="25">SUM(F118:F120)</f>
        <v>5670</v>
      </c>
      <c r="G117" s="412">
        <f t="shared" si="25"/>
        <v>567</v>
      </c>
      <c r="H117" s="412">
        <f t="shared" si="25"/>
        <v>283.5</v>
      </c>
      <c r="I117" s="364">
        <f>SUM(I118:I120)</f>
        <v>6520.5</v>
      </c>
      <c r="J117" s="1"/>
    </row>
    <row r="118" spans="2:10" s="12" customFormat="1" ht="12.75" x14ac:dyDescent="0.2">
      <c r="B118" s="648" t="s">
        <v>121</v>
      </c>
      <c r="C118" s="653" t="s">
        <v>470</v>
      </c>
      <c r="D118" s="649" t="s">
        <v>471</v>
      </c>
      <c r="E118" s="650">
        <v>1</v>
      </c>
      <c r="F118" s="651">
        <v>1890</v>
      </c>
      <c r="G118" s="651">
        <v>189</v>
      </c>
      <c r="H118" s="651">
        <v>94.5</v>
      </c>
      <c r="I118" s="652">
        <f>F118+G118+H118</f>
        <v>2173.5</v>
      </c>
      <c r="J118" s="1">
        <f>ROUND((F118+G118+H118)*(kopsavilkums!$O$8)*E118*12*(1+kopsavilkums!$O$23),2)</f>
        <v>3416.88</v>
      </c>
    </row>
    <row r="119" spans="2:10" s="12" customFormat="1" ht="12.75" x14ac:dyDescent="0.2">
      <c r="B119" s="648" t="s">
        <v>126</v>
      </c>
      <c r="C119" s="653" t="s">
        <v>483</v>
      </c>
      <c r="D119" s="649" t="s">
        <v>484</v>
      </c>
      <c r="E119" s="650">
        <v>0.25</v>
      </c>
      <c r="F119" s="651">
        <v>1890</v>
      </c>
      <c r="G119" s="651">
        <v>189</v>
      </c>
      <c r="H119" s="651">
        <v>94.5</v>
      </c>
      <c r="I119" s="652">
        <f>F119+G119+H119</f>
        <v>2173.5</v>
      </c>
      <c r="J119" s="1">
        <f>ROUND((F119+G119+H119)*(kopsavilkums!$O$8)*E119*12*(1+kopsavilkums!$O$23),2)</f>
        <v>854.22</v>
      </c>
    </row>
    <row r="120" spans="2:10" s="12" customFormat="1" ht="12.75" x14ac:dyDescent="0.2">
      <c r="B120" s="648" t="s">
        <v>128</v>
      </c>
      <c r="C120" s="653" t="s">
        <v>468</v>
      </c>
      <c r="D120" s="649" t="s">
        <v>469</v>
      </c>
      <c r="E120" s="650">
        <v>0.25</v>
      </c>
      <c r="F120" s="651">
        <v>1890</v>
      </c>
      <c r="G120" s="651">
        <v>189</v>
      </c>
      <c r="H120" s="651">
        <v>94.5</v>
      </c>
      <c r="I120" s="652">
        <f>F120+G120+H120</f>
        <v>2173.5</v>
      </c>
      <c r="J120" s="1">
        <f>ROUND((F120+G120+H120)*(kopsavilkums!$O$8)*E120*12*(1+kopsavilkums!$O$23),2)</f>
        <v>854.22</v>
      </c>
    </row>
    <row r="121" spans="2:10" s="12" customFormat="1" ht="25.5" x14ac:dyDescent="0.2">
      <c r="B121" s="411" t="s">
        <v>88</v>
      </c>
      <c r="C121" s="496"/>
      <c r="D121" s="496"/>
      <c r="E121" s="412"/>
      <c r="F121" s="412"/>
      <c r="G121" s="412"/>
      <c r="H121" s="412"/>
      <c r="I121" s="438"/>
      <c r="J121" s="1"/>
    </row>
    <row r="122" spans="2:10" s="12" customFormat="1" ht="27" customHeight="1" x14ac:dyDescent="0.2">
      <c r="B122" s="419" t="s">
        <v>96</v>
      </c>
      <c r="C122" s="498"/>
      <c r="D122" s="498"/>
      <c r="E122" s="410">
        <f>E123</f>
        <v>7.3</v>
      </c>
      <c r="F122" s="429">
        <f t="shared" ref="F122:I122" si="26">F123</f>
        <v>5649</v>
      </c>
      <c r="G122" s="410">
        <f t="shared" si="26"/>
        <v>564.9</v>
      </c>
      <c r="H122" s="410">
        <f t="shared" si="26"/>
        <v>590.25</v>
      </c>
      <c r="I122" s="463">
        <f t="shared" si="26"/>
        <v>6804.15</v>
      </c>
      <c r="J122" s="1"/>
    </row>
    <row r="123" spans="2:10" s="12" customFormat="1" ht="38.25" x14ac:dyDescent="0.2">
      <c r="B123" s="411" t="s">
        <v>430</v>
      </c>
      <c r="C123" s="496"/>
      <c r="D123" s="496"/>
      <c r="E123" s="412">
        <f>E124+E125+E126+E127</f>
        <v>7.3</v>
      </c>
      <c r="F123" s="412">
        <f t="shared" ref="F123:I123" si="27">F124+F125+F126+F127</f>
        <v>5649</v>
      </c>
      <c r="G123" s="412">
        <f t="shared" si="27"/>
        <v>564.9</v>
      </c>
      <c r="H123" s="412">
        <f t="shared" si="27"/>
        <v>590.25</v>
      </c>
      <c r="I123" s="438">
        <f t="shared" si="27"/>
        <v>6804.15</v>
      </c>
      <c r="J123" s="1"/>
    </row>
    <row r="124" spans="2:10" s="12" customFormat="1" ht="12.75" x14ac:dyDescent="0.2">
      <c r="B124" s="671" t="s">
        <v>18</v>
      </c>
      <c r="C124" s="673" t="s">
        <v>564</v>
      </c>
      <c r="D124" s="675" t="s">
        <v>493</v>
      </c>
      <c r="E124" s="650">
        <v>1</v>
      </c>
      <c r="F124" s="651">
        <v>1880</v>
      </c>
      <c r="G124" s="651">
        <v>188</v>
      </c>
      <c r="H124" s="651">
        <v>94</v>
      </c>
      <c r="I124" s="652">
        <f>F124+G124+H124</f>
        <v>2162</v>
      </c>
      <c r="J124" s="120">
        <f>ROUND((F124+G124+H124)*(kopsavilkums!$O$12)*E124*12*(1+kopsavilkums!$O$23),2)</f>
        <v>2084.17</v>
      </c>
    </row>
    <row r="125" spans="2:10" s="12" customFormat="1" ht="12.75" x14ac:dyDescent="0.2">
      <c r="B125" s="663" t="s">
        <v>857</v>
      </c>
      <c r="C125" s="673" t="s">
        <v>529</v>
      </c>
      <c r="D125" s="676" t="s">
        <v>488</v>
      </c>
      <c r="E125" s="650">
        <v>1</v>
      </c>
      <c r="F125" s="651">
        <v>1165</v>
      </c>
      <c r="G125" s="651">
        <v>116.5</v>
      </c>
      <c r="H125" s="651">
        <v>58.25</v>
      </c>
      <c r="I125" s="652">
        <f>F125+G125+H125</f>
        <v>1339.75</v>
      </c>
      <c r="J125" s="120">
        <f>ROUND((F125+G125+H125)*(kopsavilkums!$O$12)*E125*12*(1+kopsavilkums!$O$23),2)</f>
        <v>1291.52</v>
      </c>
    </row>
    <row r="126" spans="2:10" s="12" customFormat="1" ht="25.5" x14ac:dyDescent="0.2">
      <c r="B126" s="663" t="s">
        <v>858</v>
      </c>
      <c r="C126" s="673" t="s">
        <v>742</v>
      </c>
      <c r="D126" s="675" t="s">
        <v>493</v>
      </c>
      <c r="E126" s="650">
        <v>1</v>
      </c>
      <c r="F126" s="651">
        <v>1320</v>
      </c>
      <c r="G126" s="651">
        <v>132</v>
      </c>
      <c r="H126" s="651">
        <v>66</v>
      </c>
      <c r="I126" s="652">
        <f>F126+G126+H126</f>
        <v>1518</v>
      </c>
      <c r="J126" s="120">
        <f>ROUND((F126+G126+H126)*(kopsavilkums!$O$12)*E126*12*(1+kopsavilkums!$O$23),2)</f>
        <v>1463.36</v>
      </c>
    </row>
    <row r="127" spans="2:10" s="12" customFormat="1" ht="13.5" thickBot="1" x14ac:dyDescent="0.25">
      <c r="B127" s="663" t="s">
        <v>859</v>
      </c>
      <c r="C127" s="673" t="s">
        <v>742</v>
      </c>
      <c r="D127" s="675" t="s">
        <v>496</v>
      </c>
      <c r="E127" s="650">
        <v>4.3</v>
      </c>
      <c r="F127" s="651">
        <v>1284</v>
      </c>
      <c r="G127" s="651">
        <v>128.4</v>
      </c>
      <c r="H127" s="651">
        <v>372</v>
      </c>
      <c r="I127" s="652">
        <f>F127+G127+H127</f>
        <v>1784.4</v>
      </c>
      <c r="J127" s="120">
        <f>ROUND((F127+G127+H127)*(kopsavilkums!$O$12)*E127*12*(1+kopsavilkums!$O$23),2)</f>
        <v>7396.71</v>
      </c>
    </row>
    <row r="128" spans="2:10" s="12" customFormat="1" ht="14.25" thickBot="1" x14ac:dyDescent="0.25">
      <c r="B128" s="423" t="s">
        <v>146</v>
      </c>
      <c r="C128" s="499"/>
      <c r="D128" s="499"/>
      <c r="E128" s="424">
        <f>E114+E122</f>
        <v>9.3000000000000007</v>
      </c>
      <c r="F128" s="425" t="s">
        <v>29</v>
      </c>
      <c r="G128" s="425" t="s">
        <v>29</v>
      </c>
      <c r="H128" s="425" t="s">
        <v>29</v>
      </c>
      <c r="I128" s="461" t="s">
        <v>29</v>
      </c>
      <c r="J128" s="1"/>
    </row>
    <row r="129" spans="2:10" s="140" customFormat="1" ht="33" customHeight="1" x14ac:dyDescent="0.25">
      <c r="B129" s="1109" t="s">
        <v>346</v>
      </c>
      <c r="C129" s="1110"/>
      <c r="D129" s="1110"/>
      <c r="E129" s="1110"/>
      <c r="F129" s="1110"/>
      <c r="G129" s="1110"/>
      <c r="H129" s="1110"/>
      <c r="I129" s="1110"/>
      <c r="J129" s="470"/>
    </row>
    <row r="130" spans="2:10" s="12" customFormat="1" ht="30" customHeight="1" x14ac:dyDescent="0.2">
      <c r="B130" s="431" t="s">
        <v>60</v>
      </c>
      <c r="C130" s="485"/>
      <c r="D130" s="485"/>
      <c r="E130" s="410">
        <f>E131+E134+E136</f>
        <v>3.75</v>
      </c>
      <c r="F130" s="409">
        <f>F131+F134+F136</f>
        <v>5400</v>
      </c>
      <c r="G130" s="408">
        <f>G131+G134+G136</f>
        <v>142.19999999999999</v>
      </c>
      <c r="H130" s="410">
        <f>H131+H134+H136</f>
        <v>80</v>
      </c>
      <c r="I130" s="458">
        <f>I131+I134+I136</f>
        <v>5622.2</v>
      </c>
      <c r="J130" s="1"/>
    </row>
    <row r="131" spans="2:10" s="12" customFormat="1" ht="38.25" x14ac:dyDescent="0.2">
      <c r="B131" s="276" t="s">
        <v>596</v>
      </c>
      <c r="C131" s="484"/>
      <c r="D131" s="484"/>
      <c r="E131" s="412">
        <f>E132+E133</f>
        <v>1.75</v>
      </c>
      <c r="F131" s="413">
        <f>F132+F133</f>
        <v>2978</v>
      </c>
      <c r="G131" s="412">
        <f t="shared" ref="G131:I131" si="28">G132+G133</f>
        <v>0</v>
      </c>
      <c r="H131" s="412">
        <f t="shared" si="28"/>
        <v>40</v>
      </c>
      <c r="I131" s="433">
        <f t="shared" si="28"/>
        <v>3018</v>
      </c>
      <c r="J131" s="1"/>
    </row>
    <row r="132" spans="2:10" s="12" customFormat="1" ht="12.75" x14ac:dyDescent="0.2">
      <c r="B132" s="677" t="s">
        <v>128</v>
      </c>
      <c r="C132" s="653" t="s">
        <v>468</v>
      </c>
      <c r="D132" s="649" t="s">
        <v>469</v>
      </c>
      <c r="E132" s="658">
        <v>1</v>
      </c>
      <c r="F132" s="659">
        <v>1489</v>
      </c>
      <c r="G132" s="652">
        <v>0</v>
      </c>
      <c r="H132" s="652">
        <v>20</v>
      </c>
      <c r="I132" s="659">
        <f>F132+G132+H132</f>
        <v>1509</v>
      </c>
      <c r="J132" s="1">
        <f>ROUND((F132+G132+H132)*(kopsavilkums!$O$8)*E132*12*(1+kopsavilkums!$O$23),2)</f>
        <v>2372.25</v>
      </c>
    </row>
    <row r="133" spans="2:10" s="12" customFormat="1" ht="12.75" x14ac:dyDescent="0.2">
      <c r="B133" s="678" t="s">
        <v>242</v>
      </c>
      <c r="C133" s="653" t="s">
        <v>483</v>
      </c>
      <c r="D133" s="679" t="s">
        <v>484</v>
      </c>
      <c r="E133" s="658">
        <v>0.75</v>
      </c>
      <c r="F133" s="659">
        <v>1489</v>
      </c>
      <c r="G133" s="652">
        <v>0</v>
      </c>
      <c r="H133" s="652">
        <v>20</v>
      </c>
      <c r="I133" s="659">
        <f>F133+G133+H133</f>
        <v>1509</v>
      </c>
      <c r="J133" s="1">
        <f>ROUND((F133+G133+H133)*(kopsavilkums!$O$8)*E133*12*(1+kopsavilkums!$O$23),2)</f>
        <v>1779.18</v>
      </c>
    </row>
    <row r="134" spans="2:10" s="12" customFormat="1" ht="38.25" x14ac:dyDescent="0.2">
      <c r="B134" s="276" t="s">
        <v>434</v>
      </c>
      <c r="C134" s="484"/>
      <c r="D134" s="484"/>
      <c r="E134" s="412">
        <f>E135</f>
        <v>1</v>
      </c>
      <c r="F134" s="412">
        <f t="shared" ref="F134:I134" si="29">F135</f>
        <v>1250</v>
      </c>
      <c r="G134" s="412">
        <f t="shared" si="29"/>
        <v>25</v>
      </c>
      <c r="H134" s="412">
        <f t="shared" si="29"/>
        <v>20</v>
      </c>
      <c r="I134" s="412">
        <f t="shared" si="29"/>
        <v>1295</v>
      </c>
      <c r="J134" s="1"/>
    </row>
    <row r="135" spans="2:10" s="12" customFormat="1" ht="12.75" x14ac:dyDescent="0.2">
      <c r="B135" s="680" t="s">
        <v>243</v>
      </c>
      <c r="C135" s="653" t="s">
        <v>486</v>
      </c>
      <c r="D135" s="681" t="s">
        <v>487</v>
      </c>
      <c r="E135" s="658">
        <v>1</v>
      </c>
      <c r="F135" s="682">
        <v>1250</v>
      </c>
      <c r="G135" s="683">
        <v>25</v>
      </c>
      <c r="H135" s="683">
        <v>20</v>
      </c>
      <c r="I135" s="659">
        <f t="shared" ref="I135" si="30">F135+G135+H135</f>
        <v>1295</v>
      </c>
      <c r="J135" s="120">
        <f>ROUND((F135+G135+H135)*(kopsavilkums!$O$12)*E135*12*(1+kopsavilkums!$O$23),2)</f>
        <v>1248.3800000000001</v>
      </c>
    </row>
    <row r="136" spans="2:10" s="12" customFormat="1" ht="38.25" x14ac:dyDescent="0.2">
      <c r="B136" s="276" t="s">
        <v>95</v>
      </c>
      <c r="C136" s="484"/>
      <c r="D136" s="484"/>
      <c r="E136" s="412">
        <f>E137</f>
        <v>1</v>
      </c>
      <c r="F136" s="413">
        <f t="shared" ref="F136:I136" si="31">F137</f>
        <v>1172</v>
      </c>
      <c r="G136" s="412">
        <f t="shared" si="31"/>
        <v>117.2</v>
      </c>
      <c r="H136" s="412">
        <f t="shared" si="31"/>
        <v>20</v>
      </c>
      <c r="I136" s="433">
        <f t="shared" si="31"/>
        <v>1309.2</v>
      </c>
      <c r="J136" s="1"/>
    </row>
    <row r="137" spans="2:10" s="12" customFormat="1" ht="12.75" x14ac:dyDescent="0.2">
      <c r="B137" s="684" t="s">
        <v>244</v>
      </c>
      <c r="C137" s="653" t="s">
        <v>494</v>
      </c>
      <c r="D137" s="685" t="s">
        <v>495</v>
      </c>
      <c r="E137" s="658">
        <v>1</v>
      </c>
      <c r="F137" s="682">
        <v>1172</v>
      </c>
      <c r="G137" s="683">
        <v>117.2</v>
      </c>
      <c r="H137" s="683">
        <v>20</v>
      </c>
      <c r="I137" s="659">
        <f>F137+G137+H137</f>
        <v>1309.2</v>
      </c>
      <c r="J137" s="120">
        <f>ROUND((F137+G137+H137)*(kopsavilkums!$O$12)*E137*12*(1+kopsavilkums!$O$23),2)</f>
        <v>1262.07</v>
      </c>
    </row>
    <row r="138" spans="2:10" s="12" customFormat="1" ht="27" customHeight="1" x14ac:dyDescent="0.2">
      <c r="B138" s="275" t="s">
        <v>96</v>
      </c>
      <c r="C138" s="486"/>
      <c r="D138" s="486"/>
      <c r="E138" s="410">
        <f>E139+E151+E155</f>
        <v>30.25</v>
      </c>
      <c r="F138" s="409">
        <f>F139+F151+F155</f>
        <v>17085</v>
      </c>
      <c r="G138" s="410">
        <f>G139+G151+G155</f>
        <v>1024.73</v>
      </c>
      <c r="H138" s="410">
        <f>H139+H151+H155</f>
        <v>2598.9399999999996</v>
      </c>
      <c r="I138" s="458">
        <f>I139+I151+I155</f>
        <v>20708.669999999998</v>
      </c>
      <c r="J138" s="1"/>
    </row>
    <row r="139" spans="2:10" s="12" customFormat="1" ht="38.25" x14ac:dyDescent="0.2">
      <c r="B139" s="276" t="s">
        <v>433</v>
      </c>
      <c r="C139" s="484"/>
      <c r="D139" s="484"/>
      <c r="E139" s="412">
        <f>SUM(E140:E150)</f>
        <v>17.25</v>
      </c>
      <c r="F139" s="413">
        <f>SUM(F140:F150)</f>
        <v>13713</v>
      </c>
      <c r="G139" s="412">
        <f>SUM(G140:G150)</f>
        <v>813.98</v>
      </c>
      <c r="H139" s="412">
        <f>SUM(H140:H150)</f>
        <v>1911.9799999999998</v>
      </c>
      <c r="I139" s="433">
        <f>SUM(I140:I150)</f>
        <v>16438.96</v>
      </c>
      <c r="J139" s="1"/>
    </row>
    <row r="140" spans="2:10" s="12" customFormat="1" ht="12.75" x14ac:dyDescent="0.2">
      <c r="B140" s="686" t="s">
        <v>121</v>
      </c>
      <c r="C140" s="673" t="s">
        <v>470</v>
      </c>
      <c r="D140" s="673" t="s">
        <v>471</v>
      </c>
      <c r="E140" s="658">
        <v>0.75</v>
      </c>
      <c r="F140" s="682">
        <v>1394</v>
      </c>
      <c r="G140" s="683">
        <v>27.88</v>
      </c>
      <c r="H140" s="683">
        <v>20</v>
      </c>
      <c r="I140" s="659">
        <f t="shared" ref="I140:I150" si="32">F140+G140+H140</f>
        <v>1441.88</v>
      </c>
      <c r="J140" s="120">
        <f>ROUND((F140+G140+H140)*(kopsavilkums!$O$12)*E140*12*(1+kopsavilkums!$O$23),2)</f>
        <v>1042.48</v>
      </c>
    </row>
    <row r="141" spans="2:10" s="12" customFormat="1" ht="12.75" x14ac:dyDescent="0.2">
      <c r="B141" s="686" t="s">
        <v>245</v>
      </c>
      <c r="C141" s="673" t="s">
        <v>479</v>
      </c>
      <c r="D141" s="673" t="s">
        <v>480</v>
      </c>
      <c r="E141" s="658">
        <v>0.5</v>
      </c>
      <c r="F141" s="682">
        <v>1403</v>
      </c>
      <c r="G141" s="683">
        <v>0</v>
      </c>
      <c r="H141" s="683">
        <v>20</v>
      </c>
      <c r="I141" s="659">
        <f t="shared" si="32"/>
        <v>1423</v>
      </c>
      <c r="J141" s="120">
        <f>ROUND((F141+G141+H141)*(kopsavilkums!$O$12)*E141*12*(1+kopsavilkums!$O$23),2)</f>
        <v>685.89</v>
      </c>
    </row>
    <row r="142" spans="2:10" s="12" customFormat="1" ht="12.75" x14ac:dyDescent="0.2">
      <c r="B142" s="687" t="s">
        <v>857</v>
      </c>
      <c r="C142" s="673" t="s">
        <v>529</v>
      </c>
      <c r="D142" s="688" t="s">
        <v>488</v>
      </c>
      <c r="E142" s="658">
        <v>3.5</v>
      </c>
      <c r="F142" s="682">
        <v>1152</v>
      </c>
      <c r="G142" s="683">
        <v>115.2</v>
      </c>
      <c r="H142" s="683">
        <v>198.56</v>
      </c>
      <c r="I142" s="659">
        <f t="shared" si="32"/>
        <v>1465.76</v>
      </c>
      <c r="J142" s="120">
        <f>ROUND((F142+G142+H142)*(kopsavilkums!$O$12)*E142*12*(1+kopsavilkums!$O$23),2)</f>
        <v>4945.4799999999996</v>
      </c>
    </row>
    <row r="143" spans="2:10" s="12" customFormat="1" ht="12.75" x14ac:dyDescent="0.2">
      <c r="B143" s="687" t="s">
        <v>857</v>
      </c>
      <c r="C143" s="673" t="s">
        <v>529</v>
      </c>
      <c r="D143" s="688" t="s">
        <v>488</v>
      </c>
      <c r="E143" s="658">
        <v>1</v>
      </c>
      <c r="F143" s="682">
        <v>1152</v>
      </c>
      <c r="G143" s="683">
        <v>57.6</v>
      </c>
      <c r="H143" s="683">
        <v>198.56</v>
      </c>
      <c r="I143" s="659">
        <f t="shared" si="32"/>
        <v>1408.1599999999999</v>
      </c>
      <c r="J143" s="120">
        <f>ROUND((F143+G143+H143)*(kopsavilkums!$O$12)*E143*12*(1+kopsavilkums!$O$23),2)</f>
        <v>1357.47</v>
      </c>
    </row>
    <row r="144" spans="2:10" s="12" customFormat="1" ht="25.5" x14ac:dyDescent="0.2">
      <c r="B144" s="687" t="s">
        <v>860</v>
      </c>
      <c r="C144" s="673" t="s">
        <v>492</v>
      </c>
      <c r="D144" s="689" t="s">
        <v>496</v>
      </c>
      <c r="E144" s="658">
        <v>1</v>
      </c>
      <c r="F144" s="682">
        <v>1596</v>
      </c>
      <c r="G144" s="683">
        <v>159.6</v>
      </c>
      <c r="H144" s="683">
        <v>267.38</v>
      </c>
      <c r="I144" s="659">
        <f t="shared" si="32"/>
        <v>2022.98</v>
      </c>
      <c r="J144" s="120">
        <f>ROUND((F144+G144+H144)*(kopsavilkums!$O$12)*E144*12*(1+kopsavilkums!$O$23),2)</f>
        <v>1950.16</v>
      </c>
    </row>
    <row r="145" spans="2:10" s="12" customFormat="1" ht="12.75" x14ac:dyDescent="0.2">
      <c r="B145" s="687" t="s">
        <v>861</v>
      </c>
      <c r="C145" s="673" t="s">
        <v>742</v>
      </c>
      <c r="D145" s="688" t="s">
        <v>496</v>
      </c>
      <c r="E145" s="658">
        <v>3</v>
      </c>
      <c r="F145" s="682">
        <v>1178</v>
      </c>
      <c r="G145" s="683">
        <v>117.8</v>
      </c>
      <c r="H145" s="652">
        <v>202.59</v>
      </c>
      <c r="I145" s="659">
        <f t="shared" si="32"/>
        <v>1498.3899999999999</v>
      </c>
      <c r="J145" s="120">
        <f>ROUND((F145+G145+H145)*(kopsavilkums!$O$12)*E145*12*(1+kopsavilkums!$O$23),2)</f>
        <v>4333.3500000000004</v>
      </c>
    </row>
    <row r="146" spans="2:10" s="12" customFormat="1" ht="12.75" x14ac:dyDescent="0.2">
      <c r="B146" s="687" t="s">
        <v>861</v>
      </c>
      <c r="C146" s="673" t="s">
        <v>742</v>
      </c>
      <c r="D146" s="688" t="s">
        <v>496</v>
      </c>
      <c r="E146" s="658">
        <v>2</v>
      </c>
      <c r="F146" s="682">
        <v>1178</v>
      </c>
      <c r="G146" s="683">
        <v>23.56</v>
      </c>
      <c r="H146" s="652">
        <v>202.59</v>
      </c>
      <c r="I146" s="659">
        <f t="shared" si="32"/>
        <v>1404.1499999999999</v>
      </c>
      <c r="J146" s="120">
        <f>ROUND((F146+G146+H146)*(kopsavilkums!$O$12)*E146*12*(1+kopsavilkums!$O$23),2)</f>
        <v>2707.21</v>
      </c>
    </row>
    <row r="147" spans="2:10" s="12" customFormat="1" ht="12.75" x14ac:dyDescent="0.2">
      <c r="B147" s="687" t="s">
        <v>861</v>
      </c>
      <c r="C147" s="673" t="s">
        <v>742</v>
      </c>
      <c r="D147" s="688" t="s">
        <v>496</v>
      </c>
      <c r="E147" s="652">
        <v>2</v>
      </c>
      <c r="F147" s="682">
        <v>1178</v>
      </c>
      <c r="G147" s="683">
        <v>58.9</v>
      </c>
      <c r="H147" s="652">
        <v>202.59</v>
      </c>
      <c r="I147" s="659">
        <f t="shared" si="32"/>
        <v>1439.49</v>
      </c>
      <c r="J147" s="120">
        <f>ROUND((F147+G147+H147)*(kopsavilkums!$O$12)*E147*12*(1+kopsavilkums!$O$23),2)</f>
        <v>2775.34</v>
      </c>
    </row>
    <row r="148" spans="2:10" s="12" customFormat="1" ht="12.75" x14ac:dyDescent="0.2">
      <c r="B148" s="687" t="s">
        <v>861</v>
      </c>
      <c r="C148" s="673" t="s">
        <v>742</v>
      </c>
      <c r="D148" s="688" t="s">
        <v>496</v>
      </c>
      <c r="E148" s="652">
        <v>0.5</v>
      </c>
      <c r="F148" s="682">
        <v>1178</v>
      </c>
      <c r="G148" s="683">
        <v>115.2</v>
      </c>
      <c r="H148" s="652">
        <v>202.59</v>
      </c>
      <c r="I148" s="659">
        <f t="shared" si="32"/>
        <v>1495.79</v>
      </c>
      <c r="J148" s="120">
        <f>ROUND((F148+G148+H148)*(kopsavilkums!$O$12)*E148*12*(1+kopsavilkums!$O$23),2)</f>
        <v>720.97</v>
      </c>
    </row>
    <row r="149" spans="2:10" s="12" customFormat="1" ht="12.75" x14ac:dyDescent="0.2">
      <c r="B149" s="687" t="s">
        <v>861</v>
      </c>
      <c r="C149" s="673" t="s">
        <v>742</v>
      </c>
      <c r="D149" s="688" t="s">
        <v>496</v>
      </c>
      <c r="E149" s="652">
        <v>1</v>
      </c>
      <c r="F149" s="682">
        <v>1152</v>
      </c>
      <c r="G149" s="683">
        <v>23.04</v>
      </c>
      <c r="H149" s="652">
        <v>198.56</v>
      </c>
      <c r="I149" s="659">
        <f t="shared" si="32"/>
        <v>1373.6</v>
      </c>
      <c r="J149" s="120">
        <f>ROUND((F149+G149+H149)*(kopsavilkums!$O$12)*E149*12*(1+kopsavilkums!$O$23),2)</f>
        <v>1324.15</v>
      </c>
    </row>
    <row r="150" spans="2:10" s="12" customFormat="1" ht="12.75" x14ac:dyDescent="0.2">
      <c r="B150" s="687" t="s">
        <v>861</v>
      </c>
      <c r="C150" s="673" t="s">
        <v>742</v>
      </c>
      <c r="D150" s="688" t="s">
        <v>496</v>
      </c>
      <c r="E150" s="658">
        <v>2</v>
      </c>
      <c r="F150" s="682">
        <v>1152</v>
      </c>
      <c r="G150" s="683">
        <v>115.2</v>
      </c>
      <c r="H150" s="683">
        <v>198.56</v>
      </c>
      <c r="I150" s="659">
        <f t="shared" si="32"/>
        <v>1465.76</v>
      </c>
      <c r="J150" s="120">
        <f>ROUND((F150+G150+H150)*(kopsavilkums!$O$12)*E150*12*(1+kopsavilkums!$O$23),2)</f>
        <v>2825.99</v>
      </c>
    </row>
    <row r="151" spans="2:10" s="12" customFormat="1" ht="25.5" hidden="1" x14ac:dyDescent="0.2">
      <c r="B151" s="276" t="s">
        <v>235</v>
      </c>
      <c r="C151" s="484"/>
      <c r="D151" s="484"/>
      <c r="E151" s="412">
        <f>E152+E154+E153</f>
        <v>0</v>
      </c>
      <c r="F151" s="413">
        <f t="shared" ref="F151:I151" si="33">F152+F154+F153</f>
        <v>0</v>
      </c>
      <c r="G151" s="412">
        <f t="shared" si="33"/>
        <v>0</v>
      </c>
      <c r="H151" s="412">
        <f t="shared" si="33"/>
        <v>0</v>
      </c>
      <c r="I151" s="433">
        <f t="shared" si="33"/>
        <v>0</v>
      </c>
      <c r="J151" s="120"/>
    </row>
    <row r="152" spans="2:10" s="12" customFormat="1" ht="12.75" hidden="1" x14ac:dyDescent="0.2">
      <c r="B152" s="434"/>
      <c r="C152" s="501"/>
      <c r="D152" s="501"/>
      <c r="E152" s="415"/>
      <c r="F152" s="113"/>
      <c r="G152" s="126"/>
      <c r="H152" s="126"/>
      <c r="I152" s="142">
        <f>F152+G152+H152</f>
        <v>0</v>
      </c>
      <c r="J152" s="120"/>
    </row>
    <row r="153" spans="2:10" s="12" customFormat="1" ht="12.75" hidden="1" x14ac:dyDescent="0.2">
      <c r="B153" s="434"/>
      <c r="C153" s="501"/>
      <c r="D153" s="501"/>
      <c r="E153" s="415"/>
      <c r="F153" s="113"/>
      <c r="G153" s="126"/>
      <c r="H153" s="126"/>
      <c r="I153" s="142">
        <f>F153+G153+H153</f>
        <v>0</v>
      </c>
      <c r="J153" s="120"/>
    </row>
    <row r="154" spans="2:10" s="12" customFormat="1" ht="12.75" hidden="1" x14ac:dyDescent="0.2">
      <c r="B154" s="434"/>
      <c r="C154" s="501"/>
      <c r="D154" s="501"/>
      <c r="E154" s="415"/>
      <c r="F154" s="113"/>
      <c r="G154" s="126"/>
      <c r="H154" s="126"/>
      <c r="I154" s="142">
        <f>F154+G154+H154</f>
        <v>0</v>
      </c>
      <c r="J154" s="120"/>
    </row>
    <row r="155" spans="2:10" s="12" customFormat="1" ht="12.75" x14ac:dyDescent="0.2">
      <c r="B155" s="276" t="s">
        <v>432</v>
      </c>
      <c r="C155" s="484"/>
      <c r="D155" s="484"/>
      <c r="E155" s="412">
        <f>SUM(E156:E159)</f>
        <v>13</v>
      </c>
      <c r="F155" s="413">
        <f t="shared" ref="F155:I155" si="34">SUM(F156:F159)</f>
        <v>3372</v>
      </c>
      <c r="G155" s="412">
        <f t="shared" si="34"/>
        <v>210.75</v>
      </c>
      <c r="H155" s="412">
        <f t="shared" si="34"/>
        <v>686.95999999999992</v>
      </c>
      <c r="I155" s="433">
        <f t="shared" si="34"/>
        <v>4269.71</v>
      </c>
      <c r="J155" s="1"/>
    </row>
    <row r="156" spans="2:10" s="12" customFormat="1" ht="12.75" x14ac:dyDescent="0.2">
      <c r="B156" s="680" t="s">
        <v>26</v>
      </c>
      <c r="C156" s="653" t="s">
        <v>497</v>
      </c>
      <c r="D156" s="681" t="s">
        <v>498</v>
      </c>
      <c r="E156" s="658">
        <v>8</v>
      </c>
      <c r="F156" s="682">
        <v>843</v>
      </c>
      <c r="G156" s="683">
        <v>16.86</v>
      </c>
      <c r="H156" s="683">
        <v>171.73999999999998</v>
      </c>
      <c r="I156" s="659">
        <f>F156+G156+H156</f>
        <v>1031.5999999999999</v>
      </c>
      <c r="J156" s="473">
        <f>ROUND((F156+G156+H156)*(kopsavilkums!$O$15)*E156*12*(1+kopsavilkums!$O$23),2)</f>
        <v>8445.2999999999993</v>
      </c>
    </row>
    <row r="157" spans="2:10" s="12" customFormat="1" ht="12.75" x14ac:dyDescent="0.2">
      <c r="B157" s="680" t="s">
        <v>26</v>
      </c>
      <c r="C157" s="653" t="s">
        <v>497</v>
      </c>
      <c r="D157" s="681" t="s">
        <v>498</v>
      </c>
      <c r="E157" s="658">
        <v>3</v>
      </c>
      <c r="F157" s="682">
        <v>843</v>
      </c>
      <c r="G157" s="683">
        <v>42.15</v>
      </c>
      <c r="H157" s="683">
        <v>171.73999999999998</v>
      </c>
      <c r="I157" s="659">
        <f>F157+G157+H157</f>
        <v>1056.8899999999999</v>
      </c>
      <c r="J157" s="473">
        <f>ROUND((F157+G157+H157)*(kopsavilkums!$O$15)*E157*12*(1+kopsavilkums!$O$23),2)</f>
        <v>3244.63</v>
      </c>
    </row>
    <row r="158" spans="2:10" s="12" customFormat="1" ht="12.75" x14ac:dyDescent="0.2">
      <c r="B158" s="680" t="s">
        <v>26</v>
      </c>
      <c r="C158" s="653" t="s">
        <v>497</v>
      </c>
      <c r="D158" s="681" t="s">
        <v>498</v>
      </c>
      <c r="E158" s="658">
        <v>1</v>
      </c>
      <c r="F158" s="682">
        <v>843</v>
      </c>
      <c r="G158" s="683">
        <v>67.44</v>
      </c>
      <c r="H158" s="683">
        <v>171.73999999999998</v>
      </c>
      <c r="I158" s="659">
        <f>F158+G158+H158</f>
        <v>1082.18</v>
      </c>
      <c r="J158" s="473">
        <f>ROUND((F158+G158+H158)*(kopsavilkums!$O$15)*E158*12*(1+kopsavilkums!$O$23),2)</f>
        <v>1107.42</v>
      </c>
    </row>
    <row r="159" spans="2:10" s="12" customFormat="1" ht="13.5" thickBot="1" x14ac:dyDescent="0.25">
      <c r="B159" s="680" t="s">
        <v>26</v>
      </c>
      <c r="C159" s="653" t="s">
        <v>497</v>
      </c>
      <c r="D159" s="681" t="s">
        <v>498</v>
      </c>
      <c r="E159" s="658">
        <v>1</v>
      </c>
      <c r="F159" s="682">
        <v>843</v>
      </c>
      <c r="G159" s="683">
        <v>84.3</v>
      </c>
      <c r="H159" s="683">
        <v>171.73999999999998</v>
      </c>
      <c r="I159" s="659">
        <f>F159+G159+H159</f>
        <v>1099.04</v>
      </c>
      <c r="J159" s="473">
        <f>ROUND((F159+G159+H159)*(kopsavilkums!$O$15)*E159*12*(1+kopsavilkums!$O$23),2)</f>
        <v>1124.68</v>
      </c>
    </row>
    <row r="160" spans="2:10" s="12" customFormat="1" ht="14.25" thickBot="1" x14ac:dyDescent="0.25">
      <c r="B160" s="423" t="s">
        <v>146</v>
      </c>
      <c r="C160" s="499"/>
      <c r="D160" s="499"/>
      <c r="E160" s="424">
        <f>E130+E138</f>
        <v>34</v>
      </c>
      <c r="F160" s="425" t="s">
        <v>29</v>
      </c>
      <c r="G160" s="425" t="s">
        <v>29</v>
      </c>
      <c r="H160" s="425" t="s">
        <v>29</v>
      </c>
      <c r="I160" s="461" t="s">
        <v>29</v>
      </c>
      <c r="J160" s="1"/>
    </row>
    <row r="161" spans="2:10" s="140" customFormat="1" ht="33" customHeight="1" x14ac:dyDescent="0.25">
      <c r="B161" s="1109" t="s">
        <v>347</v>
      </c>
      <c r="C161" s="1110"/>
      <c r="D161" s="1110"/>
      <c r="E161" s="1110"/>
      <c r="F161" s="1110"/>
      <c r="G161" s="1110"/>
      <c r="H161" s="1110"/>
      <c r="I161" s="1110"/>
      <c r="J161" s="470"/>
    </row>
    <row r="162" spans="2:10" s="12" customFormat="1" ht="28.5" customHeight="1" x14ac:dyDescent="0.2">
      <c r="B162" s="431" t="s">
        <v>60</v>
      </c>
      <c r="C162" s="485"/>
      <c r="D162" s="485"/>
      <c r="E162" s="436">
        <f>E163+E165+E167+E173</f>
        <v>4.75</v>
      </c>
      <c r="F162" s="437">
        <f>F163+F165+F167+F173</f>
        <v>9290</v>
      </c>
      <c r="G162" s="436">
        <f>G163+G165+G167+G173</f>
        <v>73.98</v>
      </c>
      <c r="H162" s="436">
        <f>H163+H165+H167+H173</f>
        <v>0</v>
      </c>
      <c r="I162" s="463">
        <f>I163+I165+I167+I173</f>
        <v>9363.98</v>
      </c>
      <c r="J162" s="1"/>
    </row>
    <row r="163" spans="2:10" s="12" customFormat="1" ht="12.75" x14ac:dyDescent="0.2">
      <c r="B163" s="276" t="s">
        <v>61</v>
      </c>
      <c r="C163" s="484"/>
      <c r="D163" s="484"/>
      <c r="E163" s="438">
        <f>E164</f>
        <v>0.75</v>
      </c>
      <c r="F163" s="88">
        <f t="shared" ref="F163:I163" si="35">F164</f>
        <v>1675</v>
      </c>
      <c r="G163" s="438">
        <f t="shared" si="35"/>
        <v>0</v>
      </c>
      <c r="H163" s="438">
        <f t="shared" si="35"/>
        <v>0</v>
      </c>
      <c r="I163" s="364">
        <f t="shared" si="35"/>
        <v>1675</v>
      </c>
      <c r="J163" s="1"/>
    </row>
    <row r="164" spans="2:10" s="12" customFormat="1" ht="12.75" x14ac:dyDescent="0.2">
      <c r="B164" s="690" t="s">
        <v>118</v>
      </c>
      <c r="C164" s="653" t="s">
        <v>481</v>
      </c>
      <c r="D164" s="653" t="s">
        <v>489</v>
      </c>
      <c r="E164" s="658">
        <v>0.75</v>
      </c>
      <c r="F164" s="659">
        <v>1675</v>
      </c>
      <c r="G164" s="652">
        <v>0</v>
      </c>
      <c r="H164" s="652">
        <v>0</v>
      </c>
      <c r="I164" s="659">
        <f>F164+G164+H164</f>
        <v>1675</v>
      </c>
      <c r="J164" s="120">
        <f>ROUND((F164+G164+H164)*(kopsavilkums!$O$8)*E164*12*(1+kopsavilkums!$O$23),2)</f>
        <v>1974.91</v>
      </c>
    </row>
    <row r="165" spans="2:10" s="12" customFormat="1" ht="38.25" x14ac:dyDescent="0.2">
      <c r="B165" s="276" t="s">
        <v>596</v>
      </c>
      <c r="C165" s="484"/>
      <c r="D165" s="484"/>
      <c r="E165" s="438">
        <f>E166</f>
        <v>0.5</v>
      </c>
      <c r="F165" s="438">
        <f t="shared" ref="F165:I165" si="36">F166</f>
        <v>1369</v>
      </c>
      <c r="G165" s="438">
        <f t="shared" si="36"/>
        <v>0</v>
      </c>
      <c r="H165" s="438">
        <f t="shared" si="36"/>
        <v>0</v>
      </c>
      <c r="I165" s="438">
        <f t="shared" si="36"/>
        <v>1369</v>
      </c>
      <c r="J165" s="1"/>
    </row>
    <row r="166" spans="2:10" s="12" customFormat="1" ht="12.75" x14ac:dyDescent="0.2">
      <c r="B166" s="678" t="s">
        <v>128</v>
      </c>
      <c r="C166" s="653" t="s">
        <v>468</v>
      </c>
      <c r="D166" s="679" t="s">
        <v>469</v>
      </c>
      <c r="E166" s="658">
        <v>0.5</v>
      </c>
      <c r="F166" s="659">
        <v>1369</v>
      </c>
      <c r="G166" s="652">
        <v>0</v>
      </c>
      <c r="H166" s="652">
        <v>0</v>
      </c>
      <c r="I166" s="659">
        <f>F166+G166+H166</f>
        <v>1369</v>
      </c>
      <c r="J166" s="120">
        <f>ROUND((F166+G166+H166)*(kopsavilkums!$O$8)*E166*12*(1+kopsavilkums!$O$23),2)</f>
        <v>1076.08</v>
      </c>
    </row>
    <row r="167" spans="2:10" s="12" customFormat="1" ht="38.25" x14ac:dyDescent="0.2">
      <c r="B167" s="276" t="s">
        <v>434</v>
      </c>
      <c r="C167" s="484"/>
      <c r="D167" s="484"/>
      <c r="E167" s="438">
        <f>SUM(E168:E172)</f>
        <v>3.5</v>
      </c>
      <c r="F167" s="438">
        <f t="shared" ref="F167:I167" si="37">SUM(F168:F172)</f>
        <v>6246</v>
      </c>
      <c r="G167" s="438">
        <f t="shared" si="37"/>
        <v>73.98</v>
      </c>
      <c r="H167" s="438">
        <f t="shared" si="37"/>
        <v>0</v>
      </c>
      <c r="I167" s="438">
        <f t="shared" si="37"/>
        <v>6319.98</v>
      </c>
      <c r="J167" s="1"/>
    </row>
    <row r="168" spans="2:10" s="12" customFormat="1" ht="12.75" x14ac:dyDescent="0.2">
      <c r="B168" s="687" t="s">
        <v>862</v>
      </c>
      <c r="C168" s="673" t="s">
        <v>492</v>
      </c>
      <c r="D168" s="688" t="s">
        <v>488</v>
      </c>
      <c r="E168" s="658">
        <v>0.25</v>
      </c>
      <c r="F168" s="682">
        <v>1600</v>
      </c>
      <c r="G168" s="682">
        <v>16</v>
      </c>
      <c r="H168" s="659">
        <v>0</v>
      </c>
      <c r="I168" s="659">
        <f>F168+G168+H168</f>
        <v>1616</v>
      </c>
      <c r="J168" s="120">
        <f>ROUND((F168+G168+H168)*(kopsavilkums!$O$12)*E168*12*(1+kopsavilkums!$O$23),2)</f>
        <v>389.46</v>
      </c>
    </row>
    <row r="169" spans="2:10" s="12" customFormat="1" ht="12.75" x14ac:dyDescent="0.2">
      <c r="B169" s="687" t="s">
        <v>862</v>
      </c>
      <c r="C169" s="673" t="s">
        <v>492</v>
      </c>
      <c r="D169" s="688" t="s">
        <v>488</v>
      </c>
      <c r="E169" s="658">
        <v>0.75</v>
      </c>
      <c r="F169" s="682">
        <v>1190</v>
      </c>
      <c r="G169" s="682">
        <v>11.9</v>
      </c>
      <c r="H169" s="659">
        <v>0</v>
      </c>
      <c r="I169" s="659">
        <f>F169+G169+H169</f>
        <v>1201.9000000000001</v>
      </c>
      <c r="J169" s="120">
        <f>ROUND((F169+G169+H169)*(kopsavilkums!$O$12)*E169*12*(1+kopsavilkums!$O$23),2)</f>
        <v>868.98</v>
      </c>
    </row>
    <row r="170" spans="2:10" s="12" customFormat="1" ht="12.75" x14ac:dyDescent="0.2">
      <c r="B170" s="687" t="s">
        <v>385</v>
      </c>
      <c r="C170" s="673" t="s">
        <v>863</v>
      </c>
      <c r="D170" s="688" t="s">
        <v>488</v>
      </c>
      <c r="E170" s="658">
        <v>1</v>
      </c>
      <c r="F170" s="682">
        <v>1152</v>
      </c>
      <c r="G170" s="682">
        <v>11.52</v>
      </c>
      <c r="H170" s="659">
        <v>0</v>
      </c>
      <c r="I170" s="659">
        <f>F170+G170+H170</f>
        <v>1163.52</v>
      </c>
      <c r="J170" s="120">
        <f>ROUND((F170+G170+H170)*(kopsavilkums!$O$12)*E170*12*(1+kopsavilkums!$O$23),2)</f>
        <v>1121.6400000000001</v>
      </c>
    </row>
    <row r="171" spans="2:10" s="12" customFormat="1" ht="12.75" x14ac:dyDescent="0.2">
      <c r="B171" s="687" t="s">
        <v>385</v>
      </c>
      <c r="C171" s="673" t="s">
        <v>863</v>
      </c>
      <c r="D171" s="688" t="s">
        <v>488</v>
      </c>
      <c r="E171" s="658">
        <v>1</v>
      </c>
      <c r="F171" s="682">
        <v>1152</v>
      </c>
      <c r="G171" s="682">
        <v>34.56</v>
      </c>
      <c r="H171" s="659">
        <v>0</v>
      </c>
      <c r="I171" s="659">
        <f>F171+G171+H171</f>
        <v>1186.56</v>
      </c>
      <c r="J171" s="120">
        <f>ROUND((F171+G171+H171)*(kopsavilkums!$O$12)*E171*12*(1+kopsavilkums!$O$23),2)</f>
        <v>1143.8499999999999</v>
      </c>
    </row>
    <row r="172" spans="2:10" s="12" customFormat="1" ht="12.75" x14ac:dyDescent="0.2">
      <c r="B172" s="691" t="s">
        <v>107</v>
      </c>
      <c r="C172" s="673" t="s">
        <v>486</v>
      </c>
      <c r="D172" s="688" t="s">
        <v>487</v>
      </c>
      <c r="E172" s="658">
        <v>0.5</v>
      </c>
      <c r="F172" s="682">
        <v>1152</v>
      </c>
      <c r="G172" s="682">
        <v>0</v>
      </c>
      <c r="H172" s="659">
        <v>0</v>
      </c>
      <c r="I172" s="659">
        <f>F172+G172+H172</f>
        <v>1152</v>
      </c>
      <c r="J172" s="120">
        <f>ROUND((F172+G172+H172)*(kopsavilkums!$O$12)*E172*12*(1+kopsavilkums!$O$23),2)</f>
        <v>555.27</v>
      </c>
    </row>
    <row r="173" spans="2:10" s="12" customFormat="1" ht="38.25" hidden="1" x14ac:dyDescent="0.2">
      <c r="B173" s="276" t="s">
        <v>95</v>
      </c>
      <c r="C173" s="484"/>
      <c r="D173" s="484"/>
      <c r="E173" s="438">
        <f>E174</f>
        <v>0</v>
      </c>
      <c r="F173" s="88">
        <f t="shared" ref="F173:I173" si="38">F174</f>
        <v>0</v>
      </c>
      <c r="G173" s="438">
        <f t="shared" si="38"/>
        <v>0</v>
      </c>
      <c r="H173" s="438">
        <f t="shared" si="38"/>
        <v>0</v>
      </c>
      <c r="I173" s="364">
        <f t="shared" si="38"/>
        <v>0</v>
      </c>
      <c r="J173" s="1"/>
    </row>
    <row r="174" spans="2:10" s="12" customFormat="1" ht="12.75" hidden="1" x14ac:dyDescent="0.2">
      <c r="B174" s="435"/>
      <c r="C174" s="508"/>
      <c r="D174" s="509"/>
      <c r="E174" s="357"/>
      <c r="F174" s="44"/>
      <c r="G174" s="79"/>
      <c r="H174" s="79"/>
      <c r="I174" s="459"/>
      <c r="J174" s="120"/>
    </row>
    <row r="175" spans="2:10" s="12" customFormat="1" ht="25.5" customHeight="1" x14ac:dyDescent="0.2">
      <c r="B175" s="275" t="s">
        <v>96</v>
      </c>
      <c r="C175" s="486"/>
      <c r="D175" s="486"/>
      <c r="E175" s="436">
        <f>E176+E179+E182+E185</f>
        <v>3.5</v>
      </c>
      <c r="F175" s="437">
        <f>F176+F179+F182+F185</f>
        <v>2163</v>
      </c>
      <c r="G175" s="436">
        <f>G176+G179+G182+G185</f>
        <v>0</v>
      </c>
      <c r="H175" s="436">
        <f>H176+H179+H182+H185</f>
        <v>5.89</v>
      </c>
      <c r="I175" s="463">
        <f>I176+I179+I182+I185</f>
        <v>2168.89</v>
      </c>
      <c r="J175" s="1"/>
    </row>
    <row r="176" spans="2:10" s="12" customFormat="1" ht="38.25" hidden="1" x14ac:dyDescent="0.2">
      <c r="B176" s="276" t="s">
        <v>234</v>
      </c>
      <c r="C176" s="484"/>
      <c r="D176" s="484"/>
      <c r="E176" s="438">
        <f>E177+E178</f>
        <v>0</v>
      </c>
      <c r="F176" s="88">
        <f t="shared" ref="F176:I176" si="39">F177+F178</f>
        <v>0</v>
      </c>
      <c r="G176" s="438">
        <f t="shared" si="39"/>
        <v>0</v>
      </c>
      <c r="H176" s="438">
        <f t="shared" si="39"/>
        <v>0</v>
      </c>
      <c r="I176" s="364">
        <f t="shared" si="39"/>
        <v>0</v>
      </c>
      <c r="J176" s="1"/>
    </row>
    <row r="177" spans="2:10" s="12" customFormat="1" ht="12.75" hidden="1" x14ac:dyDescent="0.2">
      <c r="B177" s="278" t="s">
        <v>121</v>
      </c>
      <c r="C177" s="502"/>
      <c r="D177" s="502"/>
      <c r="E177" s="357"/>
      <c r="F177" s="44"/>
      <c r="G177" s="79"/>
      <c r="H177" s="79"/>
      <c r="I177" s="116">
        <f>F177+G177+H177</f>
        <v>0</v>
      </c>
      <c r="J177" s="1"/>
    </row>
    <row r="178" spans="2:10" s="12" customFormat="1" ht="12.75" hidden="1" x14ac:dyDescent="0.2">
      <c r="B178" s="278"/>
      <c r="C178" s="502"/>
      <c r="D178" s="502"/>
      <c r="E178" s="357"/>
      <c r="F178" s="44"/>
      <c r="G178" s="79"/>
      <c r="H178" s="79"/>
      <c r="I178" s="116">
        <f>F178+G178+H178</f>
        <v>0</v>
      </c>
      <c r="J178" s="1"/>
    </row>
    <row r="179" spans="2:10" s="12" customFormat="1" ht="38.25" x14ac:dyDescent="0.2">
      <c r="B179" s="276" t="s">
        <v>430</v>
      </c>
      <c r="C179" s="484"/>
      <c r="D179" s="484"/>
      <c r="E179" s="438">
        <f>E180</f>
        <v>0.5</v>
      </c>
      <c r="F179" s="88">
        <f>F180+F181</f>
        <v>1320</v>
      </c>
      <c r="G179" s="438">
        <f>G180+G181</f>
        <v>0</v>
      </c>
      <c r="H179" s="438">
        <f>H180+H181</f>
        <v>0</v>
      </c>
      <c r="I179" s="364">
        <f>I180+I181</f>
        <v>1320</v>
      </c>
      <c r="J179" s="1"/>
    </row>
    <row r="180" spans="2:10" s="12" customFormat="1" ht="12.75" x14ac:dyDescent="0.2">
      <c r="B180" s="691" t="s">
        <v>121</v>
      </c>
      <c r="C180" s="673" t="s">
        <v>470</v>
      </c>
      <c r="D180" s="688" t="s">
        <v>471</v>
      </c>
      <c r="E180" s="658">
        <v>0.5</v>
      </c>
      <c r="F180" s="682">
        <v>1320</v>
      </c>
      <c r="G180" s="683">
        <v>0</v>
      </c>
      <c r="H180" s="683">
        <v>0</v>
      </c>
      <c r="I180" s="659">
        <f>F180+G180+H180</f>
        <v>1320</v>
      </c>
      <c r="J180" s="120">
        <f>ROUND((F180+G180+H180)*(kopsavilkums!$O$12)*E180*12*(1+kopsavilkums!$O$23),2)</f>
        <v>636.24</v>
      </c>
    </row>
    <row r="181" spans="2:10" s="12" customFormat="1" ht="12.75" hidden="1" x14ac:dyDescent="0.2">
      <c r="B181" s="434"/>
      <c r="C181" s="501"/>
      <c r="D181" s="501"/>
      <c r="E181" s="357"/>
      <c r="F181" s="44"/>
      <c r="G181" s="79"/>
      <c r="H181" s="79"/>
      <c r="I181" s="116">
        <f>F181+G181+H181</f>
        <v>0</v>
      </c>
      <c r="J181" s="1"/>
    </row>
    <row r="182" spans="2:10" s="12" customFormat="1" ht="38.25" hidden="1" x14ac:dyDescent="0.2">
      <c r="B182" s="276" t="s">
        <v>236</v>
      </c>
      <c r="C182" s="484"/>
      <c r="D182" s="484"/>
      <c r="E182" s="438">
        <f>SUM(E183:E184)</f>
        <v>0</v>
      </c>
      <c r="F182" s="88">
        <f>SUM(F183:F184)</f>
        <v>0</v>
      </c>
      <c r="G182" s="438">
        <f>SUM(G183:G184)</f>
        <v>0</v>
      </c>
      <c r="H182" s="438">
        <f>SUM(H183:H184)</f>
        <v>0</v>
      </c>
      <c r="I182" s="364">
        <f>SUM(I183:I184)</f>
        <v>0</v>
      </c>
      <c r="J182" s="1"/>
    </row>
    <row r="183" spans="2:10" s="12" customFormat="1" ht="12.75" hidden="1" x14ac:dyDescent="0.2">
      <c r="B183" s="434" t="s">
        <v>127</v>
      </c>
      <c r="C183" s="501"/>
      <c r="D183" s="501"/>
      <c r="E183" s="357"/>
      <c r="F183" s="44"/>
      <c r="G183" s="79"/>
      <c r="H183" s="79"/>
      <c r="I183" s="116">
        <f>F183+G183+H183</f>
        <v>0</v>
      </c>
      <c r="J183" s="1"/>
    </row>
    <row r="184" spans="2:10" s="12" customFormat="1" ht="12.75" hidden="1" x14ac:dyDescent="0.2">
      <c r="B184" s="434"/>
      <c r="C184" s="501"/>
      <c r="D184" s="501"/>
      <c r="E184" s="357"/>
      <c r="F184" s="44"/>
      <c r="G184" s="79"/>
      <c r="H184" s="79"/>
      <c r="I184" s="116">
        <f>F184+G184+H184</f>
        <v>0</v>
      </c>
      <c r="J184" s="1"/>
    </row>
    <row r="185" spans="2:10" s="12" customFormat="1" ht="12.75" x14ac:dyDescent="0.2">
      <c r="B185" s="276" t="s">
        <v>432</v>
      </c>
      <c r="C185" s="484"/>
      <c r="D185" s="484"/>
      <c r="E185" s="438">
        <f>E186</f>
        <v>3</v>
      </c>
      <c r="F185" s="88">
        <f t="shared" ref="F185:I185" si="40">F186</f>
        <v>843</v>
      </c>
      <c r="G185" s="438">
        <f t="shared" si="40"/>
        <v>0</v>
      </c>
      <c r="H185" s="438">
        <f t="shared" si="40"/>
        <v>5.89</v>
      </c>
      <c r="I185" s="364">
        <f t="shared" si="40"/>
        <v>848.89</v>
      </c>
      <c r="J185" s="1"/>
    </row>
    <row r="186" spans="2:10" s="12" customFormat="1" ht="13.5" thickBot="1" x14ac:dyDescent="0.25">
      <c r="B186" s="680" t="s">
        <v>26</v>
      </c>
      <c r="C186" s="653" t="s">
        <v>497</v>
      </c>
      <c r="D186" s="681" t="s">
        <v>498</v>
      </c>
      <c r="E186" s="658">
        <v>3</v>
      </c>
      <c r="F186" s="682">
        <v>843</v>
      </c>
      <c r="G186" s="683">
        <v>0</v>
      </c>
      <c r="H186" s="683">
        <v>5.89</v>
      </c>
      <c r="I186" s="659">
        <f>F186+G186+H186</f>
        <v>848.89</v>
      </c>
      <c r="J186" s="473">
        <f>ROUND((F186+G186+H186)*(kopsavilkums!$O$15)*E186*12*(1+kopsavilkums!$O$23),2)</f>
        <v>2606.0700000000002</v>
      </c>
    </row>
    <row r="187" spans="2:10" s="12" customFormat="1" ht="14.25" thickBot="1" x14ac:dyDescent="0.25">
      <c r="B187" s="423" t="s">
        <v>146</v>
      </c>
      <c r="C187" s="499"/>
      <c r="D187" s="499"/>
      <c r="E187" s="424">
        <f>E162+E175</f>
        <v>8.25</v>
      </c>
      <c r="F187" s="425" t="s">
        <v>29</v>
      </c>
      <c r="G187" s="425" t="s">
        <v>29</v>
      </c>
      <c r="H187" s="425" t="s">
        <v>29</v>
      </c>
      <c r="I187" s="461" t="s">
        <v>29</v>
      </c>
      <c r="J187" s="1"/>
    </row>
    <row r="188" spans="2:10" s="140" customFormat="1" ht="33.75" customHeight="1" x14ac:dyDescent="0.25">
      <c r="B188" s="1109" t="s">
        <v>348</v>
      </c>
      <c r="C188" s="1110"/>
      <c r="D188" s="1110"/>
      <c r="E188" s="1110"/>
      <c r="F188" s="1110"/>
      <c r="G188" s="1110"/>
      <c r="H188" s="1110"/>
      <c r="I188" s="1110"/>
      <c r="J188" s="470"/>
    </row>
    <row r="189" spans="2:10" s="12" customFormat="1" ht="29.25" customHeight="1" x14ac:dyDescent="0.2">
      <c r="B189" s="431" t="s">
        <v>60</v>
      </c>
      <c r="C189" s="485"/>
      <c r="D189" s="485"/>
      <c r="E189" s="410">
        <f>E190+E192+E194</f>
        <v>1.75</v>
      </c>
      <c r="F189" s="410">
        <f t="shared" ref="F189:I189" si="41">F190+F192+F194</f>
        <v>5545</v>
      </c>
      <c r="G189" s="410">
        <f t="shared" si="41"/>
        <v>163.75</v>
      </c>
      <c r="H189" s="410">
        <f t="shared" si="41"/>
        <v>277.25</v>
      </c>
      <c r="I189" s="410">
        <f t="shared" si="41"/>
        <v>5986</v>
      </c>
      <c r="J189" s="1"/>
    </row>
    <row r="190" spans="2:10" s="12" customFormat="1" ht="12.75" x14ac:dyDescent="0.2">
      <c r="B190" s="276" t="s">
        <v>61</v>
      </c>
      <c r="C190" s="484"/>
      <c r="D190" s="484"/>
      <c r="E190" s="412">
        <f>E191</f>
        <v>0.5</v>
      </c>
      <c r="F190" s="417">
        <f t="shared" ref="F190:I190" si="42">F191</f>
        <v>2090</v>
      </c>
      <c r="G190" s="412">
        <f t="shared" si="42"/>
        <v>83.6</v>
      </c>
      <c r="H190" s="412">
        <f t="shared" si="42"/>
        <v>104.5</v>
      </c>
      <c r="I190" s="433">
        <f t="shared" si="42"/>
        <v>2278.1</v>
      </c>
      <c r="J190" s="1"/>
    </row>
    <row r="191" spans="2:10" s="12" customFormat="1" ht="12.75" x14ac:dyDescent="0.2">
      <c r="B191" s="677" t="s">
        <v>118</v>
      </c>
      <c r="C191" s="653" t="s">
        <v>481</v>
      </c>
      <c r="D191" s="649" t="s">
        <v>489</v>
      </c>
      <c r="E191" s="658">
        <v>0.5</v>
      </c>
      <c r="F191" s="652">
        <v>2090</v>
      </c>
      <c r="G191" s="652">
        <v>83.6</v>
      </c>
      <c r="H191" s="652">
        <v>104.5</v>
      </c>
      <c r="I191" s="652">
        <f>F191+G191+H191</f>
        <v>2278.1</v>
      </c>
      <c r="J191" s="120">
        <f>ROUND((F191+G191+H191)*(kopsavilkums!$O$8)*E191*12*(1+kopsavilkums!$O$23),2)</f>
        <v>1790.66</v>
      </c>
    </row>
    <row r="192" spans="2:10" s="12" customFormat="1" ht="38.25" x14ac:dyDescent="0.2">
      <c r="B192" s="276" t="s">
        <v>596</v>
      </c>
      <c r="C192" s="484"/>
      <c r="D192" s="484"/>
      <c r="E192" s="438">
        <f>E193</f>
        <v>0.5</v>
      </c>
      <c r="F192" s="438">
        <f t="shared" ref="F192" si="43">F193</f>
        <v>1935</v>
      </c>
      <c r="G192" s="438">
        <f t="shared" ref="G192" si="44">G193</f>
        <v>19.350000000000001</v>
      </c>
      <c r="H192" s="438">
        <f t="shared" ref="H192" si="45">H193</f>
        <v>96.75</v>
      </c>
      <c r="I192" s="438">
        <f t="shared" ref="I192" si="46">I193</f>
        <v>2051.1</v>
      </c>
      <c r="J192" s="120"/>
    </row>
    <row r="193" spans="2:10" s="12" customFormat="1" ht="12.75" x14ac:dyDescent="0.2">
      <c r="B193" s="663" t="s">
        <v>121</v>
      </c>
      <c r="C193" s="673" t="s">
        <v>470</v>
      </c>
      <c r="D193" s="649" t="s">
        <v>471</v>
      </c>
      <c r="E193" s="658">
        <v>0.5</v>
      </c>
      <c r="F193" s="652">
        <v>1935</v>
      </c>
      <c r="G193" s="652">
        <v>19.350000000000001</v>
      </c>
      <c r="H193" s="652">
        <v>96.75</v>
      </c>
      <c r="I193" s="652">
        <f>F193+G193+H193</f>
        <v>2051.1</v>
      </c>
      <c r="J193" s="120">
        <f>ROUND((F193+G193+H193)*(kopsavilkums!$O$8)*E193*12*(1+kopsavilkums!$O$23),2)</f>
        <v>1612.23</v>
      </c>
    </row>
    <row r="194" spans="2:10" s="12" customFormat="1" ht="38.25" x14ac:dyDescent="0.2">
      <c r="B194" s="276" t="s">
        <v>449</v>
      </c>
      <c r="C194" s="484"/>
      <c r="D194" s="484"/>
      <c r="E194" s="412">
        <f>SUM(E195)</f>
        <v>0.75</v>
      </c>
      <c r="F194" s="412">
        <f t="shared" ref="F194:I194" si="47">SUM(F195)</f>
        <v>1520</v>
      </c>
      <c r="G194" s="412">
        <f t="shared" si="47"/>
        <v>60.8</v>
      </c>
      <c r="H194" s="412">
        <f t="shared" si="47"/>
        <v>76</v>
      </c>
      <c r="I194" s="412">
        <f t="shared" si="47"/>
        <v>1656.8</v>
      </c>
      <c r="J194" s="1"/>
    </row>
    <row r="195" spans="2:10" s="12" customFormat="1" ht="12.75" x14ac:dyDescent="0.2">
      <c r="B195" s="680" t="s">
        <v>107</v>
      </c>
      <c r="C195" s="653" t="s">
        <v>486</v>
      </c>
      <c r="D195" s="681" t="s">
        <v>487</v>
      </c>
      <c r="E195" s="658">
        <v>0.75</v>
      </c>
      <c r="F195" s="652">
        <v>1520</v>
      </c>
      <c r="G195" s="652">
        <v>60.8</v>
      </c>
      <c r="H195" s="652">
        <v>76</v>
      </c>
      <c r="I195" s="652">
        <f>F195+G195+H195</f>
        <v>1656.8</v>
      </c>
      <c r="J195" s="120">
        <f>ROUND((F195+G195+H195)*(kopsavilkums!$O$12)*E195*12*(1+kopsavilkums!$O$23),2)</f>
        <v>1197.8699999999999</v>
      </c>
    </row>
    <row r="196" spans="2:10" s="12" customFormat="1" ht="29.25" customHeight="1" x14ac:dyDescent="0.2">
      <c r="B196" s="431" t="s">
        <v>96</v>
      </c>
      <c r="C196" s="485"/>
      <c r="D196" s="485"/>
      <c r="E196" s="410">
        <f>E197</f>
        <v>6.5</v>
      </c>
      <c r="F196" s="410">
        <f t="shared" ref="F196:I196" si="48">F197</f>
        <v>4015</v>
      </c>
      <c r="G196" s="410">
        <f t="shared" si="48"/>
        <v>155.79999999999998</v>
      </c>
      <c r="H196" s="410">
        <f t="shared" si="48"/>
        <v>925.05</v>
      </c>
      <c r="I196" s="410">
        <f t="shared" si="48"/>
        <v>5095.8500000000004</v>
      </c>
      <c r="J196" s="1"/>
    </row>
    <row r="197" spans="2:10" s="12" customFormat="1" ht="38.25" x14ac:dyDescent="0.2">
      <c r="B197" s="276" t="s">
        <v>430</v>
      </c>
      <c r="C197" s="484"/>
      <c r="D197" s="484"/>
      <c r="E197" s="412">
        <f>SUM(E198:E200)</f>
        <v>6.5</v>
      </c>
      <c r="F197" s="417">
        <f>SUM(F198:F200)</f>
        <v>4015</v>
      </c>
      <c r="G197" s="412">
        <f>SUM(G198:G200)</f>
        <v>155.79999999999998</v>
      </c>
      <c r="H197" s="412">
        <f>SUM(H198:H200)</f>
        <v>925.05</v>
      </c>
      <c r="I197" s="433">
        <f>SUM(I198:I200)</f>
        <v>5095.8500000000004</v>
      </c>
      <c r="J197" s="1"/>
    </row>
    <row r="198" spans="2:10" s="12" customFormat="1" ht="12.75" x14ac:dyDescent="0.2">
      <c r="B198" s="692" t="s">
        <v>18</v>
      </c>
      <c r="C198" s="673" t="s">
        <v>564</v>
      </c>
      <c r="D198" s="666" t="s">
        <v>488</v>
      </c>
      <c r="E198" s="658">
        <v>1</v>
      </c>
      <c r="F198" s="652">
        <v>1495</v>
      </c>
      <c r="G198" s="652">
        <v>59.8</v>
      </c>
      <c r="H198" s="652">
        <v>74.75</v>
      </c>
      <c r="I198" s="652">
        <f>F198+G198+H198</f>
        <v>1629.55</v>
      </c>
      <c r="J198" s="120">
        <f>ROUND((F198+G198+H198)*(kopsavilkums!$O$12)*E198*12*(1+kopsavilkums!$O$23),2)</f>
        <v>1570.89</v>
      </c>
    </row>
    <row r="199" spans="2:10" s="12" customFormat="1" ht="12.75" x14ac:dyDescent="0.2">
      <c r="B199" s="693" t="s">
        <v>112</v>
      </c>
      <c r="C199" s="673" t="s">
        <v>529</v>
      </c>
      <c r="D199" s="681" t="s">
        <v>488</v>
      </c>
      <c r="E199" s="658">
        <v>3.5</v>
      </c>
      <c r="F199" s="652">
        <v>1280</v>
      </c>
      <c r="G199" s="652">
        <v>46.4</v>
      </c>
      <c r="H199" s="652">
        <v>431.9</v>
      </c>
      <c r="I199" s="652">
        <f>F199+G199+H199</f>
        <v>1758.3000000000002</v>
      </c>
      <c r="J199" s="120">
        <f>ROUND((F199+G199+H199)*(kopsavilkums!$O$12)*E199*12*(1+kopsavilkums!$O$23),2)</f>
        <v>5932.52</v>
      </c>
    </row>
    <row r="200" spans="2:10" s="12" customFormat="1" ht="13.5" thickBot="1" x14ac:dyDescent="0.25">
      <c r="B200" s="693" t="s">
        <v>112</v>
      </c>
      <c r="C200" s="673" t="s">
        <v>529</v>
      </c>
      <c r="D200" s="681" t="s">
        <v>488</v>
      </c>
      <c r="E200" s="658">
        <v>2</v>
      </c>
      <c r="F200" s="652">
        <v>1240</v>
      </c>
      <c r="G200" s="652">
        <v>49.6</v>
      </c>
      <c r="H200" s="652">
        <v>418.4</v>
      </c>
      <c r="I200" s="652">
        <f>F200+G200+H200</f>
        <v>1708</v>
      </c>
      <c r="J200" s="120">
        <f>ROUND((F200+G200+H200)*(kopsavilkums!$O$12)*E200*12*(1+kopsavilkums!$O$23),2)</f>
        <v>3293.03</v>
      </c>
    </row>
    <row r="201" spans="2:10" s="12" customFormat="1" ht="25.5" hidden="1" customHeight="1" x14ac:dyDescent="0.2">
      <c r="B201" s="275" t="s">
        <v>96</v>
      </c>
      <c r="C201" s="486"/>
      <c r="D201" s="486"/>
      <c r="E201" s="410"/>
      <c r="F201" s="429"/>
      <c r="G201" s="410"/>
      <c r="H201" s="410"/>
      <c r="I201" s="458"/>
      <c r="J201" s="120"/>
    </row>
    <row r="202" spans="2:10" s="12" customFormat="1" ht="25.5" hidden="1" x14ac:dyDescent="0.2">
      <c r="B202" s="276" t="s">
        <v>235</v>
      </c>
      <c r="C202" s="484"/>
      <c r="D202" s="484"/>
      <c r="E202" s="412"/>
      <c r="F202" s="417"/>
      <c r="G202" s="412"/>
      <c r="H202" s="412"/>
      <c r="I202" s="433"/>
      <c r="J202" s="120"/>
    </row>
    <row r="203" spans="2:10" s="12" customFormat="1" ht="12.75" hidden="1" x14ac:dyDescent="0.2">
      <c r="B203" s="434"/>
      <c r="C203" s="501"/>
      <c r="D203" s="501"/>
      <c r="E203" s="415"/>
      <c r="F203" s="418"/>
      <c r="G203" s="416"/>
      <c r="H203" s="416"/>
      <c r="I203" s="142"/>
      <c r="J203" s="120"/>
    </row>
    <row r="204" spans="2:10" s="12" customFormat="1" ht="13.5" hidden="1" thickBot="1" x14ac:dyDescent="0.25">
      <c r="B204" s="432"/>
      <c r="C204" s="500"/>
      <c r="D204" s="500"/>
      <c r="E204" s="415"/>
      <c r="F204" s="418"/>
      <c r="G204" s="416"/>
      <c r="H204" s="416"/>
      <c r="I204" s="142"/>
      <c r="J204" s="120"/>
    </row>
    <row r="205" spans="2:10" s="12" customFormat="1" ht="14.25" thickBot="1" x14ac:dyDescent="0.25">
      <c r="B205" s="423" t="s">
        <v>146</v>
      </c>
      <c r="C205" s="499"/>
      <c r="D205" s="499"/>
      <c r="E205" s="424">
        <f>E189+E201+E196</f>
        <v>8.25</v>
      </c>
      <c r="F205" s="439" t="s">
        <v>29</v>
      </c>
      <c r="G205" s="439" t="s">
        <v>29</v>
      </c>
      <c r="H205" s="439" t="s">
        <v>29</v>
      </c>
      <c r="I205" s="464" t="s">
        <v>29</v>
      </c>
      <c r="J205" s="1"/>
    </row>
    <row r="206" spans="2:10" s="140" customFormat="1" ht="27.75" customHeight="1" x14ac:dyDescent="0.25">
      <c r="B206" s="1109" t="s">
        <v>377</v>
      </c>
      <c r="C206" s="1110"/>
      <c r="D206" s="1110"/>
      <c r="E206" s="1110"/>
      <c r="F206" s="1110"/>
      <c r="G206" s="1110"/>
      <c r="H206" s="1110"/>
      <c r="I206" s="1110"/>
      <c r="J206" s="470"/>
    </row>
    <row r="207" spans="2:10" s="12" customFormat="1" ht="12.75" x14ac:dyDescent="0.2">
      <c r="B207" s="431" t="s">
        <v>60</v>
      </c>
      <c r="C207" s="485"/>
      <c r="D207" s="485"/>
      <c r="E207" s="408">
        <f>E208+E211</f>
        <v>0.25</v>
      </c>
      <c r="F207" s="409">
        <f t="shared" ref="F207:I207" si="49">F208+F211</f>
        <v>1890</v>
      </c>
      <c r="G207" s="410">
        <f t="shared" si="49"/>
        <v>189</v>
      </c>
      <c r="H207" s="410">
        <f t="shared" si="49"/>
        <v>75.599999999999994</v>
      </c>
      <c r="I207" s="458">
        <f t="shared" si="49"/>
        <v>2154.6</v>
      </c>
      <c r="J207" s="1"/>
    </row>
    <row r="208" spans="2:10" s="12" customFormat="1" ht="12.75" hidden="1" x14ac:dyDescent="0.2">
      <c r="B208" s="276" t="s">
        <v>61</v>
      </c>
      <c r="C208" s="484"/>
      <c r="D208" s="484"/>
      <c r="E208" s="430">
        <f>E209+E210</f>
        <v>0</v>
      </c>
      <c r="F208" s="413">
        <f>F209+F210</f>
        <v>0</v>
      </c>
      <c r="G208" s="412">
        <f t="shared" ref="G208:I208" si="50">G209+G210</f>
        <v>0</v>
      </c>
      <c r="H208" s="412">
        <f t="shared" si="50"/>
        <v>0</v>
      </c>
      <c r="I208" s="433">
        <f t="shared" si="50"/>
        <v>0</v>
      </c>
      <c r="J208" s="1"/>
    </row>
    <row r="209" spans="2:10" s="12" customFormat="1" ht="12.75" hidden="1" x14ac:dyDescent="0.2">
      <c r="B209" s="432"/>
      <c r="C209" s="507"/>
      <c r="D209" s="507"/>
      <c r="E209" s="393"/>
      <c r="F209" s="392"/>
      <c r="G209" s="416"/>
      <c r="H209" s="416"/>
      <c r="I209" s="459"/>
      <c r="J209" s="120">
        <f>ROUND((F209+G209+H209)*(kopsavilkums!$O$8)*E209*12*(1+kopsavilkums!$O$23),2)</f>
        <v>0</v>
      </c>
    </row>
    <row r="210" spans="2:10" s="12" customFormat="1" ht="12.75" hidden="1" x14ac:dyDescent="0.2">
      <c r="B210" s="432"/>
      <c r="C210" s="500"/>
      <c r="D210" s="500"/>
      <c r="E210" s="393"/>
      <c r="F210" s="392"/>
      <c r="G210" s="416"/>
      <c r="H210" s="416"/>
      <c r="I210" s="142">
        <f>F210+G210+H210</f>
        <v>0</v>
      </c>
      <c r="J210" s="1"/>
    </row>
    <row r="211" spans="2:10" s="12" customFormat="1" ht="38.25" x14ac:dyDescent="0.2">
      <c r="B211" s="276" t="s">
        <v>596</v>
      </c>
      <c r="C211" s="484"/>
      <c r="D211" s="484"/>
      <c r="E211" s="430">
        <f>E212</f>
        <v>0.25</v>
      </c>
      <c r="F211" s="413">
        <f t="shared" ref="F211:I211" si="51">F212</f>
        <v>1890</v>
      </c>
      <c r="G211" s="412">
        <f t="shared" si="51"/>
        <v>189</v>
      </c>
      <c r="H211" s="412">
        <f t="shared" si="51"/>
        <v>75.599999999999994</v>
      </c>
      <c r="I211" s="433">
        <f t="shared" si="51"/>
        <v>2154.6</v>
      </c>
      <c r="J211" s="1"/>
    </row>
    <row r="212" spans="2:10" s="12" customFormat="1" ht="13.5" thickBot="1" x14ac:dyDescent="0.25">
      <c r="B212" s="677" t="s">
        <v>126</v>
      </c>
      <c r="C212" s="653" t="s">
        <v>483</v>
      </c>
      <c r="D212" s="649" t="s">
        <v>484</v>
      </c>
      <c r="E212" s="694">
        <v>0.25</v>
      </c>
      <c r="F212" s="659">
        <v>1890</v>
      </c>
      <c r="G212" s="683">
        <v>189</v>
      </c>
      <c r="H212" s="683">
        <v>75.599999999999994</v>
      </c>
      <c r="I212" s="659">
        <f t="shared" ref="I212" si="52">F212+G212+H212</f>
        <v>2154.6</v>
      </c>
      <c r="J212" s="120">
        <f>ROUND((F212+G212+H212)*(kopsavilkums!$O$8)*E212*12*(1+kopsavilkums!$O$23),2)</f>
        <v>846.79</v>
      </c>
    </row>
    <row r="213" spans="2:10" s="12" customFormat="1" ht="14.25" thickBot="1" x14ac:dyDescent="0.25">
      <c r="B213" s="423" t="s">
        <v>146</v>
      </c>
      <c r="C213" s="499"/>
      <c r="D213" s="499"/>
      <c r="E213" s="424">
        <f>E207</f>
        <v>0.25</v>
      </c>
      <c r="F213" s="425" t="s">
        <v>29</v>
      </c>
      <c r="G213" s="425" t="s">
        <v>29</v>
      </c>
      <c r="H213" s="425" t="s">
        <v>29</v>
      </c>
      <c r="I213" s="461" t="s">
        <v>29</v>
      </c>
      <c r="J213" s="469"/>
    </row>
    <row r="214" spans="2:10" s="12" customFormat="1" ht="13.5" thickBot="1" x14ac:dyDescent="0.25">
      <c r="B214" s="440" t="s">
        <v>378</v>
      </c>
      <c r="C214" s="503"/>
      <c r="D214" s="503"/>
      <c r="E214" s="441" t="e">
        <f>E52+E68+#REF!+E83+E97+E112+E128+E160+E187+E205+E213</f>
        <v>#REF!</v>
      </c>
      <c r="F214" s="442" t="s">
        <v>29</v>
      </c>
      <c r="G214" s="442" t="s">
        <v>29</v>
      </c>
      <c r="H214" s="442" t="s">
        <v>29</v>
      </c>
      <c r="I214" s="465" t="s">
        <v>29</v>
      </c>
      <c r="J214" s="475">
        <f>SUM(J12:J213)</f>
        <v>221046.68000000005</v>
      </c>
    </row>
    <row r="215" spans="2:10" s="12" customFormat="1" x14ac:dyDescent="0.2">
      <c r="B215" s="1111" t="s">
        <v>379</v>
      </c>
      <c r="C215" s="1112"/>
      <c r="D215" s="1112"/>
      <c r="E215" s="1112"/>
      <c r="F215" s="1112"/>
      <c r="G215" s="1112"/>
      <c r="H215" s="1112"/>
      <c r="I215" s="1112"/>
      <c r="J215" s="1"/>
    </row>
    <row r="216" spans="2:10" s="12" customFormat="1" ht="12.75" x14ac:dyDescent="0.2">
      <c r="B216" s="275" t="s">
        <v>60</v>
      </c>
      <c r="C216" s="486"/>
      <c r="D216" s="486"/>
      <c r="E216" s="443">
        <f>E217+E260+E287+E359</f>
        <v>269.79999999999995</v>
      </c>
      <c r="F216" s="444">
        <v>193659.52999999994</v>
      </c>
      <c r="G216" s="444">
        <v>12217.543200000004</v>
      </c>
      <c r="H216" s="444">
        <v>24024.420999999988</v>
      </c>
      <c r="I216" s="466">
        <v>229901.4942000001</v>
      </c>
      <c r="J216" s="469"/>
    </row>
    <row r="217" spans="2:10" s="12" customFormat="1" ht="12.75" x14ac:dyDescent="0.2">
      <c r="B217" s="276" t="s">
        <v>61</v>
      </c>
      <c r="C217" s="484"/>
      <c r="D217" s="484"/>
      <c r="E217" s="445">
        <f>SUM(E218:E259)</f>
        <v>29.95</v>
      </c>
      <c r="F217" s="445">
        <f t="shared" ref="F217:I217" si="53">SUM(F218:F259)</f>
        <v>69089.400000000023</v>
      </c>
      <c r="G217" s="445">
        <f t="shared" si="53"/>
        <v>3159.2410000000009</v>
      </c>
      <c r="H217" s="445">
        <f t="shared" si="53"/>
        <v>4298.2899999999991</v>
      </c>
      <c r="I217" s="445">
        <f t="shared" si="53"/>
        <v>76546.930999999982</v>
      </c>
      <c r="J217" s="1"/>
    </row>
    <row r="218" spans="2:10" s="12" customFormat="1" ht="12.75" x14ac:dyDescent="0.2">
      <c r="B218" s="642" t="s">
        <v>118</v>
      </c>
      <c r="C218" s="641" t="s">
        <v>507</v>
      </c>
      <c r="D218" s="643" t="s">
        <v>508</v>
      </c>
      <c r="E218" s="644">
        <v>0.5</v>
      </c>
      <c r="F218" s="640">
        <v>1660</v>
      </c>
      <c r="G218" s="640">
        <v>99.6</v>
      </c>
      <c r="H218" s="640">
        <v>166</v>
      </c>
      <c r="I218" s="640">
        <v>1925.6</v>
      </c>
      <c r="J218" s="120">
        <f>ROUND((F218+G218+H218)*(kopsavilkums!$O$8)*E218*12*(1+kopsavilkums!$O$23),2)</f>
        <v>1513.58</v>
      </c>
    </row>
    <row r="219" spans="2:10" s="12" customFormat="1" ht="12.75" x14ac:dyDescent="0.2">
      <c r="B219" s="642" t="s">
        <v>125</v>
      </c>
      <c r="C219" s="641" t="s">
        <v>509</v>
      </c>
      <c r="D219" s="643" t="s">
        <v>510</v>
      </c>
      <c r="E219" s="644">
        <v>0.5</v>
      </c>
      <c r="F219" s="640">
        <v>1660</v>
      </c>
      <c r="G219" s="640">
        <v>99.6</v>
      </c>
      <c r="H219" s="640">
        <v>166</v>
      </c>
      <c r="I219" s="640">
        <v>1925.6</v>
      </c>
      <c r="J219" s="120">
        <f>ROUND((F219+G219+H219)*(kopsavilkums!$O$8)*E219*12*(1+kopsavilkums!$O$23),2)</f>
        <v>1513.58</v>
      </c>
    </row>
    <row r="220" spans="2:10" s="12" customFormat="1" ht="12.75" x14ac:dyDescent="0.2">
      <c r="B220" s="642" t="s">
        <v>125</v>
      </c>
      <c r="C220" s="641" t="s">
        <v>509</v>
      </c>
      <c r="D220" s="643" t="s">
        <v>510</v>
      </c>
      <c r="E220" s="644">
        <v>0.5</v>
      </c>
      <c r="F220" s="640">
        <v>1660</v>
      </c>
      <c r="G220" s="640">
        <v>132.80000000000001</v>
      </c>
      <c r="H220" s="640">
        <v>166</v>
      </c>
      <c r="I220" s="640">
        <v>1958.8</v>
      </c>
      <c r="J220" s="120">
        <f>ROUND((F220+G220+H220)*(kopsavilkums!$O$8)*E220*12*(1+kopsavilkums!$O$23),2)</f>
        <v>1539.68</v>
      </c>
    </row>
    <row r="221" spans="2:10" s="12" customFormat="1" ht="12.75" x14ac:dyDescent="0.2">
      <c r="B221" s="642" t="s">
        <v>118</v>
      </c>
      <c r="C221" s="641" t="s">
        <v>507</v>
      </c>
      <c r="D221" s="643" t="s">
        <v>508</v>
      </c>
      <c r="E221" s="644">
        <v>0.25</v>
      </c>
      <c r="F221" s="640">
        <v>1660</v>
      </c>
      <c r="G221" s="640">
        <v>116.2</v>
      </c>
      <c r="H221" s="640">
        <v>166</v>
      </c>
      <c r="I221" s="640">
        <v>1942.2</v>
      </c>
      <c r="J221" s="120">
        <f>ROUND((F221+G221+H221)*(kopsavilkums!$O$8)*E221*12*(1+kopsavilkums!$O$23),2)</f>
        <v>763.32</v>
      </c>
    </row>
    <row r="222" spans="2:10" s="12" customFormat="1" ht="12.75" x14ac:dyDescent="0.2">
      <c r="B222" s="642" t="s">
        <v>118</v>
      </c>
      <c r="C222" s="641" t="s">
        <v>507</v>
      </c>
      <c r="D222" s="643" t="s">
        <v>508</v>
      </c>
      <c r="E222" s="644">
        <v>1</v>
      </c>
      <c r="F222" s="640">
        <v>1660</v>
      </c>
      <c r="G222" s="640">
        <v>132.80000000000001</v>
      </c>
      <c r="H222" s="640">
        <v>166</v>
      </c>
      <c r="I222" s="640">
        <v>1958.8</v>
      </c>
      <c r="J222" s="120">
        <f>ROUND((F222+G222+H222)*(kopsavilkums!$O$8)*E222*12*(1+kopsavilkums!$O$23),2)</f>
        <v>3079.36</v>
      </c>
    </row>
    <row r="223" spans="2:10" s="12" customFormat="1" ht="12.75" x14ac:dyDescent="0.2">
      <c r="B223" s="642" t="s">
        <v>118</v>
      </c>
      <c r="C223" s="641" t="s">
        <v>507</v>
      </c>
      <c r="D223" s="643" t="s">
        <v>508</v>
      </c>
      <c r="E223" s="644">
        <v>0.5</v>
      </c>
      <c r="F223" s="640">
        <v>1660</v>
      </c>
      <c r="G223" s="640">
        <v>116.2</v>
      </c>
      <c r="H223" s="640">
        <v>166</v>
      </c>
      <c r="I223" s="640">
        <v>1942.2</v>
      </c>
      <c r="J223" s="120">
        <f>ROUND((F223+G223+H223)*(kopsavilkums!$O$8)*E223*12*(1+kopsavilkums!$O$23),2)</f>
        <v>1526.63</v>
      </c>
    </row>
    <row r="224" spans="2:10" s="12" customFormat="1" ht="12.75" x14ac:dyDescent="0.2">
      <c r="B224" s="642" t="s">
        <v>118</v>
      </c>
      <c r="C224" s="641" t="s">
        <v>507</v>
      </c>
      <c r="D224" s="643" t="s">
        <v>515</v>
      </c>
      <c r="E224" s="644">
        <v>0.5</v>
      </c>
      <c r="F224" s="640">
        <v>1660</v>
      </c>
      <c r="G224" s="640">
        <v>99.6</v>
      </c>
      <c r="H224" s="640">
        <v>166</v>
      </c>
      <c r="I224" s="640">
        <v>1925.6</v>
      </c>
      <c r="J224" s="120">
        <f>ROUND((F224+G224+H224)*(kopsavilkums!$O$8)*E224*12*(1+kopsavilkums!$O$23),2)</f>
        <v>1513.58</v>
      </c>
    </row>
    <row r="225" spans="2:10" s="12" customFormat="1" ht="12.75" x14ac:dyDescent="0.2">
      <c r="B225" s="642" t="s">
        <v>118</v>
      </c>
      <c r="C225" s="641" t="s">
        <v>507</v>
      </c>
      <c r="D225" s="643" t="s">
        <v>508</v>
      </c>
      <c r="E225" s="644">
        <v>0.5</v>
      </c>
      <c r="F225" s="640">
        <v>1660</v>
      </c>
      <c r="G225" s="640">
        <v>83</v>
      </c>
      <c r="H225" s="640">
        <v>166</v>
      </c>
      <c r="I225" s="640">
        <v>1909</v>
      </c>
      <c r="J225" s="120">
        <f>ROUND((F225+G225+H225)*(kopsavilkums!$O$8)*E225*12*(1+kopsavilkums!$O$23),2)</f>
        <v>1500.54</v>
      </c>
    </row>
    <row r="226" spans="2:10" s="12" customFormat="1" ht="12.75" x14ac:dyDescent="0.2">
      <c r="B226" s="642" t="s">
        <v>864</v>
      </c>
      <c r="C226" s="641" t="s">
        <v>511</v>
      </c>
      <c r="D226" s="643" t="s">
        <v>644</v>
      </c>
      <c r="E226" s="644">
        <v>0.5</v>
      </c>
      <c r="F226" s="640">
        <v>1660</v>
      </c>
      <c r="G226" s="640">
        <v>132.80000000000001</v>
      </c>
      <c r="H226" s="640">
        <v>166</v>
      </c>
      <c r="I226" s="640">
        <v>1958.8</v>
      </c>
      <c r="J226" s="120">
        <f>ROUND((F226+G226+H226)*(kopsavilkums!$O$8)*E226*12*(1+kopsavilkums!$O$23),2)</f>
        <v>1539.68</v>
      </c>
    </row>
    <row r="227" spans="2:10" s="12" customFormat="1" ht="12.75" x14ac:dyDescent="0.2">
      <c r="B227" s="642" t="s">
        <v>864</v>
      </c>
      <c r="C227" s="641" t="s">
        <v>539</v>
      </c>
      <c r="D227" s="643" t="s">
        <v>644</v>
      </c>
      <c r="E227" s="644">
        <v>0.75</v>
      </c>
      <c r="F227" s="640">
        <v>1730</v>
      </c>
      <c r="G227" s="640">
        <v>103.8</v>
      </c>
      <c r="H227" s="640">
        <v>190.3</v>
      </c>
      <c r="I227" s="640">
        <v>2024.1</v>
      </c>
      <c r="J227" s="120">
        <f>ROUND((F227+G227+H227)*(kopsavilkums!$O$8)*E227*12*(1+kopsavilkums!$O$23),2)</f>
        <v>2386.5100000000002</v>
      </c>
    </row>
    <row r="228" spans="2:10" s="12" customFormat="1" ht="12.75" x14ac:dyDescent="0.2">
      <c r="B228" s="642" t="s">
        <v>118</v>
      </c>
      <c r="C228" s="641" t="s">
        <v>507</v>
      </c>
      <c r="D228" s="643" t="s">
        <v>508</v>
      </c>
      <c r="E228" s="644">
        <v>0.5</v>
      </c>
      <c r="F228" s="640">
        <v>1660</v>
      </c>
      <c r="G228" s="640">
        <v>132.80000000000001</v>
      </c>
      <c r="H228" s="640">
        <v>166</v>
      </c>
      <c r="I228" s="640">
        <v>1958.8</v>
      </c>
      <c r="J228" s="120">
        <f>ROUND((F228+G228+H228)*(kopsavilkums!$O$8)*E228*12*(1+kopsavilkums!$O$23),2)</f>
        <v>1539.68</v>
      </c>
    </row>
    <row r="229" spans="2:10" s="12" customFormat="1" ht="12.75" x14ac:dyDescent="0.2">
      <c r="B229" s="642" t="s">
        <v>280</v>
      </c>
      <c r="C229" s="641" t="s">
        <v>511</v>
      </c>
      <c r="D229" s="643" t="s">
        <v>512</v>
      </c>
      <c r="E229" s="644">
        <v>1</v>
      </c>
      <c r="F229" s="640">
        <v>1660</v>
      </c>
      <c r="G229" s="640">
        <v>132.80000000000001</v>
      </c>
      <c r="H229" s="640">
        <v>166</v>
      </c>
      <c r="I229" s="640">
        <v>1958.8</v>
      </c>
      <c r="J229" s="120">
        <f>ROUND((F229+G229+H229)*(kopsavilkums!$O$8)*E229*12*(1+kopsavilkums!$O$23),2)</f>
        <v>3079.36</v>
      </c>
    </row>
    <row r="230" spans="2:10" s="12" customFormat="1" ht="12.75" x14ac:dyDescent="0.2">
      <c r="B230" s="642" t="s">
        <v>238</v>
      </c>
      <c r="C230" s="641" t="s">
        <v>513</v>
      </c>
      <c r="D230" s="643" t="s">
        <v>514</v>
      </c>
      <c r="E230" s="644">
        <v>0.75</v>
      </c>
      <c r="F230" s="640">
        <v>1660</v>
      </c>
      <c r="G230" s="640">
        <v>132.80000000000001</v>
      </c>
      <c r="H230" s="640">
        <v>166</v>
      </c>
      <c r="I230" s="640">
        <v>1958.8</v>
      </c>
      <c r="J230" s="120">
        <f>ROUND((F230+G230+H230)*(kopsavilkums!$O$8)*E230*12*(1+kopsavilkums!$O$23),2)</f>
        <v>2309.52</v>
      </c>
    </row>
    <row r="231" spans="2:10" s="12" customFormat="1" ht="12.75" x14ac:dyDescent="0.2">
      <c r="B231" s="642" t="s">
        <v>118</v>
      </c>
      <c r="C231" s="641" t="s">
        <v>507</v>
      </c>
      <c r="D231" s="643" t="s">
        <v>508</v>
      </c>
      <c r="E231" s="644">
        <v>0.25</v>
      </c>
      <c r="F231" s="640">
        <v>1660</v>
      </c>
      <c r="G231" s="640">
        <v>132.80000000000001</v>
      </c>
      <c r="H231" s="640">
        <v>166</v>
      </c>
      <c r="I231" s="640">
        <v>1958.8</v>
      </c>
      <c r="J231" s="120">
        <f>ROUND((F231+G231+H231)*(kopsavilkums!$O$8)*E231*12*(1+kopsavilkums!$O$23),2)</f>
        <v>769.84</v>
      </c>
    </row>
    <row r="232" spans="2:10" s="12" customFormat="1" ht="12.75" x14ac:dyDescent="0.2">
      <c r="B232" s="642" t="s">
        <v>118</v>
      </c>
      <c r="C232" s="641" t="s">
        <v>481</v>
      </c>
      <c r="D232" s="643" t="s">
        <v>489</v>
      </c>
      <c r="E232" s="644">
        <v>1</v>
      </c>
      <c r="F232" s="640">
        <v>1555</v>
      </c>
      <c r="G232" s="640">
        <v>0</v>
      </c>
      <c r="H232" s="640">
        <v>0</v>
      </c>
      <c r="I232" s="640">
        <v>1555</v>
      </c>
      <c r="J232" s="120">
        <f>ROUND((F232+G232+H232)*(kopsavilkums!$O$8)*E232*12*(1+kopsavilkums!$O$23),2)</f>
        <v>2444.56</v>
      </c>
    </row>
    <row r="233" spans="2:10" s="12" customFormat="1" ht="12.75" x14ac:dyDescent="0.2">
      <c r="B233" s="642" t="s">
        <v>118</v>
      </c>
      <c r="C233" s="641" t="s">
        <v>481</v>
      </c>
      <c r="D233" s="643" t="s">
        <v>489</v>
      </c>
      <c r="E233" s="644">
        <v>1</v>
      </c>
      <c r="F233" s="640">
        <v>1555</v>
      </c>
      <c r="G233" s="640">
        <v>0</v>
      </c>
      <c r="H233" s="640">
        <v>0</v>
      </c>
      <c r="I233" s="640">
        <v>1555</v>
      </c>
      <c r="J233" s="120">
        <f>ROUND((F233+G233+H233)*(kopsavilkums!$O$8)*E233*12*(1+kopsavilkums!$O$23),2)</f>
        <v>2444.56</v>
      </c>
    </row>
    <row r="234" spans="2:10" s="12" customFormat="1" ht="12.75" x14ac:dyDescent="0.2">
      <c r="B234" s="642" t="s">
        <v>118</v>
      </c>
      <c r="C234" s="641" t="s">
        <v>481</v>
      </c>
      <c r="D234" s="643" t="s">
        <v>489</v>
      </c>
      <c r="E234" s="644">
        <v>1</v>
      </c>
      <c r="F234" s="640">
        <v>1555</v>
      </c>
      <c r="G234" s="640">
        <v>0</v>
      </c>
      <c r="H234" s="640">
        <v>0</v>
      </c>
      <c r="I234" s="640">
        <v>1555</v>
      </c>
      <c r="J234" s="120">
        <f>ROUND((F234+G234+H234)*(kopsavilkums!$O$8)*E234*12*(1+kopsavilkums!$O$23),2)</f>
        <v>2444.56</v>
      </c>
    </row>
    <row r="235" spans="2:10" s="12" customFormat="1" ht="12.75" x14ac:dyDescent="0.2">
      <c r="B235" s="642" t="s">
        <v>118</v>
      </c>
      <c r="C235" s="641" t="s">
        <v>481</v>
      </c>
      <c r="D235" s="643" t="s">
        <v>489</v>
      </c>
      <c r="E235" s="644">
        <v>1</v>
      </c>
      <c r="F235" s="640">
        <v>1555</v>
      </c>
      <c r="G235" s="640">
        <v>0</v>
      </c>
      <c r="H235" s="640">
        <v>0</v>
      </c>
      <c r="I235" s="640">
        <v>1555</v>
      </c>
      <c r="J235" s="120">
        <f>ROUND((F235+G235+H235)*(kopsavilkums!$O$8)*E235*12*(1+kopsavilkums!$O$23),2)</f>
        <v>2444.56</v>
      </c>
    </row>
    <row r="236" spans="2:10" s="12" customFormat="1" ht="12.75" x14ac:dyDescent="0.2">
      <c r="B236" s="642" t="s">
        <v>120</v>
      </c>
      <c r="C236" s="641" t="s">
        <v>499</v>
      </c>
      <c r="D236" s="643" t="s">
        <v>500</v>
      </c>
      <c r="E236" s="644">
        <v>0.5</v>
      </c>
      <c r="F236" s="640">
        <v>1555</v>
      </c>
      <c r="G236" s="640">
        <v>0</v>
      </c>
      <c r="H236" s="640">
        <v>0</v>
      </c>
      <c r="I236" s="640">
        <v>1555</v>
      </c>
      <c r="J236" s="120">
        <f>ROUND((F236+G236+H236)*(kopsavilkums!$O$8)*E236*12*(1+kopsavilkums!$O$23),2)</f>
        <v>1222.28</v>
      </c>
    </row>
    <row r="237" spans="2:10" s="12" customFormat="1" ht="12.75" x14ac:dyDescent="0.2">
      <c r="B237" s="642" t="s">
        <v>120</v>
      </c>
      <c r="C237" s="641" t="s">
        <v>499</v>
      </c>
      <c r="D237" s="643" t="s">
        <v>500</v>
      </c>
      <c r="E237" s="644">
        <v>0.5</v>
      </c>
      <c r="F237" s="640">
        <v>1555</v>
      </c>
      <c r="G237" s="640">
        <v>0</v>
      </c>
      <c r="H237" s="640">
        <v>0</v>
      </c>
      <c r="I237" s="640">
        <v>1555</v>
      </c>
      <c r="J237" s="120">
        <f>ROUND((F237+G237+H237)*(kopsavilkums!$O$8)*E237*12*(1+kopsavilkums!$O$23),2)</f>
        <v>1222.28</v>
      </c>
    </row>
    <row r="238" spans="2:10" s="12" customFormat="1" ht="12.75" x14ac:dyDescent="0.2">
      <c r="B238" s="642" t="s">
        <v>120</v>
      </c>
      <c r="C238" s="641" t="s">
        <v>499</v>
      </c>
      <c r="D238" s="643" t="s">
        <v>500</v>
      </c>
      <c r="E238" s="644">
        <v>0.5</v>
      </c>
      <c r="F238" s="640">
        <v>1555</v>
      </c>
      <c r="G238" s="640">
        <v>0</v>
      </c>
      <c r="H238" s="640">
        <v>0</v>
      </c>
      <c r="I238" s="640">
        <v>1555</v>
      </c>
      <c r="J238" s="120">
        <f>ROUND((F238+G238+H238)*(kopsavilkums!$O$8)*E238*12*(1+kopsavilkums!$O$23),2)</f>
        <v>1222.28</v>
      </c>
    </row>
    <row r="239" spans="2:10" s="12" customFormat="1" ht="12.75" x14ac:dyDescent="0.2">
      <c r="B239" s="642" t="s">
        <v>120</v>
      </c>
      <c r="C239" s="641" t="s">
        <v>499</v>
      </c>
      <c r="D239" s="643" t="s">
        <v>500</v>
      </c>
      <c r="E239" s="644">
        <v>0.5</v>
      </c>
      <c r="F239" s="640">
        <v>1555</v>
      </c>
      <c r="G239" s="640">
        <v>0</v>
      </c>
      <c r="H239" s="640">
        <v>0</v>
      </c>
      <c r="I239" s="640">
        <v>1555</v>
      </c>
      <c r="J239" s="120">
        <f>ROUND((F239+G239+H239)*(kopsavilkums!$O$8)*E239*12*(1+kopsavilkums!$O$23),2)</f>
        <v>1222.28</v>
      </c>
    </row>
    <row r="240" spans="2:10" s="12" customFormat="1" ht="12.75" x14ac:dyDescent="0.2">
      <c r="B240" s="642" t="s">
        <v>380</v>
      </c>
      <c r="C240" s="641" t="s">
        <v>501</v>
      </c>
      <c r="D240" s="643" t="s">
        <v>502</v>
      </c>
      <c r="E240" s="644">
        <v>1</v>
      </c>
      <c r="F240" s="640">
        <v>1555</v>
      </c>
      <c r="G240" s="640">
        <v>0</v>
      </c>
      <c r="H240" s="640">
        <v>0</v>
      </c>
      <c r="I240" s="640">
        <v>1555</v>
      </c>
      <c r="J240" s="120">
        <f>ROUND((F240+G240+H240)*(kopsavilkums!$O$8)*E240*12*(1+kopsavilkums!$O$23),2)</f>
        <v>2444.56</v>
      </c>
    </row>
    <row r="241" spans="2:10" s="12" customFormat="1" ht="12.75" x14ac:dyDescent="0.2">
      <c r="B241" s="642" t="s">
        <v>380</v>
      </c>
      <c r="C241" s="641" t="s">
        <v>501</v>
      </c>
      <c r="D241" s="643" t="s">
        <v>502</v>
      </c>
      <c r="E241" s="644">
        <v>0.5</v>
      </c>
      <c r="F241" s="640">
        <v>1555</v>
      </c>
      <c r="G241" s="640">
        <v>0</v>
      </c>
      <c r="H241" s="640">
        <v>0</v>
      </c>
      <c r="I241" s="640">
        <v>1555</v>
      </c>
      <c r="J241" s="120">
        <f>ROUND((F241+G241+H241)*(kopsavilkums!$O$8)*E241*12*(1+kopsavilkums!$O$23),2)</f>
        <v>1222.28</v>
      </c>
    </row>
    <row r="242" spans="2:10" s="12" customFormat="1" ht="12.75" x14ac:dyDescent="0.2">
      <c r="B242" s="642" t="s">
        <v>380</v>
      </c>
      <c r="C242" s="641" t="s">
        <v>501</v>
      </c>
      <c r="D242" s="643" t="s">
        <v>502</v>
      </c>
      <c r="E242" s="644">
        <v>0.5</v>
      </c>
      <c r="F242" s="640">
        <v>1555</v>
      </c>
      <c r="G242" s="640">
        <v>0</v>
      </c>
      <c r="H242" s="640">
        <v>0</v>
      </c>
      <c r="I242" s="640">
        <v>1555</v>
      </c>
      <c r="J242" s="120">
        <f>ROUND((F242+G242+H242)*(kopsavilkums!$O$8)*E242*12*(1+kopsavilkums!$O$23),2)</f>
        <v>1222.28</v>
      </c>
    </row>
    <row r="243" spans="2:10" s="12" customFormat="1" ht="12.75" x14ac:dyDescent="0.2">
      <c r="B243" s="642" t="s">
        <v>380</v>
      </c>
      <c r="C243" s="641" t="s">
        <v>501</v>
      </c>
      <c r="D243" s="643" t="s">
        <v>502</v>
      </c>
      <c r="E243" s="644">
        <v>0.5</v>
      </c>
      <c r="F243" s="640">
        <v>1555</v>
      </c>
      <c r="G243" s="640">
        <v>0</v>
      </c>
      <c r="H243" s="640">
        <v>0</v>
      </c>
      <c r="I243" s="640">
        <v>1555</v>
      </c>
      <c r="J243" s="120">
        <f>ROUND((F243+G243+H243)*(kopsavilkums!$O$8)*E243*12*(1+kopsavilkums!$O$23),2)</f>
        <v>1222.28</v>
      </c>
    </row>
    <row r="244" spans="2:10" s="12" customFormat="1" ht="12.75" x14ac:dyDescent="0.2">
      <c r="B244" s="642" t="s">
        <v>147</v>
      </c>
      <c r="C244" s="641" t="s">
        <v>865</v>
      </c>
      <c r="D244" s="643" t="s">
        <v>527</v>
      </c>
      <c r="E244" s="644">
        <v>0.5</v>
      </c>
      <c r="F244" s="640">
        <v>1555</v>
      </c>
      <c r="G244" s="640">
        <v>0</v>
      </c>
      <c r="H244" s="640">
        <v>0</v>
      </c>
      <c r="I244" s="640">
        <v>1555</v>
      </c>
      <c r="J244" s="120">
        <f>ROUND((F244+G244+H244)*(kopsavilkums!$O$8)*E244*12*(1+kopsavilkums!$O$23),2)</f>
        <v>1222.28</v>
      </c>
    </row>
    <row r="245" spans="2:10" s="12" customFormat="1" ht="12.75" x14ac:dyDescent="0.2">
      <c r="B245" s="642" t="s">
        <v>147</v>
      </c>
      <c r="C245" s="641" t="s">
        <v>865</v>
      </c>
      <c r="D245" s="643" t="s">
        <v>527</v>
      </c>
      <c r="E245" s="644">
        <v>0.5</v>
      </c>
      <c r="F245" s="640">
        <v>1555</v>
      </c>
      <c r="G245" s="640">
        <v>0</v>
      </c>
      <c r="H245" s="640">
        <v>0</v>
      </c>
      <c r="I245" s="640">
        <v>1555</v>
      </c>
      <c r="J245" s="120">
        <f>ROUND((F245+G245+H245)*(kopsavilkums!$O$8)*E245*12*(1+kopsavilkums!$O$23),2)</f>
        <v>1222.28</v>
      </c>
    </row>
    <row r="246" spans="2:10" s="12" customFormat="1" ht="12.75" x14ac:dyDescent="0.2">
      <c r="B246" s="642" t="s">
        <v>147</v>
      </c>
      <c r="C246" s="641" t="s">
        <v>865</v>
      </c>
      <c r="D246" s="643" t="s">
        <v>527</v>
      </c>
      <c r="E246" s="644">
        <v>0.5</v>
      </c>
      <c r="F246" s="640">
        <v>1555</v>
      </c>
      <c r="G246" s="640">
        <v>0</v>
      </c>
      <c r="H246" s="640">
        <v>0</v>
      </c>
      <c r="I246" s="640">
        <v>1555</v>
      </c>
      <c r="J246" s="120">
        <f>ROUND((F246+G246+H246)*(kopsavilkums!$O$8)*E246*12*(1+kopsavilkums!$O$23),2)</f>
        <v>1222.28</v>
      </c>
    </row>
    <row r="247" spans="2:10" s="12" customFormat="1" ht="12.75" x14ac:dyDescent="0.2">
      <c r="B247" s="642" t="s">
        <v>147</v>
      </c>
      <c r="C247" s="641" t="s">
        <v>866</v>
      </c>
      <c r="D247" s="643" t="s">
        <v>485</v>
      </c>
      <c r="E247" s="644">
        <v>0.5</v>
      </c>
      <c r="F247" s="640">
        <v>1555</v>
      </c>
      <c r="G247" s="640">
        <v>0</v>
      </c>
      <c r="H247" s="640">
        <v>15.55</v>
      </c>
      <c r="I247" s="640">
        <v>1570.55</v>
      </c>
      <c r="J247" s="120">
        <f>ROUND((F247+G247+H247)*(kopsavilkums!$O$8)*E247*12*(1+kopsavilkums!$O$23),2)</f>
        <v>1234.5</v>
      </c>
    </row>
    <row r="248" spans="2:10" s="12" customFormat="1" ht="12.75" x14ac:dyDescent="0.2">
      <c r="B248" s="642" t="s">
        <v>147</v>
      </c>
      <c r="C248" s="641" t="s">
        <v>865</v>
      </c>
      <c r="D248" s="643" t="s">
        <v>527</v>
      </c>
      <c r="E248" s="644">
        <v>0.5</v>
      </c>
      <c r="F248" s="640">
        <v>1555</v>
      </c>
      <c r="G248" s="640">
        <v>0</v>
      </c>
      <c r="H248" s="640">
        <v>0</v>
      </c>
      <c r="I248" s="640">
        <v>1555</v>
      </c>
      <c r="J248" s="120">
        <f>ROUND((F248+G248+H248)*(kopsavilkums!$O$8)*E248*12*(1+kopsavilkums!$O$23),2)</f>
        <v>1222.28</v>
      </c>
    </row>
    <row r="249" spans="2:10" s="12" customFormat="1" ht="12.75" x14ac:dyDescent="0.2">
      <c r="B249" s="642" t="s">
        <v>118</v>
      </c>
      <c r="C249" s="641" t="s">
        <v>481</v>
      </c>
      <c r="D249" s="643" t="s">
        <v>489</v>
      </c>
      <c r="E249" s="644">
        <v>0.25</v>
      </c>
      <c r="F249" s="640">
        <v>1795.55</v>
      </c>
      <c r="G249" s="640">
        <v>125.6885</v>
      </c>
      <c r="H249" s="640">
        <v>179.55500000000001</v>
      </c>
      <c r="I249" s="640">
        <v>2100.7934999999998</v>
      </c>
      <c r="J249" s="120">
        <f>ROUND((F249+G249+H249)*(kopsavilkums!$O$8)*E249*12*(1+kopsavilkums!$O$23),2)</f>
        <v>825.65</v>
      </c>
    </row>
    <row r="250" spans="2:10" s="12" customFormat="1" ht="12.75" x14ac:dyDescent="0.2">
      <c r="B250" s="642" t="s">
        <v>118</v>
      </c>
      <c r="C250" s="641" t="s">
        <v>481</v>
      </c>
      <c r="D250" s="643" t="s">
        <v>489</v>
      </c>
      <c r="E250" s="644">
        <v>0.5</v>
      </c>
      <c r="F250" s="640">
        <v>1795.55</v>
      </c>
      <c r="G250" s="640">
        <v>125.6885</v>
      </c>
      <c r="H250" s="640">
        <v>179.55500000000001</v>
      </c>
      <c r="I250" s="640">
        <v>2100.7934999999998</v>
      </c>
      <c r="J250" s="120">
        <f>ROUND((F250+G250+H250)*(kopsavilkums!$O$8)*E250*12*(1+kopsavilkums!$O$23),2)</f>
        <v>1651.29</v>
      </c>
    </row>
    <row r="251" spans="2:10" s="12" customFormat="1" ht="12.75" x14ac:dyDescent="0.2">
      <c r="B251" s="642" t="s">
        <v>118</v>
      </c>
      <c r="C251" s="641" t="s">
        <v>481</v>
      </c>
      <c r="D251" s="643" t="s">
        <v>489</v>
      </c>
      <c r="E251" s="644">
        <v>0.5</v>
      </c>
      <c r="F251" s="640">
        <v>1795.55</v>
      </c>
      <c r="G251" s="640">
        <v>143.64400000000001</v>
      </c>
      <c r="H251" s="640">
        <v>179.55500000000001</v>
      </c>
      <c r="I251" s="640">
        <v>2118.7489999999998</v>
      </c>
      <c r="J251" s="120">
        <f>ROUND((F251+G251+H251)*(kopsavilkums!$O$8)*E251*12*(1+kopsavilkums!$O$23),2)</f>
        <v>1665.41</v>
      </c>
    </row>
    <row r="252" spans="2:10" s="12" customFormat="1" ht="12.75" x14ac:dyDescent="0.2">
      <c r="B252" s="642" t="s">
        <v>118</v>
      </c>
      <c r="C252" s="641" t="s">
        <v>481</v>
      </c>
      <c r="D252" s="643" t="s">
        <v>489</v>
      </c>
      <c r="E252" s="644">
        <v>0.5</v>
      </c>
      <c r="F252" s="640">
        <v>1795.55</v>
      </c>
      <c r="G252" s="640">
        <v>143.64400000000001</v>
      </c>
      <c r="H252" s="640">
        <v>179.55500000000001</v>
      </c>
      <c r="I252" s="640">
        <v>2118.7489999999998</v>
      </c>
      <c r="J252" s="120">
        <f>ROUND((F252+G252+H252)*(kopsavilkums!$O$8)*E252*12*(1+kopsavilkums!$O$23),2)</f>
        <v>1665.41</v>
      </c>
    </row>
    <row r="253" spans="2:10" s="12" customFormat="1" ht="12.75" x14ac:dyDescent="0.2">
      <c r="B253" s="642" t="s">
        <v>118</v>
      </c>
      <c r="C253" s="641" t="s">
        <v>481</v>
      </c>
      <c r="D253" s="643" t="s">
        <v>489</v>
      </c>
      <c r="E253" s="644">
        <v>0.5</v>
      </c>
      <c r="F253" s="640">
        <v>1795.55</v>
      </c>
      <c r="G253" s="640">
        <v>143.64400000000001</v>
      </c>
      <c r="H253" s="640">
        <v>179.55500000000001</v>
      </c>
      <c r="I253" s="640">
        <v>2118.7489999999998</v>
      </c>
      <c r="J253" s="120">
        <f>ROUND((F253+G253+H253)*(kopsavilkums!$O$8)*E253*12*(1+kopsavilkums!$O$23),2)</f>
        <v>1665.41</v>
      </c>
    </row>
    <row r="254" spans="2:10" s="12" customFormat="1" ht="12.75" x14ac:dyDescent="0.2">
      <c r="B254" s="642" t="s">
        <v>118</v>
      </c>
      <c r="C254" s="641" t="s">
        <v>481</v>
      </c>
      <c r="D254" s="643" t="s">
        <v>489</v>
      </c>
      <c r="E254" s="644">
        <v>0.25</v>
      </c>
      <c r="F254" s="640">
        <v>1795.55</v>
      </c>
      <c r="G254" s="640">
        <v>143.64400000000001</v>
      </c>
      <c r="H254" s="640">
        <v>179.55500000000001</v>
      </c>
      <c r="I254" s="640">
        <v>2118.7489999999998</v>
      </c>
      <c r="J254" s="120">
        <f>ROUND((F254+G254+H254)*(kopsavilkums!$O$8)*E254*12*(1+kopsavilkums!$O$23),2)</f>
        <v>832.7</v>
      </c>
    </row>
    <row r="255" spans="2:10" s="12" customFormat="1" ht="12.75" x14ac:dyDescent="0.2">
      <c r="B255" s="642" t="s">
        <v>118</v>
      </c>
      <c r="C255" s="641" t="s">
        <v>481</v>
      </c>
      <c r="D255" s="643" t="s">
        <v>489</v>
      </c>
      <c r="E255" s="644">
        <v>0.5</v>
      </c>
      <c r="F255" s="640">
        <v>1795.55</v>
      </c>
      <c r="G255" s="640">
        <v>143.64400000000001</v>
      </c>
      <c r="H255" s="640">
        <v>179.55500000000001</v>
      </c>
      <c r="I255" s="640">
        <v>2118.7489999999998</v>
      </c>
      <c r="J255" s="120">
        <f>ROUND((F255+G255+H255)*(kopsavilkums!$O$8)*E255*12*(1+kopsavilkums!$O$23),2)</f>
        <v>1665.41</v>
      </c>
    </row>
    <row r="256" spans="2:10" s="12" customFormat="1" ht="12.75" x14ac:dyDescent="0.2">
      <c r="B256" s="642" t="s">
        <v>125</v>
      </c>
      <c r="C256" s="641" t="s">
        <v>503</v>
      </c>
      <c r="D256" s="643" t="s">
        <v>504</v>
      </c>
      <c r="E256" s="644">
        <v>0.5</v>
      </c>
      <c r="F256" s="640">
        <v>1795.55</v>
      </c>
      <c r="G256" s="640">
        <v>143.64400000000001</v>
      </c>
      <c r="H256" s="640">
        <v>179.55500000000001</v>
      </c>
      <c r="I256" s="640">
        <v>2118.7489999999998</v>
      </c>
      <c r="J256" s="120">
        <f>ROUND((F256+G256+H256)*(kopsavilkums!$O$8)*E256*12*(1+kopsavilkums!$O$23),2)</f>
        <v>1665.41</v>
      </c>
    </row>
    <row r="257" spans="2:10" s="12" customFormat="1" ht="12.75" x14ac:dyDescent="0.2">
      <c r="B257" s="642" t="s">
        <v>118</v>
      </c>
      <c r="C257" s="641" t="s">
        <v>499</v>
      </c>
      <c r="D257" s="643" t="s">
        <v>489</v>
      </c>
      <c r="E257" s="644">
        <v>5.9</v>
      </c>
      <c r="F257" s="640">
        <v>1660</v>
      </c>
      <c r="G257" s="640">
        <v>132.80000000000001</v>
      </c>
      <c r="H257" s="640">
        <v>166</v>
      </c>
      <c r="I257" s="640">
        <v>1958.8</v>
      </c>
      <c r="J257" s="120">
        <f>ROUND((F257+G257+H257)*(kopsavilkums!$O$8)*E257*12*(1+kopsavilkums!$O$23),2)</f>
        <v>18168.23</v>
      </c>
    </row>
    <row r="258" spans="2:10" s="12" customFormat="1" ht="12.75" x14ac:dyDescent="0.2">
      <c r="B258" s="642" t="s">
        <v>119</v>
      </c>
      <c r="C258" s="641" t="s">
        <v>505</v>
      </c>
      <c r="D258" s="643" t="s">
        <v>506</v>
      </c>
      <c r="E258" s="644">
        <v>1.05</v>
      </c>
      <c r="F258" s="640">
        <v>1660</v>
      </c>
      <c r="G258" s="640">
        <v>132.80000000000001</v>
      </c>
      <c r="H258" s="640">
        <v>166</v>
      </c>
      <c r="I258" s="640">
        <v>1958.8</v>
      </c>
      <c r="J258" s="120">
        <f>ROUND((F258+G258+H258)*(kopsavilkums!$O$8)*E258*12*(1+kopsavilkums!$O$23),2)</f>
        <v>3233.33</v>
      </c>
    </row>
    <row r="259" spans="2:10" s="12" customFormat="1" ht="12.75" x14ac:dyDescent="0.2">
      <c r="B259" s="642" t="s">
        <v>120</v>
      </c>
      <c r="C259" s="641" t="s">
        <v>499</v>
      </c>
      <c r="D259" s="643" t="s">
        <v>500</v>
      </c>
      <c r="E259" s="644">
        <v>0.5</v>
      </c>
      <c r="F259" s="640">
        <v>1660</v>
      </c>
      <c r="G259" s="640">
        <v>132.80000000000001</v>
      </c>
      <c r="H259" s="640">
        <v>166</v>
      </c>
      <c r="I259" s="640">
        <v>1958.8</v>
      </c>
      <c r="J259" s="120">
        <f>ROUND((F259+G259+H259)*(kopsavilkums!$O$8)*E259*12*(1+kopsavilkums!$O$23),2)</f>
        <v>1539.68</v>
      </c>
    </row>
    <row r="260" spans="2:10" s="12" customFormat="1" ht="38.25" x14ac:dyDescent="0.2">
      <c r="B260" s="276" t="s">
        <v>596</v>
      </c>
      <c r="C260" s="484"/>
      <c r="D260" s="484"/>
      <c r="E260" s="446">
        <f>SUM(E261:E286)</f>
        <v>26.4</v>
      </c>
      <c r="F260" s="446">
        <f t="shared" ref="F260:I260" si="54">SUM(F261:F286)</f>
        <v>40836.42</v>
      </c>
      <c r="G260" s="446">
        <f t="shared" si="54"/>
        <v>2238.0568000000003</v>
      </c>
      <c r="H260" s="446">
        <f t="shared" si="54"/>
        <v>4083.6420000000003</v>
      </c>
      <c r="I260" s="446">
        <f t="shared" si="54"/>
        <v>47158.118799999989</v>
      </c>
      <c r="J260" s="1"/>
    </row>
    <row r="261" spans="2:10" s="12" customFormat="1" ht="12.75" x14ac:dyDescent="0.2">
      <c r="B261" s="645" t="s">
        <v>121</v>
      </c>
      <c r="C261" s="641" t="s">
        <v>517</v>
      </c>
      <c r="D261" s="643" t="s">
        <v>518</v>
      </c>
      <c r="E261" s="644">
        <v>0.25</v>
      </c>
      <c r="F261" s="640">
        <v>1605</v>
      </c>
      <c r="G261" s="640">
        <v>80.25</v>
      </c>
      <c r="H261" s="640">
        <v>160.5</v>
      </c>
      <c r="I261" s="640">
        <v>1845.75</v>
      </c>
      <c r="J261" s="120">
        <f>ROUND((F261+G261+H261)*(kopsavilkums!$O$8)*E261*12*(1+kopsavilkums!$O$23),2)</f>
        <v>725.41</v>
      </c>
    </row>
    <row r="262" spans="2:10" s="12" customFormat="1" ht="12.75" x14ac:dyDescent="0.2">
      <c r="B262" s="645" t="s">
        <v>136</v>
      </c>
      <c r="C262" s="641" t="s">
        <v>519</v>
      </c>
      <c r="D262" s="643" t="s">
        <v>485</v>
      </c>
      <c r="E262" s="644">
        <v>0.5</v>
      </c>
      <c r="F262" s="640">
        <v>1605</v>
      </c>
      <c r="G262" s="640">
        <v>80.25</v>
      </c>
      <c r="H262" s="640">
        <v>160.5</v>
      </c>
      <c r="I262" s="640">
        <v>1845.75</v>
      </c>
      <c r="J262" s="120">
        <f>ROUND((F262+G262+H262)*(kopsavilkums!$O$8)*E262*12*(1+kopsavilkums!$O$23),2)</f>
        <v>1450.82</v>
      </c>
    </row>
    <row r="263" spans="2:10" s="12" customFormat="1" ht="12.75" x14ac:dyDescent="0.2">
      <c r="B263" s="645" t="s">
        <v>154</v>
      </c>
      <c r="C263" s="641" t="s">
        <v>479</v>
      </c>
      <c r="D263" s="643" t="s">
        <v>480</v>
      </c>
      <c r="E263" s="644">
        <v>0.75</v>
      </c>
      <c r="F263" s="640">
        <v>1605</v>
      </c>
      <c r="G263" s="640">
        <v>112.35</v>
      </c>
      <c r="H263" s="640">
        <v>160.5</v>
      </c>
      <c r="I263" s="640">
        <v>1877.85</v>
      </c>
      <c r="J263" s="120">
        <f>ROUND((F263+G263+H263)*(kopsavilkums!$O$8)*E263*12*(1+kopsavilkums!$O$23),2)</f>
        <v>2214.08</v>
      </c>
    </row>
    <row r="264" spans="2:10" s="12" customFormat="1" ht="12.75" x14ac:dyDescent="0.2">
      <c r="B264" s="645" t="s">
        <v>121</v>
      </c>
      <c r="C264" s="641" t="s">
        <v>517</v>
      </c>
      <c r="D264" s="643" t="s">
        <v>518</v>
      </c>
      <c r="E264" s="644">
        <v>2.5</v>
      </c>
      <c r="F264" s="640">
        <v>1605</v>
      </c>
      <c r="G264" s="640">
        <v>80.25</v>
      </c>
      <c r="H264" s="640">
        <v>160.5</v>
      </c>
      <c r="I264" s="640">
        <v>1845.75</v>
      </c>
      <c r="J264" s="120">
        <f>ROUND((F264+G264+H264)*(kopsavilkums!$O$8)*E264*12*(1+kopsavilkums!$O$23),2)</f>
        <v>7254.1</v>
      </c>
    </row>
    <row r="265" spans="2:10" s="12" customFormat="1" ht="12.75" x14ac:dyDescent="0.2">
      <c r="B265" s="645" t="s">
        <v>136</v>
      </c>
      <c r="C265" s="641" t="s">
        <v>519</v>
      </c>
      <c r="D265" s="643" t="s">
        <v>485</v>
      </c>
      <c r="E265" s="644">
        <v>0.5</v>
      </c>
      <c r="F265" s="640">
        <v>1605</v>
      </c>
      <c r="G265" s="640">
        <v>80.25</v>
      </c>
      <c r="H265" s="640">
        <v>160.5</v>
      </c>
      <c r="I265" s="640">
        <v>1845.75</v>
      </c>
      <c r="J265" s="120">
        <f>ROUND((F265+G265+H265)*(kopsavilkums!$O$8)*E265*12*(1+kopsavilkums!$O$23),2)</f>
        <v>1450.82</v>
      </c>
    </row>
    <row r="266" spans="2:10" s="12" customFormat="1" ht="12.75" x14ac:dyDescent="0.2">
      <c r="B266" s="645" t="s">
        <v>128</v>
      </c>
      <c r="C266" s="641" t="s">
        <v>520</v>
      </c>
      <c r="D266" s="643" t="s">
        <v>516</v>
      </c>
      <c r="E266" s="644">
        <v>1</v>
      </c>
      <c r="F266" s="640">
        <v>1605</v>
      </c>
      <c r="G266" s="640">
        <v>96.3</v>
      </c>
      <c r="H266" s="640">
        <v>160.5</v>
      </c>
      <c r="I266" s="640">
        <v>1861.8</v>
      </c>
      <c r="J266" s="120">
        <f>ROUND((F266+G266+H266)*(kopsavilkums!$O$8)*E266*12*(1+kopsavilkums!$O$23),2)</f>
        <v>2926.87</v>
      </c>
    </row>
    <row r="267" spans="2:10" s="12" customFormat="1" ht="12.75" x14ac:dyDescent="0.2">
      <c r="B267" s="645" t="s">
        <v>381</v>
      </c>
      <c r="C267" s="641" t="s">
        <v>521</v>
      </c>
      <c r="D267" s="643" t="s">
        <v>484</v>
      </c>
      <c r="E267" s="644">
        <v>0.5</v>
      </c>
      <c r="F267" s="640">
        <v>1605</v>
      </c>
      <c r="G267" s="640">
        <v>80.25</v>
      </c>
      <c r="H267" s="640">
        <v>160.5</v>
      </c>
      <c r="I267" s="640">
        <v>1845.75</v>
      </c>
      <c r="J267" s="120">
        <f>ROUND((F267+G267+H267)*(kopsavilkums!$O$8)*E267*12*(1+kopsavilkums!$O$23),2)</f>
        <v>1450.82</v>
      </c>
    </row>
    <row r="268" spans="2:10" s="12" customFormat="1" ht="12.75" x14ac:dyDescent="0.2">
      <c r="B268" s="645" t="s">
        <v>121</v>
      </c>
      <c r="C268" s="641" t="s">
        <v>517</v>
      </c>
      <c r="D268" s="643" t="s">
        <v>518</v>
      </c>
      <c r="E268" s="644">
        <v>1</v>
      </c>
      <c r="F268" s="640">
        <v>1605</v>
      </c>
      <c r="G268" s="640">
        <v>80.25</v>
      </c>
      <c r="H268" s="640">
        <v>160.5</v>
      </c>
      <c r="I268" s="640">
        <v>1845.75</v>
      </c>
      <c r="J268" s="120">
        <f>ROUND((F268+G268+H268)*(kopsavilkums!$O$8)*E268*12*(1+kopsavilkums!$O$23),2)</f>
        <v>2901.64</v>
      </c>
    </row>
    <row r="269" spans="2:10" s="12" customFormat="1" ht="12.75" x14ac:dyDescent="0.2">
      <c r="B269" s="645" t="s">
        <v>121</v>
      </c>
      <c r="C269" s="641" t="s">
        <v>517</v>
      </c>
      <c r="D269" s="643" t="s">
        <v>518</v>
      </c>
      <c r="E269" s="644">
        <v>1</v>
      </c>
      <c r="F269" s="640">
        <v>1605</v>
      </c>
      <c r="G269" s="640">
        <v>80.25</v>
      </c>
      <c r="H269" s="640">
        <v>160.5</v>
      </c>
      <c r="I269" s="640">
        <v>1845.75</v>
      </c>
      <c r="J269" s="120">
        <f>ROUND((F269+G269+H269)*(kopsavilkums!$O$8)*E269*12*(1+kopsavilkums!$O$23),2)</f>
        <v>2901.64</v>
      </c>
    </row>
    <row r="270" spans="2:10" s="12" customFormat="1" ht="12.75" x14ac:dyDescent="0.2">
      <c r="B270" s="645" t="s">
        <v>121</v>
      </c>
      <c r="C270" s="641" t="s">
        <v>517</v>
      </c>
      <c r="D270" s="643" t="s">
        <v>518</v>
      </c>
      <c r="E270" s="644">
        <v>0.5</v>
      </c>
      <c r="F270" s="640">
        <v>1605</v>
      </c>
      <c r="G270" s="640">
        <v>80.25</v>
      </c>
      <c r="H270" s="640">
        <v>160.5</v>
      </c>
      <c r="I270" s="640">
        <v>1845.75</v>
      </c>
      <c r="J270" s="120">
        <f>ROUND((F270+G270+H270)*(kopsavilkums!$O$8)*E270*12*(1+kopsavilkums!$O$23),2)</f>
        <v>1450.82</v>
      </c>
    </row>
    <row r="271" spans="2:10" s="12" customFormat="1" ht="12.75" x14ac:dyDescent="0.2">
      <c r="B271" s="645" t="s">
        <v>382</v>
      </c>
      <c r="C271" s="641" t="s">
        <v>522</v>
      </c>
      <c r="D271" s="643" t="s">
        <v>484</v>
      </c>
      <c r="E271" s="644">
        <v>0.4</v>
      </c>
      <c r="F271" s="640">
        <v>1605</v>
      </c>
      <c r="G271" s="640">
        <v>96.3</v>
      </c>
      <c r="H271" s="640">
        <v>160.5</v>
      </c>
      <c r="I271" s="640">
        <v>1861.8</v>
      </c>
      <c r="J271" s="120">
        <f>ROUND((F271+G271+H271)*(kopsavilkums!$O$8)*E271*12*(1+kopsavilkums!$O$23),2)</f>
        <v>1170.75</v>
      </c>
    </row>
    <row r="272" spans="2:10" s="12" customFormat="1" ht="12.75" x14ac:dyDescent="0.2">
      <c r="B272" s="645" t="s">
        <v>126</v>
      </c>
      <c r="C272" s="641" t="s">
        <v>867</v>
      </c>
      <c r="D272" s="643" t="s">
        <v>484</v>
      </c>
      <c r="E272" s="644">
        <v>0.25</v>
      </c>
      <c r="F272" s="640">
        <v>1605</v>
      </c>
      <c r="G272" s="640">
        <v>80.25</v>
      </c>
      <c r="H272" s="640">
        <v>160.5</v>
      </c>
      <c r="I272" s="640">
        <v>1845.75</v>
      </c>
      <c r="J272" s="120">
        <f>ROUND((F272+G272+H272)*(kopsavilkums!$O$8)*E272*12*(1+kopsavilkums!$O$23),2)</f>
        <v>725.41</v>
      </c>
    </row>
    <row r="273" spans="2:10" s="12" customFormat="1" ht="12.75" x14ac:dyDescent="0.2">
      <c r="B273" s="645" t="s">
        <v>136</v>
      </c>
      <c r="C273" s="641" t="s">
        <v>519</v>
      </c>
      <c r="D273" s="643" t="s">
        <v>485</v>
      </c>
      <c r="E273" s="644">
        <v>0.5</v>
      </c>
      <c r="F273" s="640">
        <v>1605</v>
      </c>
      <c r="G273" s="640">
        <v>80.25</v>
      </c>
      <c r="H273" s="640">
        <v>160.5</v>
      </c>
      <c r="I273" s="640">
        <v>1845.75</v>
      </c>
      <c r="J273" s="120">
        <f>ROUND((F273+G273+H273)*(kopsavilkums!$O$8)*E273*12*(1+kopsavilkums!$O$23),2)</f>
        <v>1450.82</v>
      </c>
    </row>
    <row r="274" spans="2:10" s="12" customFormat="1" ht="12.75" x14ac:dyDescent="0.2">
      <c r="B274" s="645" t="s">
        <v>121</v>
      </c>
      <c r="C274" s="641" t="s">
        <v>470</v>
      </c>
      <c r="D274" s="643" t="s">
        <v>471</v>
      </c>
      <c r="E274" s="644">
        <v>1</v>
      </c>
      <c r="F274" s="640">
        <v>1483</v>
      </c>
      <c r="G274" s="640">
        <v>88.98</v>
      </c>
      <c r="H274" s="640">
        <v>148.30000000000001</v>
      </c>
      <c r="I274" s="640">
        <v>1720.28</v>
      </c>
      <c r="J274" s="120">
        <f>ROUND((F274+G274+H274)*(kopsavilkums!$O$8)*E274*12*(1+kopsavilkums!$O$23),2)</f>
        <v>2704.39</v>
      </c>
    </row>
    <row r="275" spans="2:10" s="12" customFormat="1" ht="12.75" x14ac:dyDescent="0.2">
      <c r="B275" s="645" t="s">
        <v>121</v>
      </c>
      <c r="C275" s="641" t="s">
        <v>470</v>
      </c>
      <c r="D275" s="643" t="s">
        <v>471</v>
      </c>
      <c r="E275" s="644">
        <v>1</v>
      </c>
      <c r="F275" s="640">
        <v>1481</v>
      </c>
      <c r="G275" s="640">
        <v>88.86</v>
      </c>
      <c r="H275" s="640">
        <v>148.1</v>
      </c>
      <c r="I275" s="640">
        <v>1717.9599999999998</v>
      </c>
      <c r="J275" s="120">
        <f>ROUND((F275+G275+H275)*(kopsavilkums!$O$8)*E275*12*(1+kopsavilkums!$O$23),2)</f>
        <v>2700.74</v>
      </c>
    </row>
    <row r="276" spans="2:10" s="12" customFormat="1" ht="12.75" x14ac:dyDescent="0.2">
      <c r="B276" s="645" t="s">
        <v>121</v>
      </c>
      <c r="C276" s="641" t="s">
        <v>470</v>
      </c>
      <c r="D276" s="643" t="s">
        <v>471</v>
      </c>
      <c r="E276" s="644">
        <v>1</v>
      </c>
      <c r="F276" s="640">
        <v>1483</v>
      </c>
      <c r="G276" s="640">
        <v>88.98</v>
      </c>
      <c r="H276" s="640">
        <v>148.30000000000001</v>
      </c>
      <c r="I276" s="640">
        <v>1720.28</v>
      </c>
      <c r="J276" s="120">
        <f>ROUND((F276+G276+H276)*(kopsavilkums!$O$8)*E276*12*(1+kopsavilkums!$O$23),2)</f>
        <v>2704.39</v>
      </c>
    </row>
    <row r="277" spans="2:10" s="12" customFormat="1" ht="12.75" x14ac:dyDescent="0.2">
      <c r="B277" s="645" t="s">
        <v>121</v>
      </c>
      <c r="C277" s="641" t="s">
        <v>470</v>
      </c>
      <c r="D277" s="643" t="s">
        <v>471</v>
      </c>
      <c r="E277" s="644">
        <v>1</v>
      </c>
      <c r="F277" s="640">
        <v>1483</v>
      </c>
      <c r="G277" s="640">
        <v>74.150000000000006</v>
      </c>
      <c r="H277" s="640">
        <v>148.30000000000001</v>
      </c>
      <c r="I277" s="640">
        <v>1705.45</v>
      </c>
      <c r="J277" s="120">
        <f>ROUND((F277+G277+H277)*(kopsavilkums!$O$8)*E277*12*(1+kopsavilkums!$O$23),2)</f>
        <v>2681.08</v>
      </c>
    </row>
    <row r="278" spans="2:10" s="12" customFormat="1" ht="12.75" x14ac:dyDescent="0.2">
      <c r="B278" s="645" t="s">
        <v>121</v>
      </c>
      <c r="C278" s="641" t="s">
        <v>470</v>
      </c>
      <c r="D278" s="643" t="s">
        <v>471</v>
      </c>
      <c r="E278" s="644">
        <v>1</v>
      </c>
      <c r="F278" s="640">
        <v>1484</v>
      </c>
      <c r="G278" s="640">
        <v>74.2</v>
      </c>
      <c r="H278" s="640">
        <v>148.4</v>
      </c>
      <c r="I278" s="640">
        <v>1706.6000000000001</v>
      </c>
      <c r="J278" s="120">
        <f>ROUND((F278+G278+H278)*(kopsavilkums!$O$8)*E278*12*(1+kopsavilkums!$O$23),2)</f>
        <v>2682.89</v>
      </c>
    </row>
    <row r="279" spans="2:10" s="12" customFormat="1" ht="12.75" x14ac:dyDescent="0.2">
      <c r="B279" s="645" t="s">
        <v>121</v>
      </c>
      <c r="C279" s="641" t="s">
        <v>470</v>
      </c>
      <c r="D279" s="643" t="s">
        <v>471</v>
      </c>
      <c r="E279" s="644">
        <v>1</v>
      </c>
      <c r="F279" s="640">
        <v>1483</v>
      </c>
      <c r="G279" s="640">
        <v>74.150000000000006</v>
      </c>
      <c r="H279" s="640">
        <v>148.30000000000001</v>
      </c>
      <c r="I279" s="640">
        <v>1705.45</v>
      </c>
      <c r="J279" s="120">
        <f>ROUND((F279+G279+H279)*(kopsavilkums!$O$8)*E279*12*(1+kopsavilkums!$O$23),2)</f>
        <v>2681.08</v>
      </c>
    </row>
    <row r="280" spans="2:10" s="12" customFormat="1" ht="12.75" x14ac:dyDescent="0.2">
      <c r="B280" s="645" t="s">
        <v>121</v>
      </c>
      <c r="C280" s="641" t="s">
        <v>470</v>
      </c>
      <c r="D280" s="643" t="s">
        <v>471</v>
      </c>
      <c r="E280" s="644">
        <v>1</v>
      </c>
      <c r="F280" s="640">
        <v>1483</v>
      </c>
      <c r="G280" s="640">
        <v>74.150000000000006</v>
      </c>
      <c r="H280" s="640">
        <v>148.30000000000001</v>
      </c>
      <c r="I280" s="640">
        <v>1705.45</v>
      </c>
      <c r="J280" s="120">
        <f>ROUND((F280+G280+H280)*(kopsavilkums!$O$8)*E280*12*(1+kopsavilkums!$O$23),2)</f>
        <v>2681.08</v>
      </c>
    </row>
    <row r="281" spans="2:10" s="12" customFormat="1" ht="12.75" x14ac:dyDescent="0.2">
      <c r="B281" s="645" t="s">
        <v>121</v>
      </c>
      <c r="C281" s="641" t="s">
        <v>470</v>
      </c>
      <c r="D281" s="643" t="s">
        <v>471</v>
      </c>
      <c r="E281" s="644">
        <v>0.5</v>
      </c>
      <c r="F281" s="640">
        <v>1668.14</v>
      </c>
      <c r="G281" s="640">
        <v>100.08840000000001</v>
      </c>
      <c r="H281" s="640">
        <v>166.81400000000002</v>
      </c>
      <c r="I281" s="640">
        <v>1935.0424000000003</v>
      </c>
      <c r="J281" s="120">
        <f>ROUND((F281+G281+H281)*(kopsavilkums!$O$8)*E281*12*(1+kopsavilkums!$O$23),2)</f>
        <v>1521.01</v>
      </c>
    </row>
    <row r="282" spans="2:10" s="12" customFormat="1" ht="12.75" x14ac:dyDescent="0.2">
      <c r="B282" s="645" t="s">
        <v>121</v>
      </c>
      <c r="C282" s="641" t="s">
        <v>868</v>
      </c>
      <c r="D282" s="643" t="s">
        <v>471</v>
      </c>
      <c r="E282" s="644">
        <v>0.75</v>
      </c>
      <c r="F282" s="640">
        <v>1668.14</v>
      </c>
      <c r="G282" s="640">
        <v>0</v>
      </c>
      <c r="H282" s="640">
        <v>166.81400000000002</v>
      </c>
      <c r="I282" s="640">
        <v>1834.9540000000002</v>
      </c>
      <c r="J282" s="120">
        <f>ROUND((F282+G282+H282)*(kopsavilkums!$O$8)*E282*12*(1+kopsavilkums!$O$23),2)</f>
        <v>2163.5</v>
      </c>
    </row>
    <row r="283" spans="2:10" s="12" customFormat="1" ht="12.75" x14ac:dyDescent="0.2">
      <c r="B283" s="645" t="s">
        <v>121</v>
      </c>
      <c r="C283" s="641" t="s">
        <v>470</v>
      </c>
      <c r="D283" s="643" t="s">
        <v>471</v>
      </c>
      <c r="E283" s="644">
        <v>1</v>
      </c>
      <c r="F283" s="640">
        <v>1668.14</v>
      </c>
      <c r="G283" s="640">
        <v>100.08840000000001</v>
      </c>
      <c r="H283" s="640">
        <v>166.81400000000002</v>
      </c>
      <c r="I283" s="640">
        <v>1935.0424000000003</v>
      </c>
      <c r="J283" s="120">
        <f>ROUND((F283+G283+H283)*(kopsavilkums!$O$8)*E283*12*(1+kopsavilkums!$O$23),2)</f>
        <v>3042.01</v>
      </c>
    </row>
    <row r="284" spans="2:10" s="12" customFormat="1" ht="12.75" x14ac:dyDescent="0.2">
      <c r="B284" s="645" t="s">
        <v>128</v>
      </c>
      <c r="C284" s="641" t="s">
        <v>468</v>
      </c>
      <c r="D284" s="643" t="s">
        <v>469</v>
      </c>
      <c r="E284" s="644">
        <v>3</v>
      </c>
      <c r="F284" s="640">
        <v>1605</v>
      </c>
      <c r="G284" s="640">
        <v>128.4</v>
      </c>
      <c r="H284" s="640">
        <v>160.5</v>
      </c>
      <c r="I284" s="640">
        <v>1893.9</v>
      </c>
      <c r="J284" s="120">
        <f>ROUND((F284+G284+H284)*(kopsavilkums!$O$8)*E284*12*(1+kopsavilkums!$O$23),2)</f>
        <v>8932</v>
      </c>
    </row>
    <row r="285" spans="2:10" s="12" customFormat="1" ht="12.75" x14ac:dyDescent="0.2">
      <c r="B285" s="645" t="s">
        <v>121</v>
      </c>
      <c r="C285" s="641" t="s">
        <v>470</v>
      </c>
      <c r="D285" s="643" t="s">
        <v>471</v>
      </c>
      <c r="E285" s="644">
        <v>3.5</v>
      </c>
      <c r="F285" s="640">
        <v>1477</v>
      </c>
      <c r="G285" s="640">
        <v>118.16</v>
      </c>
      <c r="H285" s="640">
        <v>147.69999999999999</v>
      </c>
      <c r="I285" s="640">
        <v>1742.8600000000001</v>
      </c>
      <c r="J285" s="120">
        <f>ROUND((F285+G285+H285)*(kopsavilkums!$O$8)*E285*12*(1+kopsavilkums!$O$23),2)</f>
        <v>9589.61</v>
      </c>
    </row>
    <row r="286" spans="2:10" s="12" customFormat="1" ht="12.75" x14ac:dyDescent="0.2">
      <c r="B286" s="645" t="s">
        <v>126</v>
      </c>
      <c r="C286" s="641" t="s">
        <v>483</v>
      </c>
      <c r="D286" s="643" t="s">
        <v>484</v>
      </c>
      <c r="E286" s="644">
        <v>1</v>
      </c>
      <c r="F286" s="640">
        <v>1505</v>
      </c>
      <c r="G286" s="640">
        <v>120.4</v>
      </c>
      <c r="H286" s="640">
        <v>150.5</v>
      </c>
      <c r="I286" s="640">
        <v>1775.9</v>
      </c>
      <c r="J286" s="120">
        <f>ROUND((F286+G286+H286)*(kopsavilkums!$O$8)*E286*12*(1+kopsavilkums!$O$23),2)</f>
        <v>2791.83</v>
      </c>
    </row>
    <row r="287" spans="2:10" s="12" customFormat="1" ht="38.25" x14ac:dyDescent="0.2">
      <c r="B287" s="276" t="s">
        <v>434</v>
      </c>
      <c r="C287" s="484"/>
      <c r="D287" s="484"/>
      <c r="E287" s="446">
        <f>SUM(E288:E358)</f>
        <v>204.95</v>
      </c>
      <c r="F287" s="446">
        <f t="shared" ref="F287:I287" si="55">SUM(F288:F358)</f>
        <v>89118.950000000055</v>
      </c>
      <c r="G287" s="446">
        <f t="shared" si="55"/>
        <v>6425.2326999999968</v>
      </c>
      <c r="H287" s="446">
        <f t="shared" si="55"/>
        <v>8911.8949999999913</v>
      </c>
      <c r="I287" s="446">
        <f t="shared" si="55"/>
        <v>104456.07770000002</v>
      </c>
      <c r="J287" s="1"/>
    </row>
    <row r="288" spans="2:10" s="12" customFormat="1" ht="12.75" x14ac:dyDescent="0.2">
      <c r="B288" s="691" t="s">
        <v>112</v>
      </c>
      <c r="C288" s="673" t="s">
        <v>531</v>
      </c>
      <c r="D288" s="688" t="s">
        <v>488</v>
      </c>
      <c r="E288" s="658">
        <v>4.5</v>
      </c>
      <c r="F288" s="683">
        <v>1190</v>
      </c>
      <c r="G288" s="683">
        <v>95.2</v>
      </c>
      <c r="H288" s="683">
        <v>119</v>
      </c>
      <c r="I288" s="652">
        <v>1404.2</v>
      </c>
      <c r="J288" s="120">
        <f>ROUND((F288+G288+H288)*(kopsavilkums!$O$12)*E288*12*(1+kopsavilkums!$O$23),2)</f>
        <v>6091.43</v>
      </c>
    </row>
    <row r="289" spans="2:10" s="12" customFormat="1" ht="12.75" x14ac:dyDescent="0.2">
      <c r="B289" s="691" t="s">
        <v>112</v>
      </c>
      <c r="C289" s="673" t="s">
        <v>531</v>
      </c>
      <c r="D289" s="688" t="s">
        <v>488</v>
      </c>
      <c r="E289" s="658">
        <v>1</v>
      </c>
      <c r="F289" s="683">
        <v>1190</v>
      </c>
      <c r="G289" s="683">
        <v>83.3</v>
      </c>
      <c r="H289" s="683">
        <v>119</v>
      </c>
      <c r="I289" s="652">
        <v>1392.3</v>
      </c>
      <c r="J289" s="120">
        <f>ROUND((F289+G289+H289)*(kopsavilkums!$O$12)*E289*12*(1+kopsavilkums!$O$23),2)</f>
        <v>1342.18</v>
      </c>
    </row>
    <row r="290" spans="2:10" s="12" customFormat="1" ht="12.75" x14ac:dyDescent="0.2">
      <c r="B290" s="691" t="s">
        <v>112</v>
      </c>
      <c r="C290" s="673" t="s">
        <v>531</v>
      </c>
      <c r="D290" s="688" t="s">
        <v>488</v>
      </c>
      <c r="E290" s="658">
        <v>6.5</v>
      </c>
      <c r="F290" s="683">
        <v>1190</v>
      </c>
      <c r="G290" s="683">
        <v>95.2</v>
      </c>
      <c r="H290" s="683">
        <v>119</v>
      </c>
      <c r="I290" s="652">
        <v>1404.2</v>
      </c>
      <c r="J290" s="120">
        <f>ROUND((F290+G290+H290)*(kopsavilkums!$O$12)*E290*12*(1+kopsavilkums!$O$23),2)</f>
        <v>8798.74</v>
      </c>
    </row>
    <row r="291" spans="2:10" s="12" customFormat="1" ht="12.75" x14ac:dyDescent="0.2">
      <c r="B291" s="691" t="s">
        <v>112</v>
      </c>
      <c r="C291" s="673" t="s">
        <v>531</v>
      </c>
      <c r="D291" s="688" t="s">
        <v>488</v>
      </c>
      <c r="E291" s="658">
        <v>1</v>
      </c>
      <c r="F291" s="683">
        <v>1190</v>
      </c>
      <c r="G291" s="683">
        <v>59.5</v>
      </c>
      <c r="H291" s="683">
        <v>119</v>
      </c>
      <c r="I291" s="652">
        <v>1368.5</v>
      </c>
      <c r="J291" s="120">
        <f>ROUND((F291+G291+H291)*(kopsavilkums!$O$12)*E291*12*(1+kopsavilkums!$O$23),2)</f>
        <v>1319.24</v>
      </c>
    </row>
    <row r="292" spans="2:10" s="12" customFormat="1" ht="12.75" x14ac:dyDescent="0.2">
      <c r="B292" s="691" t="s">
        <v>112</v>
      </c>
      <c r="C292" s="673" t="s">
        <v>531</v>
      </c>
      <c r="D292" s="688" t="s">
        <v>488</v>
      </c>
      <c r="E292" s="658">
        <v>1</v>
      </c>
      <c r="F292" s="683">
        <v>1190</v>
      </c>
      <c r="G292" s="683">
        <v>83.3</v>
      </c>
      <c r="H292" s="683">
        <v>119</v>
      </c>
      <c r="I292" s="652">
        <v>1392.3</v>
      </c>
      <c r="J292" s="120">
        <f>ROUND((F292+G292+H292)*(kopsavilkums!$O$12)*E292*12*(1+kopsavilkums!$O$23),2)</f>
        <v>1342.18</v>
      </c>
    </row>
    <row r="293" spans="2:10" s="12" customFormat="1" ht="12.75" x14ac:dyDescent="0.2">
      <c r="B293" s="691" t="s">
        <v>112</v>
      </c>
      <c r="C293" s="673" t="s">
        <v>531</v>
      </c>
      <c r="D293" s="688" t="s">
        <v>488</v>
      </c>
      <c r="E293" s="658">
        <v>6.75</v>
      </c>
      <c r="F293" s="683">
        <v>1190</v>
      </c>
      <c r="G293" s="683">
        <v>95.2</v>
      </c>
      <c r="H293" s="683">
        <v>119</v>
      </c>
      <c r="I293" s="652">
        <v>1404.2</v>
      </c>
      <c r="J293" s="120">
        <f>ROUND((F293+G293+H293)*(kopsavilkums!$O$12)*E293*12*(1+kopsavilkums!$O$23),2)</f>
        <v>9137.15</v>
      </c>
    </row>
    <row r="294" spans="2:10" s="12" customFormat="1" ht="12.75" x14ac:dyDescent="0.2">
      <c r="B294" s="691" t="s">
        <v>112</v>
      </c>
      <c r="C294" s="673" t="s">
        <v>531</v>
      </c>
      <c r="D294" s="688" t="s">
        <v>488</v>
      </c>
      <c r="E294" s="658">
        <v>3</v>
      </c>
      <c r="F294" s="683">
        <v>1190</v>
      </c>
      <c r="G294" s="683">
        <v>59.5</v>
      </c>
      <c r="H294" s="683">
        <v>119</v>
      </c>
      <c r="I294" s="652">
        <v>1368.5</v>
      </c>
      <c r="J294" s="120">
        <f>ROUND((F294+G294+H294)*(kopsavilkums!$O$12)*E294*12*(1+kopsavilkums!$O$23),2)</f>
        <v>3957.71</v>
      </c>
    </row>
    <row r="295" spans="2:10" s="12" customFormat="1" ht="12.75" x14ac:dyDescent="0.2">
      <c r="B295" s="691" t="s">
        <v>112</v>
      </c>
      <c r="C295" s="673" t="s">
        <v>531</v>
      </c>
      <c r="D295" s="688" t="s">
        <v>488</v>
      </c>
      <c r="E295" s="658">
        <v>22</v>
      </c>
      <c r="F295" s="683">
        <v>1190</v>
      </c>
      <c r="G295" s="683">
        <v>95.2</v>
      </c>
      <c r="H295" s="683">
        <v>119</v>
      </c>
      <c r="I295" s="652">
        <v>1404.2</v>
      </c>
      <c r="J295" s="120">
        <f>ROUND((F295+G295+H295)*(kopsavilkums!$O$12)*E295*12*(1+kopsavilkums!$O$23),2)</f>
        <v>29780.34</v>
      </c>
    </row>
    <row r="296" spans="2:10" s="12" customFormat="1" ht="12.75" x14ac:dyDescent="0.2">
      <c r="B296" s="691" t="s">
        <v>112</v>
      </c>
      <c r="C296" s="673" t="s">
        <v>531</v>
      </c>
      <c r="D296" s="688" t="s">
        <v>488</v>
      </c>
      <c r="E296" s="658">
        <v>1</v>
      </c>
      <c r="F296" s="683">
        <v>1157</v>
      </c>
      <c r="G296" s="683">
        <v>69.42</v>
      </c>
      <c r="H296" s="683">
        <v>115.7</v>
      </c>
      <c r="I296" s="652">
        <v>1342.1200000000001</v>
      </c>
      <c r="J296" s="120">
        <f>ROUND((F296+G296+H296)*(kopsavilkums!$O$12)*E296*12*(1+kopsavilkums!$O$23),2)</f>
        <v>1293.81</v>
      </c>
    </row>
    <row r="297" spans="2:10" s="12" customFormat="1" ht="12.75" x14ac:dyDescent="0.2">
      <c r="B297" s="691" t="s">
        <v>112</v>
      </c>
      <c r="C297" s="673" t="s">
        <v>531</v>
      </c>
      <c r="D297" s="688" t="s">
        <v>488</v>
      </c>
      <c r="E297" s="658">
        <v>1</v>
      </c>
      <c r="F297" s="683">
        <v>1157</v>
      </c>
      <c r="G297" s="683">
        <v>57.85</v>
      </c>
      <c r="H297" s="683">
        <v>115.7</v>
      </c>
      <c r="I297" s="652">
        <v>1330.55</v>
      </c>
      <c r="J297" s="120">
        <f>ROUND((F297+G297+H297)*(kopsavilkums!$O$12)*E297*12*(1+kopsavilkums!$O$23),2)</f>
        <v>1282.6500000000001</v>
      </c>
    </row>
    <row r="298" spans="2:10" s="12" customFormat="1" ht="12.75" x14ac:dyDescent="0.2">
      <c r="B298" s="691" t="s">
        <v>112</v>
      </c>
      <c r="C298" s="673" t="s">
        <v>531</v>
      </c>
      <c r="D298" s="688" t="s">
        <v>488</v>
      </c>
      <c r="E298" s="658">
        <v>7</v>
      </c>
      <c r="F298" s="683">
        <v>1190</v>
      </c>
      <c r="G298" s="683">
        <v>95.2</v>
      </c>
      <c r="H298" s="683">
        <v>119</v>
      </c>
      <c r="I298" s="652">
        <v>1404.2</v>
      </c>
      <c r="J298" s="120">
        <f>ROUND((F298+G298+H298)*(kopsavilkums!$O$12)*E298*12*(1+kopsavilkums!$O$23),2)</f>
        <v>9475.56</v>
      </c>
    </row>
    <row r="299" spans="2:10" s="12" customFormat="1" ht="12.75" x14ac:dyDescent="0.2">
      <c r="B299" s="691" t="s">
        <v>112</v>
      </c>
      <c r="C299" s="673" t="s">
        <v>531</v>
      </c>
      <c r="D299" s="688" t="s">
        <v>488</v>
      </c>
      <c r="E299" s="658">
        <v>1</v>
      </c>
      <c r="F299" s="683">
        <v>1116</v>
      </c>
      <c r="G299" s="683">
        <v>89.28</v>
      </c>
      <c r="H299" s="683">
        <v>111.6</v>
      </c>
      <c r="I299" s="652">
        <v>1316.8799999999999</v>
      </c>
      <c r="J299" s="120">
        <f>ROUND((F299+G299+H299)*(kopsavilkums!$O$12)*E299*12*(1+kopsavilkums!$O$23),2)</f>
        <v>1269.47</v>
      </c>
    </row>
    <row r="300" spans="2:10" s="12" customFormat="1" ht="12.75" x14ac:dyDescent="0.2">
      <c r="B300" s="691" t="s">
        <v>112</v>
      </c>
      <c r="C300" s="673" t="s">
        <v>531</v>
      </c>
      <c r="D300" s="688" t="s">
        <v>488</v>
      </c>
      <c r="E300" s="658">
        <v>1</v>
      </c>
      <c r="F300" s="683">
        <v>1116</v>
      </c>
      <c r="G300" s="683">
        <v>55.8</v>
      </c>
      <c r="H300" s="683">
        <v>111.6</v>
      </c>
      <c r="I300" s="652">
        <v>1283.3999999999999</v>
      </c>
      <c r="J300" s="120">
        <f>ROUND((F300+G300+H300)*(kopsavilkums!$O$12)*E300*12*(1+kopsavilkums!$O$23),2)</f>
        <v>1237.2</v>
      </c>
    </row>
    <row r="301" spans="2:10" s="12" customFormat="1" ht="12.75" x14ac:dyDescent="0.2">
      <c r="B301" s="691" t="s">
        <v>112</v>
      </c>
      <c r="C301" s="673" t="s">
        <v>531</v>
      </c>
      <c r="D301" s="688" t="s">
        <v>488</v>
      </c>
      <c r="E301" s="658">
        <v>5</v>
      </c>
      <c r="F301" s="682">
        <v>1190</v>
      </c>
      <c r="G301" s="682">
        <v>95.2</v>
      </c>
      <c r="H301" s="682">
        <v>119</v>
      </c>
      <c r="I301" s="659">
        <v>1404.2</v>
      </c>
      <c r="J301" s="120">
        <f>ROUND((F301+G301+H301)*(kopsavilkums!$O$12)*E301*12*(1+kopsavilkums!$O$23),2)</f>
        <v>6768.26</v>
      </c>
    </row>
    <row r="302" spans="2:10" s="12" customFormat="1" ht="12.75" x14ac:dyDescent="0.2">
      <c r="B302" s="691" t="s">
        <v>112</v>
      </c>
      <c r="C302" s="673" t="s">
        <v>531</v>
      </c>
      <c r="D302" s="688" t="s">
        <v>488</v>
      </c>
      <c r="E302" s="658">
        <v>1</v>
      </c>
      <c r="F302" s="682">
        <v>1190</v>
      </c>
      <c r="G302" s="682">
        <v>71.400000000000006</v>
      </c>
      <c r="H302" s="682">
        <v>119</v>
      </c>
      <c r="I302" s="659">
        <v>1380.4</v>
      </c>
      <c r="J302" s="120">
        <f>ROUND((F302+G302+H302)*(kopsavilkums!$O$12)*E302*12*(1+kopsavilkums!$O$23),2)</f>
        <v>1330.71</v>
      </c>
    </row>
    <row r="303" spans="2:10" s="12" customFormat="1" ht="12.75" x14ac:dyDescent="0.2">
      <c r="B303" s="691" t="s">
        <v>862</v>
      </c>
      <c r="C303" s="673" t="s">
        <v>492</v>
      </c>
      <c r="D303" s="688" t="s">
        <v>488</v>
      </c>
      <c r="E303" s="658">
        <v>1</v>
      </c>
      <c r="F303" s="682">
        <v>1295</v>
      </c>
      <c r="G303" s="682">
        <v>103.6</v>
      </c>
      <c r="H303" s="682">
        <v>129.5</v>
      </c>
      <c r="I303" s="659">
        <v>1528.1</v>
      </c>
      <c r="J303" s="120">
        <f>ROUND((F303+G303+H303)*(kopsavilkums!$O$12)*E303*12*(1+kopsavilkums!$O$23),2)</f>
        <v>1473.09</v>
      </c>
    </row>
    <row r="304" spans="2:10" s="12" customFormat="1" ht="12.75" x14ac:dyDescent="0.2">
      <c r="B304" s="691" t="s">
        <v>862</v>
      </c>
      <c r="C304" s="673" t="s">
        <v>492</v>
      </c>
      <c r="D304" s="688" t="s">
        <v>488</v>
      </c>
      <c r="E304" s="658">
        <v>1</v>
      </c>
      <c r="F304" s="682">
        <v>1295</v>
      </c>
      <c r="G304" s="682">
        <v>77.7</v>
      </c>
      <c r="H304" s="682">
        <v>129.5</v>
      </c>
      <c r="I304" s="659">
        <v>1502.2</v>
      </c>
      <c r="J304" s="120">
        <f>ROUND((F304+G304+H304)*(kopsavilkums!$O$12)*E304*12*(1+kopsavilkums!$O$23),2)</f>
        <v>1448.12</v>
      </c>
    </row>
    <row r="305" spans="2:10" s="12" customFormat="1" ht="12.75" x14ac:dyDescent="0.2">
      <c r="B305" s="691" t="s">
        <v>383</v>
      </c>
      <c r="C305" s="673" t="s">
        <v>529</v>
      </c>
      <c r="D305" s="688" t="s">
        <v>488</v>
      </c>
      <c r="E305" s="658">
        <v>6</v>
      </c>
      <c r="F305" s="682">
        <v>1171</v>
      </c>
      <c r="G305" s="682">
        <v>81.97</v>
      </c>
      <c r="H305" s="682">
        <v>117.1</v>
      </c>
      <c r="I305" s="659">
        <v>1370.07</v>
      </c>
      <c r="J305" s="120">
        <f>ROUND((F305+G305+H305)*(kopsavilkums!$O$12)*E305*12*(1+kopsavilkums!$O$23),2)</f>
        <v>7924.5</v>
      </c>
    </row>
    <row r="306" spans="2:10" s="12" customFormat="1" ht="12.75" x14ac:dyDescent="0.2">
      <c r="B306" s="691" t="s">
        <v>383</v>
      </c>
      <c r="C306" s="673" t="s">
        <v>529</v>
      </c>
      <c r="D306" s="688" t="s">
        <v>488</v>
      </c>
      <c r="E306" s="658">
        <v>1</v>
      </c>
      <c r="F306" s="682">
        <v>1173</v>
      </c>
      <c r="G306" s="682">
        <v>70.38</v>
      </c>
      <c r="H306" s="682">
        <v>117.3</v>
      </c>
      <c r="I306" s="659">
        <v>1360.68</v>
      </c>
      <c r="J306" s="120">
        <f>ROUND((F306+G306+H306)*(kopsavilkums!$O$12)*E306*12*(1+kopsavilkums!$O$23),2)</f>
        <v>1311.7</v>
      </c>
    </row>
    <row r="307" spans="2:10" s="12" customFormat="1" ht="12.75" x14ac:dyDescent="0.2">
      <c r="B307" s="691" t="s">
        <v>383</v>
      </c>
      <c r="C307" s="673" t="s">
        <v>529</v>
      </c>
      <c r="D307" s="688" t="s">
        <v>488</v>
      </c>
      <c r="E307" s="658">
        <v>1</v>
      </c>
      <c r="F307" s="682">
        <v>1171</v>
      </c>
      <c r="G307" s="682">
        <v>81.97</v>
      </c>
      <c r="H307" s="682">
        <v>117.1</v>
      </c>
      <c r="I307" s="659">
        <v>1370.07</v>
      </c>
      <c r="J307" s="120">
        <f>ROUND((F307+G307+H307)*(kopsavilkums!$O$12)*E307*12*(1+kopsavilkums!$O$23),2)</f>
        <v>1320.75</v>
      </c>
    </row>
    <row r="308" spans="2:10" s="12" customFormat="1" ht="12.75" x14ac:dyDescent="0.2">
      <c r="B308" s="691" t="s">
        <v>383</v>
      </c>
      <c r="C308" s="673" t="s">
        <v>529</v>
      </c>
      <c r="D308" s="688" t="s">
        <v>488</v>
      </c>
      <c r="E308" s="658">
        <v>1</v>
      </c>
      <c r="F308" s="682">
        <v>1172</v>
      </c>
      <c r="G308" s="682">
        <v>93.76</v>
      </c>
      <c r="H308" s="682">
        <v>117.2</v>
      </c>
      <c r="I308" s="659">
        <v>1382.96</v>
      </c>
      <c r="J308" s="120">
        <f>ROUND((F308+G308+H308)*(kopsavilkums!$O$12)*E308*12*(1+kopsavilkums!$O$23),2)</f>
        <v>1333.18</v>
      </c>
    </row>
    <row r="309" spans="2:10" s="12" customFormat="1" ht="12.75" x14ac:dyDescent="0.2">
      <c r="B309" s="691" t="s">
        <v>383</v>
      </c>
      <c r="C309" s="673" t="s">
        <v>529</v>
      </c>
      <c r="D309" s="688" t="s">
        <v>488</v>
      </c>
      <c r="E309" s="658">
        <v>3</v>
      </c>
      <c r="F309" s="682">
        <v>1171</v>
      </c>
      <c r="G309" s="682">
        <v>93.68</v>
      </c>
      <c r="H309" s="682">
        <v>117.1</v>
      </c>
      <c r="I309" s="659">
        <v>1381.78</v>
      </c>
      <c r="J309" s="120">
        <f>ROUND((F309+G309+H309)*(kopsavilkums!$O$12)*E309*12*(1+kopsavilkums!$O$23),2)</f>
        <v>3996.12</v>
      </c>
    </row>
    <row r="310" spans="2:10" s="12" customFormat="1" ht="12.75" x14ac:dyDescent="0.2">
      <c r="B310" s="691" t="s">
        <v>383</v>
      </c>
      <c r="C310" s="673" t="s">
        <v>529</v>
      </c>
      <c r="D310" s="688" t="s">
        <v>488</v>
      </c>
      <c r="E310" s="658">
        <v>1</v>
      </c>
      <c r="F310" s="682">
        <v>1170</v>
      </c>
      <c r="G310" s="682">
        <v>81.900000000000006</v>
      </c>
      <c r="H310" s="682">
        <v>117</v>
      </c>
      <c r="I310" s="659">
        <v>1368.9</v>
      </c>
      <c r="J310" s="120">
        <f>ROUND((F310+G310+H310)*(kopsavilkums!$O$12)*E310*12*(1+kopsavilkums!$O$23),2)</f>
        <v>1319.62</v>
      </c>
    </row>
    <row r="311" spans="2:10" s="12" customFormat="1" ht="12.75" x14ac:dyDescent="0.2">
      <c r="B311" s="691" t="s">
        <v>383</v>
      </c>
      <c r="C311" s="673" t="s">
        <v>529</v>
      </c>
      <c r="D311" s="688" t="s">
        <v>488</v>
      </c>
      <c r="E311" s="658">
        <v>4</v>
      </c>
      <c r="F311" s="682">
        <v>1171</v>
      </c>
      <c r="G311" s="682">
        <v>93.68</v>
      </c>
      <c r="H311" s="682">
        <v>117.1</v>
      </c>
      <c r="I311" s="659">
        <v>1381.78</v>
      </c>
      <c r="J311" s="120">
        <f>ROUND((F311+G311+H311)*(kopsavilkums!$O$12)*E311*12*(1+kopsavilkums!$O$23),2)</f>
        <v>5328.15</v>
      </c>
    </row>
    <row r="312" spans="2:10" s="12" customFormat="1" ht="12.75" x14ac:dyDescent="0.2">
      <c r="B312" s="691" t="s">
        <v>383</v>
      </c>
      <c r="C312" s="673" t="s">
        <v>529</v>
      </c>
      <c r="D312" s="688" t="s">
        <v>488</v>
      </c>
      <c r="E312" s="658">
        <v>1</v>
      </c>
      <c r="F312" s="682">
        <v>1173</v>
      </c>
      <c r="G312" s="682">
        <v>58.65</v>
      </c>
      <c r="H312" s="682">
        <v>117.3</v>
      </c>
      <c r="I312" s="659">
        <v>1348.95</v>
      </c>
      <c r="J312" s="120">
        <f>ROUND((F312+G312+H312)*(kopsavilkums!$O$12)*E312*12*(1+kopsavilkums!$O$23),2)</f>
        <v>1300.3900000000001</v>
      </c>
    </row>
    <row r="313" spans="2:10" s="12" customFormat="1" ht="12.75" x14ac:dyDescent="0.2">
      <c r="B313" s="691" t="s">
        <v>383</v>
      </c>
      <c r="C313" s="673" t="s">
        <v>529</v>
      </c>
      <c r="D313" s="688" t="s">
        <v>488</v>
      </c>
      <c r="E313" s="658">
        <v>5</v>
      </c>
      <c r="F313" s="682">
        <v>1171</v>
      </c>
      <c r="G313" s="682">
        <v>93.68</v>
      </c>
      <c r="H313" s="682">
        <v>117.1</v>
      </c>
      <c r="I313" s="659">
        <v>1381.78</v>
      </c>
      <c r="J313" s="120">
        <f>ROUND((F313+G313+H313)*(kopsavilkums!$O$12)*E313*12*(1+kopsavilkums!$O$23),2)</f>
        <v>6660.19</v>
      </c>
    </row>
    <row r="314" spans="2:10" s="12" customFormat="1" ht="12.75" x14ac:dyDescent="0.2">
      <c r="B314" s="691" t="s">
        <v>383</v>
      </c>
      <c r="C314" s="673" t="s">
        <v>529</v>
      </c>
      <c r="D314" s="688" t="s">
        <v>488</v>
      </c>
      <c r="E314" s="658">
        <v>2</v>
      </c>
      <c r="F314" s="682">
        <v>1171</v>
      </c>
      <c r="G314" s="682">
        <v>70.260000000000005</v>
      </c>
      <c r="H314" s="682">
        <v>117.1</v>
      </c>
      <c r="I314" s="659">
        <v>1358.36</v>
      </c>
      <c r="J314" s="120">
        <f>ROUND((F314+G314+H314)*(kopsavilkums!$O$12)*E314*12*(1+kopsavilkums!$O$23),2)</f>
        <v>2618.92</v>
      </c>
    </row>
    <row r="315" spans="2:10" s="12" customFormat="1" ht="12.75" x14ac:dyDescent="0.2">
      <c r="B315" s="691" t="s">
        <v>383</v>
      </c>
      <c r="C315" s="673" t="s">
        <v>529</v>
      </c>
      <c r="D315" s="688" t="s">
        <v>488</v>
      </c>
      <c r="E315" s="658">
        <v>1</v>
      </c>
      <c r="F315" s="682">
        <v>1171</v>
      </c>
      <c r="G315" s="682">
        <v>58.55</v>
      </c>
      <c r="H315" s="682">
        <v>117.1</v>
      </c>
      <c r="I315" s="659">
        <v>1346.6499999999999</v>
      </c>
      <c r="J315" s="120">
        <f>ROUND((F315+G315+H315)*(kopsavilkums!$O$12)*E315*12*(1+kopsavilkums!$O$23),2)</f>
        <v>1298.17</v>
      </c>
    </row>
    <row r="316" spans="2:10" s="12" customFormat="1" ht="12.75" x14ac:dyDescent="0.2">
      <c r="B316" s="691" t="s">
        <v>383</v>
      </c>
      <c r="C316" s="673" t="s">
        <v>529</v>
      </c>
      <c r="D316" s="688" t="s">
        <v>488</v>
      </c>
      <c r="E316" s="658">
        <v>4</v>
      </c>
      <c r="F316" s="682">
        <v>1171</v>
      </c>
      <c r="G316" s="682">
        <v>93.68</v>
      </c>
      <c r="H316" s="682">
        <v>117.1</v>
      </c>
      <c r="I316" s="659">
        <v>1381.78</v>
      </c>
      <c r="J316" s="120">
        <f>ROUND((F316+G316+H316)*(kopsavilkums!$O$12)*E316*12*(1+kopsavilkums!$O$23),2)</f>
        <v>5328.15</v>
      </c>
    </row>
    <row r="317" spans="2:10" s="12" customFormat="1" ht="12.75" x14ac:dyDescent="0.2">
      <c r="B317" s="691" t="s">
        <v>383</v>
      </c>
      <c r="C317" s="673" t="s">
        <v>529</v>
      </c>
      <c r="D317" s="688" t="s">
        <v>488</v>
      </c>
      <c r="E317" s="658">
        <v>1</v>
      </c>
      <c r="F317" s="682">
        <v>1173</v>
      </c>
      <c r="G317" s="682">
        <v>93.84</v>
      </c>
      <c r="H317" s="682">
        <v>117.3</v>
      </c>
      <c r="I317" s="659">
        <v>1384.1399999999999</v>
      </c>
      <c r="J317" s="120">
        <f>ROUND((F317+G317+H317)*(kopsavilkums!$O$12)*E317*12*(1+kopsavilkums!$O$23),2)</f>
        <v>1334.31</v>
      </c>
    </row>
    <row r="318" spans="2:10" s="12" customFormat="1" ht="12.75" x14ac:dyDescent="0.2">
      <c r="B318" s="691" t="s">
        <v>383</v>
      </c>
      <c r="C318" s="673" t="s">
        <v>529</v>
      </c>
      <c r="D318" s="688" t="s">
        <v>488</v>
      </c>
      <c r="E318" s="658">
        <v>1</v>
      </c>
      <c r="F318" s="682">
        <v>1175</v>
      </c>
      <c r="G318" s="682">
        <v>94</v>
      </c>
      <c r="H318" s="682">
        <v>117.5</v>
      </c>
      <c r="I318" s="659">
        <v>1386.5</v>
      </c>
      <c r="J318" s="120">
        <f>ROUND((F318+G318+H318)*(kopsavilkums!$O$12)*E318*12*(1+kopsavilkums!$O$23),2)</f>
        <v>1336.59</v>
      </c>
    </row>
    <row r="319" spans="2:10" s="12" customFormat="1" ht="12.75" x14ac:dyDescent="0.2">
      <c r="B319" s="691" t="s">
        <v>862</v>
      </c>
      <c r="C319" s="673" t="s">
        <v>492</v>
      </c>
      <c r="D319" s="688" t="s">
        <v>488</v>
      </c>
      <c r="E319" s="658">
        <v>1</v>
      </c>
      <c r="F319" s="682">
        <v>1348</v>
      </c>
      <c r="G319" s="682">
        <v>67.400000000000006</v>
      </c>
      <c r="H319" s="682">
        <v>134.80000000000001</v>
      </c>
      <c r="I319" s="659">
        <v>1550.2</v>
      </c>
      <c r="J319" s="120">
        <f>ROUND((F319+G319+H319)*(kopsavilkums!$O$12)*E319*12*(1+kopsavilkums!$O$23),2)</f>
        <v>1494.4</v>
      </c>
    </row>
    <row r="320" spans="2:10" s="12" customFormat="1" ht="12.75" x14ac:dyDescent="0.2">
      <c r="B320" s="691" t="s">
        <v>862</v>
      </c>
      <c r="C320" s="673" t="s">
        <v>492</v>
      </c>
      <c r="D320" s="688" t="s">
        <v>488</v>
      </c>
      <c r="E320" s="658">
        <v>1</v>
      </c>
      <c r="F320" s="682">
        <v>1348</v>
      </c>
      <c r="G320" s="682">
        <v>107.84</v>
      </c>
      <c r="H320" s="682">
        <v>134.80000000000001</v>
      </c>
      <c r="I320" s="659">
        <v>1590.6399999999999</v>
      </c>
      <c r="J320" s="120">
        <f>ROUND((F320+G320+H320)*(kopsavilkums!$O$12)*E320*12*(1+kopsavilkums!$O$23),2)</f>
        <v>1533.38</v>
      </c>
    </row>
    <row r="321" spans="2:10" s="12" customFormat="1" ht="12.75" x14ac:dyDescent="0.2">
      <c r="B321" s="691" t="s">
        <v>862</v>
      </c>
      <c r="C321" s="673" t="s">
        <v>492</v>
      </c>
      <c r="D321" s="688" t="s">
        <v>488</v>
      </c>
      <c r="E321" s="658">
        <v>1</v>
      </c>
      <c r="F321" s="682">
        <v>1348</v>
      </c>
      <c r="G321" s="682">
        <v>107.84</v>
      </c>
      <c r="H321" s="682">
        <v>134.80000000000001</v>
      </c>
      <c r="I321" s="659">
        <v>1590.6399999999999</v>
      </c>
      <c r="J321" s="120">
        <f>ROUND((F321+G321+H321)*(kopsavilkums!$O$12)*E321*12*(1+kopsavilkums!$O$23),2)</f>
        <v>1533.38</v>
      </c>
    </row>
    <row r="322" spans="2:10" s="12" customFormat="1" ht="12.75" x14ac:dyDescent="0.2">
      <c r="B322" s="691" t="s">
        <v>862</v>
      </c>
      <c r="C322" s="673" t="s">
        <v>492</v>
      </c>
      <c r="D322" s="688" t="s">
        <v>488</v>
      </c>
      <c r="E322" s="658">
        <v>1</v>
      </c>
      <c r="F322" s="682">
        <v>1348</v>
      </c>
      <c r="G322" s="682">
        <v>107.84</v>
      </c>
      <c r="H322" s="682">
        <v>134.80000000000001</v>
      </c>
      <c r="I322" s="659">
        <v>1590.6399999999999</v>
      </c>
      <c r="J322" s="120">
        <f>ROUND((F322+G322+H322)*(kopsavilkums!$O$12)*E322*12*(1+kopsavilkums!$O$23),2)</f>
        <v>1533.38</v>
      </c>
    </row>
    <row r="323" spans="2:10" s="12" customFormat="1" ht="12.75" x14ac:dyDescent="0.2">
      <c r="B323" s="691" t="s">
        <v>862</v>
      </c>
      <c r="C323" s="673" t="s">
        <v>492</v>
      </c>
      <c r="D323" s="688" t="s">
        <v>488</v>
      </c>
      <c r="E323" s="658">
        <v>1</v>
      </c>
      <c r="F323" s="682">
        <v>1354</v>
      </c>
      <c r="G323" s="682">
        <v>108.32</v>
      </c>
      <c r="H323" s="682">
        <v>135.4</v>
      </c>
      <c r="I323" s="659">
        <v>1597.72</v>
      </c>
      <c r="J323" s="120">
        <f>ROUND((F323+G323+H323)*(kopsavilkums!$O$12)*E323*12*(1+kopsavilkums!$O$23),2)</f>
        <v>1540.21</v>
      </c>
    </row>
    <row r="324" spans="2:10" s="12" customFormat="1" ht="12.75" x14ac:dyDescent="0.2">
      <c r="B324" s="691" t="s">
        <v>107</v>
      </c>
      <c r="C324" s="673" t="s">
        <v>486</v>
      </c>
      <c r="D324" s="688" t="s">
        <v>487</v>
      </c>
      <c r="E324" s="658">
        <v>1</v>
      </c>
      <c r="F324" s="682">
        <v>1275</v>
      </c>
      <c r="G324" s="682">
        <v>63.75</v>
      </c>
      <c r="H324" s="682">
        <v>127.5</v>
      </c>
      <c r="I324" s="659">
        <v>1466.25</v>
      </c>
      <c r="J324" s="120">
        <f>ROUND((F324+G324+H324)*(kopsavilkums!$O$12)*E324*12*(1+kopsavilkums!$O$23),2)</f>
        <v>1413.47</v>
      </c>
    </row>
    <row r="325" spans="2:10" s="12" customFormat="1" ht="12.75" x14ac:dyDescent="0.2">
      <c r="B325" s="691" t="s">
        <v>107</v>
      </c>
      <c r="C325" s="673" t="s">
        <v>486</v>
      </c>
      <c r="D325" s="688" t="s">
        <v>487</v>
      </c>
      <c r="E325" s="658">
        <v>1</v>
      </c>
      <c r="F325" s="682">
        <v>1275</v>
      </c>
      <c r="G325" s="682">
        <v>102</v>
      </c>
      <c r="H325" s="682">
        <v>127.5</v>
      </c>
      <c r="I325" s="659">
        <v>1504.5</v>
      </c>
      <c r="J325" s="120">
        <f>ROUND((F325+G325+H325)*(kopsavilkums!$O$12)*E325*12*(1+kopsavilkums!$O$23),2)</f>
        <v>1450.34</v>
      </c>
    </row>
    <row r="326" spans="2:10" s="12" customFormat="1" ht="12.75" x14ac:dyDescent="0.2">
      <c r="B326" s="691" t="s">
        <v>107</v>
      </c>
      <c r="C326" s="673" t="s">
        <v>486</v>
      </c>
      <c r="D326" s="688" t="s">
        <v>487</v>
      </c>
      <c r="E326" s="658">
        <v>1</v>
      </c>
      <c r="F326" s="682">
        <v>1275</v>
      </c>
      <c r="G326" s="682">
        <v>102</v>
      </c>
      <c r="H326" s="682">
        <v>127.5</v>
      </c>
      <c r="I326" s="659">
        <v>1504.5</v>
      </c>
      <c r="J326" s="120">
        <f>ROUND((F326+G326+H326)*(kopsavilkums!$O$12)*E326*12*(1+kopsavilkums!$O$23),2)</f>
        <v>1450.34</v>
      </c>
    </row>
    <row r="327" spans="2:10" s="12" customFormat="1" ht="12.75" x14ac:dyDescent="0.2">
      <c r="B327" s="691" t="s">
        <v>107</v>
      </c>
      <c r="C327" s="673" t="s">
        <v>486</v>
      </c>
      <c r="D327" s="688" t="s">
        <v>487</v>
      </c>
      <c r="E327" s="658">
        <v>1</v>
      </c>
      <c r="F327" s="682">
        <v>1275</v>
      </c>
      <c r="G327" s="682">
        <v>102</v>
      </c>
      <c r="H327" s="682">
        <v>127.5</v>
      </c>
      <c r="I327" s="659">
        <v>1504.5</v>
      </c>
      <c r="J327" s="120">
        <f>ROUND((F327+G327+H327)*(kopsavilkums!$O$12)*E327*12*(1+kopsavilkums!$O$23),2)</f>
        <v>1450.34</v>
      </c>
    </row>
    <row r="328" spans="2:10" s="12" customFormat="1" ht="12.75" x14ac:dyDescent="0.2">
      <c r="B328" s="691" t="s">
        <v>107</v>
      </c>
      <c r="C328" s="673" t="s">
        <v>486</v>
      </c>
      <c r="D328" s="688" t="s">
        <v>487</v>
      </c>
      <c r="E328" s="658">
        <v>1</v>
      </c>
      <c r="F328" s="682">
        <v>1275</v>
      </c>
      <c r="G328" s="682">
        <v>63.75</v>
      </c>
      <c r="H328" s="682">
        <v>127.5</v>
      </c>
      <c r="I328" s="659">
        <v>1466.25</v>
      </c>
      <c r="J328" s="120">
        <f>ROUND((F328+G328+H328)*(kopsavilkums!$O$12)*E328*12*(1+kopsavilkums!$O$23),2)</f>
        <v>1413.47</v>
      </c>
    </row>
    <row r="329" spans="2:10" s="12" customFormat="1" ht="12.75" x14ac:dyDescent="0.2">
      <c r="B329" s="691" t="s">
        <v>107</v>
      </c>
      <c r="C329" s="673" t="s">
        <v>486</v>
      </c>
      <c r="D329" s="688" t="s">
        <v>487</v>
      </c>
      <c r="E329" s="658">
        <v>0.5</v>
      </c>
      <c r="F329" s="682">
        <v>1448.09</v>
      </c>
      <c r="G329" s="682">
        <v>115.84719999999999</v>
      </c>
      <c r="H329" s="682">
        <v>144.809</v>
      </c>
      <c r="I329" s="659">
        <v>1708.7461999999998</v>
      </c>
      <c r="J329" s="120">
        <f>ROUND((F329+G329+H329)*(kopsavilkums!$O$12)*E329*12*(1+kopsavilkums!$O$23),2)</f>
        <v>823.62</v>
      </c>
    </row>
    <row r="330" spans="2:10" s="12" customFormat="1" ht="12.75" x14ac:dyDescent="0.2">
      <c r="B330" s="691" t="s">
        <v>107</v>
      </c>
      <c r="C330" s="673" t="s">
        <v>486</v>
      </c>
      <c r="D330" s="688" t="s">
        <v>487</v>
      </c>
      <c r="E330" s="658">
        <v>0.7</v>
      </c>
      <c r="F330" s="682">
        <v>1448.09</v>
      </c>
      <c r="G330" s="682">
        <v>86.88539999999999</v>
      </c>
      <c r="H330" s="682">
        <v>144.809</v>
      </c>
      <c r="I330" s="659">
        <v>1679.7843999999998</v>
      </c>
      <c r="J330" s="120">
        <f>ROUND((F330+G330+H330)*(kopsavilkums!$O$12)*E330*12*(1+kopsavilkums!$O$23),2)</f>
        <v>1133.52</v>
      </c>
    </row>
    <row r="331" spans="2:10" s="12" customFormat="1" ht="12.75" x14ac:dyDescent="0.2">
      <c r="B331" s="691" t="s">
        <v>107</v>
      </c>
      <c r="C331" s="673" t="s">
        <v>486</v>
      </c>
      <c r="D331" s="688" t="s">
        <v>487</v>
      </c>
      <c r="E331" s="658">
        <v>0.25</v>
      </c>
      <c r="F331" s="682">
        <v>1448.09</v>
      </c>
      <c r="G331" s="682">
        <v>72.404499999999999</v>
      </c>
      <c r="H331" s="682">
        <v>144.809</v>
      </c>
      <c r="I331" s="659">
        <v>1665.3035</v>
      </c>
      <c r="J331" s="120">
        <f>ROUND((F331+G331+H331)*(kopsavilkums!$O$12)*E331*12*(1+kopsavilkums!$O$23),2)</f>
        <v>401.34</v>
      </c>
    </row>
    <row r="332" spans="2:10" s="12" customFormat="1" ht="12.75" x14ac:dyDescent="0.2">
      <c r="B332" s="691" t="s">
        <v>107</v>
      </c>
      <c r="C332" s="673" t="s">
        <v>486</v>
      </c>
      <c r="D332" s="688" t="s">
        <v>487</v>
      </c>
      <c r="E332" s="658">
        <v>0.5</v>
      </c>
      <c r="F332" s="682">
        <v>1448.09</v>
      </c>
      <c r="G332" s="682">
        <v>115.84719999999999</v>
      </c>
      <c r="H332" s="682">
        <v>144.809</v>
      </c>
      <c r="I332" s="659">
        <v>1708.7461999999998</v>
      </c>
      <c r="J332" s="120">
        <f>ROUND((F332+G332+H332)*(kopsavilkums!$O$12)*E332*12*(1+kopsavilkums!$O$23),2)</f>
        <v>823.62</v>
      </c>
    </row>
    <row r="333" spans="2:10" s="12" customFormat="1" ht="12.75" x14ac:dyDescent="0.2">
      <c r="B333" s="691" t="s">
        <v>384</v>
      </c>
      <c r="C333" s="673" t="s">
        <v>492</v>
      </c>
      <c r="D333" s="688" t="s">
        <v>488</v>
      </c>
      <c r="E333" s="658">
        <v>1</v>
      </c>
      <c r="F333" s="682">
        <v>1309.1500000000001</v>
      </c>
      <c r="G333" s="682">
        <v>104.73200000000001</v>
      </c>
      <c r="H333" s="682">
        <v>130.91499999999999</v>
      </c>
      <c r="I333" s="659">
        <v>1544.797</v>
      </c>
      <c r="J333" s="120">
        <f>ROUND((F333+G333+H333)*(kopsavilkums!$O$12)*E333*12*(1+kopsavilkums!$O$23),2)</f>
        <v>1489.19</v>
      </c>
    </row>
    <row r="334" spans="2:10" s="12" customFormat="1" ht="12.75" x14ac:dyDescent="0.2">
      <c r="B334" s="691" t="s">
        <v>384</v>
      </c>
      <c r="C334" s="673" t="s">
        <v>492</v>
      </c>
      <c r="D334" s="688" t="s">
        <v>488</v>
      </c>
      <c r="E334" s="658">
        <v>1</v>
      </c>
      <c r="F334" s="682">
        <v>1309.1500000000001</v>
      </c>
      <c r="G334" s="682">
        <v>104.73200000000001</v>
      </c>
      <c r="H334" s="682">
        <v>130.91499999999999</v>
      </c>
      <c r="I334" s="659">
        <v>1544.797</v>
      </c>
      <c r="J334" s="120">
        <f>ROUND((F334+G334+H334)*(kopsavilkums!$O$12)*E334*12*(1+kopsavilkums!$O$23),2)</f>
        <v>1489.19</v>
      </c>
    </row>
    <row r="335" spans="2:10" s="12" customFormat="1" ht="12.75" x14ac:dyDescent="0.2">
      <c r="B335" s="691" t="s">
        <v>384</v>
      </c>
      <c r="C335" s="673" t="s">
        <v>492</v>
      </c>
      <c r="D335" s="688" t="s">
        <v>488</v>
      </c>
      <c r="E335" s="658">
        <v>1</v>
      </c>
      <c r="F335" s="682">
        <v>1309.1500000000001</v>
      </c>
      <c r="G335" s="682">
        <v>104.73200000000001</v>
      </c>
      <c r="H335" s="682">
        <v>130.91499999999999</v>
      </c>
      <c r="I335" s="659">
        <v>1544.797</v>
      </c>
      <c r="J335" s="120">
        <f>ROUND((F335+G335+H335)*(kopsavilkums!$O$12)*E335*12*(1+kopsavilkums!$O$23),2)</f>
        <v>1489.19</v>
      </c>
    </row>
    <row r="336" spans="2:10" s="12" customFormat="1" ht="12.75" x14ac:dyDescent="0.2">
      <c r="B336" s="691" t="s">
        <v>384</v>
      </c>
      <c r="C336" s="673" t="s">
        <v>492</v>
      </c>
      <c r="D336" s="688" t="s">
        <v>488</v>
      </c>
      <c r="E336" s="658">
        <v>1</v>
      </c>
      <c r="F336" s="682">
        <v>1309.1500000000001</v>
      </c>
      <c r="G336" s="682">
        <v>104.73200000000001</v>
      </c>
      <c r="H336" s="682">
        <v>130.91499999999999</v>
      </c>
      <c r="I336" s="659">
        <v>1544.797</v>
      </c>
      <c r="J336" s="120">
        <f>ROUND((F336+G336+H336)*(kopsavilkums!$O$12)*E336*12*(1+kopsavilkums!$O$23),2)</f>
        <v>1489.19</v>
      </c>
    </row>
    <row r="337" spans="2:10" s="12" customFormat="1" ht="12.75" x14ac:dyDescent="0.2">
      <c r="B337" s="691" t="s">
        <v>384</v>
      </c>
      <c r="C337" s="673" t="s">
        <v>492</v>
      </c>
      <c r="D337" s="688" t="s">
        <v>488</v>
      </c>
      <c r="E337" s="658">
        <v>0.75</v>
      </c>
      <c r="F337" s="682">
        <v>1309.1500000000001</v>
      </c>
      <c r="G337" s="682">
        <v>65.457499999999996</v>
      </c>
      <c r="H337" s="682">
        <v>130.91499999999999</v>
      </c>
      <c r="I337" s="659">
        <v>1505.5225</v>
      </c>
      <c r="J337" s="120">
        <f>ROUND((F337+G337+H337)*(kopsavilkums!$O$12)*E337*12*(1+kopsavilkums!$O$23),2)</f>
        <v>1088.5</v>
      </c>
    </row>
    <row r="338" spans="2:10" s="12" customFormat="1" ht="12.75" x14ac:dyDescent="0.2">
      <c r="B338" s="687" t="s">
        <v>869</v>
      </c>
      <c r="C338" s="673" t="s">
        <v>742</v>
      </c>
      <c r="D338" s="688" t="s">
        <v>496</v>
      </c>
      <c r="E338" s="658">
        <v>0.75</v>
      </c>
      <c r="F338" s="682">
        <v>1244.49</v>
      </c>
      <c r="G338" s="682">
        <v>99.559200000000004</v>
      </c>
      <c r="H338" s="682">
        <v>124.449</v>
      </c>
      <c r="I338" s="659">
        <v>1468.4982</v>
      </c>
      <c r="J338" s="120">
        <f>ROUND((F338+G338+H338)*(kopsavilkums!$O$12)*E338*12*(1+kopsavilkums!$O$23),2)</f>
        <v>1061.73</v>
      </c>
    </row>
    <row r="339" spans="2:10" s="12" customFormat="1" ht="12.75" x14ac:dyDescent="0.2">
      <c r="B339" s="687" t="s">
        <v>869</v>
      </c>
      <c r="C339" s="673" t="s">
        <v>742</v>
      </c>
      <c r="D339" s="688" t="s">
        <v>496</v>
      </c>
      <c r="E339" s="658">
        <v>0.5</v>
      </c>
      <c r="F339" s="682">
        <v>1244.49</v>
      </c>
      <c r="G339" s="682">
        <v>99.559200000000004</v>
      </c>
      <c r="H339" s="682">
        <v>124.449</v>
      </c>
      <c r="I339" s="659">
        <v>1468.4982</v>
      </c>
      <c r="J339" s="120">
        <f>ROUND((F339+G339+H339)*(kopsavilkums!$O$12)*E339*12*(1+kopsavilkums!$O$23),2)</f>
        <v>707.82</v>
      </c>
    </row>
    <row r="340" spans="2:10" s="12" customFormat="1" ht="12.75" x14ac:dyDescent="0.2">
      <c r="B340" s="687" t="s">
        <v>869</v>
      </c>
      <c r="C340" s="673" t="s">
        <v>742</v>
      </c>
      <c r="D340" s="688" t="s">
        <v>496</v>
      </c>
      <c r="E340" s="658">
        <v>1</v>
      </c>
      <c r="F340" s="682">
        <v>1244.49</v>
      </c>
      <c r="G340" s="682">
        <v>62.224499999999999</v>
      </c>
      <c r="H340" s="682">
        <v>124.449</v>
      </c>
      <c r="I340" s="659">
        <v>1431.1635000000001</v>
      </c>
      <c r="J340" s="120">
        <f>ROUND((F340+G340+H340)*(kopsavilkums!$O$12)*E340*12*(1+kopsavilkums!$O$23),2)</f>
        <v>1379.64</v>
      </c>
    </row>
    <row r="341" spans="2:10" s="12" customFormat="1" ht="12.75" x14ac:dyDescent="0.2">
      <c r="B341" s="687" t="s">
        <v>869</v>
      </c>
      <c r="C341" s="673" t="s">
        <v>742</v>
      </c>
      <c r="D341" s="688" t="s">
        <v>496</v>
      </c>
      <c r="E341" s="658">
        <v>1</v>
      </c>
      <c r="F341" s="682">
        <v>1244.49</v>
      </c>
      <c r="G341" s="682">
        <v>99.559200000000004</v>
      </c>
      <c r="H341" s="682">
        <v>124.449</v>
      </c>
      <c r="I341" s="659">
        <v>1468.4982</v>
      </c>
      <c r="J341" s="120">
        <f>ROUND((F341+G341+H341)*(kopsavilkums!$O$12)*E341*12*(1+kopsavilkums!$O$23),2)</f>
        <v>1415.64</v>
      </c>
    </row>
    <row r="342" spans="2:10" s="12" customFormat="1" ht="12.75" x14ac:dyDescent="0.2">
      <c r="B342" s="687" t="s">
        <v>869</v>
      </c>
      <c r="C342" s="673" t="s">
        <v>742</v>
      </c>
      <c r="D342" s="688" t="s">
        <v>496</v>
      </c>
      <c r="E342" s="658">
        <v>1</v>
      </c>
      <c r="F342" s="682">
        <v>1244.49</v>
      </c>
      <c r="G342" s="682">
        <v>99.559200000000004</v>
      </c>
      <c r="H342" s="682">
        <v>124.449</v>
      </c>
      <c r="I342" s="659">
        <v>1468.4982</v>
      </c>
      <c r="J342" s="120">
        <f>ROUND((F342+G342+H342)*(kopsavilkums!$O$12)*E342*12*(1+kopsavilkums!$O$23),2)</f>
        <v>1415.64</v>
      </c>
    </row>
    <row r="343" spans="2:10" s="12" customFormat="1" ht="12.75" x14ac:dyDescent="0.2">
      <c r="B343" s="687" t="s">
        <v>869</v>
      </c>
      <c r="C343" s="673" t="s">
        <v>742</v>
      </c>
      <c r="D343" s="688" t="s">
        <v>496</v>
      </c>
      <c r="E343" s="658">
        <v>1</v>
      </c>
      <c r="F343" s="682">
        <v>1244.49</v>
      </c>
      <c r="G343" s="682">
        <v>99.559200000000004</v>
      </c>
      <c r="H343" s="682">
        <v>124.449</v>
      </c>
      <c r="I343" s="659">
        <v>1468.4982</v>
      </c>
      <c r="J343" s="120">
        <f>ROUND((F343+G343+H343)*(kopsavilkums!$O$12)*E343*12*(1+kopsavilkums!$O$23),2)</f>
        <v>1415.64</v>
      </c>
    </row>
    <row r="344" spans="2:10" s="12" customFormat="1" ht="12.75" x14ac:dyDescent="0.2">
      <c r="B344" s="687" t="s">
        <v>869</v>
      </c>
      <c r="C344" s="673" t="s">
        <v>742</v>
      </c>
      <c r="D344" s="688" t="s">
        <v>496</v>
      </c>
      <c r="E344" s="658">
        <v>1</v>
      </c>
      <c r="F344" s="682">
        <v>1244.49</v>
      </c>
      <c r="G344" s="682">
        <v>74.66940000000001</v>
      </c>
      <c r="H344" s="682">
        <v>124.449</v>
      </c>
      <c r="I344" s="659">
        <v>1443.6084000000001</v>
      </c>
      <c r="J344" s="120">
        <f>ROUND((F344+G344+H344)*(kopsavilkums!$O$12)*E344*12*(1+kopsavilkums!$O$23),2)</f>
        <v>1391.64</v>
      </c>
    </row>
    <row r="345" spans="2:10" s="12" customFormat="1" ht="12.75" x14ac:dyDescent="0.2">
      <c r="B345" s="687" t="s">
        <v>869</v>
      </c>
      <c r="C345" s="673" t="s">
        <v>742</v>
      </c>
      <c r="D345" s="688" t="s">
        <v>496</v>
      </c>
      <c r="E345" s="658">
        <v>1</v>
      </c>
      <c r="F345" s="682">
        <v>1244.49</v>
      </c>
      <c r="G345" s="682">
        <v>99.559200000000004</v>
      </c>
      <c r="H345" s="682">
        <v>124.449</v>
      </c>
      <c r="I345" s="659">
        <v>1468.4982</v>
      </c>
      <c r="J345" s="120">
        <f>ROUND((F345+G345+H345)*(kopsavilkums!$O$12)*E345*12*(1+kopsavilkums!$O$23),2)</f>
        <v>1415.64</v>
      </c>
    </row>
    <row r="346" spans="2:10" s="12" customFormat="1" ht="12.75" x14ac:dyDescent="0.2">
      <c r="B346" s="687" t="s">
        <v>870</v>
      </c>
      <c r="C346" s="673" t="s">
        <v>649</v>
      </c>
      <c r="D346" s="688" t="s">
        <v>530</v>
      </c>
      <c r="E346" s="658">
        <v>0.5</v>
      </c>
      <c r="F346" s="682">
        <v>1244.49</v>
      </c>
      <c r="G346" s="682">
        <v>99.559200000000004</v>
      </c>
      <c r="H346" s="682">
        <v>124.449</v>
      </c>
      <c r="I346" s="659">
        <v>1468.4982</v>
      </c>
      <c r="J346" s="120">
        <f>ROUND((F346+G346+H346)*(kopsavilkums!$O$12)*E346*12*(1+kopsavilkums!$O$23),2)</f>
        <v>707.82</v>
      </c>
    </row>
    <row r="347" spans="2:10" s="12" customFormat="1" ht="12.75" x14ac:dyDescent="0.2">
      <c r="B347" s="687" t="s">
        <v>870</v>
      </c>
      <c r="C347" s="673" t="s">
        <v>649</v>
      </c>
      <c r="D347" s="688" t="s">
        <v>530</v>
      </c>
      <c r="E347" s="658">
        <v>0.5</v>
      </c>
      <c r="F347" s="682">
        <v>1244.49</v>
      </c>
      <c r="G347" s="682">
        <v>99.559200000000004</v>
      </c>
      <c r="H347" s="682">
        <v>124.449</v>
      </c>
      <c r="I347" s="659">
        <v>1468.4982</v>
      </c>
      <c r="J347" s="120">
        <f>ROUND((F347+G347+H347)*(kopsavilkums!$O$12)*E347*12*(1+kopsavilkums!$O$23),2)</f>
        <v>707.82</v>
      </c>
    </row>
    <row r="348" spans="2:10" s="12" customFormat="1" ht="12.75" x14ac:dyDescent="0.2">
      <c r="B348" s="687" t="s">
        <v>870</v>
      </c>
      <c r="C348" s="673" t="s">
        <v>649</v>
      </c>
      <c r="D348" s="688" t="s">
        <v>530</v>
      </c>
      <c r="E348" s="658">
        <v>1</v>
      </c>
      <c r="F348" s="682">
        <v>1244.49</v>
      </c>
      <c r="G348" s="682">
        <v>74.66940000000001</v>
      </c>
      <c r="H348" s="682">
        <v>124.449</v>
      </c>
      <c r="I348" s="659">
        <v>1443.6084000000001</v>
      </c>
      <c r="J348" s="120">
        <f>ROUND((F348+G348+H348)*(kopsavilkums!$O$12)*E348*12*(1+kopsavilkums!$O$23),2)</f>
        <v>1391.64</v>
      </c>
    </row>
    <row r="349" spans="2:10" s="12" customFormat="1" ht="12.75" x14ac:dyDescent="0.2">
      <c r="B349" s="687" t="s">
        <v>870</v>
      </c>
      <c r="C349" s="673" t="s">
        <v>649</v>
      </c>
      <c r="D349" s="688" t="s">
        <v>530</v>
      </c>
      <c r="E349" s="658">
        <v>1</v>
      </c>
      <c r="F349" s="682">
        <v>1244.49</v>
      </c>
      <c r="G349" s="682">
        <v>99.559200000000004</v>
      </c>
      <c r="H349" s="682">
        <v>124.449</v>
      </c>
      <c r="I349" s="659">
        <v>1468.4982</v>
      </c>
      <c r="J349" s="120">
        <f>ROUND((F349+G349+H349)*(kopsavilkums!$O$12)*E349*12*(1+kopsavilkums!$O$23),2)</f>
        <v>1415.64</v>
      </c>
    </row>
    <row r="350" spans="2:10" s="12" customFormat="1" ht="12.75" x14ac:dyDescent="0.2">
      <c r="B350" s="687" t="s">
        <v>870</v>
      </c>
      <c r="C350" s="673" t="s">
        <v>649</v>
      </c>
      <c r="D350" s="688" t="s">
        <v>530</v>
      </c>
      <c r="E350" s="658">
        <v>1</v>
      </c>
      <c r="F350" s="682">
        <v>1244.49</v>
      </c>
      <c r="G350" s="682">
        <v>99.559200000000004</v>
      </c>
      <c r="H350" s="682">
        <v>124.449</v>
      </c>
      <c r="I350" s="659">
        <v>1468.4982</v>
      </c>
      <c r="J350" s="120">
        <f>ROUND((F350+G350+H350)*(kopsavilkums!$O$12)*E350*12*(1+kopsavilkums!$O$23),2)</f>
        <v>1415.64</v>
      </c>
    </row>
    <row r="351" spans="2:10" s="12" customFormat="1" ht="12.75" x14ac:dyDescent="0.2">
      <c r="B351" s="687" t="s">
        <v>870</v>
      </c>
      <c r="C351" s="673" t="s">
        <v>649</v>
      </c>
      <c r="D351" s="688" t="s">
        <v>530</v>
      </c>
      <c r="E351" s="658">
        <v>1</v>
      </c>
      <c r="F351" s="682">
        <v>1244.49</v>
      </c>
      <c r="G351" s="682">
        <v>99.559200000000004</v>
      </c>
      <c r="H351" s="682">
        <v>124.449</v>
      </c>
      <c r="I351" s="659">
        <v>1468.4982</v>
      </c>
      <c r="J351" s="120">
        <f>ROUND((F351+G351+H351)*(kopsavilkums!$O$12)*E351*12*(1+kopsavilkums!$O$23),2)</f>
        <v>1415.64</v>
      </c>
    </row>
    <row r="352" spans="2:10" s="12" customFormat="1" ht="12.75" x14ac:dyDescent="0.2">
      <c r="B352" s="687" t="s">
        <v>870</v>
      </c>
      <c r="C352" s="673" t="s">
        <v>649</v>
      </c>
      <c r="D352" s="688" t="s">
        <v>530</v>
      </c>
      <c r="E352" s="658">
        <v>1</v>
      </c>
      <c r="F352" s="682">
        <v>1244.49</v>
      </c>
      <c r="G352" s="682">
        <v>99.559200000000004</v>
      </c>
      <c r="H352" s="682">
        <v>124.449</v>
      </c>
      <c r="I352" s="659">
        <v>1468.4982</v>
      </c>
      <c r="J352" s="120">
        <f>ROUND((F352+G352+H352)*(kopsavilkums!$O$12)*E352*12*(1+kopsavilkums!$O$23),2)</f>
        <v>1415.64</v>
      </c>
    </row>
    <row r="353" spans="2:10" s="12" customFormat="1" ht="12.75" x14ac:dyDescent="0.2">
      <c r="B353" s="687" t="s">
        <v>869</v>
      </c>
      <c r="C353" s="673" t="s">
        <v>742</v>
      </c>
      <c r="D353" s="688" t="s">
        <v>496</v>
      </c>
      <c r="E353" s="658">
        <v>1</v>
      </c>
      <c r="F353" s="682">
        <v>1244.49</v>
      </c>
      <c r="G353" s="682">
        <v>99.559200000000004</v>
      </c>
      <c r="H353" s="682">
        <v>124.449</v>
      </c>
      <c r="I353" s="659">
        <v>1468.4982</v>
      </c>
      <c r="J353" s="120">
        <f>ROUND((F353+G353+H353)*(kopsavilkums!$O$12)*E353*12*(1+kopsavilkums!$O$23),2)</f>
        <v>1415.64</v>
      </c>
    </row>
    <row r="354" spans="2:10" s="12" customFormat="1" ht="12.75" x14ac:dyDescent="0.2">
      <c r="B354" s="687" t="s">
        <v>385</v>
      </c>
      <c r="C354" s="673" t="s">
        <v>529</v>
      </c>
      <c r="D354" s="688" t="s">
        <v>488</v>
      </c>
      <c r="E354" s="658">
        <v>66.25</v>
      </c>
      <c r="F354" s="682">
        <v>1253</v>
      </c>
      <c r="G354" s="682">
        <v>100.24</v>
      </c>
      <c r="H354" s="682">
        <v>125.3</v>
      </c>
      <c r="I354" s="659">
        <v>1478.54</v>
      </c>
      <c r="J354" s="120">
        <f>ROUND((F354+G354+H354)*(kopsavilkums!$O$12)*E354*12*(1+kopsavilkums!$O$23),2)</f>
        <v>94427.15</v>
      </c>
    </row>
    <row r="355" spans="2:10" s="12" customFormat="1" ht="12.75" x14ac:dyDescent="0.2">
      <c r="B355" s="687" t="s">
        <v>862</v>
      </c>
      <c r="C355" s="673" t="s">
        <v>492</v>
      </c>
      <c r="D355" s="688" t="s">
        <v>488</v>
      </c>
      <c r="E355" s="658">
        <v>3</v>
      </c>
      <c r="F355" s="682">
        <v>1353</v>
      </c>
      <c r="G355" s="682">
        <v>108.24</v>
      </c>
      <c r="H355" s="682">
        <v>135.30000000000001</v>
      </c>
      <c r="I355" s="659">
        <v>1596.54</v>
      </c>
      <c r="J355" s="120">
        <f>ROUND((F355+G355+H355)*(kopsavilkums!$O$12)*E355*12*(1+kopsavilkums!$O$23),2)</f>
        <v>4617.2</v>
      </c>
    </row>
    <row r="356" spans="2:10" s="12" customFormat="1" ht="12.75" x14ac:dyDescent="0.2">
      <c r="B356" s="687" t="s">
        <v>871</v>
      </c>
      <c r="C356" s="673" t="s">
        <v>523</v>
      </c>
      <c r="D356" s="688" t="s">
        <v>488</v>
      </c>
      <c r="E356" s="658">
        <v>2</v>
      </c>
      <c r="F356" s="682">
        <v>1504</v>
      </c>
      <c r="G356" s="682">
        <v>120.32</v>
      </c>
      <c r="H356" s="682">
        <v>150.4</v>
      </c>
      <c r="I356" s="659">
        <v>1774.72</v>
      </c>
      <c r="J356" s="120">
        <f>ROUND((F356+G356+H356)*(kopsavilkums!$O$12)*E356*12*(1+kopsavilkums!$O$23),2)</f>
        <v>3421.67</v>
      </c>
    </row>
    <row r="357" spans="2:10" s="12" customFormat="1" ht="12.75" x14ac:dyDescent="0.2">
      <c r="B357" s="687" t="s">
        <v>386</v>
      </c>
      <c r="C357" s="673" t="s">
        <v>523</v>
      </c>
      <c r="D357" s="688" t="s">
        <v>487</v>
      </c>
      <c r="E357" s="658">
        <v>3</v>
      </c>
      <c r="F357" s="682">
        <v>1504</v>
      </c>
      <c r="G357" s="682">
        <v>120.32</v>
      </c>
      <c r="H357" s="682">
        <v>150.4</v>
      </c>
      <c r="I357" s="659">
        <v>1774.72</v>
      </c>
      <c r="J357" s="120">
        <f>ROUND((F357+G357+H357)*(kopsavilkums!$O$12)*E357*12*(1+kopsavilkums!$O$23),2)</f>
        <v>5132.5</v>
      </c>
    </row>
    <row r="358" spans="2:10" s="12" customFormat="1" ht="15" customHeight="1" x14ac:dyDescent="0.2">
      <c r="B358" s="687" t="s">
        <v>872</v>
      </c>
      <c r="C358" s="673" t="s">
        <v>523</v>
      </c>
      <c r="D358" s="688" t="s">
        <v>488</v>
      </c>
      <c r="E358" s="658">
        <v>3</v>
      </c>
      <c r="F358" s="682">
        <v>1504</v>
      </c>
      <c r="G358" s="682">
        <v>120.32</v>
      </c>
      <c r="H358" s="682">
        <v>150.4</v>
      </c>
      <c r="I358" s="659">
        <v>1774.72</v>
      </c>
      <c r="J358" s="120">
        <f>ROUND((F358+G358+H358)*(kopsavilkums!$O$12)*E358*12*(1+kopsavilkums!$O$23),2)</f>
        <v>5132.5</v>
      </c>
    </row>
    <row r="359" spans="2:10" s="12" customFormat="1" ht="38.25" x14ac:dyDescent="0.2">
      <c r="B359" s="276" t="s">
        <v>95</v>
      </c>
      <c r="C359" s="484"/>
      <c r="D359" s="484"/>
      <c r="E359" s="446">
        <f>SUM(E360:E368)</f>
        <v>8.5</v>
      </c>
      <c r="F359" s="446">
        <f t="shared" ref="F359:I359" si="56">SUM(F360:F368)</f>
        <v>12143.18</v>
      </c>
      <c r="G359" s="446">
        <f t="shared" si="56"/>
        <v>850.31169999999997</v>
      </c>
      <c r="H359" s="446">
        <f t="shared" si="56"/>
        <v>1214.318</v>
      </c>
      <c r="I359" s="446">
        <f t="shared" si="56"/>
        <v>14207.8097</v>
      </c>
      <c r="J359" s="1"/>
    </row>
    <row r="360" spans="2:10" s="12" customFormat="1" ht="12.75" x14ac:dyDescent="0.2">
      <c r="B360" s="695" t="s">
        <v>127</v>
      </c>
      <c r="C360" s="643" t="s">
        <v>494</v>
      </c>
      <c r="D360" s="643" t="s">
        <v>495</v>
      </c>
      <c r="E360" s="640">
        <v>1</v>
      </c>
      <c r="F360" s="696">
        <v>1295</v>
      </c>
      <c r="G360" s="696">
        <v>77.7</v>
      </c>
      <c r="H360" s="696">
        <v>129.5</v>
      </c>
      <c r="I360" s="696">
        <v>1502.2</v>
      </c>
      <c r="J360" s="120">
        <f>ROUND((F360+G360+H360)*(kopsavilkums!$O$12)*E360*12*(1+kopsavilkums!$O$23),2)</f>
        <v>1448.12</v>
      </c>
    </row>
    <row r="361" spans="2:10" s="12" customFormat="1" ht="12.75" x14ac:dyDescent="0.2">
      <c r="B361" s="691" t="s">
        <v>147</v>
      </c>
      <c r="C361" s="673" t="s">
        <v>526</v>
      </c>
      <c r="D361" s="688" t="s">
        <v>527</v>
      </c>
      <c r="E361" s="658">
        <v>1</v>
      </c>
      <c r="F361" s="682">
        <v>1295</v>
      </c>
      <c r="G361" s="682">
        <v>77.7</v>
      </c>
      <c r="H361" s="682">
        <v>129.5</v>
      </c>
      <c r="I361" s="659">
        <v>1502.2</v>
      </c>
      <c r="J361" s="120">
        <f>ROUND((F361+G361+H361)*(kopsavilkums!$O$12)*E361*12*(1+kopsavilkums!$O$23),2)</f>
        <v>1448.12</v>
      </c>
    </row>
    <row r="362" spans="2:10" s="12" customFormat="1" ht="12.75" x14ac:dyDescent="0.2">
      <c r="B362" s="691" t="s">
        <v>127</v>
      </c>
      <c r="C362" s="673" t="s">
        <v>494</v>
      </c>
      <c r="D362" s="688" t="s">
        <v>495</v>
      </c>
      <c r="E362" s="658">
        <v>1</v>
      </c>
      <c r="F362" s="682">
        <v>1295</v>
      </c>
      <c r="G362" s="682">
        <v>103.6</v>
      </c>
      <c r="H362" s="682">
        <v>129.5</v>
      </c>
      <c r="I362" s="659">
        <v>1528.1</v>
      </c>
      <c r="J362" s="120">
        <f>ROUND((F362+G362+H362)*(kopsavilkums!$O$12)*E362*12*(1+kopsavilkums!$O$23),2)</f>
        <v>1473.09</v>
      </c>
    </row>
    <row r="363" spans="2:10" s="12" customFormat="1" ht="12.75" x14ac:dyDescent="0.2">
      <c r="B363" s="691" t="s">
        <v>127</v>
      </c>
      <c r="C363" s="673" t="s">
        <v>494</v>
      </c>
      <c r="D363" s="688" t="s">
        <v>495</v>
      </c>
      <c r="E363" s="658">
        <v>1</v>
      </c>
      <c r="F363" s="682">
        <v>1295</v>
      </c>
      <c r="G363" s="682">
        <v>103.6</v>
      </c>
      <c r="H363" s="682">
        <v>129.5</v>
      </c>
      <c r="I363" s="659">
        <v>1528.1</v>
      </c>
      <c r="J363" s="120">
        <f>ROUND((F363+G363+H363)*(kopsavilkums!$O$12)*E363*12*(1+kopsavilkums!$O$23),2)</f>
        <v>1473.09</v>
      </c>
    </row>
    <row r="364" spans="2:10" s="12" customFormat="1" ht="12.75" x14ac:dyDescent="0.2">
      <c r="B364" s="691" t="s">
        <v>127</v>
      </c>
      <c r="C364" s="673" t="s">
        <v>494</v>
      </c>
      <c r="D364" s="688" t="s">
        <v>495</v>
      </c>
      <c r="E364" s="658">
        <v>1</v>
      </c>
      <c r="F364" s="682">
        <v>1295</v>
      </c>
      <c r="G364" s="682">
        <v>77.7</v>
      </c>
      <c r="H364" s="682">
        <v>129.5</v>
      </c>
      <c r="I364" s="659">
        <v>1502.2</v>
      </c>
      <c r="J364" s="120">
        <f>ROUND((F364+G364+H364)*(kopsavilkums!$O$12)*E364*12*(1+kopsavilkums!$O$23),2)</f>
        <v>1448.12</v>
      </c>
    </row>
    <row r="365" spans="2:10" s="12" customFormat="1" ht="12.75" x14ac:dyDescent="0.2">
      <c r="B365" s="645" t="s">
        <v>147</v>
      </c>
      <c r="C365" s="641" t="s">
        <v>526</v>
      </c>
      <c r="D365" s="643" t="s">
        <v>527</v>
      </c>
      <c r="E365" s="644">
        <v>0.5</v>
      </c>
      <c r="F365" s="682">
        <v>1295</v>
      </c>
      <c r="G365" s="640">
        <v>103.6</v>
      </c>
      <c r="H365" s="696">
        <v>129.5</v>
      </c>
      <c r="I365" s="696">
        <v>1528.1</v>
      </c>
      <c r="J365" s="120">
        <f>ROUND((F365+G365+H365)*(kopsavilkums!$O$12)*E365*12*(1+kopsavilkums!$O$23),2)</f>
        <v>736.55</v>
      </c>
    </row>
    <row r="366" spans="2:10" s="12" customFormat="1" ht="12.75" x14ac:dyDescent="0.2">
      <c r="B366" s="645" t="s">
        <v>127</v>
      </c>
      <c r="C366" s="641" t="s">
        <v>525</v>
      </c>
      <c r="D366" s="643" t="s">
        <v>495</v>
      </c>
      <c r="E366" s="644">
        <v>1</v>
      </c>
      <c r="F366" s="682">
        <v>1448.09</v>
      </c>
      <c r="G366" s="640">
        <v>115.84719999999999</v>
      </c>
      <c r="H366" s="640">
        <v>144.809</v>
      </c>
      <c r="I366" s="640">
        <v>1708.7461999999998</v>
      </c>
      <c r="J366" s="120">
        <f>ROUND((F366+G366+H366)*(kopsavilkums!$O$12)*E366*12*(1+kopsavilkums!$O$23),2)</f>
        <v>1647.23</v>
      </c>
    </row>
    <row r="367" spans="2:10" s="12" customFormat="1" ht="12.75" x14ac:dyDescent="0.2">
      <c r="B367" s="645" t="s">
        <v>127</v>
      </c>
      <c r="C367" s="641" t="s">
        <v>873</v>
      </c>
      <c r="D367" s="643" t="s">
        <v>495</v>
      </c>
      <c r="E367" s="644">
        <v>1</v>
      </c>
      <c r="F367" s="682">
        <v>1448.09</v>
      </c>
      <c r="G367" s="640">
        <v>72.404499999999999</v>
      </c>
      <c r="H367" s="640">
        <v>144.809</v>
      </c>
      <c r="I367" s="640">
        <v>1665.3035</v>
      </c>
      <c r="J367" s="120">
        <f>ROUND((F367+G367+H367)*(kopsavilkums!$O$12)*E367*12*(1+kopsavilkums!$O$23),2)</f>
        <v>1605.36</v>
      </c>
    </row>
    <row r="368" spans="2:10" s="12" customFormat="1" ht="12.75" x14ac:dyDescent="0.2">
      <c r="B368" s="645" t="s">
        <v>127</v>
      </c>
      <c r="C368" s="641" t="s">
        <v>525</v>
      </c>
      <c r="D368" s="643" t="s">
        <v>495</v>
      </c>
      <c r="E368" s="644">
        <v>1</v>
      </c>
      <c r="F368" s="682">
        <v>1477</v>
      </c>
      <c r="G368" s="641">
        <v>118.16</v>
      </c>
      <c r="H368" s="640">
        <v>147.69999999999999</v>
      </c>
      <c r="I368" s="641">
        <v>1742.8600000000001</v>
      </c>
      <c r="J368" s="120">
        <f>ROUND((F368+G368+H368)*(kopsavilkums!$O$12)*E368*12*(1+kopsavilkums!$O$23),2)</f>
        <v>1680.12</v>
      </c>
    </row>
    <row r="369" spans="2:10" s="12" customFormat="1" ht="12.75" x14ac:dyDescent="0.2">
      <c r="B369" s="275" t="s">
        <v>96</v>
      </c>
      <c r="C369" s="504"/>
      <c r="D369" s="504"/>
      <c r="E369" s="447">
        <f>E370+E407+E415</f>
        <v>51.850000000000009</v>
      </c>
      <c r="F369" s="444">
        <v>52042.880000000005</v>
      </c>
      <c r="G369" s="444">
        <v>2913.7547999999988</v>
      </c>
      <c r="H369" s="444">
        <v>7158.4759999999987</v>
      </c>
      <c r="I369" s="466">
        <v>62115.110800000024</v>
      </c>
      <c r="J369" s="1"/>
    </row>
    <row r="370" spans="2:10" s="12" customFormat="1" ht="38.25" x14ac:dyDescent="0.2">
      <c r="B370" s="276" t="s">
        <v>433</v>
      </c>
      <c r="C370" s="484"/>
      <c r="D370" s="484"/>
      <c r="E370" s="446">
        <f>SUM(E371:E406)</f>
        <v>33.150000000000006</v>
      </c>
      <c r="F370" s="446">
        <f t="shared" ref="F370:I370" si="57">SUM(F371:F406)</f>
        <v>47216</v>
      </c>
      <c r="G370" s="446">
        <f t="shared" si="57"/>
        <v>2792.9399999999996</v>
      </c>
      <c r="H370" s="446">
        <f t="shared" si="57"/>
        <v>4737.6499999999969</v>
      </c>
      <c r="I370" s="446">
        <f t="shared" si="57"/>
        <v>54746.590000000033</v>
      </c>
      <c r="J370" s="1"/>
    </row>
    <row r="371" spans="2:10" s="12" customFormat="1" ht="12.75" x14ac:dyDescent="0.2">
      <c r="B371" s="697" t="s">
        <v>121</v>
      </c>
      <c r="C371" s="641" t="s">
        <v>517</v>
      </c>
      <c r="D371" s="643" t="s">
        <v>518</v>
      </c>
      <c r="E371" s="644">
        <v>1</v>
      </c>
      <c r="F371" s="640">
        <v>1500</v>
      </c>
      <c r="G371" s="640">
        <v>90</v>
      </c>
      <c r="H371" s="640">
        <v>150</v>
      </c>
      <c r="I371" s="640">
        <v>1740</v>
      </c>
      <c r="J371" s="120">
        <f>ROUND((F371+G371+H371)*(kopsavilkums!$O$12)*E371*12*(1+kopsavilkums!$O$23),2)</f>
        <v>1677.36</v>
      </c>
    </row>
    <row r="372" spans="2:10" s="12" customFormat="1" ht="12.75" x14ac:dyDescent="0.2">
      <c r="B372" s="697" t="s">
        <v>128</v>
      </c>
      <c r="C372" s="641" t="s">
        <v>520</v>
      </c>
      <c r="D372" s="643" t="s">
        <v>516</v>
      </c>
      <c r="E372" s="644">
        <v>0.5</v>
      </c>
      <c r="F372" s="640">
        <v>1605</v>
      </c>
      <c r="G372" s="640">
        <v>112.35</v>
      </c>
      <c r="H372" s="640">
        <v>176.55</v>
      </c>
      <c r="I372" s="640">
        <v>1893.8999999999999</v>
      </c>
      <c r="J372" s="120">
        <f>ROUND((F372+G372+H372)*(kopsavilkums!$O$12)*E372*12*(1+kopsavilkums!$O$23),2)</f>
        <v>912.86</v>
      </c>
    </row>
    <row r="373" spans="2:10" s="12" customFormat="1" ht="12.75" x14ac:dyDescent="0.2">
      <c r="B373" s="697" t="s">
        <v>121</v>
      </c>
      <c r="C373" s="641" t="s">
        <v>517</v>
      </c>
      <c r="D373" s="643" t="s">
        <v>518</v>
      </c>
      <c r="E373" s="644">
        <v>1</v>
      </c>
      <c r="F373" s="640">
        <v>1605</v>
      </c>
      <c r="G373" s="640">
        <v>0</v>
      </c>
      <c r="H373" s="640">
        <v>160.5</v>
      </c>
      <c r="I373" s="640">
        <v>1765.5</v>
      </c>
      <c r="J373" s="120">
        <f>ROUND((F373+G373+H373)*(kopsavilkums!$O$12)*E373*12*(1+kopsavilkums!$O$23),2)</f>
        <v>1701.95</v>
      </c>
    </row>
    <row r="374" spans="2:10" s="12" customFormat="1" ht="12.75" x14ac:dyDescent="0.2">
      <c r="B374" s="697" t="s">
        <v>121</v>
      </c>
      <c r="C374" s="641" t="s">
        <v>517</v>
      </c>
      <c r="D374" s="643" t="s">
        <v>518</v>
      </c>
      <c r="E374" s="644">
        <v>0.5</v>
      </c>
      <c r="F374" s="640">
        <v>1605</v>
      </c>
      <c r="G374" s="640">
        <v>80.25</v>
      </c>
      <c r="H374" s="640">
        <v>160.5</v>
      </c>
      <c r="I374" s="640">
        <v>1845.75</v>
      </c>
      <c r="J374" s="120">
        <f>ROUND((F374+G374+H374)*(kopsavilkums!$O$12)*E374*12*(1+kopsavilkums!$O$23),2)</f>
        <v>889.65</v>
      </c>
    </row>
    <row r="375" spans="2:10" s="12" customFormat="1" ht="12.75" x14ac:dyDescent="0.2">
      <c r="B375" s="697" t="s">
        <v>128</v>
      </c>
      <c r="C375" s="641" t="s">
        <v>520</v>
      </c>
      <c r="D375" s="643" t="s">
        <v>516</v>
      </c>
      <c r="E375" s="644">
        <v>1</v>
      </c>
      <c r="F375" s="640">
        <v>1605</v>
      </c>
      <c r="G375" s="640">
        <v>80.25</v>
      </c>
      <c r="H375" s="640">
        <v>160.5</v>
      </c>
      <c r="I375" s="640">
        <v>1845.75</v>
      </c>
      <c r="J375" s="120">
        <f>ROUND((F375+G375+H375)*(kopsavilkums!$O$12)*E375*12*(1+kopsavilkums!$O$23),2)</f>
        <v>1779.31</v>
      </c>
    </row>
    <row r="376" spans="2:10" s="12" customFormat="1" ht="12.75" x14ac:dyDescent="0.2">
      <c r="B376" s="697" t="s">
        <v>382</v>
      </c>
      <c r="C376" s="641" t="s">
        <v>522</v>
      </c>
      <c r="D376" s="643" t="s">
        <v>484</v>
      </c>
      <c r="E376" s="644">
        <v>1</v>
      </c>
      <c r="F376" s="640">
        <v>1605</v>
      </c>
      <c r="G376" s="640">
        <v>80.25</v>
      </c>
      <c r="H376" s="640">
        <v>160.5</v>
      </c>
      <c r="I376" s="640">
        <v>1845.75</v>
      </c>
      <c r="J376" s="120">
        <f>ROUND((F376+G376+H376)*(kopsavilkums!$O$12)*E376*12*(1+kopsavilkums!$O$23),2)</f>
        <v>1779.31</v>
      </c>
    </row>
    <row r="377" spans="2:10" s="12" customFormat="1" ht="12.75" x14ac:dyDescent="0.2">
      <c r="B377" s="697" t="s">
        <v>121</v>
      </c>
      <c r="C377" s="641" t="s">
        <v>517</v>
      </c>
      <c r="D377" s="643" t="s">
        <v>518</v>
      </c>
      <c r="E377" s="644">
        <v>1</v>
      </c>
      <c r="F377" s="640">
        <v>1605</v>
      </c>
      <c r="G377" s="640">
        <v>80.25</v>
      </c>
      <c r="H377" s="640">
        <v>160.5</v>
      </c>
      <c r="I377" s="640">
        <v>1845.75</v>
      </c>
      <c r="J377" s="120">
        <f>ROUND((F377+G377+H377)*(kopsavilkums!$O$12)*E377*12*(1+kopsavilkums!$O$23),2)</f>
        <v>1779.31</v>
      </c>
    </row>
    <row r="378" spans="2:10" s="12" customFormat="1" ht="12.75" x14ac:dyDescent="0.2">
      <c r="B378" s="697" t="s">
        <v>121</v>
      </c>
      <c r="C378" s="641" t="s">
        <v>517</v>
      </c>
      <c r="D378" s="643" t="s">
        <v>518</v>
      </c>
      <c r="E378" s="644">
        <v>1</v>
      </c>
      <c r="F378" s="640">
        <v>1605</v>
      </c>
      <c r="G378" s="640">
        <v>80.25</v>
      </c>
      <c r="H378" s="640">
        <v>160.5</v>
      </c>
      <c r="I378" s="640">
        <v>1845.75</v>
      </c>
      <c r="J378" s="120">
        <f>ROUND((F378+G378+H378)*(kopsavilkums!$O$12)*E378*12*(1+kopsavilkums!$O$23),2)</f>
        <v>1779.31</v>
      </c>
    </row>
    <row r="379" spans="2:10" s="12" customFormat="1" ht="12.75" x14ac:dyDescent="0.2">
      <c r="B379" s="697" t="s">
        <v>121</v>
      </c>
      <c r="C379" s="641" t="s">
        <v>517</v>
      </c>
      <c r="D379" s="643" t="s">
        <v>518</v>
      </c>
      <c r="E379" s="644">
        <v>0.75</v>
      </c>
      <c r="F379" s="640">
        <v>1605</v>
      </c>
      <c r="G379" s="640">
        <v>96.3</v>
      </c>
      <c r="H379" s="640">
        <v>160.5</v>
      </c>
      <c r="I379" s="640">
        <v>1861.8</v>
      </c>
      <c r="J379" s="120">
        <f>ROUND((F379+G379+H379)*(kopsavilkums!$O$12)*E379*12*(1+kopsavilkums!$O$23),2)</f>
        <v>1346.08</v>
      </c>
    </row>
    <row r="380" spans="2:10" s="12" customFormat="1" ht="12.75" x14ac:dyDescent="0.2">
      <c r="B380" s="697" t="s">
        <v>121</v>
      </c>
      <c r="C380" s="641" t="s">
        <v>517</v>
      </c>
      <c r="D380" s="643" t="s">
        <v>518</v>
      </c>
      <c r="E380" s="644">
        <v>1</v>
      </c>
      <c r="F380" s="640">
        <v>1500</v>
      </c>
      <c r="G380" s="640">
        <v>75</v>
      </c>
      <c r="H380" s="640">
        <v>150</v>
      </c>
      <c r="I380" s="640">
        <v>1725</v>
      </c>
      <c r="J380" s="120">
        <f>ROUND((F380+G380+H380)*(kopsavilkums!$O$12)*E380*12*(1+kopsavilkums!$O$23),2)</f>
        <v>1662.9</v>
      </c>
    </row>
    <row r="381" spans="2:10" s="12" customFormat="1" ht="12.75" x14ac:dyDescent="0.2">
      <c r="B381" s="697" t="s">
        <v>121</v>
      </c>
      <c r="C381" s="641" t="s">
        <v>517</v>
      </c>
      <c r="D381" s="643" t="s">
        <v>518</v>
      </c>
      <c r="E381" s="644">
        <v>1</v>
      </c>
      <c r="F381" s="640">
        <v>1605</v>
      </c>
      <c r="G381" s="640">
        <v>80.25</v>
      </c>
      <c r="H381" s="640">
        <v>160.5</v>
      </c>
      <c r="I381" s="640">
        <v>1845.75</v>
      </c>
      <c r="J381" s="120">
        <f>ROUND((F381+G381+H381)*(kopsavilkums!$O$12)*E381*12*(1+kopsavilkums!$O$23),2)</f>
        <v>1779.31</v>
      </c>
    </row>
    <row r="382" spans="2:10" s="12" customFormat="1" ht="12.75" x14ac:dyDescent="0.2">
      <c r="B382" s="697" t="s">
        <v>382</v>
      </c>
      <c r="C382" s="641" t="s">
        <v>522</v>
      </c>
      <c r="D382" s="643" t="s">
        <v>484</v>
      </c>
      <c r="E382" s="644">
        <v>1</v>
      </c>
      <c r="F382" s="640">
        <v>1605</v>
      </c>
      <c r="G382" s="640">
        <v>80.25</v>
      </c>
      <c r="H382" s="640">
        <v>160.5</v>
      </c>
      <c r="I382" s="640">
        <v>1845.75</v>
      </c>
      <c r="J382" s="120">
        <f>ROUND((F382+G382+H382)*(kopsavilkums!$O$12)*E382*12*(1+kopsavilkums!$O$23),2)</f>
        <v>1779.31</v>
      </c>
    </row>
    <row r="383" spans="2:10" s="12" customFormat="1" ht="12.75" x14ac:dyDescent="0.2">
      <c r="B383" s="697" t="s">
        <v>121</v>
      </c>
      <c r="C383" s="641" t="s">
        <v>470</v>
      </c>
      <c r="D383" s="643" t="s">
        <v>471</v>
      </c>
      <c r="E383" s="644">
        <v>1</v>
      </c>
      <c r="F383" s="640">
        <v>1324</v>
      </c>
      <c r="G383" s="640">
        <v>66.2</v>
      </c>
      <c r="H383" s="640">
        <v>132.4</v>
      </c>
      <c r="I383" s="640">
        <v>1522.6000000000001</v>
      </c>
      <c r="J383" s="120">
        <f>ROUND((F383+G383+H383)*(kopsavilkums!$O$12)*E383*12*(1+kopsavilkums!$O$23),2)</f>
        <v>1467.79</v>
      </c>
    </row>
    <row r="384" spans="2:10" s="12" customFormat="1" ht="12.75" x14ac:dyDescent="0.2">
      <c r="B384" s="697" t="s">
        <v>121</v>
      </c>
      <c r="C384" s="641" t="s">
        <v>470</v>
      </c>
      <c r="D384" s="643" t="s">
        <v>471</v>
      </c>
      <c r="E384" s="644">
        <v>1</v>
      </c>
      <c r="F384" s="640">
        <v>1323</v>
      </c>
      <c r="G384" s="640">
        <v>66.150000000000006</v>
      </c>
      <c r="H384" s="640">
        <v>132.30000000000001</v>
      </c>
      <c r="I384" s="640">
        <v>1521.45</v>
      </c>
      <c r="J384" s="120">
        <f>ROUND((F384+G384+H384)*(kopsavilkums!$O$12)*E384*12*(1+kopsavilkums!$O$23),2)</f>
        <v>1466.68</v>
      </c>
    </row>
    <row r="385" spans="2:10" s="12" customFormat="1" ht="12.75" x14ac:dyDescent="0.2">
      <c r="B385" s="697" t="s">
        <v>121</v>
      </c>
      <c r="C385" s="641" t="s">
        <v>470</v>
      </c>
      <c r="D385" s="643" t="s">
        <v>471</v>
      </c>
      <c r="E385" s="644">
        <v>1</v>
      </c>
      <c r="F385" s="640">
        <v>1325</v>
      </c>
      <c r="G385" s="640">
        <v>79.5</v>
      </c>
      <c r="H385" s="640">
        <v>132.5</v>
      </c>
      <c r="I385" s="640">
        <v>1537</v>
      </c>
      <c r="J385" s="120">
        <f>ROUND((F385+G385+H385)*(kopsavilkums!$O$12)*E385*12*(1+kopsavilkums!$O$23),2)</f>
        <v>1481.67</v>
      </c>
    </row>
    <row r="386" spans="2:10" s="12" customFormat="1" ht="12.75" x14ac:dyDescent="0.2">
      <c r="B386" s="697" t="s">
        <v>126</v>
      </c>
      <c r="C386" s="641" t="s">
        <v>483</v>
      </c>
      <c r="D386" s="643" t="s">
        <v>484</v>
      </c>
      <c r="E386" s="644">
        <v>1</v>
      </c>
      <c r="F386" s="640">
        <v>1323</v>
      </c>
      <c r="G386" s="640">
        <v>66.150000000000006</v>
      </c>
      <c r="H386" s="640">
        <v>132.30000000000001</v>
      </c>
      <c r="I386" s="640">
        <v>1521.45</v>
      </c>
      <c r="J386" s="120">
        <f>ROUND((F386+G386+H386)*(kopsavilkums!$O$12)*E386*12*(1+kopsavilkums!$O$23),2)</f>
        <v>1466.68</v>
      </c>
    </row>
    <row r="387" spans="2:10" s="12" customFormat="1" ht="12.75" x14ac:dyDescent="0.2">
      <c r="B387" s="645" t="s">
        <v>385</v>
      </c>
      <c r="C387" s="641" t="s">
        <v>529</v>
      </c>
      <c r="D387" s="643" t="s">
        <v>488</v>
      </c>
      <c r="E387" s="644">
        <v>0.6</v>
      </c>
      <c r="F387" s="640">
        <v>1137</v>
      </c>
      <c r="G387" s="641">
        <v>90.96</v>
      </c>
      <c r="H387" s="640">
        <v>113.7</v>
      </c>
      <c r="I387" s="640">
        <v>1341.66</v>
      </c>
      <c r="J387" s="120">
        <f>ROUND((F387+G387+H387)*(kopsavilkums!$O$12)*E387*12*(1+kopsavilkums!$O$23),2)</f>
        <v>776.02</v>
      </c>
    </row>
    <row r="388" spans="2:10" s="12" customFormat="1" ht="12.75" x14ac:dyDescent="0.2">
      <c r="B388" s="645" t="s">
        <v>385</v>
      </c>
      <c r="C388" s="641" t="s">
        <v>529</v>
      </c>
      <c r="D388" s="643" t="s">
        <v>488</v>
      </c>
      <c r="E388" s="644">
        <v>1</v>
      </c>
      <c r="F388" s="640">
        <v>1137</v>
      </c>
      <c r="G388" s="641">
        <v>56.85</v>
      </c>
      <c r="H388" s="640">
        <v>113.7</v>
      </c>
      <c r="I388" s="640">
        <v>1307.55</v>
      </c>
      <c r="J388" s="120">
        <f>ROUND((F388+G388+H388)*(kopsavilkums!$O$12)*E388*12*(1+kopsavilkums!$O$23),2)</f>
        <v>1260.48</v>
      </c>
    </row>
    <row r="389" spans="2:10" s="12" customFormat="1" ht="12.75" x14ac:dyDescent="0.2">
      <c r="B389" s="645" t="s">
        <v>385</v>
      </c>
      <c r="C389" s="641" t="s">
        <v>529</v>
      </c>
      <c r="D389" s="643" t="s">
        <v>530</v>
      </c>
      <c r="E389" s="644">
        <v>0.3</v>
      </c>
      <c r="F389" s="640">
        <v>1137</v>
      </c>
      <c r="G389" s="641">
        <v>56.85</v>
      </c>
      <c r="H389" s="640">
        <v>113.7</v>
      </c>
      <c r="I389" s="640">
        <v>1307.55</v>
      </c>
      <c r="J389" s="120">
        <f>ROUND((F389+G389+H389)*(kopsavilkums!$O$12)*E389*12*(1+kopsavilkums!$O$23),2)</f>
        <v>378.14</v>
      </c>
    </row>
    <row r="390" spans="2:10" s="12" customFormat="1" ht="12.75" x14ac:dyDescent="0.2">
      <c r="B390" s="645" t="s">
        <v>385</v>
      </c>
      <c r="C390" s="641" t="s">
        <v>529</v>
      </c>
      <c r="D390" s="643" t="s">
        <v>488</v>
      </c>
      <c r="E390" s="644">
        <v>1</v>
      </c>
      <c r="F390" s="640">
        <v>1137</v>
      </c>
      <c r="G390" s="641">
        <v>90.96</v>
      </c>
      <c r="H390" s="640">
        <v>113.7</v>
      </c>
      <c r="I390" s="640">
        <v>1341.66</v>
      </c>
      <c r="J390" s="120">
        <f>ROUND((F390+G390+H390)*(kopsavilkums!$O$12)*E390*12*(1+kopsavilkums!$O$23),2)</f>
        <v>1293.3599999999999</v>
      </c>
    </row>
    <row r="391" spans="2:10" s="12" customFormat="1" ht="12.75" x14ac:dyDescent="0.2">
      <c r="B391" s="645" t="s">
        <v>385</v>
      </c>
      <c r="C391" s="641" t="s">
        <v>529</v>
      </c>
      <c r="D391" s="643" t="s">
        <v>488</v>
      </c>
      <c r="E391" s="644">
        <v>1</v>
      </c>
      <c r="F391" s="640">
        <v>1137</v>
      </c>
      <c r="G391" s="641">
        <v>56.85</v>
      </c>
      <c r="H391" s="640">
        <v>113.7</v>
      </c>
      <c r="I391" s="640">
        <v>1307.55</v>
      </c>
      <c r="J391" s="120">
        <f>ROUND((F391+G391+H391)*(kopsavilkums!$O$12)*E391*12*(1+kopsavilkums!$O$23),2)</f>
        <v>1260.48</v>
      </c>
    </row>
    <row r="392" spans="2:10" s="12" customFormat="1" ht="12.75" x14ac:dyDescent="0.2">
      <c r="B392" s="645" t="s">
        <v>385</v>
      </c>
      <c r="C392" s="641" t="s">
        <v>529</v>
      </c>
      <c r="D392" s="643" t="s">
        <v>488</v>
      </c>
      <c r="E392" s="644">
        <v>1</v>
      </c>
      <c r="F392" s="640">
        <v>1137</v>
      </c>
      <c r="G392" s="641">
        <v>56.85</v>
      </c>
      <c r="H392" s="640">
        <v>113.7</v>
      </c>
      <c r="I392" s="640">
        <v>1307.55</v>
      </c>
      <c r="J392" s="120">
        <f>ROUND((F392+G392+H392)*(kopsavilkums!$O$12)*E392*12*(1+kopsavilkums!$O$23),2)</f>
        <v>1260.48</v>
      </c>
    </row>
    <row r="393" spans="2:10" s="12" customFormat="1" ht="12.75" x14ac:dyDescent="0.2">
      <c r="B393" s="645" t="s">
        <v>385</v>
      </c>
      <c r="C393" s="641" t="s">
        <v>529</v>
      </c>
      <c r="D393" s="643" t="s">
        <v>488</v>
      </c>
      <c r="E393" s="644">
        <v>1</v>
      </c>
      <c r="F393" s="640">
        <v>1137</v>
      </c>
      <c r="G393" s="641">
        <v>90.96</v>
      </c>
      <c r="H393" s="640">
        <v>113.7</v>
      </c>
      <c r="I393" s="640">
        <v>1341.66</v>
      </c>
      <c r="J393" s="120">
        <f>ROUND((F393+G393+H393)*(kopsavilkums!$O$12)*E393*12*(1+kopsavilkums!$O$23),2)</f>
        <v>1293.3599999999999</v>
      </c>
    </row>
    <row r="394" spans="2:10" s="12" customFormat="1" ht="12.75" x14ac:dyDescent="0.2">
      <c r="B394" s="645" t="s">
        <v>385</v>
      </c>
      <c r="C394" s="641" t="s">
        <v>529</v>
      </c>
      <c r="D394" s="643" t="s">
        <v>488</v>
      </c>
      <c r="E394" s="644">
        <v>0.5</v>
      </c>
      <c r="F394" s="640">
        <v>1137</v>
      </c>
      <c r="G394" s="641">
        <v>68.22</v>
      </c>
      <c r="H394" s="640">
        <v>113.7</v>
      </c>
      <c r="I394" s="640">
        <v>1318.92</v>
      </c>
      <c r="J394" s="120">
        <f>ROUND((F394+G394+H394)*(kopsavilkums!$O$12)*E394*12*(1+kopsavilkums!$O$23),2)</f>
        <v>635.72</v>
      </c>
    </row>
    <row r="395" spans="2:10" s="12" customFormat="1" ht="12.75" x14ac:dyDescent="0.2">
      <c r="B395" s="645" t="s">
        <v>385</v>
      </c>
      <c r="C395" s="641" t="s">
        <v>529</v>
      </c>
      <c r="D395" s="643" t="s">
        <v>488</v>
      </c>
      <c r="E395" s="644">
        <v>1</v>
      </c>
      <c r="F395" s="640">
        <v>1137</v>
      </c>
      <c r="G395" s="641">
        <v>90.96</v>
      </c>
      <c r="H395" s="640">
        <v>113.7</v>
      </c>
      <c r="I395" s="640">
        <v>1341.66</v>
      </c>
      <c r="J395" s="120">
        <f>ROUND((F395+G395+H395)*(kopsavilkums!$O$12)*E395*12*(1+kopsavilkums!$O$23),2)</f>
        <v>1293.3599999999999</v>
      </c>
    </row>
    <row r="396" spans="2:10" s="12" customFormat="1" ht="12.75" x14ac:dyDescent="0.2">
      <c r="B396" s="645" t="s">
        <v>385</v>
      </c>
      <c r="C396" s="641" t="s">
        <v>529</v>
      </c>
      <c r="D396" s="643" t="s">
        <v>488</v>
      </c>
      <c r="E396" s="644">
        <v>1</v>
      </c>
      <c r="F396" s="640">
        <v>1137</v>
      </c>
      <c r="G396" s="641">
        <v>90.96</v>
      </c>
      <c r="H396" s="640">
        <v>113.7</v>
      </c>
      <c r="I396" s="640">
        <v>1341.66</v>
      </c>
      <c r="J396" s="120">
        <f>ROUND((F396+G396+H396)*(kopsavilkums!$O$12)*E396*12*(1+kopsavilkums!$O$23),2)</f>
        <v>1293.3599999999999</v>
      </c>
    </row>
    <row r="397" spans="2:10" s="12" customFormat="1" ht="12.75" x14ac:dyDescent="0.2">
      <c r="B397" s="645" t="s">
        <v>385</v>
      </c>
      <c r="C397" s="641" t="s">
        <v>529</v>
      </c>
      <c r="D397" s="643" t="s">
        <v>488</v>
      </c>
      <c r="E397" s="644">
        <v>1</v>
      </c>
      <c r="F397" s="640">
        <v>1137</v>
      </c>
      <c r="G397" s="641">
        <v>79.59</v>
      </c>
      <c r="H397" s="640">
        <v>113.7</v>
      </c>
      <c r="I397" s="640">
        <v>1330.29</v>
      </c>
      <c r="J397" s="120">
        <f>ROUND((F397+G397+H397)*(kopsavilkums!$O$12)*E397*12*(1+kopsavilkums!$O$23),2)</f>
        <v>1282.4000000000001</v>
      </c>
    </row>
    <row r="398" spans="2:10" s="12" customFormat="1" ht="12.75" x14ac:dyDescent="0.2">
      <c r="B398" s="645" t="s">
        <v>385</v>
      </c>
      <c r="C398" s="641" t="s">
        <v>529</v>
      </c>
      <c r="D398" s="643" t="s">
        <v>488</v>
      </c>
      <c r="E398" s="644">
        <v>1</v>
      </c>
      <c r="F398" s="640">
        <v>1137</v>
      </c>
      <c r="G398" s="641">
        <v>68.22</v>
      </c>
      <c r="H398" s="640">
        <v>113.7</v>
      </c>
      <c r="I398" s="640">
        <v>1318.92</v>
      </c>
      <c r="J398" s="120">
        <f>ROUND((F398+G398+H398)*(kopsavilkums!$O$12)*E398*12*(1+kopsavilkums!$O$23),2)</f>
        <v>1271.44</v>
      </c>
    </row>
    <row r="399" spans="2:10" s="12" customFormat="1" ht="12.75" x14ac:dyDescent="0.2">
      <c r="B399" s="645" t="s">
        <v>385</v>
      </c>
      <c r="C399" s="641" t="s">
        <v>529</v>
      </c>
      <c r="D399" s="643" t="s">
        <v>488</v>
      </c>
      <c r="E399" s="644">
        <v>1</v>
      </c>
      <c r="F399" s="640">
        <v>1137</v>
      </c>
      <c r="G399" s="641">
        <v>56.85</v>
      </c>
      <c r="H399" s="640">
        <v>113.7</v>
      </c>
      <c r="I399" s="640">
        <v>1307.55</v>
      </c>
      <c r="J399" s="120">
        <f>ROUND((F399+G399+H399)*(kopsavilkums!$O$12)*E399*12*(1+kopsavilkums!$O$23),2)</f>
        <v>1260.48</v>
      </c>
    </row>
    <row r="400" spans="2:10" s="12" customFormat="1" ht="12.75" x14ac:dyDescent="0.2">
      <c r="B400" s="645" t="s">
        <v>385</v>
      </c>
      <c r="C400" s="641" t="s">
        <v>529</v>
      </c>
      <c r="D400" s="643" t="s">
        <v>488</v>
      </c>
      <c r="E400" s="644">
        <v>1</v>
      </c>
      <c r="F400" s="640">
        <v>1137</v>
      </c>
      <c r="G400" s="641">
        <v>90.96</v>
      </c>
      <c r="H400" s="640">
        <v>113.7</v>
      </c>
      <c r="I400" s="640">
        <v>1341.66</v>
      </c>
      <c r="J400" s="120">
        <f>ROUND((F400+G400+H400)*(kopsavilkums!$O$12)*E400*12*(1+kopsavilkums!$O$23),2)</f>
        <v>1293.3599999999999</v>
      </c>
    </row>
    <row r="401" spans="2:10" s="12" customFormat="1" ht="12.75" x14ac:dyDescent="0.2">
      <c r="B401" s="645" t="s">
        <v>385</v>
      </c>
      <c r="C401" s="641" t="s">
        <v>529</v>
      </c>
      <c r="D401" s="643" t="s">
        <v>488</v>
      </c>
      <c r="E401" s="644">
        <v>1</v>
      </c>
      <c r="F401" s="640">
        <v>1137</v>
      </c>
      <c r="G401" s="641">
        <v>90.96</v>
      </c>
      <c r="H401" s="640">
        <v>113.7</v>
      </c>
      <c r="I401" s="640">
        <v>1341.66</v>
      </c>
      <c r="J401" s="120">
        <f>ROUND((F401+G401+H401)*(kopsavilkums!$O$12)*E401*12*(1+kopsavilkums!$O$23),2)</f>
        <v>1293.3599999999999</v>
      </c>
    </row>
    <row r="402" spans="2:10" s="12" customFormat="1" ht="12.75" x14ac:dyDescent="0.2">
      <c r="B402" s="645" t="s">
        <v>385</v>
      </c>
      <c r="C402" s="641" t="s">
        <v>529</v>
      </c>
      <c r="D402" s="643" t="s">
        <v>488</v>
      </c>
      <c r="E402" s="644">
        <v>1</v>
      </c>
      <c r="F402" s="640">
        <v>1137</v>
      </c>
      <c r="G402" s="641">
        <v>90.96</v>
      </c>
      <c r="H402" s="640">
        <v>113.7</v>
      </c>
      <c r="I402" s="640">
        <v>1341.66</v>
      </c>
      <c r="J402" s="120">
        <f>ROUND((F402+G402+H402)*(kopsavilkums!$O$12)*E402*12*(1+kopsavilkums!$O$23),2)</f>
        <v>1293.3599999999999</v>
      </c>
    </row>
    <row r="403" spans="2:10" s="12" customFormat="1" ht="12.75" x14ac:dyDescent="0.2">
      <c r="B403" s="645" t="s">
        <v>385</v>
      </c>
      <c r="C403" s="641" t="s">
        <v>529</v>
      </c>
      <c r="D403" s="643" t="s">
        <v>488</v>
      </c>
      <c r="E403" s="644">
        <v>1</v>
      </c>
      <c r="F403" s="640">
        <v>1137</v>
      </c>
      <c r="G403" s="641">
        <v>90.96</v>
      </c>
      <c r="H403" s="640">
        <v>113.7</v>
      </c>
      <c r="I403" s="640">
        <v>1341.66</v>
      </c>
      <c r="J403" s="120">
        <f>ROUND((F403+G403+H403)*(kopsavilkums!$O$12)*E403*12*(1+kopsavilkums!$O$23),2)</f>
        <v>1293.3599999999999</v>
      </c>
    </row>
    <row r="404" spans="2:10" s="12" customFormat="1" ht="12.75" x14ac:dyDescent="0.2">
      <c r="B404" s="645" t="s">
        <v>385</v>
      </c>
      <c r="C404" s="641" t="s">
        <v>529</v>
      </c>
      <c r="D404" s="643" t="s">
        <v>488</v>
      </c>
      <c r="E404" s="644">
        <v>1</v>
      </c>
      <c r="F404" s="640">
        <v>1137</v>
      </c>
      <c r="G404" s="641">
        <v>90.96</v>
      </c>
      <c r="H404" s="640">
        <v>113.7</v>
      </c>
      <c r="I404" s="640">
        <v>1341.66</v>
      </c>
      <c r="J404" s="120">
        <f>ROUND((F404+G404+H404)*(kopsavilkums!$O$12)*E404*12*(1+kopsavilkums!$O$23),2)</f>
        <v>1293.3599999999999</v>
      </c>
    </row>
    <row r="405" spans="2:10" s="12" customFormat="1" ht="12.75" x14ac:dyDescent="0.2">
      <c r="B405" s="645" t="s">
        <v>385</v>
      </c>
      <c r="C405" s="641" t="s">
        <v>529</v>
      </c>
      <c r="D405" s="643" t="s">
        <v>488</v>
      </c>
      <c r="E405" s="644">
        <v>1</v>
      </c>
      <c r="F405" s="640">
        <v>1137</v>
      </c>
      <c r="G405" s="641">
        <v>68.22</v>
      </c>
      <c r="H405" s="640">
        <v>113.7</v>
      </c>
      <c r="I405" s="640">
        <v>1318.92</v>
      </c>
      <c r="J405" s="120">
        <f>ROUND((F405+G405+H405)*(kopsavilkums!$O$12)*E405*12*(1+kopsavilkums!$O$23),2)</f>
        <v>1271.44</v>
      </c>
    </row>
    <row r="406" spans="2:10" s="12" customFormat="1" ht="12.75" x14ac:dyDescent="0.2">
      <c r="B406" s="645" t="s">
        <v>124</v>
      </c>
      <c r="C406" s="641" t="s">
        <v>470</v>
      </c>
      <c r="D406" s="643" t="s">
        <v>471</v>
      </c>
      <c r="E406" s="644">
        <v>1</v>
      </c>
      <c r="F406" s="640">
        <v>1268</v>
      </c>
      <c r="G406" s="641">
        <v>101.44</v>
      </c>
      <c r="H406" s="641">
        <v>126.8</v>
      </c>
      <c r="I406" s="641">
        <v>1496.24</v>
      </c>
      <c r="J406" s="120">
        <f>ROUND((F406+G406+H406)*(kopsavilkums!$O$12)*E406*12*(1+kopsavilkums!$O$23),2)</f>
        <v>1442.38</v>
      </c>
    </row>
    <row r="407" spans="2:10" s="12" customFormat="1" ht="38.25" x14ac:dyDescent="0.2">
      <c r="B407" s="276" t="s">
        <v>236</v>
      </c>
      <c r="C407" s="484"/>
      <c r="D407" s="484"/>
      <c r="E407" s="446">
        <f>SUM(E408:E414)</f>
        <v>5.7</v>
      </c>
      <c r="F407" s="446">
        <f t="shared" ref="F407:I407" si="58">SUM(F408:F414)</f>
        <v>9032.18</v>
      </c>
      <c r="G407" s="446">
        <f t="shared" si="58"/>
        <v>436.95899999999995</v>
      </c>
      <c r="H407" s="446">
        <f t="shared" si="58"/>
        <v>903.21799999999996</v>
      </c>
      <c r="I407" s="446">
        <f t="shared" si="58"/>
        <v>10372.357</v>
      </c>
      <c r="J407" s="1"/>
    </row>
    <row r="408" spans="2:10" s="12" customFormat="1" ht="12.75" x14ac:dyDescent="0.2">
      <c r="B408" s="645" t="s">
        <v>127</v>
      </c>
      <c r="C408" s="641" t="s">
        <v>494</v>
      </c>
      <c r="D408" s="643" t="s">
        <v>495</v>
      </c>
      <c r="E408" s="698">
        <v>0.5</v>
      </c>
      <c r="F408" s="698">
        <v>1295</v>
      </c>
      <c r="G408" s="698">
        <v>64.75</v>
      </c>
      <c r="H408" s="698">
        <v>129.5</v>
      </c>
      <c r="I408" s="698">
        <v>1489.25</v>
      </c>
      <c r="J408" s="120">
        <f>ROUND((F408+G408+H408)*(kopsavilkums!$O$12)*E408*12*(1+kopsavilkums!$O$23),2)</f>
        <v>717.82</v>
      </c>
    </row>
    <row r="409" spans="2:10" s="12" customFormat="1" ht="12.75" x14ac:dyDescent="0.2">
      <c r="B409" s="645" t="s">
        <v>281</v>
      </c>
      <c r="C409" s="641" t="s">
        <v>874</v>
      </c>
      <c r="D409" s="643" t="s">
        <v>532</v>
      </c>
      <c r="E409" s="698">
        <v>1</v>
      </c>
      <c r="F409" s="698">
        <v>1295</v>
      </c>
      <c r="G409" s="698">
        <v>0</v>
      </c>
      <c r="H409" s="698">
        <v>129.5</v>
      </c>
      <c r="I409" s="698">
        <v>1424.5</v>
      </c>
      <c r="J409" s="120">
        <f>ROUND((F409+G409+H409)*(kopsavilkums!$O$12)*E409*12*(1+kopsavilkums!$O$23),2)</f>
        <v>1373.22</v>
      </c>
    </row>
    <row r="410" spans="2:10" s="12" customFormat="1" ht="12.75" x14ac:dyDescent="0.2">
      <c r="B410" s="645" t="s">
        <v>127</v>
      </c>
      <c r="C410" s="641" t="s">
        <v>494</v>
      </c>
      <c r="D410" s="643" t="s">
        <v>495</v>
      </c>
      <c r="E410" s="698">
        <v>1</v>
      </c>
      <c r="F410" s="698">
        <v>1295</v>
      </c>
      <c r="G410" s="698">
        <v>103.6</v>
      </c>
      <c r="H410" s="698">
        <v>129.5</v>
      </c>
      <c r="I410" s="698">
        <v>1528.1</v>
      </c>
      <c r="J410" s="120">
        <f>ROUND((F410+G410+H410)*(kopsavilkums!$O$12)*E410*12*(1+kopsavilkums!$O$23),2)</f>
        <v>1473.09</v>
      </c>
    </row>
    <row r="411" spans="2:10" s="12" customFormat="1" ht="12.75" x14ac:dyDescent="0.2">
      <c r="B411" s="645" t="s">
        <v>127</v>
      </c>
      <c r="C411" s="641" t="s">
        <v>524</v>
      </c>
      <c r="D411" s="643" t="s">
        <v>495</v>
      </c>
      <c r="E411" s="698">
        <v>1</v>
      </c>
      <c r="F411" s="698">
        <v>1126</v>
      </c>
      <c r="G411" s="698">
        <v>56.3</v>
      </c>
      <c r="H411" s="698">
        <v>112.6</v>
      </c>
      <c r="I411" s="698">
        <v>1294.8999999999999</v>
      </c>
      <c r="J411" s="120">
        <f>ROUND((F411+G411+H411)*(kopsavilkums!$O$12)*E411*12*(1+kopsavilkums!$O$23),2)</f>
        <v>1248.29</v>
      </c>
    </row>
    <row r="412" spans="2:10" s="12" customFormat="1" ht="12.75" x14ac:dyDescent="0.2">
      <c r="B412" s="645" t="s">
        <v>127</v>
      </c>
      <c r="C412" s="641" t="s">
        <v>524</v>
      </c>
      <c r="D412" s="643" t="s">
        <v>495</v>
      </c>
      <c r="E412" s="698">
        <v>1</v>
      </c>
      <c r="F412" s="698">
        <v>1125</v>
      </c>
      <c r="G412" s="698">
        <v>67.5</v>
      </c>
      <c r="H412" s="698">
        <v>112.5</v>
      </c>
      <c r="I412" s="698">
        <v>1305</v>
      </c>
      <c r="J412" s="120">
        <f>ROUND((F412+G412+H412)*(kopsavilkums!$O$12)*E412*12*(1+kopsavilkums!$O$23),2)</f>
        <v>1258.02</v>
      </c>
    </row>
    <row r="413" spans="2:10" s="12" customFormat="1" ht="12.75" x14ac:dyDescent="0.2">
      <c r="B413" s="645" t="s">
        <v>127</v>
      </c>
      <c r="C413" s="641" t="s">
        <v>525</v>
      </c>
      <c r="D413" s="643" t="s">
        <v>495</v>
      </c>
      <c r="E413" s="698">
        <v>0.7</v>
      </c>
      <c r="F413" s="698">
        <v>1448.09</v>
      </c>
      <c r="G413" s="698">
        <v>72.404499999999999</v>
      </c>
      <c r="H413" s="698">
        <v>144.809</v>
      </c>
      <c r="I413" s="698">
        <v>1665.3035</v>
      </c>
      <c r="J413" s="120">
        <f>ROUND((F413+G413+H413)*(kopsavilkums!$O$12)*E413*12*(1+kopsavilkums!$O$23),2)</f>
        <v>1123.75</v>
      </c>
    </row>
    <row r="414" spans="2:10" s="12" customFormat="1" ht="12.75" x14ac:dyDescent="0.2">
      <c r="B414" s="645" t="s">
        <v>127</v>
      </c>
      <c r="C414" s="641" t="s">
        <v>875</v>
      </c>
      <c r="D414" s="643" t="s">
        <v>876</v>
      </c>
      <c r="E414" s="698">
        <v>0.5</v>
      </c>
      <c r="F414" s="698">
        <v>1448.09</v>
      </c>
      <c r="G414" s="698">
        <v>72.404499999999999</v>
      </c>
      <c r="H414" s="698">
        <v>144.809</v>
      </c>
      <c r="I414" s="698">
        <v>1665.3035</v>
      </c>
      <c r="J414" s="120">
        <f>ROUND((F414+G414+H414)*(kopsavilkums!$O$12)*E414*12*(1+kopsavilkums!$O$23),2)</f>
        <v>802.68</v>
      </c>
    </row>
    <row r="415" spans="2:10" s="12" customFormat="1" ht="12.75" x14ac:dyDescent="0.2">
      <c r="B415" s="276" t="s">
        <v>432</v>
      </c>
      <c r="C415" s="484"/>
      <c r="D415" s="484"/>
      <c r="E415" s="446">
        <f>E416+E417</f>
        <v>13</v>
      </c>
      <c r="F415" s="446">
        <f t="shared" ref="F415:I415" si="59">F416+F417</f>
        <v>1956</v>
      </c>
      <c r="G415" s="446">
        <f t="shared" si="59"/>
        <v>156.47999999999999</v>
      </c>
      <c r="H415" s="446">
        <f t="shared" si="59"/>
        <v>195.60000000000002</v>
      </c>
      <c r="I415" s="446">
        <f t="shared" si="59"/>
        <v>2308.08</v>
      </c>
      <c r="J415" s="1"/>
    </row>
    <row r="416" spans="2:10" s="12" customFormat="1" ht="13.5" thickBot="1" x14ac:dyDescent="0.25">
      <c r="B416" s="690" t="s">
        <v>26</v>
      </c>
      <c r="C416" s="656" t="s">
        <v>497</v>
      </c>
      <c r="D416" s="656" t="s">
        <v>498</v>
      </c>
      <c r="E416" s="696">
        <v>1</v>
      </c>
      <c r="F416" s="696">
        <v>927</v>
      </c>
      <c r="G416" s="696">
        <v>74.16</v>
      </c>
      <c r="H416" s="696">
        <v>92.7</v>
      </c>
      <c r="I416" s="641">
        <v>1093.8599999999999</v>
      </c>
      <c r="J416" s="474">
        <f>ROUND((F416+G416+H416)*(kopsavilkums!$O$15)*E416*12*(1+kopsavilkums!$O$23),2)</f>
        <v>1119.3699999999999</v>
      </c>
    </row>
    <row r="417" spans="2:13" s="12" customFormat="1" ht="13.5" thickBot="1" x14ac:dyDescent="0.25">
      <c r="B417" s="690" t="s">
        <v>26</v>
      </c>
      <c r="C417" s="656" t="s">
        <v>497</v>
      </c>
      <c r="D417" s="656" t="s">
        <v>498</v>
      </c>
      <c r="E417" s="696">
        <v>12</v>
      </c>
      <c r="F417" s="696">
        <v>1029</v>
      </c>
      <c r="G417" s="696">
        <v>82.32</v>
      </c>
      <c r="H417" s="696">
        <v>102.9</v>
      </c>
      <c r="I417" s="641">
        <v>1214.22</v>
      </c>
      <c r="J417" s="474">
        <f>ROUND((F417+G417+H417)*(kopsavilkums!$O$15)*E417*12*(1+kopsavilkums!$O$23),2)</f>
        <v>14910.5</v>
      </c>
    </row>
    <row r="418" spans="2:13" s="12" customFormat="1" ht="15.75" thickBot="1" x14ac:dyDescent="0.25">
      <c r="B418" s="448" t="s">
        <v>387</v>
      </c>
      <c r="C418" s="505"/>
      <c r="D418" s="505"/>
      <c r="E418" s="483">
        <f>SUM(E416:E417,E408:E414,E371:E406,E360:E368,E288:E358,E261:E286,E218:E259)</f>
        <v>321.64999999999992</v>
      </c>
      <c r="F418" s="706" t="s">
        <v>102</v>
      </c>
      <c r="G418" s="706" t="s">
        <v>102</v>
      </c>
      <c r="H418" s="707"/>
      <c r="I418" s="708">
        <v>292016.6050000001</v>
      </c>
      <c r="J418" s="475">
        <f>SUM(J218:J417)</f>
        <v>534099.04</v>
      </c>
    </row>
    <row r="419" spans="2:13" ht="26.25" customHeight="1" x14ac:dyDescent="0.25">
      <c r="B419" s="1113" t="s">
        <v>129</v>
      </c>
      <c r="C419" s="1114"/>
      <c r="D419" s="1114"/>
      <c r="E419" s="1114"/>
      <c r="F419" s="1114"/>
      <c r="G419" s="1114"/>
      <c r="H419" s="1114"/>
      <c r="I419" s="1114"/>
      <c r="J419" s="471"/>
      <c r="K419" s="406"/>
      <c r="L419" s="406"/>
      <c r="M419" s="406"/>
    </row>
    <row r="420" spans="2:13" ht="30" customHeight="1" x14ac:dyDescent="0.25">
      <c r="B420" s="275" t="s">
        <v>60</v>
      </c>
      <c r="C420" s="504"/>
      <c r="D420" s="504"/>
      <c r="E420" s="450">
        <f>E421+E434+E426</f>
        <v>26.5</v>
      </c>
      <c r="F420" s="450">
        <f t="shared" ref="F420:I420" si="60">F421+F434+F426</f>
        <v>29785</v>
      </c>
      <c r="G420" s="450">
        <f t="shared" si="60"/>
        <v>2183.4499999999998</v>
      </c>
      <c r="H420" s="450">
        <f t="shared" si="60"/>
        <v>2813.0299999999997</v>
      </c>
      <c r="I420" s="450">
        <f t="shared" si="60"/>
        <v>34781.480000000003</v>
      </c>
      <c r="J420" s="472"/>
      <c r="K420" s="449"/>
      <c r="L420" s="406"/>
      <c r="M420" s="406"/>
    </row>
    <row r="421" spans="2:13" x14ac:dyDescent="0.25">
      <c r="B421" s="276" t="s">
        <v>61</v>
      </c>
      <c r="C421" s="484"/>
      <c r="D421" s="484"/>
      <c r="E421" s="451">
        <f>E422+E423+E424+E425</f>
        <v>7.5</v>
      </c>
      <c r="F421" s="709">
        <f>SUM(F422:F425)</f>
        <v>7139</v>
      </c>
      <c r="G421" s="709">
        <f>SUM(G422:G425)</f>
        <v>554.73</v>
      </c>
      <c r="H421" s="709">
        <f>SUM(H422:H425)</f>
        <v>748.64</v>
      </c>
      <c r="I421" s="710">
        <f>SUM(I422:I425)</f>
        <v>8442.369999999999</v>
      </c>
      <c r="J421" s="472"/>
      <c r="K421" s="406"/>
      <c r="L421" s="406"/>
      <c r="M421" s="406"/>
    </row>
    <row r="422" spans="2:13" x14ac:dyDescent="0.25">
      <c r="B422" s="699" t="s">
        <v>106</v>
      </c>
      <c r="C422" s="711" t="s">
        <v>465</v>
      </c>
      <c r="D422" s="712" t="s">
        <v>533</v>
      </c>
      <c r="E422" s="700">
        <v>1</v>
      </c>
      <c r="F422" s="701">
        <v>2000</v>
      </c>
      <c r="G422" s="701">
        <v>160</v>
      </c>
      <c r="H422" s="701">
        <v>95.81</v>
      </c>
      <c r="I422" s="670">
        <f>(F422+G422+H422)</f>
        <v>2255.81</v>
      </c>
      <c r="J422" s="120">
        <f>ROUND((F422+G422+H422)*(kopsavilkums!$O$8)*E422*12*(1+kopsavilkums!$O$23),2)</f>
        <v>3546.28</v>
      </c>
      <c r="K422" s="406"/>
      <c r="L422" s="406"/>
      <c r="M422" s="406"/>
    </row>
    <row r="423" spans="2:13" x14ac:dyDescent="0.25">
      <c r="B423" s="699" t="s">
        <v>12</v>
      </c>
      <c r="C423" s="711" t="s">
        <v>465</v>
      </c>
      <c r="D423" s="712" t="s">
        <v>533</v>
      </c>
      <c r="E423" s="700">
        <v>3</v>
      </c>
      <c r="F423" s="701">
        <v>1750</v>
      </c>
      <c r="G423" s="701">
        <v>140</v>
      </c>
      <c r="H423" s="701">
        <v>83.83</v>
      </c>
      <c r="I423" s="670">
        <f t="shared" ref="I423:I424" si="61">(F423+G423+H423)</f>
        <v>1973.83</v>
      </c>
      <c r="J423" s="120">
        <f>ROUND((F423+G423+H423)*(kopsavilkums!$O$8)*E423*12*(1+kopsavilkums!$O$23),2)</f>
        <v>9308.9699999999993</v>
      </c>
      <c r="K423" s="406"/>
      <c r="L423" s="406"/>
      <c r="M423" s="406"/>
    </row>
    <row r="424" spans="2:13" x14ac:dyDescent="0.25">
      <c r="B424" s="699" t="s">
        <v>130</v>
      </c>
      <c r="C424" s="711" t="s">
        <v>481</v>
      </c>
      <c r="D424" s="712" t="s">
        <v>489</v>
      </c>
      <c r="E424" s="700">
        <v>0.5</v>
      </c>
      <c r="F424" s="701">
        <v>1750</v>
      </c>
      <c r="G424" s="701">
        <v>140</v>
      </c>
      <c r="H424" s="701">
        <v>83.83</v>
      </c>
      <c r="I424" s="670">
        <f t="shared" si="61"/>
        <v>1973.83</v>
      </c>
      <c r="J424" s="120">
        <f>ROUND((F424+G424+H424)*(kopsavilkums!$O$8)*E424*12*(1+kopsavilkums!$O$23),2)</f>
        <v>1551.49</v>
      </c>
      <c r="K424" s="406"/>
      <c r="L424" s="406"/>
      <c r="M424" s="406"/>
    </row>
    <row r="425" spans="2:13" x14ac:dyDescent="0.25">
      <c r="B425" s="699" t="s">
        <v>131</v>
      </c>
      <c r="C425" s="711" t="s">
        <v>465</v>
      </c>
      <c r="D425" s="712" t="s">
        <v>533</v>
      </c>
      <c r="E425" s="700">
        <v>3</v>
      </c>
      <c r="F425" s="701">
        <v>1639</v>
      </c>
      <c r="G425" s="701">
        <v>114.73</v>
      </c>
      <c r="H425" s="701">
        <v>485.17</v>
      </c>
      <c r="I425" s="670">
        <f>(F425+G425+H425)</f>
        <v>2238.9</v>
      </c>
      <c r="J425" s="120">
        <f>ROUND((F425+G425+H425)*(kopsavilkums!$O$8)*E425*12*(1+kopsavilkums!$O$23),2)</f>
        <v>10559.09</v>
      </c>
      <c r="K425" s="406"/>
      <c r="L425" s="406"/>
      <c r="M425" s="406"/>
    </row>
    <row r="426" spans="2:13" ht="38.25" x14ac:dyDescent="0.25">
      <c r="B426" s="276" t="s">
        <v>596</v>
      </c>
      <c r="C426" s="484"/>
      <c r="D426" s="484"/>
      <c r="E426" s="446">
        <f>SUM(E427:E433)</f>
        <v>11</v>
      </c>
      <c r="F426" s="446">
        <f t="shared" ref="F426:I426" si="62">SUM(F427:F433)</f>
        <v>10900</v>
      </c>
      <c r="G426" s="446">
        <f t="shared" si="62"/>
        <v>779.49999999999989</v>
      </c>
      <c r="H426" s="446">
        <f t="shared" si="62"/>
        <v>1044.31</v>
      </c>
      <c r="I426" s="446">
        <f t="shared" si="62"/>
        <v>12723.810000000003</v>
      </c>
      <c r="J426" s="472"/>
      <c r="K426" s="406"/>
      <c r="L426" s="406"/>
      <c r="M426" s="406"/>
    </row>
    <row r="427" spans="2:13" x14ac:dyDescent="0.25">
      <c r="B427" s="702" t="s">
        <v>132</v>
      </c>
      <c r="C427" s="713" t="s">
        <v>470</v>
      </c>
      <c r="D427" s="712" t="s">
        <v>471</v>
      </c>
      <c r="E427" s="700">
        <v>1</v>
      </c>
      <c r="F427" s="701">
        <v>1650</v>
      </c>
      <c r="G427" s="701">
        <v>123.75</v>
      </c>
      <c r="H427" s="701">
        <v>158.08000000000001</v>
      </c>
      <c r="I427" s="670">
        <f>(F427+G427+H427)</f>
        <v>1931.83</v>
      </c>
      <c r="J427" s="120">
        <f>ROUND((F427+G427+H427)*(kopsavilkums!$O$8)*E427*12*(1+kopsavilkums!$O$23),2)</f>
        <v>3036.96</v>
      </c>
      <c r="K427" s="406"/>
      <c r="L427" s="406"/>
      <c r="M427" s="406"/>
    </row>
    <row r="428" spans="2:13" x14ac:dyDescent="0.25">
      <c r="B428" s="702" t="s">
        <v>121</v>
      </c>
      <c r="C428" s="713" t="s">
        <v>470</v>
      </c>
      <c r="D428" s="712" t="s">
        <v>471</v>
      </c>
      <c r="E428" s="700">
        <v>5</v>
      </c>
      <c r="F428" s="701">
        <v>1520</v>
      </c>
      <c r="G428" s="701">
        <v>106.4</v>
      </c>
      <c r="H428" s="701">
        <v>145.63</v>
      </c>
      <c r="I428" s="670">
        <f t="shared" ref="I428:I433" si="63">(F428+G428+H428)</f>
        <v>1772.0300000000002</v>
      </c>
      <c r="J428" s="120">
        <f>ROUND((F428+G428+H428)*(kopsavilkums!$O$8)*E428*12*(1+kopsavilkums!$O$23),2)</f>
        <v>13928.73</v>
      </c>
      <c r="K428" s="406"/>
      <c r="L428" s="406"/>
      <c r="M428" s="406"/>
    </row>
    <row r="429" spans="2:13" x14ac:dyDescent="0.25">
      <c r="B429" s="699" t="s">
        <v>133</v>
      </c>
      <c r="C429" s="711" t="s">
        <v>468</v>
      </c>
      <c r="D429" s="712" t="s">
        <v>469</v>
      </c>
      <c r="E429" s="700">
        <v>1</v>
      </c>
      <c r="F429" s="701">
        <v>1650</v>
      </c>
      <c r="G429" s="701">
        <v>123.75</v>
      </c>
      <c r="H429" s="701">
        <v>158.08000000000001</v>
      </c>
      <c r="I429" s="670">
        <f t="shared" si="63"/>
        <v>1931.83</v>
      </c>
      <c r="J429" s="120">
        <f>ROUND((F429+G429+H429)*(kopsavilkums!$O$8)*E429*12*(1+kopsavilkums!$O$23),2)</f>
        <v>3036.96</v>
      </c>
      <c r="K429" s="406"/>
      <c r="L429" s="406"/>
      <c r="M429" s="406"/>
    </row>
    <row r="430" spans="2:13" x14ac:dyDescent="0.25">
      <c r="B430" s="699" t="s">
        <v>128</v>
      </c>
      <c r="C430" s="711" t="s">
        <v>468</v>
      </c>
      <c r="D430" s="712" t="s">
        <v>469</v>
      </c>
      <c r="E430" s="700">
        <v>2</v>
      </c>
      <c r="F430" s="701">
        <v>1520</v>
      </c>
      <c r="G430" s="701">
        <v>106.4</v>
      </c>
      <c r="H430" s="701">
        <v>145.63</v>
      </c>
      <c r="I430" s="670">
        <f t="shared" si="63"/>
        <v>1772.0300000000002</v>
      </c>
      <c r="J430" s="120">
        <f>ROUND((F430+G430+H430)*(kopsavilkums!$O$8)*E430*12*(1+kopsavilkums!$O$23),2)</f>
        <v>5571.49</v>
      </c>
      <c r="K430" s="406"/>
      <c r="L430" s="406"/>
      <c r="M430" s="406"/>
    </row>
    <row r="431" spans="2:13" x14ac:dyDescent="0.25">
      <c r="B431" s="699" t="s">
        <v>136</v>
      </c>
      <c r="C431" s="711" t="s">
        <v>534</v>
      </c>
      <c r="D431" s="712" t="s">
        <v>485</v>
      </c>
      <c r="E431" s="700">
        <v>1</v>
      </c>
      <c r="F431" s="701">
        <v>1520</v>
      </c>
      <c r="G431" s="701">
        <v>106.4</v>
      </c>
      <c r="H431" s="701">
        <v>145.63</v>
      </c>
      <c r="I431" s="670">
        <f t="shared" si="63"/>
        <v>1772.0300000000002</v>
      </c>
      <c r="J431" s="120">
        <f>ROUND((F431+G431+H431)*(kopsavilkums!$O$8)*E431*12*(1+kopsavilkums!$O$23),2)</f>
        <v>2785.75</v>
      </c>
      <c r="K431" s="406"/>
      <c r="L431" s="406"/>
      <c r="M431" s="406"/>
    </row>
    <row r="432" spans="2:13" x14ac:dyDescent="0.25">
      <c r="B432" s="714" t="s">
        <v>154</v>
      </c>
      <c r="C432" s="715" t="s">
        <v>536</v>
      </c>
      <c r="D432" s="712" t="s">
        <v>480</v>
      </c>
      <c r="E432" s="700">
        <v>0.5</v>
      </c>
      <c r="F432" s="701">
        <v>1520</v>
      </c>
      <c r="G432" s="701">
        <v>106.4</v>
      </c>
      <c r="H432" s="701">
        <v>145.63</v>
      </c>
      <c r="I432" s="670">
        <f t="shared" si="63"/>
        <v>1772.0300000000002</v>
      </c>
      <c r="J432" s="120">
        <f>ROUND((F432+G432+H432)*(kopsavilkums!$O$8)*E432*12*(1+kopsavilkums!$O$23),2)</f>
        <v>1392.87</v>
      </c>
      <c r="K432" s="406"/>
      <c r="L432" s="406"/>
      <c r="M432" s="406"/>
    </row>
    <row r="433" spans="2:13" x14ac:dyDescent="0.25">
      <c r="B433" s="699" t="s">
        <v>126</v>
      </c>
      <c r="C433" s="711" t="s">
        <v>483</v>
      </c>
      <c r="D433" s="712" t="s">
        <v>484</v>
      </c>
      <c r="E433" s="700">
        <v>0.5</v>
      </c>
      <c r="F433" s="701">
        <v>1520</v>
      </c>
      <c r="G433" s="701">
        <v>106.4</v>
      </c>
      <c r="H433" s="701">
        <v>145.63</v>
      </c>
      <c r="I433" s="670">
        <f t="shared" si="63"/>
        <v>1772.0300000000002</v>
      </c>
      <c r="J433" s="120">
        <f>ROUND((F433+G433+H433)*(kopsavilkums!$O$8)*E433*12*(1+kopsavilkums!$O$23),2)</f>
        <v>1392.87</v>
      </c>
      <c r="K433" s="406"/>
      <c r="L433" s="406"/>
      <c r="M433" s="406"/>
    </row>
    <row r="434" spans="2:13" ht="59.1" customHeight="1" x14ac:dyDescent="0.25">
      <c r="B434" s="276" t="s">
        <v>95</v>
      </c>
      <c r="C434" s="484"/>
      <c r="D434" s="484"/>
      <c r="E434" s="451">
        <f>E435</f>
        <v>8</v>
      </c>
      <c r="F434" s="716">
        <f>SUM(F435:F436)</f>
        <v>11746</v>
      </c>
      <c r="G434" s="716">
        <f>SUM(G435:G436)</f>
        <v>849.22</v>
      </c>
      <c r="H434" s="716">
        <f>SUM(H435:H436)</f>
        <v>1020.0799999999999</v>
      </c>
      <c r="I434" s="717">
        <f>SUM(I435:I436)</f>
        <v>13615.299999999997</v>
      </c>
      <c r="J434" s="472"/>
      <c r="K434" s="406"/>
      <c r="L434" s="406"/>
      <c r="M434" s="406"/>
    </row>
    <row r="435" spans="2:13" ht="21.95" customHeight="1" x14ac:dyDescent="0.25">
      <c r="B435" s="699" t="s">
        <v>127</v>
      </c>
      <c r="C435" s="718" t="s">
        <v>525</v>
      </c>
      <c r="D435" s="719" t="s">
        <v>495</v>
      </c>
      <c r="E435" s="703">
        <v>8</v>
      </c>
      <c r="F435" s="704">
        <v>1300</v>
      </c>
      <c r="G435" s="704">
        <v>91</v>
      </c>
      <c r="H435" s="704">
        <v>124.55</v>
      </c>
      <c r="I435" s="670">
        <f>(F435+G435+H435)</f>
        <v>1515.55</v>
      </c>
      <c r="J435" s="120">
        <f>ROUND((F435+G435+H435)*(kopsavilkums!$O$12)*E435*12*(1+kopsavilkums!$O$23),2)</f>
        <v>11687.95</v>
      </c>
      <c r="K435" s="406"/>
      <c r="L435" s="406"/>
      <c r="M435" s="406"/>
    </row>
    <row r="436" spans="2:13" ht="26.25" customHeight="1" x14ac:dyDescent="0.25">
      <c r="B436" s="275" t="s">
        <v>96</v>
      </c>
      <c r="C436" s="504"/>
      <c r="D436" s="504"/>
      <c r="E436" s="447">
        <f>E437+E439+E446</f>
        <v>26.5</v>
      </c>
      <c r="F436" s="447">
        <f t="shared" ref="F436:I436" si="64">F437+F439+F446</f>
        <v>10446</v>
      </c>
      <c r="G436" s="447">
        <f t="shared" si="64"/>
        <v>758.22</v>
      </c>
      <c r="H436" s="447">
        <f t="shared" si="64"/>
        <v>895.53</v>
      </c>
      <c r="I436" s="447">
        <f t="shared" si="64"/>
        <v>12099.749999999998</v>
      </c>
      <c r="J436" s="472"/>
      <c r="K436" s="452"/>
      <c r="L436" s="406"/>
      <c r="M436" s="406"/>
    </row>
    <row r="437" spans="2:13" x14ac:dyDescent="0.25">
      <c r="B437" s="276" t="s">
        <v>233</v>
      </c>
      <c r="C437" s="484"/>
      <c r="D437" s="484"/>
      <c r="E437" s="446">
        <f>E438</f>
        <v>2</v>
      </c>
      <c r="F437" s="709">
        <f>SUM(F438:F438)</f>
        <v>1550</v>
      </c>
      <c r="G437" s="709">
        <f>SUM(G438:G438)</f>
        <v>108.5</v>
      </c>
      <c r="H437" s="709">
        <f>SUM(H438:H438)</f>
        <v>74.25</v>
      </c>
      <c r="I437" s="710">
        <f>SUM(I438:I438)</f>
        <v>1732.75</v>
      </c>
      <c r="J437" s="472"/>
      <c r="K437" s="406"/>
      <c r="L437" s="406"/>
      <c r="M437" s="406"/>
    </row>
    <row r="438" spans="2:13" x14ac:dyDescent="0.25">
      <c r="B438" s="699" t="s">
        <v>239</v>
      </c>
      <c r="C438" s="711" t="s">
        <v>535</v>
      </c>
      <c r="D438" s="712" t="s">
        <v>533</v>
      </c>
      <c r="E438" s="705">
        <v>2</v>
      </c>
      <c r="F438" s="701">
        <v>1550</v>
      </c>
      <c r="G438" s="701">
        <v>108.5</v>
      </c>
      <c r="H438" s="701">
        <v>74.25</v>
      </c>
      <c r="I438" s="670">
        <f>(F438+G438+H438)</f>
        <v>1732.75</v>
      </c>
      <c r="J438" s="120">
        <f>ROUND((F438+G438+H438)*(kopsavilkums!$O$8)*E438*12*(1+kopsavilkums!$O$23),2)</f>
        <v>5447.99</v>
      </c>
      <c r="K438" s="406"/>
      <c r="L438" s="406"/>
      <c r="M438" s="406"/>
    </row>
    <row r="439" spans="2:13" ht="38.25" x14ac:dyDescent="0.25">
      <c r="B439" s="276" t="s">
        <v>433</v>
      </c>
      <c r="C439" s="484"/>
      <c r="D439" s="484"/>
      <c r="E439" s="446">
        <f>SUM(E440:E445)</f>
        <v>23.5</v>
      </c>
      <c r="F439" s="446">
        <f t="shared" ref="F439:I439" si="65">SUM(F440:F445)</f>
        <v>7696</v>
      </c>
      <c r="G439" s="446">
        <f>SUM(G440:G445)</f>
        <v>565.72</v>
      </c>
      <c r="H439" s="446">
        <f t="shared" si="65"/>
        <v>706.31</v>
      </c>
      <c r="I439" s="446">
        <f t="shared" si="65"/>
        <v>8968.0299999999988</v>
      </c>
      <c r="J439" s="472"/>
      <c r="K439" s="406"/>
      <c r="L439" s="406"/>
      <c r="M439" s="406"/>
    </row>
    <row r="440" spans="2:13" x14ac:dyDescent="0.25">
      <c r="B440" s="699" t="s">
        <v>124</v>
      </c>
      <c r="C440" s="711" t="s">
        <v>470</v>
      </c>
      <c r="D440" s="712" t="s">
        <v>471</v>
      </c>
      <c r="E440" s="705">
        <v>6</v>
      </c>
      <c r="F440" s="701">
        <v>1340</v>
      </c>
      <c r="G440" s="701">
        <v>93.8</v>
      </c>
      <c r="H440" s="701">
        <v>128.38</v>
      </c>
      <c r="I440" s="670">
        <f>(F440+G440+H440)</f>
        <v>1562.1799999999998</v>
      </c>
      <c r="J440" s="120">
        <f>ROUND((F440+G440+H440)*(kopsavilkums!$O$12)*E440*12*(1+kopsavilkums!$O$23),2)</f>
        <v>9035.67</v>
      </c>
      <c r="K440" s="406"/>
      <c r="L440" s="406"/>
      <c r="M440" s="406"/>
    </row>
    <row r="441" spans="2:13" x14ac:dyDescent="0.25">
      <c r="B441" s="699" t="s">
        <v>134</v>
      </c>
      <c r="C441" s="711" t="s">
        <v>468</v>
      </c>
      <c r="D441" s="712" t="s">
        <v>469</v>
      </c>
      <c r="E441" s="705">
        <v>1</v>
      </c>
      <c r="F441" s="701">
        <v>1340</v>
      </c>
      <c r="G441" s="701">
        <v>93.8</v>
      </c>
      <c r="H441" s="701">
        <v>128.38</v>
      </c>
      <c r="I441" s="670">
        <f t="shared" ref="I441:I442" si="66">(F441+G441+H441)</f>
        <v>1562.1799999999998</v>
      </c>
      <c r="J441" s="120">
        <f>ROUND((F441+G441+H441)*(kopsavilkums!$O$12)*E441*12*(1+kopsavilkums!$O$23),2)</f>
        <v>1505.94</v>
      </c>
      <c r="K441" s="406"/>
      <c r="L441" s="406"/>
      <c r="M441" s="406"/>
    </row>
    <row r="442" spans="2:13" x14ac:dyDescent="0.25">
      <c r="B442" s="699" t="s">
        <v>447</v>
      </c>
      <c r="C442" s="718" t="s">
        <v>529</v>
      </c>
      <c r="D442" s="719" t="s">
        <v>488</v>
      </c>
      <c r="E442" s="704">
        <v>3.6</v>
      </c>
      <c r="F442" s="704">
        <v>1200</v>
      </c>
      <c r="G442" s="704">
        <v>84</v>
      </c>
      <c r="H442" s="704">
        <v>114.97</v>
      </c>
      <c r="I442" s="670">
        <f t="shared" si="66"/>
        <v>1398.97</v>
      </c>
      <c r="J442" s="120">
        <f>ROUND((F442+G442+H442)*(kopsavilkums!$O$12)*E442*12*(1+kopsavilkums!$O$23),2)</f>
        <v>4855</v>
      </c>
      <c r="K442" s="406"/>
      <c r="L442" s="406"/>
      <c r="M442" s="406"/>
    </row>
    <row r="443" spans="2:13" ht="15" customHeight="1" x14ac:dyDescent="0.25">
      <c r="B443" s="702" t="s">
        <v>108</v>
      </c>
      <c r="C443" s="713" t="s">
        <v>492</v>
      </c>
      <c r="D443" s="712" t="s">
        <v>488</v>
      </c>
      <c r="E443" s="700">
        <v>1.9</v>
      </c>
      <c r="F443" s="701">
        <v>1400</v>
      </c>
      <c r="G443" s="701">
        <v>112</v>
      </c>
      <c r="H443" s="701">
        <v>0</v>
      </c>
      <c r="I443" s="670">
        <f>(F443+G443+H443)</f>
        <v>1512</v>
      </c>
      <c r="J443" s="120">
        <f>ROUND((F443+G443+H443)*(kopsavilkums!$O$12)*E443*12*(1+kopsavilkums!$O$23),2)</f>
        <v>2769.38</v>
      </c>
      <c r="K443" s="406"/>
      <c r="L443" s="406"/>
      <c r="M443" s="406"/>
    </row>
    <row r="444" spans="2:13" ht="15" customHeight="1" x14ac:dyDescent="0.25">
      <c r="B444" s="702" t="s">
        <v>446</v>
      </c>
      <c r="C444" s="713" t="s">
        <v>529</v>
      </c>
      <c r="D444" s="712" t="s">
        <v>488</v>
      </c>
      <c r="E444" s="700">
        <v>5</v>
      </c>
      <c r="F444" s="701">
        <v>1116</v>
      </c>
      <c r="G444" s="701">
        <v>78.12</v>
      </c>
      <c r="H444" s="701">
        <v>210.03</v>
      </c>
      <c r="I444" s="670">
        <f t="shared" ref="I444:I445" si="67">(F444+G444+H444)</f>
        <v>1404.1499999999999</v>
      </c>
      <c r="J444" s="120">
        <f>ROUND((F444+G444+H444)*(kopsavilkums!$O$12)*E444*12*(1+kopsavilkums!$O$23),2)</f>
        <v>6768.02</v>
      </c>
      <c r="K444" s="406"/>
      <c r="L444" s="406"/>
      <c r="M444" s="406"/>
    </row>
    <row r="445" spans="2:13" ht="15" customHeight="1" x14ac:dyDescent="0.25">
      <c r="B445" s="702" t="s">
        <v>112</v>
      </c>
      <c r="C445" s="713" t="s">
        <v>529</v>
      </c>
      <c r="D445" s="712" t="s">
        <v>488</v>
      </c>
      <c r="E445" s="700">
        <v>6</v>
      </c>
      <c r="F445" s="701">
        <v>1300</v>
      </c>
      <c r="G445" s="701">
        <v>104</v>
      </c>
      <c r="H445" s="701">
        <v>124.55</v>
      </c>
      <c r="I445" s="670">
        <f t="shared" si="67"/>
        <v>1528.55</v>
      </c>
      <c r="J445" s="120">
        <f>ROUND((F445+G445+H445)*(kopsavilkums!$O$12)*E445*12*(1+kopsavilkums!$O$23),2)</f>
        <v>8841.15</v>
      </c>
      <c r="K445" s="406"/>
      <c r="L445" s="406"/>
      <c r="M445" s="406"/>
    </row>
    <row r="446" spans="2:13" ht="25.5" x14ac:dyDescent="0.25">
      <c r="B446" s="276" t="s">
        <v>388</v>
      </c>
      <c r="C446" s="484"/>
      <c r="D446" s="484"/>
      <c r="E446" s="446">
        <f>E447</f>
        <v>1</v>
      </c>
      <c r="F446" s="709">
        <f>SUM(F447:F447)</f>
        <v>1200</v>
      </c>
      <c r="G446" s="709">
        <f>SUM(G447:G447)</f>
        <v>84</v>
      </c>
      <c r="H446" s="709">
        <f>SUM(H447:H447)</f>
        <v>114.97</v>
      </c>
      <c r="I446" s="710">
        <f>SUM(I447:I447)</f>
        <v>1398.97</v>
      </c>
      <c r="J446" s="472"/>
      <c r="K446" s="406"/>
      <c r="L446" s="406"/>
      <c r="M446" s="406"/>
    </row>
    <row r="447" spans="2:13" ht="15.75" thickBot="1" x14ac:dyDescent="0.3">
      <c r="B447" s="655" t="s">
        <v>389</v>
      </c>
      <c r="C447" s="720" t="s">
        <v>537</v>
      </c>
      <c r="D447" s="719" t="s">
        <v>538</v>
      </c>
      <c r="E447" s="704">
        <v>1</v>
      </c>
      <c r="F447" s="704">
        <v>1200</v>
      </c>
      <c r="G447" s="704">
        <v>84</v>
      </c>
      <c r="H447" s="704">
        <v>114.97</v>
      </c>
      <c r="I447" s="670">
        <f t="shared" ref="I447" si="68">F447+G447+H447</f>
        <v>1398.97</v>
      </c>
      <c r="J447" s="120">
        <f>ROUND((F447+G447+H447)*(kopsavilkums!$O$12)*E447*12*(1+kopsavilkums!$O$23),2)</f>
        <v>1348.61</v>
      </c>
      <c r="K447" s="406"/>
      <c r="L447" s="406"/>
      <c r="M447" s="406"/>
    </row>
    <row r="448" spans="2:13" ht="15.75" thickBot="1" x14ac:dyDescent="0.3">
      <c r="B448" s="440" t="s">
        <v>390</v>
      </c>
      <c r="C448" s="503"/>
      <c r="D448" s="503"/>
      <c r="E448" s="453">
        <f>E436+E420</f>
        <v>53</v>
      </c>
      <c r="F448" s="442" t="s">
        <v>29</v>
      </c>
      <c r="G448" s="442" t="s">
        <v>29</v>
      </c>
      <c r="H448" s="442" t="s">
        <v>29</v>
      </c>
      <c r="I448" s="465" t="s">
        <v>29</v>
      </c>
      <c r="J448" s="476">
        <f>SUM(J422:J447)</f>
        <v>108371.17000000001</v>
      </c>
      <c r="K448" s="406"/>
      <c r="L448" s="406"/>
      <c r="M448" s="406"/>
    </row>
    <row r="449" spans="2:12" s="454" customFormat="1" ht="15.75" thickBot="1" x14ac:dyDescent="0.25">
      <c r="B449" s="455" t="s">
        <v>32</v>
      </c>
      <c r="C449" s="506"/>
      <c r="D449" s="506"/>
      <c r="E449" s="456" t="e">
        <f>E448+E418+E214</f>
        <v>#REF!</v>
      </c>
      <c r="F449" s="457" t="s">
        <v>102</v>
      </c>
      <c r="G449" s="457" t="s">
        <v>102</v>
      </c>
      <c r="H449" s="457" t="s">
        <v>102</v>
      </c>
      <c r="I449" s="467"/>
      <c r="J449" s="477">
        <f>J448+J418+J214</f>
        <v>863516.89000000013</v>
      </c>
      <c r="L449" s="639"/>
    </row>
  </sheetData>
  <mergeCells count="25">
    <mergeCell ref="B206:I206"/>
    <mergeCell ref="B215:I215"/>
    <mergeCell ref="B419:I419"/>
    <mergeCell ref="J6:J7"/>
    <mergeCell ref="B5:J5"/>
    <mergeCell ref="B84:I84"/>
    <mergeCell ref="B98:I98"/>
    <mergeCell ref="B113:I113"/>
    <mergeCell ref="B129:I129"/>
    <mergeCell ref="B161:I161"/>
    <mergeCell ref="B188:I188"/>
    <mergeCell ref="B8:I8"/>
    <mergeCell ref="B9:I9"/>
    <mergeCell ref="B53:I53"/>
    <mergeCell ref="B69:I69"/>
    <mergeCell ref="B2:I2"/>
    <mergeCell ref="B3:I3"/>
    <mergeCell ref="B6:B7"/>
    <mergeCell ref="E6:E7"/>
    <mergeCell ref="F6:F7"/>
    <mergeCell ref="G6:G7"/>
    <mergeCell ref="H6:H7"/>
    <mergeCell ref="I6:I7"/>
    <mergeCell ref="C6:C7"/>
    <mergeCell ref="D6:D7"/>
  </mergeCells>
  <phoneticPr fontId="80" type="noConversion"/>
  <printOptions horizontalCentered="1"/>
  <pageMargins left="0.31496062992125984" right="0.31496062992125984" top="0.74803149606299213" bottom="0.55118110236220474" header="0.31496062992125984" footer="0.31496062992125984"/>
  <pageSetup paperSize="9" scale="5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B4A5D-488C-4F10-929F-F6DA19FE103F}">
  <sheetPr>
    <tabColor rgb="FFFFFF00"/>
  </sheetPr>
  <dimension ref="A1:P57"/>
  <sheetViews>
    <sheetView view="pageBreakPreview" zoomScale="60" zoomScaleNormal="100" workbookViewId="0">
      <selection activeCell="B2" sqref="B2:J3"/>
    </sheetView>
  </sheetViews>
  <sheetFormatPr defaultRowHeight="15" x14ac:dyDescent="0.25"/>
  <cols>
    <col min="2" max="2" width="25.5703125" customWidth="1"/>
    <col min="3" max="3" width="15.140625" customWidth="1"/>
    <col min="4" max="4" width="13.140625" customWidth="1"/>
    <col min="5" max="5" width="19.140625" customWidth="1"/>
    <col min="10" max="10" width="13.85546875" customWidth="1"/>
    <col min="13" max="13" width="15.7109375" customWidth="1"/>
    <col min="14" max="14" width="15.85546875" customWidth="1"/>
    <col min="15" max="15" width="11.5703125" customWidth="1"/>
    <col min="16" max="16" width="16.140625" customWidth="1"/>
  </cols>
  <sheetData>
    <row r="1" spans="1:16" ht="15" customHeight="1" x14ac:dyDescent="0.25">
      <c r="I1" s="927"/>
      <c r="J1" s="927" t="s">
        <v>985</v>
      </c>
    </row>
    <row r="2" spans="1:16" x14ac:dyDescent="0.25">
      <c r="B2" s="1005" t="s">
        <v>226</v>
      </c>
      <c r="C2" s="1005"/>
      <c r="D2" s="1005"/>
      <c r="E2" s="1005"/>
      <c r="F2" s="1005"/>
      <c r="G2" s="1005"/>
      <c r="H2" s="1005"/>
      <c r="I2" s="1005"/>
      <c r="J2" s="1005"/>
      <c r="K2" s="279"/>
      <c r="L2" s="279"/>
    </row>
    <row r="3" spans="1:16" x14ac:dyDescent="0.25">
      <c r="B3" s="1005"/>
      <c r="C3" s="1005"/>
      <c r="D3" s="1005"/>
      <c r="E3" s="1005"/>
      <c r="F3" s="1005"/>
      <c r="G3" s="1005"/>
      <c r="H3" s="1005"/>
      <c r="I3" s="1005"/>
      <c r="J3" s="1005"/>
    </row>
    <row r="4" spans="1:16" ht="19.5" customHeight="1" thickBot="1" x14ac:dyDescent="0.3">
      <c r="J4" s="201" t="s">
        <v>225</v>
      </c>
    </row>
    <row r="5" spans="1:16" ht="15.75" x14ac:dyDescent="0.25">
      <c r="B5" s="1088" t="s">
        <v>0</v>
      </c>
      <c r="C5" s="1089"/>
      <c r="D5" s="1089"/>
      <c r="E5" s="1089"/>
      <c r="F5" s="1089"/>
      <c r="G5" s="1089"/>
      <c r="H5" s="1089"/>
      <c r="I5" s="1089"/>
      <c r="J5" s="1103"/>
    </row>
    <row r="6" spans="1:16" ht="15" customHeight="1" x14ac:dyDescent="0.25">
      <c r="B6" s="1093" t="s">
        <v>55</v>
      </c>
      <c r="C6" s="1128" t="s">
        <v>461</v>
      </c>
      <c r="D6" s="1128" t="s">
        <v>462</v>
      </c>
      <c r="E6" s="1095" t="s">
        <v>56</v>
      </c>
      <c r="F6" s="1097" t="s">
        <v>57</v>
      </c>
      <c r="G6" s="1097" t="s">
        <v>58</v>
      </c>
      <c r="H6" s="1097" t="s">
        <v>145</v>
      </c>
      <c r="I6" s="1099" t="s">
        <v>59</v>
      </c>
      <c r="J6" s="1102" t="s">
        <v>846</v>
      </c>
    </row>
    <row r="7" spans="1:16" ht="75" customHeight="1" thickBot="1" x14ac:dyDescent="0.3">
      <c r="B7" s="1094"/>
      <c r="C7" s="1129"/>
      <c r="D7" s="1129"/>
      <c r="E7" s="1096"/>
      <c r="F7" s="1098"/>
      <c r="G7" s="1098"/>
      <c r="H7" s="1098"/>
      <c r="I7" s="1100"/>
      <c r="J7" s="1044"/>
      <c r="M7" s="558" t="s">
        <v>678</v>
      </c>
      <c r="N7" s="558" t="s">
        <v>462</v>
      </c>
      <c r="O7" s="558" t="s">
        <v>679</v>
      </c>
      <c r="P7" s="559" t="s">
        <v>680</v>
      </c>
    </row>
    <row r="8" spans="1:16" ht="15.75" thickBot="1" x14ac:dyDescent="0.3">
      <c r="A8" s="76"/>
      <c r="B8" s="999" t="s">
        <v>240</v>
      </c>
      <c r="C8" s="1000"/>
      <c r="D8" s="1000"/>
      <c r="E8" s="1000"/>
      <c r="F8" s="1000"/>
      <c r="G8" s="1000"/>
      <c r="H8" s="1000"/>
      <c r="I8" s="1000"/>
      <c r="J8" s="250"/>
      <c r="K8" s="74"/>
      <c r="L8" s="66"/>
      <c r="M8" s="560"/>
      <c r="N8" s="72"/>
      <c r="O8" s="72"/>
      <c r="P8" s="72"/>
    </row>
    <row r="9" spans="1:16" ht="15" customHeight="1" x14ac:dyDescent="0.25">
      <c r="A9" s="76"/>
      <c r="B9" s="1090" t="s">
        <v>241</v>
      </c>
      <c r="C9" s="1091"/>
      <c r="D9" s="1091"/>
      <c r="E9" s="1091"/>
      <c r="F9" s="1091"/>
      <c r="G9" s="1091"/>
      <c r="H9" s="1091"/>
      <c r="I9" s="1091"/>
      <c r="J9" s="129"/>
      <c r="K9" s="74"/>
      <c r="L9" s="66"/>
      <c r="M9" s="560"/>
      <c r="N9" s="72"/>
      <c r="O9" s="72"/>
      <c r="P9" s="72"/>
    </row>
    <row r="10" spans="1:16" ht="26.25" x14ac:dyDescent="0.25">
      <c r="A10" s="76"/>
      <c r="B10" s="26" t="s">
        <v>60</v>
      </c>
      <c r="C10" s="516"/>
      <c r="D10" s="516"/>
      <c r="E10" s="27"/>
      <c r="F10" s="28"/>
      <c r="G10" s="28"/>
      <c r="H10" s="28"/>
      <c r="I10" s="243"/>
      <c r="J10" s="251"/>
      <c r="K10" s="74"/>
      <c r="L10" s="66"/>
      <c r="M10" s="560"/>
      <c r="N10" s="72"/>
      <c r="O10" s="72"/>
      <c r="P10" s="72"/>
    </row>
    <row r="11" spans="1:16" x14ac:dyDescent="0.25">
      <c r="A11" s="76"/>
      <c r="B11" s="21" t="s">
        <v>103</v>
      </c>
      <c r="C11" s="517"/>
      <c r="D11" s="517"/>
      <c r="E11" s="19"/>
      <c r="F11" s="20"/>
      <c r="G11" s="20"/>
      <c r="H11" s="20"/>
      <c r="I11" s="244"/>
      <c r="J11" s="252"/>
      <c r="K11" s="74"/>
      <c r="L11" s="66"/>
      <c r="M11" s="560"/>
      <c r="N11" s="72"/>
      <c r="O11" s="72"/>
      <c r="P11" s="72"/>
    </row>
    <row r="12" spans="1:16" ht="38.25" x14ac:dyDescent="0.25">
      <c r="A12" s="76"/>
      <c r="B12" s="798" t="s">
        <v>683</v>
      </c>
      <c r="C12" s="799" t="s">
        <v>589</v>
      </c>
      <c r="D12" s="799" t="s">
        <v>546</v>
      </c>
      <c r="E12" s="800">
        <v>1</v>
      </c>
      <c r="F12" s="801">
        <v>2500</v>
      </c>
      <c r="G12" s="802">
        <v>75</v>
      </c>
      <c r="H12" s="802">
        <v>590</v>
      </c>
      <c r="I12" s="803">
        <f>F12+G12+H12</f>
        <v>3165</v>
      </c>
      <c r="J12" s="120">
        <f>ROUND((F12+G12+H12)*(kopsavilkums!$O$8)*E12*12*(1+kopsavilkums!$O$23),2)</f>
        <v>4975.59</v>
      </c>
      <c r="K12" s="74"/>
      <c r="L12" s="66"/>
      <c r="M12" s="560"/>
      <c r="N12" s="561" t="s">
        <v>546</v>
      </c>
      <c r="O12" s="561" t="s">
        <v>698</v>
      </c>
      <c r="P12" s="72"/>
    </row>
    <row r="13" spans="1:16" ht="51" x14ac:dyDescent="0.25">
      <c r="A13" s="76"/>
      <c r="B13" s="798" t="s">
        <v>684</v>
      </c>
      <c r="C13" s="799" t="s">
        <v>677</v>
      </c>
      <c r="D13" s="799" t="s">
        <v>546</v>
      </c>
      <c r="E13" s="800">
        <v>0.8</v>
      </c>
      <c r="F13" s="801">
        <v>2350</v>
      </c>
      <c r="G13" s="802">
        <v>70.5</v>
      </c>
      <c r="H13" s="802">
        <v>200</v>
      </c>
      <c r="I13" s="803">
        <f t="shared" ref="I13:I34" si="0">F13+G13+H13</f>
        <v>2620.5</v>
      </c>
      <c r="J13" s="120">
        <f>ROUND((F13+G13+H13)*(kopsavilkums!$O$8)*E13*12*(1+kopsavilkums!$O$23),2)</f>
        <v>3295.68</v>
      </c>
      <c r="K13" s="74"/>
      <c r="L13" s="66"/>
      <c r="M13" s="560"/>
      <c r="N13" s="561" t="s">
        <v>546</v>
      </c>
      <c r="O13" s="561" t="s">
        <v>698</v>
      </c>
      <c r="P13" s="72"/>
    </row>
    <row r="14" spans="1:16" ht="25.5" x14ac:dyDescent="0.25">
      <c r="A14" s="76"/>
      <c r="B14" s="798" t="s">
        <v>685</v>
      </c>
      <c r="C14" s="799" t="s">
        <v>548</v>
      </c>
      <c r="D14" s="799" t="s">
        <v>546</v>
      </c>
      <c r="E14" s="800">
        <v>0.4</v>
      </c>
      <c r="F14" s="801">
        <v>2300</v>
      </c>
      <c r="G14" s="802">
        <v>69</v>
      </c>
      <c r="H14" s="802">
        <v>276</v>
      </c>
      <c r="I14" s="803">
        <f t="shared" si="0"/>
        <v>2645</v>
      </c>
      <c r="J14" s="120">
        <f>ROUND((F14+G14+H14)*(kopsavilkums!$O$8)*E14*12*(1+kopsavilkums!$O$23),2)</f>
        <v>1663.24</v>
      </c>
      <c r="K14" s="74"/>
      <c r="L14" s="66"/>
      <c r="M14" s="560"/>
      <c r="N14" s="561" t="s">
        <v>546</v>
      </c>
      <c r="O14" s="561" t="s">
        <v>698</v>
      </c>
      <c r="P14" s="72"/>
    </row>
    <row r="15" spans="1:16" ht="25.5" x14ac:dyDescent="0.25">
      <c r="A15" s="76"/>
      <c r="B15" s="798" t="s">
        <v>686</v>
      </c>
      <c r="C15" s="799" t="s">
        <v>481</v>
      </c>
      <c r="D15" s="799" t="s">
        <v>489</v>
      </c>
      <c r="E15" s="800">
        <v>1</v>
      </c>
      <c r="F15" s="801">
        <v>2300</v>
      </c>
      <c r="G15" s="802">
        <v>69</v>
      </c>
      <c r="H15" s="802">
        <v>276</v>
      </c>
      <c r="I15" s="803">
        <f t="shared" si="0"/>
        <v>2645</v>
      </c>
      <c r="J15" s="120">
        <f>ROUND((F15+G15+H15)*(kopsavilkums!$O$8)*E15*12*(1+kopsavilkums!$O$23),2)</f>
        <v>4158.1099999999997</v>
      </c>
      <c r="K15" s="74"/>
      <c r="L15" s="66"/>
      <c r="M15" s="560"/>
      <c r="N15" s="561" t="s">
        <v>489</v>
      </c>
      <c r="O15" s="561" t="s">
        <v>698</v>
      </c>
      <c r="P15" s="72"/>
    </row>
    <row r="16" spans="1:16" x14ac:dyDescent="0.25">
      <c r="A16" s="76"/>
      <c r="B16" s="798" t="s">
        <v>687</v>
      </c>
      <c r="C16" s="799" t="s">
        <v>549</v>
      </c>
      <c r="D16" s="799" t="s">
        <v>550</v>
      </c>
      <c r="E16" s="800">
        <v>1</v>
      </c>
      <c r="F16" s="801">
        <v>2300</v>
      </c>
      <c r="G16" s="802">
        <v>69</v>
      </c>
      <c r="H16" s="802">
        <v>276</v>
      </c>
      <c r="I16" s="803">
        <f t="shared" si="0"/>
        <v>2645</v>
      </c>
      <c r="J16" s="120">
        <f>ROUND((F16+G16+H16)*(kopsavilkums!$O$8)*E16*12*(1+kopsavilkums!$O$23),2)</f>
        <v>4158.1099999999997</v>
      </c>
      <c r="K16" s="74"/>
      <c r="L16" s="66"/>
      <c r="M16" s="560"/>
      <c r="N16" s="561" t="s">
        <v>550</v>
      </c>
      <c r="O16" s="561" t="s">
        <v>698</v>
      </c>
      <c r="P16" s="72"/>
    </row>
    <row r="17" spans="1:16" ht="25.5" x14ac:dyDescent="0.25">
      <c r="A17" s="76"/>
      <c r="B17" s="798" t="s">
        <v>688</v>
      </c>
      <c r="C17" s="799" t="s">
        <v>551</v>
      </c>
      <c r="D17" s="799" t="s">
        <v>478</v>
      </c>
      <c r="E17" s="800">
        <v>0.5</v>
      </c>
      <c r="F17" s="801">
        <v>2300</v>
      </c>
      <c r="G17" s="802">
        <v>69</v>
      </c>
      <c r="H17" s="802">
        <v>276</v>
      </c>
      <c r="I17" s="803">
        <f t="shared" si="0"/>
        <v>2645</v>
      </c>
      <c r="J17" s="120">
        <f>ROUND((F17+G17+H17)*(kopsavilkums!$O$8)*E17*12*(1+kopsavilkums!$O$23),2)</f>
        <v>2079.06</v>
      </c>
      <c r="K17" s="74"/>
      <c r="L17" s="66"/>
      <c r="M17" s="560"/>
      <c r="N17" s="561" t="s">
        <v>478</v>
      </c>
      <c r="O17" s="561" t="s">
        <v>698</v>
      </c>
      <c r="P17" s="72"/>
    </row>
    <row r="18" spans="1:16" x14ac:dyDescent="0.25">
      <c r="A18" s="76"/>
      <c r="B18" s="798" t="s">
        <v>689</v>
      </c>
      <c r="C18" s="799" t="s">
        <v>552</v>
      </c>
      <c r="D18" s="799" t="s">
        <v>466</v>
      </c>
      <c r="E18" s="800">
        <v>0.4</v>
      </c>
      <c r="F18" s="801">
        <v>2300</v>
      </c>
      <c r="G18" s="802">
        <v>69</v>
      </c>
      <c r="H18" s="802">
        <v>276</v>
      </c>
      <c r="I18" s="803">
        <f t="shared" si="0"/>
        <v>2645</v>
      </c>
      <c r="J18" s="120">
        <f>ROUND((F18+G18+H18)*(kopsavilkums!$O$8)*E18*12*(1+kopsavilkums!$O$23),2)</f>
        <v>1663.24</v>
      </c>
      <c r="K18" s="74"/>
      <c r="L18" s="66"/>
      <c r="M18" s="560"/>
      <c r="N18" s="561" t="s">
        <v>466</v>
      </c>
      <c r="O18" s="561" t="s">
        <v>698</v>
      </c>
      <c r="P18" s="72"/>
    </row>
    <row r="19" spans="1:16" ht="25.5" x14ac:dyDescent="0.25">
      <c r="A19" s="76"/>
      <c r="B19" s="798" t="s">
        <v>685</v>
      </c>
      <c r="C19" s="799" t="s">
        <v>548</v>
      </c>
      <c r="D19" s="799" t="s">
        <v>546</v>
      </c>
      <c r="E19" s="800">
        <v>0.2</v>
      </c>
      <c r="F19" s="801">
        <v>2200</v>
      </c>
      <c r="G19" s="802">
        <v>66</v>
      </c>
      <c r="H19" s="802">
        <v>185</v>
      </c>
      <c r="I19" s="803">
        <f t="shared" si="0"/>
        <v>2451</v>
      </c>
      <c r="J19" s="120">
        <f>ROUND((F19+G19+H19)*(kopsavilkums!$O$8)*E19*12*(1+kopsavilkums!$O$23),2)</f>
        <v>770.63</v>
      </c>
      <c r="K19" s="74"/>
      <c r="L19" s="66"/>
      <c r="M19" s="560"/>
      <c r="N19" s="561" t="s">
        <v>546</v>
      </c>
      <c r="O19" s="561" t="s">
        <v>698</v>
      </c>
      <c r="P19" s="72"/>
    </row>
    <row r="20" spans="1:16" ht="25.5" x14ac:dyDescent="0.25">
      <c r="A20" s="76"/>
      <c r="B20" s="798" t="s">
        <v>685</v>
      </c>
      <c r="C20" s="799" t="s">
        <v>548</v>
      </c>
      <c r="D20" s="799" t="s">
        <v>546</v>
      </c>
      <c r="E20" s="800">
        <v>0.2</v>
      </c>
      <c r="F20" s="801">
        <v>2200</v>
      </c>
      <c r="G20" s="802">
        <v>66</v>
      </c>
      <c r="H20" s="802">
        <v>185</v>
      </c>
      <c r="I20" s="803">
        <f t="shared" si="0"/>
        <v>2451</v>
      </c>
      <c r="J20" s="120">
        <f>ROUND((F20+G20+H20)*(kopsavilkums!$O$8)*E20*12*(1+kopsavilkums!$O$23),2)</f>
        <v>770.63</v>
      </c>
      <c r="K20" s="74"/>
      <c r="L20" s="66"/>
      <c r="M20" s="560"/>
      <c r="N20" s="561" t="s">
        <v>546</v>
      </c>
      <c r="O20" s="561" t="s">
        <v>698</v>
      </c>
      <c r="P20" s="72"/>
    </row>
    <row r="21" spans="1:16" x14ac:dyDescent="0.25">
      <c r="A21" s="76"/>
      <c r="B21" s="798" t="s">
        <v>689</v>
      </c>
      <c r="C21" s="799" t="s">
        <v>552</v>
      </c>
      <c r="D21" s="799" t="s">
        <v>466</v>
      </c>
      <c r="E21" s="800">
        <v>0.4</v>
      </c>
      <c r="F21" s="801">
        <v>2200</v>
      </c>
      <c r="G21" s="802">
        <v>66</v>
      </c>
      <c r="H21" s="802">
        <v>185</v>
      </c>
      <c r="I21" s="803">
        <f t="shared" si="0"/>
        <v>2451</v>
      </c>
      <c r="J21" s="120">
        <f>ROUND((F21+G21+H21)*(kopsavilkums!$O$8)*E21*12*(1+kopsavilkums!$O$23),2)</f>
        <v>1541.25</v>
      </c>
      <c r="K21" s="74"/>
      <c r="L21" s="66"/>
      <c r="M21" s="560"/>
      <c r="N21" s="561" t="s">
        <v>466</v>
      </c>
      <c r="O21" s="561" t="s">
        <v>698</v>
      </c>
      <c r="P21" s="72"/>
    </row>
    <row r="22" spans="1:16" x14ac:dyDescent="0.25">
      <c r="A22" s="76"/>
      <c r="B22" s="798" t="s">
        <v>690</v>
      </c>
      <c r="C22" s="799" t="s">
        <v>553</v>
      </c>
      <c r="D22" s="799" t="s">
        <v>554</v>
      </c>
      <c r="E22" s="800">
        <v>0.2</v>
      </c>
      <c r="F22" s="801">
        <v>2200</v>
      </c>
      <c r="G22" s="802">
        <v>66</v>
      </c>
      <c r="H22" s="802">
        <v>185</v>
      </c>
      <c r="I22" s="803">
        <f t="shared" si="0"/>
        <v>2451</v>
      </c>
      <c r="J22" s="120">
        <f>ROUND((F22+G22+H22)*(kopsavilkums!$O$8)*E22*12*(1+kopsavilkums!$O$23),2)</f>
        <v>770.63</v>
      </c>
      <c r="K22" s="74"/>
      <c r="L22" s="66"/>
      <c r="M22" s="560"/>
      <c r="N22" s="561" t="s">
        <v>554</v>
      </c>
      <c r="O22" s="561" t="s">
        <v>698</v>
      </c>
      <c r="P22" s="72"/>
    </row>
    <row r="23" spans="1:16" x14ac:dyDescent="0.25">
      <c r="A23" s="76"/>
      <c r="B23" s="798" t="s">
        <v>690</v>
      </c>
      <c r="C23" s="799" t="s">
        <v>553</v>
      </c>
      <c r="D23" s="799" t="s">
        <v>554</v>
      </c>
      <c r="E23" s="800">
        <v>0.2</v>
      </c>
      <c r="F23" s="801">
        <v>2200</v>
      </c>
      <c r="G23" s="802">
        <v>66</v>
      </c>
      <c r="H23" s="802">
        <v>185</v>
      </c>
      <c r="I23" s="803">
        <f t="shared" si="0"/>
        <v>2451</v>
      </c>
      <c r="J23" s="120">
        <f>ROUND((F23+G23+H23)*(kopsavilkums!$O$8)*E23*12*(1+kopsavilkums!$O$23),2)</f>
        <v>770.63</v>
      </c>
      <c r="K23" s="74"/>
      <c r="L23" s="66"/>
      <c r="M23" s="560"/>
      <c r="N23" s="561" t="s">
        <v>554</v>
      </c>
      <c r="O23" s="561" t="s">
        <v>698</v>
      </c>
      <c r="P23" s="72"/>
    </row>
    <row r="24" spans="1:16" x14ac:dyDescent="0.25">
      <c r="A24" s="76"/>
      <c r="B24" s="798" t="s">
        <v>689</v>
      </c>
      <c r="C24" s="799" t="s">
        <v>552</v>
      </c>
      <c r="D24" s="799" t="s">
        <v>466</v>
      </c>
      <c r="E24" s="800">
        <v>0.2</v>
      </c>
      <c r="F24" s="801">
        <v>2200</v>
      </c>
      <c r="G24" s="802">
        <v>66</v>
      </c>
      <c r="H24" s="802">
        <v>185</v>
      </c>
      <c r="I24" s="803">
        <f t="shared" si="0"/>
        <v>2451</v>
      </c>
      <c r="J24" s="120">
        <f>ROUND((F24+G24+H24)*(kopsavilkums!$O$8)*E24*12*(1+kopsavilkums!$O$23),2)</f>
        <v>770.63</v>
      </c>
      <c r="K24" s="74"/>
      <c r="L24" s="66"/>
      <c r="M24" s="560"/>
      <c r="N24" s="561" t="s">
        <v>466</v>
      </c>
      <c r="O24" s="561" t="s">
        <v>698</v>
      </c>
      <c r="P24" s="72"/>
    </row>
    <row r="25" spans="1:16" ht="25.5" x14ac:dyDescent="0.25">
      <c r="A25" s="76"/>
      <c r="B25" s="798" t="s">
        <v>685</v>
      </c>
      <c r="C25" s="799" t="s">
        <v>548</v>
      </c>
      <c r="D25" s="799" t="s">
        <v>546</v>
      </c>
      <c r="E25" s="800">
        <v>0.2</v>
      </c>
      <c r="F25" s="801">
        <v>2200</v>
      </c>
      <c r="G25" s="802">
        <v>66</v>
      </c>
      <c r="H25" s="802">
        <v>185</v>
      </c>
      <c r="I25" s="803">
        <f t="shared" si="0"/>
        <v>2451</v>
      </c>
      <c r="J25" s="120">
        <f>ROUND((F25+G25+H25)*(kopsavilkums!$O$8)*E25*12*(1+kopsavilkums!$O$23),2)</f>
        <v>770.63</v>
      </c>
      <c r="K25" s="74"/>
      <c r="L25" s="66"/>
      <c r="M25" s="560"/>
      <c r="N25" s="561" t="s">
        <v>546</v>
      </c>
      <c r="O25" s="561" t="s">
        <v>698</v>
      </c>
      <c r="P25" s="72"/>
    </row>
    <row r="26" spans="1:16" ht="16.5" customHeight="1" x14ac:dyDescent="0.25">
      <c r="A26" s="76"/>
      <c r="B26" s="798" t="s">
        <v>691</v>
      </c>
      <c r="C26" s="799">
        <v>2212104</v>
      </c>
      <c r="D26" s="799" t="s">
        <v>555</v>
      </c>
      <c r="E26" s="800">
        <v>0.2</v>
      </c>
      <c r="F26" s="801">
        <v>2200</v>
      </c>
      <c r="G26" s="802">
        <v>66</v>
      </c>
      <c r="H26" s="802">
        <v>185</v>
      </c>
      <c r="I26" s="803">
        <f t="shared" si="0"/>
        <v>2451</v>
      </c>
      <c r="J26" s="120">
        <f>ROUND((F26+G26+H26)*(kopsavilkums!$O$8)*E26*12*(1+kopsavilkums!$O$23),2)</f>
        <v>770.63</v>
      </c>
      <c r="K26" s="74"/>
      <c r="L26" s="66"/>
      <c r="M26" s="560"/>
      <c r="N26" s="561" t="s">
        <v>555</v>
      </c>
      <c r="O26" s="561" t="s">
        <v>698</v>
      </c>
      <c r="P26" s="72"/>
    </row>
    <row r="27" spans="1:16" ht="25.5" x14ac:dyDescent="0.25">
      <c r="A27" s="76"/>
      <c r="B27" s="798" t="s">
        <v>692</v>
      </c>
      <c r="C27" s="799" t="s">
        <v>499</v>
      </c>
      <c r="D27" s="799" t="s">
        <v>500</v>
      </c>
      <c r="E27" s="800">
        <v>0.25</v>
      </c>
      <c r="F27" s="801">
        <v>2200</v>
      </c>
      <c r="G27" s="802">
        <v>66</v>
      </c>
      <c r="H27" s="802">
        <v>185</v>
      </c>
      <c r="I27" s="803">
        <f t="shared" si="0"/>
        <v>2451</v>
      </c>
      <c r="J27" s="120">
        <f>ROUND((F27+G27+H27)*(kopsavilkums!$O$8)*E27*12*(1+kopsavilkums!$O$23),2)</f>
        <v>963.28</v>
      </c>
      <c r="K27" s="74"/>
      <c r="L27" s="66"/>
      <c r="M27" s="560"/>
      <c r="N27" s="561" t="s">
        <v>500</v>
      </c>
      <c r="O27" s="561" t="s">
        <v>698</v>
      </c>
      <c r="P27" s="72"/>
    </row>
    <row r="28" spans="1:16" ht="16.5" customHeight="1" x14ac:dyDescent="0.25">
      <c r="A28" s="76"/>
      <c r="B28" s="798" t="s">
        <v>693</v>
      </c>
      <c r="C28" s="799" t="s">
        <v>505</v>
      </c>
      <c r="D28" s="799" t="s">
        <v>506</v>
      </c>
      <c r="E28" s="800">
        <v>0.75</v>
      </c>
      <c r="F28" s="801">
        <v>2200</v>
      </c>
      <c r="G28" s="802">
        <v>66</v>
      </c>
      <c r="H28" s="802">
        <v>185</v>
      </c>
      <c r="I28" s="803">
        <f t="shared" si="0"/>
        <v>2451</v>
      </c>
      <c r="J28" s="120">
        <f>ROUND((F28+G28+H28)*(kopsavilkums!$O$8)*E28*12*(1+kopsavilkums!$O$23),2)</f>
        <v>2889.85</v>
      </c>
      <c r="K28" s="74"/>
      <c r="L28" s="66"/>
      <c r="M28" s="560"/>
      <c r="N28" s="561" t="s">
        <v>506</v>
      </c>
      <c r="O28" s="561" t="s">
        <v>698</v>
      </c>
      <c r="P28" s="72"/>
    </row>
    <row r="29" spans="1:16" ht="16.5" customHeight="1" x14ac:dyDescent="0.25">
      <c r="A29" s="76"/>
      <c r="B29" s="798" t="s">
        <v>694</v>
      </c>
      <c r="C29" s="799" t="s">
        <v>556</v>
      </c>
      <c r="D29" s="799" t="s">
        <v>557</v>
      </c>
      <c r="E29" s="800">
        <v>0.6</v>
      </c>
      <c r="F29" s="801">
        <v>2200</v>
      </c>
      <c r="G29" s="802">
        <v>66</v>
      </c>
      <c r="H29" s="802">
        <v>185</v>
      </c>
      <c r="I29" s="803">
        <f t="shared" si="0"/>
        <v>2451</v>
      </c>
      <c r="J29" s="120">
        <f>ROUND((F29+G29+H29)*(kopsavilkums!$O$8)*E29*12*(1+kopsavilkums!$O$23),2)</f>
        <v>2311.88</v>
      </c>
      <c r="K29" s="74"/>
      <c r="L29" s="66"/>
      <c r="M29" s="560"/>
      <c r="N29" s="561" t="s">
        <v>557</v>
      </c>
      <c r="O29" s="561" t="s">
        <v>698</v>
      </c>
      <c r="P29" s="72"/>
    </row>
    <row r="30" spans="1:16" x14ac:dyDescent="0.25">
      <c r="A30" s="76"/>
      <c r="B30" s="798" t="s">
        <v>695</v>
      </c>
      <c r="C30" s="799" t="s">
        <v>631</v>
      </c>
      <c r="D30" s="799" t="s">
        <v>697</v>
      </c>
      <c r="E30" s="800">
        <v>0.2</v>
      </c>
      <c r="F30" s="801">
        <v>2200</v>
      </c>
      <c r="G30" s="802">
        <v>66</v>
      </c>
      <c r="H30" s="802">
        <v>185</v>
      </c>
      <c r="I30" s="803">
        <f t="shared" si="0"/>
        <v>2451</v>
      </c>
      <c r="J30" s="120">
        <f>ROUND((F30+G30+H30)*(kopsavilkums!$O$8)*E30*12*(1+kopsavilkums!$O$23),2)</f>
        <v>770.63</v>
      </c>
      <c r="K30" s="74"/>
      <c r="L30" s="66"/>
      <c r="M30" s="560"/>
      <c r="N30" s="561" t="s">
        <v>697</v>
      </c>
      <c r="O30" s="561" t="s">
        <v>698</v>
      </c>
      <c r="P30" s="72"/>
    </row>
    <row r="31" spans="1:16" x14ac:dyDescent="0.25">
      <c r="A31" s="76"/>
      <c r="B31" s="798" t="s">
        <v>695</v>
      </c>
      <c r="C31" s="799" t="s">
        <v>631</v>
      </c>
      <c r="D31" s="799" t="s">
        <v>697</v>
      </c>
      <c r="E31" s="800">
        <v>0.2</v>
      </c>
      <c r="F31" s="801">
        <v>2200</v>
      </c>
      <c r="G31" s="802">
        <v>66</v>
      </c>
      <c r="H31" s="802">
        <v>185</v>
      </c>
      <c r="I31" s="803">
        <f t="shared" si="0"/>
        <v>2451</v>
      </c>
      <c r="J31" s="120">
        <f>ROUND((F31+G31+H31)*(kopsavilkums!$O$8)*E31*12*(1+kopsavilkums!$O$23),2)</f>
        <v>770.63</v>
      </c>
      <c r="K31" s="74"/>
      <c r="L31" s="66"/>
      <c r="M31" s="560"/>
      <c r="N31" s="561" t="s">
        <v>697</v>
      </c>
      <c r="O31" s="561" t="s">
        <v>698</v>
      </c>
      <c r="P31" s="72"/>
    </row>
    <row r="32" spans="1:16" ht="25.5" x14ac:dyDescent="0.25">
      <c r="A32" s="76"/>
      <c r="B32" s="798" t="s">
        <v>696</v>
      </c>
      <c r="C32" s="799" t="s">
        <v>558</v>
      </c>
      <c r="D32" s="799" t="s">
        <v>559</v>
      </c>
      <c r="E32" s="800">
        <v>0.2</v>
      </c>
      <c r="F32" s="801">
        <v>2200</v>
      </c>
      <c r="G32" s="802">
        <v>66</v>
      </c>
      <c r="H32" s="802">
        <v>185</v>
      </c>
      <c r="I32" s="803">
        <f t="shared" si="0"/>
        <v>2451</v>
      </c>
      <c r="J32" s="120">
        <f>ROUND((F32+G32+H32)*(kopsavilkums!$O$8)*E32*12*(1+kopsavilkums!$O$23),2)</f>
        <v>770.63</v>
      </c>
      <c r="K32" s="74"/>
      <c r="L32" s="66"/>
      <c r="M32" s="560"/>
      <c r="N32" s="561" t="s">
        <v>559</v>
      </c>
      <c r="O32" s="561" t="s">
        <v>698</v>
      </c>
      <c r="P32" s="72"/>
    </row>
    <row r="33" spans="1:16" ht="63.75" x14ac:dyDescent="0.25">
      <c r="A33" s="76"/>
      <c r="B33" s="359" t="s">
        <v>596</v>
      </c>
      <c r="C33" s="518"/>
      <c r="D33" s="518"/>
      <c r="E33" s="360"/>
      <c r="F33" s="361"/>
      <c r="G33" s="361"/>
      <c r="H33" s="361"/>
      <c r="I33" s="361"/>
      <c r="J33" s="358"/>
      <c r="K33" s="74"/>
      <c r="L33" s="66"/>
      <c r="M33" s="560"/>
      <c r="N33" s="72"/>
      <c r="O33" s="72"/>
      <c r="P33" s="72"/>
    </row>
    <row r="34" spans="1:16" x14ac:dyDescent="0.25">
      <c r="A34" s="76"/>
      <c r="B34" s="804" t="s">
        <v>163</v>
      </c>
      <c r="C34" s="757" t="s">
        <v>561</v>
      </c>
      <c r="D34" s="757" t="s">
        <v>562</v>
      </c>
      <c r="E34" s="805">
        <v>0.8</v>
      </c>
      <c r="F34" s="806">
        <v>1600</v>
      </c>
      <c r="G34" s="806">
        <v>0</v>
      </c>
      <c r="H34" s="806">
        <v>80</v>
      </c>
      <c r="I34" s="803">
        <f t="shared" si="0"/>
        <v>1680</v>
      </c>
      <c r="J34" s="120">
        <f>ROUND((F34+G34+H34)*(kopsavilkums!$O$8)*E34*12*(1+kopsavilkums!$O$23),2)</f>
        <v>2112.86</v>
      </c>
      <c r="K34" s="74"/>
      <c r="L34" s="66"/>
      <c r="M34" s="560"/>
      <c r="N34" s="561" t="s">
        <v>562</v>
      </c>
      <c r="O34" s="561" t="s">
        <v>698</v>
      </c>
      <c r="P34" s="72"/>
    </row>
    <row r="35" spans="1:16" ht="63.75" x14ac:dyDescent="0.25">
      <c r="B35" s="18" t="s">
        <v>448</v>
      </c>
      <c r="C35" s="519"/>
      <c r="D35" s="519"/>
      <c r="E35" s="31"/>
      <c r="F35" s="22"/>
      <c r="G35" s="22"/>
      <c r="H35" s="22"/>
      <c r="I35" s="245"/>
      <c r="J35" s="252"/>
      <c r="M35" s="72"/>
      <c r="N35" s="72"/>
      <c r="O35" s="72"/>
      <c r="P35" s="72"/>
    </row>
    <row r="36" spans="1:16" x14ac:dyDescent="0.25">
      <c r="A36" s="76"/>
      <c r="B36" s="807" t="s">
        <v>109</v>
      </c>
      <c r="C36" s="592" t="s">
        <v>540</v>
      </c>
      <c r="D36" s="592" t="s">
        <v>563</v>
      </c>
      <c r="E36" s="808">
        <v>0.5</v>
      </c>
      <c r="F36" s="801">
        <v>1340</v>
      </c>
      <c r="G36" s="802">
        <v>107.2</v>
      </c>
      <c r="H36" s="802">
        <v>220</v>
      </c>
      <c r="I36" s="803">
        <f>F36+G36+H36</f>
        <v>1667.2</v>
      </c>
      <c r="J36" s="120">
        <f>ROUND((F36+G36+H36)*(kopsavilkums!$O$12)*E36*12*(1+kopsavilkums!$O$23),2)</f>
        <v>803.59</v>
      </c>
      <c r="K36" s="74"/>
      <c r="L36" s="66"/>
      <c r="M36" s="560"/>
      <c r="N36" s="561" t="s">
        <v>563</v>
      </c>
      <c r="O36" s="561" t="s">
        <v>698</v>
      </c>
      <c r="P36" s="72"/>
    </row>
    <row r="37" spans="1:16" x14ac:dyDescent="0.25">
      <c r="A37" s="76"/>
      <c r="B37" s="807" t="s">
        <v>109</v>
      </c>
      <c r="C37" s="592" t="s">
        <v>540</v>
      </c>
      <c r="D37" s="592" t="s">
        <v>563</v>
      </c>
      <c r="E37" s="808">
        <v>0.5</v>
      </c>
      <c r="F37" s="801">
        <v>1340</v>
      </c>
      <c r="G37" s="802">
        <v>107.2</v>
      </c>
      <c r="H37" s="802">
        <v>220</v>
      </c>
      <c r="I37" s="803">
        <f t="shared" ref="I37:I41" si="1">F37+G37+H37</f>
        <v>1667.2</v>
      </c>
      <c r="J37" s="120">
        <f>ROUND((F37+G37+H37)*(kopsavilkums!$O$12)*E37*12*(1+kopsavilkums!$O$23),2)</f>
        <v>803.59</v>
      </c>
      <c r="K37" s="74"/>
      <c r="L37" s="66"/>
      <c r="M37" s="560"/>
      <c r="N37" s="561" t="s">
        <v>563</v>
      </c>
      <c r="O37" s="561" t="s">
        <v>698</v>
      </c>
      <c r="P37" s="72"/>
    </row>
    <row r="38" spans="1:16" x14ac:dyDescent="0.25">
      <c r="A38" s="76"/>
      <c r="B38" s="809" t="s">
        <v>109</v>
      </c>
      <c r="C38" s="592" t="s">
        <v>540</v>
      </c>
      <c r="D38" s="592" t="s">
        <v>563</v>
      </c>
      <c r="E38" s="810">
        <v>0.5</v>
      </c>
      <c r="F38" s="802">
        <v>1340</v>
      </c>
      <c r="G38" s="802">
        <v>107.2</v>
      </c>
      <c r="H38" s="802">
        <v>220</v>
      </c>
      <c r="I38" s="803">
        <f t="shared" si="1"/>
        <v>1667.2</v>
      </c>
      <c r="J38" s="120">
        <f>ROUND((F38+G38+H38)*(kopsavilkums!$O$12)*E38*12*(1+kopsavilkums!$O$23),2)</f>
        <v>803.59</v>
      </c>
      <c r="K38" s="74"/>
      <c r="L38" s="66"/>
      <c r="M38" s="560"/>
      <c r="N38" s="561" t="s">
        <v>563</v>
      </c>
      <c r="O38" s="561" t="s">
        <v>698</v>
      </c>
      <c r="P38" s="72"/>
    </row>
    <row r="39" spans="1:16" x14ac:dyDescent="0.25">
      <c r="A39" s="76"/>
      <c r="B39" s="809" t="s">
        <v>268</v>
      </c>
      <c r="C39" s="592" t="s">
        <v>537</v>
      </c>
      <c r="D39" s="592" t="s">
        <v>538</v>
      </c>
      <c r="E39" s="810">
        <v>0.5</v>
      </c>
      <c r="F39" s="802">
        <v>1340</v>
      </c>
      <c r="G39" s="802">
        <v>40.199999999999996</v>
      </c>
      <c r="H39" s="802">
        <v>220</v>
      </c>
      <c r="I39" s="803">
        <f t="shared" si="1"/>
        <v>1600.2</v>
      </c>
      <c r="J39" s="120">
        <f>ROUND((F39+G39+H39)*(kopsavilkums!$O$12)*E39*12*(1+kopsavilkums!$O$23),2)</f>
        <v>771.3</v>
      </c>
      <c r="K39" s="74"/>
      <c r="L39" s="66"/>
      <c r="M39" s="560"/>
      <c r="N39" s="561" t="s">
        <v>538</v>
      </c>
      <c r="O39" s="561" t="s">
        <v>698</v>
      </c>
      <c r="P39" s="72"/>
    </row>
    <row r="40" spans="1:16" x14ac:dyDescent="0.25">
      <c r="A40" s="76"/>
      <c r="B40" s="809" t="s">
        <v>268</v>
      </c>
      <c r="C40" s="592" t="s">
        <v>537</v>
      </c>
      <c r="D40" s="592" t="s">
        <v>538</v>
      </c>
      <c r="E40" s="810">
        <v>1</v>
      </c>
      <c r="F40" s="802">
        <v>1340</v>
      </c>
      <c r="G40" s="802">
        <v>40.199999999999996</v>
      </c>
      <c r="H40" s="802">
        <v>220</v>
      </c>
      <c r="I40" s="803">
        <f t="shared" si="1"/>
        <v>1600.2</v>
      </c>
      <c r="J40" s="120">
        <f>ROUND((F40+G40+H40)*(kopsavilkums!$O$12)*E40*12*(1+kopsavilkums!$O$23),2)</f>
        <v>1542.6</v>
      </c>
      <c r="K40" s="74"/>
      <c r="L40" s="66"/>
      <c r="M40" s="560"/>
      <c r="N40" s="561" t="s">
        <v>538</v>
      </c>
      <c r="O40" s="561" t="s">
        <v>698</v>
      </c>
      <c r="P40" s="72"/>
    </row>
    <row r="41" spans="1:16" x14ac:dyDescent="0.25">
      <c r="A41" s="76"/>
      <c r="B41" s="809" t="s">
        <v>268</v>
      </c>
      <c r="C41" s="592" t="s">
        <v>537</v>
      </c>
      <c r="D41" s="592" t="s">
        <v>538</v>
      </c>
      <c r="E41" s="810">
        <v>0.9</v>
      </c>
      <c r="F41" s="802">
        <v>1340</v>
      </c>
      <c r="G41" s="802">
        <v>40.199999999999996</v>
      </c>
      <c r="H41" s="802">
        <v>220</v>
      </c>
      <c r="I41" s="803">
        <f t="shared" si="1"/>
        <v>1600.2</v>
      </c>
      <c r="J41" s="120">
        <f>ROUND((F41+G41+H41)*(kopsavilkums!$O$12)*E41*12*(1+kopsavilkums!$O$23),2)</f>
        <v>1388.34</v>
      </c>
      <c r="K41" s="74"/>
      <c r="L41" s="66"/>
      <c r="M41" s="560"/>
      <c r="N41" s="561" t="s">
        <v>538</v>
      </c>
      <c r="O41" s="561" t="s">
        <v>698</v>
      </c>
      <c r="P41" s="72"/>
    </row>
    <row r="42" spans="1:16" ht="19.5" customHeight="1" x14ac:dyDescent="0.25">
      <c r="A42" s="76"/>
      <c r="B42" s="1125" t="s">
        <v>96</v>
      </c>
      <c r="C42" s="1126"/>
      <c r="D42" s="1126"/>
      <c r="E42" s="1126"/>
      <c r="F42" s="1126"/>
      <c r="G42" s="1126"/>
      <c r="H42" s="1126"/>
      <c r="I42" s="1126"/>
      <c r="J42" s="1127"/>
      <c r="K42" s="74"/>
      <c r="L42" s="66"/>
      <c r="M42" s="560"/>
      <c r="N42" s="72"/>
      <c r="O42" s="72"/>
      <c r="P42" s="72"/>
    </row>
    <row r="43" spans="1:16" ht="76.5" x14ac:dyDescent="0.25">
      <c r="B43" s="18" t="s">
        <v>430</v>
      </c>
      <c r="C43" s="519"/>
      <c r="D43" s="519"/>
      <c r="E43" s="31"/>
      <c r="F43" s="22"/>
      <c r="G43" s="22"/>
      <c r="H43" s="22"/>
      <c r="I43" s="245"/>
      <c r="J43" s="252"/>
      <c r="M43" s="72"/>
      <c r="N43" s="72"/>
      <c r="O43" s="72"/>
      <c r="P43" s="72"/>
    </row>
    <row r="44" spans="1:16" x14ac:dyDescent="0.25">
      <c r="A44" s="76"/>
      <c r="B44" s="807" t="s">
        <v>18</v>
      </c>
      <c r="C44" s="592" t="s">
        <v>564</v>
      </c>
      <c r="D44" s="592" t="s">
        <v>488</v>
      </c>
      <c r="E44" s="808">
        <v>1</v>
      </c>
      <c r="F44" s="801">
        <v>1450</v>
      </c>
      <c r="G44" s="802">
        <v>143.5</v>
      </c>
      <c r="H44" s="802">
        <v>240</v>
      </c>
      <c r="I44" s="803">
        <f>F44+G44+H44</f>
        <v>1833.5</v>
      </c>
      <c r="J44" s="120">
        <f>ROUND((F44+G44+H44)*(kopsavilkums!$O$12)*E44*12*(1+kopsavilkums!$O$23),2)</f>
        <v>1767.5</v>
      </c>
      <c r="K44" s="74"/>
      <c r="L44" s="66"/>
      <c r="M44" s="560"/>
      <c r="N44" s="72" t="s">
        <v>488</v>
      </c>
      <c r="O44" s="72" t="s">
        <v>698</v>
      </c>
      <c r="P44" s="72"/>
    </row>
    <row r="45" spans="1:16" x14ac:dyDescent="0.25">
      <c r="A45" s="76"/>
      <c r="B45" s="807" t="s">
        <v>112</v>
      </c>
      <c r="C45" s="592" t="s">
        <v>529</v>
      </c>
      <c r="D45" s="592" t="s">
        <v>488</v>
      </c>
      <c r="E45" s="808">
        <v>1</v>
      </c>
      <c r="F45" s="801">
        <v>1340</v>
      </c>
      <c r="G45" s="802">
        <v>40.199999999999996</v>
      </c>
      <c r="H45" s="802">
        <v>220</v>
      </c>
      <c r="I45" s="803">
        <f t="shared" ref="I45:I51" si="2">F45+G45+H45</f>
        <v>1600.2</v>
      </c>
      <c r="J45" s="120">
        <f>ROUND((F45+G45+H45)*(kopsavilkums!$O$12)*E45*12*(1+kopsavilkums!$O$23),2)</f>
        <v>1542.6</v>
      </c>
      <c r="K45" s="74"/>
      <c r="L45" s="66"/>
      <c r="M45" s="560"/>
      <c r="N45" s="72" t="s">
        <v>488</v>
      </c>
      <c r="O45" s="72" t="s">
        <v>698</v>
      </c>
      <c r="P45" s="72"/>
    </row>
    <row r="46" spans="1:16" x14ac:dyDescent="0.25">
      <c r="A46" s="76"/>
      <c r="B46" s="807" t="s">
        <v>112</v>
      </c>
      <c r="C46" s="592" t="s">
        <v>529</v>
      </c>
      <c r="D46" s="592" t="s">
        <v>488</v>
      </c>
      <c r="E46" s="808">
        <v>1</v>
      </c>
      <c r="F46" s="801">
        <v>1340</v>
      </c>
      <c r="G46" s="802">
        <v>40.199999999999996</v>
      </c>
      <c r="H46" s="802">
        <v>220</v>
      </c>
      <c r="I46" s="803">
        <f t="shared" si="2"/>
        <v>1600.2</v>
      </c>
      <c r="J46" s="120">
        <f>ROUND((F46+G46+H46)*(kopsavilkums!$O$12)*E46*12*(1+kopsavilkums!$O$23),2)</f>
        <v>1542.6</v>
      </c>
      <c r="K46" s="74"/>
      <c r="L46" s="66"/>
      <c r="M46" s="560"/>
      <c r="N46" s="72" t="s">
        <v>488</v>
      </c>
      <c r="O46" s="72" t="s">
        <v>698</v>
      </c>
      <c r="P46" s="72"/>
    </row>
    <row r="47" spans="1:16" x14ac:dyDescent="0.25">
      <c r="A47" s="76"/>
      <c r="B47" s="807" t="s">
        <v>112</v>
      </c>
      <c r="C47" s="592" t="s">
        <v>529</v>
      </c>
      <c r="D47" s="592" t="s">
        <v>488</v>
      </c>
      <c r="E47" s="808">
        <v>0.4</v>
      </c>
      <c r="F47" s="801">
        <v>1340</v>
      </c>
      <c r="G47" s="802">
        <v>40.199999999999996</v>
      </c>
      <c r="H47" s="802">
        <v>220</v>
      </c>
      <c r="I47" s="803">
        <f t="shared" si="2"/>
        <v>1600.2</v>
      </c>
      <c r="J47" s="120">
        <f>ROUND((F47+G47+H47)*(kopsavilkums!$O$12)*E47*12*(1+kopsavilkums!$O$23),2)</f>
        <v>617.04</v>
      </c>
      <c r="K47" s="74"/>
      <c r="L47" s="66"/>
      <c r="M47" s="560"/>
      <c r="N47" s="72" t="s">
        <v>488</v>
      </c>
      <c r="O47" s="72" t="s">
        <v>698</v>
      </c>
      <c r="P47" s="72"/>
    </row>
    <row r="48" spans="1:16" x14ac:dyDescent="0.25">
      <c r="A48" s="76"/>
      <c r="B48" s="807" t="s">
        <v>112</v>
      </c>
      <c r="C48" s="592" t="s">
        <v>529</v>
      </c>
      <c r="D48" s="592" t="s">
        <v>488</v>
      </c>
      <c r="E48" s="808">
        <v>1</v>
      </c>
      <c r="F48" s="801">
        <v>1340</v>
      </c>
      <c r="G48" s="802">
        <v>40.199999999999996</v>
      </c>
      <c r="H48" s="802">
        <v>220</v>
      </c>
      <c r="I48" s="803">
        <f t="shared" si="2"/>
        <v>1600.2</v>
      </c>
      <c r="J48" s="120">
        <f>ROUND((F48+G48+H48)*(kopsavilkums!$O$12)*E48*12*(1+kopsavilkums!$O$23),2)</f>
        <v>1542.6</v>
      </c>
      <c r="K48" s="74"/>
      <c r="L48" s="66"/>
      <c r="M48" s="560"/>
      <c r="N48" s="72" t="s">
        <v>488</v>
      </c>
      <c r="O48" s="72" t="s">
        <v>698</v>
      </c>
      <c r="P48" s="72"/>
    </row>
    <row r="49" spans="1:16" x14ac:dyDescent="0.25">
      <c r="A49" s="76"/>
      <c r="B49" s="807" t="s">
        <v>112</v>
      </c>
      <c r="C49" s="592" t="s">
        <v>529</v>
      </c>
      <c r="D49" s="592" t="s">
        <v>488</v>
      </c>
      <c r="E49" s="808">
        <v>0.2</v>
      </c>
      <c r="F49" s="801">
        <v>1340</v>
      </c>
      <c r="G49" s="802">
        <v>40.199999999999996</v>
      </c>
      <c r="H49" s="802">
        <v>220</v>
      </c>
      <c r="I49" s="803">
        <f t="shared" si="2"/>
        <v>1600.2</v>
      </c>
      <c r="J49" s="120">
        <f>ROUND((F49+G49+H49)*(kopsavilkums!$O$12)*E49*12*(1+kopsavilkums!$O$23),2)</f>
        <v>308.52</v>
      </c>
      <c r="K49" s="74"/>
      <c r="L49" s="66"/>
      <c r="M49" s="560"/>
      <c r="N49" s="72" t="s">
        <v>488</v>
      </c>
      <c r="O49" s="72" t="s">
        <v>698</v>
      </c>
      <c r="P49" s="72"/>
    </row>
    <row r="50" spans="1:16" x14ac:dyDescent="0.25">
      <c r="A50" s="76"/>
      <c r="B50" s="807" t="s">
        <v>112</v>
      </c>
      <c r="C50" s="592" t="s">
        <v>529</v>
      </c>
      <c r="D50" s="592" t="s">
        <v>488</v>
      </c>
      <c r="E50" s="808">
        <v>1</v>
      </c>
      <c r="F50" s="801">
        <v>1340</v>
      </c>
      <c r="G50" s="802">
        <v>40.199999999999996</v>
      </c>
      <c r="H50" s="802">
        <v>220</v>
      </c>
      <c r="I50" s="803">
        <f t="shared" si="2"/>
        <v>1600.2</v>
      </c>
      <c r="J50" s="120">
        <f>ROUND((F50+G50+H50)*(kopsavilkums!$O$12)*E50*12*(1+kopsavilkums!$O$23),2)</f>
        <v>1542.6</v>
      </c>
      <c r="K50" s="74"/>
      <c r="L50" s="66"/>
      <c r="M50" s="560"/>
      <c r="N50" s="72" t="s">
        <v>488</v>
      </c>
      <c r="O50" s="72" t="s">
        <v>698</v>
      </c>
      <c r="P50" s="72"/>
    </row>
    <row r="51" spans="1:16" ht="15.75" thickBot="1" x14ac:dyDescent="0.3">
      <c r="A51" s="76"/>
      <c r="B51" s="807" t="s">
        <v>112</v>
      </c>
      <c r="C51" s="592" t="s">
        <v>529</v>
      </c>
      <c r="D51" s="592" t="s">
        <v>488</v>
      </c>
      <c r="E51" s="808">
        <v>1</v>
      </c>
      <c r="F51" s="801">
        <v>1340</v>
      </c>
      <c r="G51" s="802">
        <v>40.199999999999996</v>
      </c>
      <c r="H51" s="802">
        <v>220</v>
      </c>
      <c r="I51" s="803">
        <f t="shared" si="2"/>
        <v>1600.2</v>
      </c>
      <c r="J51" s="120">
        <f>ROUND((F51+G51+H51)*(kopsavilkums!$O$12)*E51*12*(1+kopsavilkums!$O$23),2)</f>
        <v>1542.6</v>
      </c>
      <c r="K51" s="74"/>
      <c r="L51" s="66"/>
      <c r="M51" s="560"/>
      <c r="N51" s="72" t="s">
        <v>488</v>
      </c>
      <c r="O51" s="72" t="s">
        <v>698</v>
      </c>
      <c r="P51" s="72"/>
    </row>
    <row r="52" spans="1:16" ht="15.75" thickBot="1" x14ac:dyDescent="0.3">
      <c r="A52" s="76"/>
      <c r="B52" s="111" t="s">
        <v>32</v>
      </c>
      <c r="C52" s="520"/>
      <c r="D52" s="520"/>
      <c r="E52" s="285">
        <f>SUM(E12:E32,E36:E41,E34,E44:E51)</f>
        <v>20.399999999999999</v>
      </c>
      <c r="F52" s="112" t="s">
        <v>102</v>
      </c>
      <c r="G52" s="112" t="s">
        <v>102</v>
      </c>
      <c r="H52" s="112" t="s">
        <v>102</v>
      </c>
      <c r="I52" s="112" t="s">
        <v>102</v>
      </c>
      <c r="J52" s="286">
        <f>SUM(J12:J32,J36:J41,J34,J44:J51)</f>
        <v>56037.519999999975</v>
      </c>
      <c r="K52" s="74"/>
      <c r="L52" s="66"/>
      <c r="M52" s="66"/>
    </row>
    <row r="53" spans="1:16" x14ac:dyDescent="0.25">
      <c r="A53" s="76"/>
      <c r="K53" s="74"/>
      <c r="L53" s="66"/>
      <c r="M53" s="66"/>
    </row>
    <row r="54" spans="1:16" x14ac:dyDescent="0.25">
      <c r="A54" s="76"/>
      <c r="K54" s="331"/>
      <c r="L54" s="66"/>
      <c r="M54" s="66"/>
    </row>
    <row r="55" spans="1:16" x14ac:dyDescent="0.25">
      <c r="A55" s="76"/>
      <c r="K55" s="74"/>
      <c r="L55" s="66"/>
      <c r="M55" s="66"/>
    </row>
    <row r="56" spans="1:16" x14ac:dyDescent="0.25">
      <c r="A56" s="76"/>
      <c r="K56" s="74"/>
      <c r="L56" s="66"/>
      <c r="M56" s="66"/>
    </row>
    <row r="57" spans="1:16" x14ac:dyDescent="0.25">
      <c r="J57" s="57"/>
    </row>
  </sheetData>
  <mergeCells count="14">
    <mergeCell ref="B42:J42"/>
    <mergeCell ref="B8:I8"/>
    <mergeCell ref="B9:I9"/>
    <mergeCell ref="B2:J3"/>
    <mergeCell ref="B5:J5"/>
    <mergeCell ref="B6:B7"/>
    <mergeCell ref="E6:E7"/>
    <mergeCell ref="F6:F7"/>
    <mergeCell ref="G6:G7"/>
    <mergeCell ref="H6:H7"/>
    <mergeCell ref="I6:I7"/>
    <mergeCell ref="J6:J7"/>
    <mergeCell ref="C6:C7"/>
    <mergeCell ref="D6:D7"/>
  </mergeCells>
  <pageMargins left="0.70866141732283472" right="0.70866141732283472" top="0.74803149606299213" bottom="0.74803149606299213" header="0.31496062992125984" footer="0.31496062992125984"/>
  <pageSetup paperSize="9" scale="4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995F7-B50A-4063-BC0C-52C19D95C261}">
  <sheetPr>
    <tabColor rgb="FFFFFF00"/>
  </sheetPr>
  <dimension ref="A1:P125"/>
  <sheetViews>
    <sheetView showZeros="0" view="pageBreakPreview" zoomScale="60" zoomScaleNormal="100" workbookViewId="0">
      <pane ySplit="7" topLeftCell="A91" activePane="bottomLeft" state="frozen"/>
      <selection activeCell="D11" sqref="D11"/>
      <selection pane="bottomLeft" activeCell="A3" sqref="A3:M3"/>
    </sheetView>
  </sheetViews>
  <sheetFormatPr defaultColWidth="9.140625" defaultRowHeight="15" x14ac:dyDescent="0.25"/>
  <cols>
    <col min="1" max="3" width="27.7109375" style="15" customWidth="1"/>
    <col min="4" max="4" width="11.28515625" style="15" customWidth="1"/>
    <col min="5" max="5" width="11" style="15" customWidth="1"/>
    <col min="6" max="6" width="10.7109375" style="15" customWidth="1"/>
    <col min="7" max="7" width="8.140625" style="15" bestFit="1" customWidth="1"/>
    <col min="8" max="9" width="8.140625" style="15" customWidth="1"/>
    <col min="10" max="10" width="11.85546875" style="17" customWidth="1"/>
    <col min="11" max="11" width="13" style="15" customWidth="1"/>
    <col min="12" max="12" width="13.28515625" style="15" customWidth="1"/>
    <col min="13" max="13" width="14.140625" style="15" customWidth="1"/>
    <col min="14" max="16384" width="9.140625" style="15"/>
  </cols>
  <sheetData>
    <row r="1" spans="1:15" ht="21" customHeight="1" x14ac:dyDescent="0.3">
      <c r="A1" s="80"/>
      <c r="B1" s="80"/>
      <c r="C1" s="80"/>
      <c r="D1" s="80"/>
      <c r="E1" s="80"/>
      <c r="F1" s="80"/>
      <c r="G1" s="391"/>
      <c r="H1" s="391"/>
      <c r="I1" s="391"/>
      <c r="J1" s="391"/>
      <c r="K1" s="391"/>
      <c r="L1" s="927"/>
      <c r="M1" s="927" t="s">
        <v>986</v>
      </c>
    </row>
    <row r="2" spans="1:15" s="70" customFormat="1" ht="9" customHeight="1" x14ac:dyDescent="0.25">
      <c r="A2" s="1130"/>
      <c r="B2" s="1130"/>
      <c r="C2" s="1130"/>
      <c r="D2" s="1130"/>
      <c r="E2" s="1130"/>
      <c r="F2" s="1130"/>
      <c r="G2" s="1130"/>
      <c r="H2" s="1130"/>
      <c r="I2" s="1130"/>
      <c r="J2" s="1130"/>
    </row>
    <row r="3" spans="1:15" s="70" customFormat="1" ht="47.25" customHeight="1" x14ac:dyDescent="0.25">
      <c r="A3" s="1136" t="s">
        <v>988</v>
      </c>
      <c r="B3" s="1136"/>
      <c r="C3" s="1136"/>
      <c r="D3" s="1136"/>
      <c r="E3" s="1136"/>
      <c r="F3" s="1136"/>
      <c r="G3" s="1136"/>
      <c r="H3" s="1136"/>
      <c r="I3" s="1136"/>
      <c r="J3" s="1136"/>
      <c r="K3" s="1136"/>
      <c r="L3" s="1136"/>
      <c r="M3" s="1136"/>
    </row>
    <row r="4" spans="1:15" s="71" customFormat="1" ht="16.5" thickBot="1" x14ac:dyDescent="0.3">
      <c r="A4" s="81"/>
      <c r="B4" s="81"/>
      <c r="C4" s="81"/>
      <c r="D4" s="81"/>
      <c r="E4" s="81"/>
      <c r="F4" s="81"/>
      <c r="G4" s="81"/>
      <c r="H4" s="81"/>
      <c r="I4" s="81"/>
      <c r="J4" s="81"/>
      <c r="M4" s="263" t="s">
        <v>225</v>
      </c>
    </row>
    <row r="5" spans="1:15" s="71" customFormat="1" ht="16.5" customHeight="1" thickBot="1" x14ac:dyDescent="0.3">
      <c r="A5" s="1141" t="s">
        <v>0</v>
      </c>
      <c r="B5" s="1142"/>
      <c r="C5" s="1142"/>
      <c r="D5" s="1142"/>
      <c r="E5" s="1142"/>
      <c r="F5" s="1142"/>
      <c r="G5" s="1142"/>
      <c r="H5" s="1142"/>
      <c r="I5" s="1142"/>
      <c r="J5" s="1142"/>
      <c r="K5" s="1142"/>
      <c r="L5" s="1142"/>
      <c r="M5" s="255"/>
    </row>
    <row r="6" spans="1:15" s="82" customFormat="1" ht="12.75" customHeight="1" x14ac:dyDescent="0.25">
      <c r="A6" s="1143" t="s">
        <v>55</v>
      </c>
      <c r="B6" s="1128" t="s">
        <v>461</v>
      </c>
      <c r="C6" s="1128" t="s">
        <v>462</v>
      </c>
      <c r="D6" s="1144" t="s">
        <v>56</v>
      </c>
      <c r="E6" s="1144" t="s">
        <v>57</v>
      </c>
      <c r="F6" s="1144" t="s">
        <v>58</v>
      </c>
      <c r="G6" s="1097" t="s">
        <v>261</v>
      </c>
      <c r="H6" s="1097" t="s">
        <v>262</v>
      </c>
      <c r="I6" s="1097" t="s">
        <v>269</v>
      </c>
      <c r="J6" s="1145" t="s">
        <v>59</v>
      </c>
      <c r="K6" s="1137" t="s">
        <v>159</v>
      </c>
      <c r="L6" s="1139" t="s">
        <v>270</v>
      </c>
      <c r="M6" s="1134" t="s">
        <v>846</v>
      </c>
    </row>
    <row r="7" spans="1:15" s="82" customFormat="1" ht="65.25" customHeight="1" thickBot="1" x14ac:dyDescent="0.3">
      <c r="A7" s="1094"/>
      <c r="B7" s="1129"/>
      <c r="C7" s="1129"/>
      <c r="D7" s="1098"/>
      <c r="E7" s="1098"/>
      <c r="F7" s="1098"/>
      <c r="G7" s="1098"/>
      <c r="H7" s="1098"/>
      <c r="I7" s="1098"/>
      <c r="J7" s="1146"/>
      <c r="K7" s="1138"/>
      <c r="L7" s="1140"/>
      <c r="M7" s="1135"/>
    </row>
    <row r="8" spans="1:15" s="83" customFormat="1" ht="13.5" thickBot="1" x14ac:dyDescent="0.3">
      <c r="A8" s="1131" t="s">
        <v>160</v>
      </c>
      <c r="B8" s="1132"/>
      <c r="C8" s="1132"/>
      <c r="D8" s="1132"/>
      <c r="E8" s="1132"/>
      <c r="F8" s="1132"/>
      <c r="G8" s="1132"/>
      <c r="H8" s="1132"/>
      <c r="I8" s="1132"/>
      <c r="J8" s="1132"/>
      <c r="K8" s="1132"/>
      <c r="L8" s="1133"/>
      <c r="M8" s="262"/>
    </row>
    <row r="9" spans="1:15" x14ac:dyDescent="0.25">
      <c r="A9" s="995" t="s">
        <v>161</v>
      </c>
      <c r="B9" s="996"/>
      <c r="C9" s="996"/>
      <c r="D9" s="996"/>
      <c r="E9" s="996"/>
      <c r="F9" s="996"/>
      <c r="G9" s="996"/>
      <c r="H9" s="996"/>
      <c r="I9" s="996"/>
      <c r="J9" s="996"/>
      <c r="K9" s="996"/>
      <c r="L9" s="1002"/>
      <c r="M9" s="264"/>
    </row>
    <row r="10" spans="1:15" x14ac:dyDescent="0.25">
      <c r="A10" s="84" t="s">
        <v>8</v>
      </c>
      <c r="B10" s="529"/>
      <c r="C10" s="529"/>
      <c r="D10" s="535">
        <f>SUM(D11:D52)</f>
        <v>35.375</v>
      </c>
      <c r="E10" s="77"/>
      <c r="F10" s="77"/>
      <c r="G10" s="77"/>
      <c r="H10" s="363"/>
      <c r="I10" s="363"/>
      <c r="J10" s="85">
        <f>SUM(J11:J52)</f>
        <v>65923.990000000005</v>
      </c>
      <c r="K10" s="85">
        <f>SUM(K11:K52)</f>
        <v>57070.524499999985</v>
      </c>
      <c r="L10" s="85">
        <f>SUM(L11:L52)</f>
        <v>70533.461229549997</v>
      </c>
      <c r="M10" s="85">
        <f>SUM(M11:M52)</f>
        <v>89718.61000000003</v>
      </c>
    </row>
    <row r="11" spans="1:15" x14ac:dyDescent="0.25">
      <c r="A11" s="572" t="s">
        <v>12</v>
      </c>
      <c r="B11" s="592" t="s">
        <v>465</v>
      </c>
      <c r="C11" s="592"/>
      <c r="D11" s="792">
        <v>0.5</v>
      </c>
      <c r="E11" s="793">
        <v>1453</v>
      </c>
      <c r="F11" s="793"/>
      <c r="G11" s="793">
        <v>145.30000000000001</v>
      </c>
      <c r="H11" s="567"/>
      <c r="I11" s="567">
        <f>SUM(F11:H11)</f>
        <v>145.30000000000001</v>
      </c>
      <c r="J11" s="578">
        <f>+(I11+E11)</f>
        <v>1598.3</v>
      </c>
      <c r="K11" s="87">
        <f>+J11*D11</f>
        <v>799.15</v>
      </c>
      <c r="L11" s="142">
        <f>+K11*1.2359</f>
        <v>987.66948500000001</v>
      </c>
      <c r="M11" s="256">
        <f>ROUND((E11+F11+I11)*(kopsavilkums!$O$8)*D11*12*(1+kopsavilkums!$O$23),2)</f>
        <v>1256.32</v>
      </c>
      <c r="O11" s="265"/>
    </row>
    <row r="12" spans="1:15" x14ac:dyDescent="0.25">
      <c r="A12" s="572" t="s">
        <v>12</v>
      </c>
      <c r="B12" s="592" t="s">
        <v>465</v>
      </c>
      <c r="C12" s="592"/>
      <c r="D12" s="792">
        <v>11.6</v>
      </c>
      <c r="E12" s="793">
        <v>1639</v>
      </c>
      <c r="F12" s="793"/>
      <c r="G12" s="793">
        <v>163.9</v>
      </c>
      <c r="H12" s="567"/>
      <c r="I12" s="567">
        <f t="shared" ref="I12:I52" si="0">SUM(F12:H12)</f>
        <v>163.9</v>
      </c>
      <c r="J12" s="578">
        <f t="shared" ref="J12:J52" si="1">+(I12+E12)</f>
        <v>1802.9</v>
      </c>
      <c r="K12" s="87">
        <f t="shared" ref="K12:K52" si="2">+J12*D12</f>
        <v>20913.64</v>
      </c>
      <c r="L12" s="142">
        <f t="shared" ref="L12:L65" si="3">+K12*1.2359</f>
        <v>25847.167676000001</v>
      </c>
      <c r="M12" s="256">
        <f>ROUND((E12+F12+I12)*(kopsavilkums!$O$8)*D12*12*(1+kopsavilkums!$O$23),2)</f>
        <v>32877.599999999999</v>
      </c>
      <c r="O12" s="265"/>
    </row>
    <row r="13" spans="1:15" x14ac:dyDescent="0.25">
      <c r="A13" s="572" t="s">
        <v>12</v>
      </c>
      <c r="B13" s="592" t="s">
        <v>465</v>
      </c>
      <c r="C13" s="592"/>
      <c r="D13" s="792">
        <v>0.35</v>
      </c>
      <c r="E13" s="793">
        <v>1205</v>
      </c>
      <c r="F13" s="793"/>
      <c r="G13" s="793">
        <v>120.5</v>
      </c>
      <c r="H13" s="567"/>
      <c r="I13" s="567">
        <f t="shared" si="0"/>
        <v>120.5</v>
      </c>
      <c r="J13" s="578">
        <f t="shared" si="1"/>
        <v>1325.5</v>
      </c>
      <c r="K13" s="87">
        <f t="shared" si="2"/>
        <v>463.92499999999995</v>
      </c>
      <c r="L13" s="142">
        <f t="shared" si="3"/>
        <v>573.36490749999996</v>
      </c>
      <c r="M13" s="256">
        <f>ROUND((E13+F13+I13)*(kopsavilkums!$O$8)*D13*12*(1+kopsavilkums!$O$23),2)</f>
        <v>729.32</v>
      </c>
      <c r="O13" s="265"/>
    </row>
    <row r="14" spans="1:15" x14ac:dyDescent="0.25">
      <c r="A14" s="572" t="s">
        <v>12</v>
      </c>
      <c r="B14" s="592" t="s">
        <v>465</v>
      </c>
      <c r="C14" s="592"/>
      <c r="D14" s="792">
        <v>0.5</v>
      </c>
      <c r="E14" s="793">
        <v>1639</v>
      </c>
      <c r="F14" s="793"/>
      <c r="G14" s="793">
        <v>378</v>
      </c>
      <c r="H14" s="567"/>
      <c r="I14" s="567">
        <f t="shared" si="0"/>
        <v>378</v>
      </c>
      <c r="J14" s="578">
        <f t="shared" si="1"/>
        <v>2017</v>
      </c>
      <c r="K14" s="87">
        <f t="shared" si="2"/>
        <v>1008.5</v>
      </c>
      <c r="L14" s="142">
        <f t="shared" si="3"/>
        <v>1246.40515</v>
      </c>
      <c r="M14" s="256">
        <f>ROUND((E14+F14+I14)*(kopsavilkums!$O$8)*D14*12*(1+kopsavilkums!$O$23),2)</f>
        <v>1585.43</v>
      </c>
      <c r="O14" s="265"/>
    </row>
    <row r="15" spans="1:15" x14ac:dyDescent="0.25">
      <c r="A15" s="572" t="s">
        <v>12</v>
      </c>
      <c r="B15" s="592" t="s">
        <v>465</v>
      </c>
      <c r="C15" s="592"/>
      <c r="D15" s="792">
        <v>0.5</v>
      </c>
      <c r="E15" s="793">
        <v>1639</v>
      </c>
      <c r="F15" s="793"/>
      <c r="G15" s="793">
        <v>163.9</v>
      </c>
      <c r="H15" s="567"/>
      <c r="I15" s="567">
        <f t="shared" si="0"/>
        <v>163.9</v>
      </c>
      <c r="J15" s="578">
        <f t="shared" si="1"/>
        <v>1802.9</v>
      </c>
      <c r="K15" s="87">
        <f t="shared" si="2"/>
        <v>901.45</v>
      </c>
      <c r="L15" s="142">
        <f t="shared" si="3"/>
        <v>1114.1020550000001</v>
      </c>
      <c r="M15" s="256">
        <f>ROUND((E15+F15+I15)*(kopsavilkums!$O$8)*D15*12*(1+kopsavilkums!$O$23),2)</f>
        <v>1417.14</v>
      </c>
      <c r="O15" s="265"/>
    </row>
    <row r="16" spans="1:15" x14ac:dyDescent="0.25">
      <c r="A16" s="572" t="s">
        <v>12</v>
      </c>
      <c r="B16" s="592" t="s">
        <v>465</v>
      </c>
      <c r="C16" s="592"/>
      <c r="D16" s="792">
        <v>0.5</v>
      </c>
      <c r="E16" s="793">
        <v>1639</v>
      </c>
      <c r="F16" s="793"/>
      <c r="G16" s="793"/>
      <c r="H16" s="567"/>
      <c r="I16" s="567">
        <f t="shared" si="0"/>
        <v>0</v>
      </c>
      <c r="J16" s="578">
        <f t="shared" si="1"/>
        <v>1639</v>
      </c>
      <c r="K16" s="87">
        <f t="shared" si="2"/>
        <v>819.5</v>
      </c>
      <c r="L16" s="142">
        <f t="shared" si="3"/>
        <v>1012.82005</v>
      </c>
      <c r="M16" s="256">
        <f>ROUND((E16+F16+I16)*(kopsavilkums!$O$8)*D16*12*(1+kopsavilkums!$O$23),2)</f>
        <v>1288.31</v>
      </c>
      <c r="O16" s="265"/>
    </row>
    <row r="17" spans="1:15" x14ac:dyDescent="0.25">
      <c r="A17" s="572" t="s">
        <v>12</v>
      </c>
      <c r="B17" s="592" t="s">
        <v>465</v>
      </c>
      <c r="C17" s="592"/>
      <c r="D17" s="792">
        <v>0.2</v>
      </c>
      <c r="E17" s="793">
        <v>1639</v>
      </c>
      <c r="F17" s="793"/>
      <c r="G17" s="793"/>
      <c r="H17" s="567"/>
      <c r="I17" s="567">
        <f t="shared" si="0"/>
        <v>0</v>
      </c>
      <c r="J17" s="578">
        <f t="shared" si="1"/>
        <v>1639</v>
      </c>
      <c r="K17" s="87">
        <f t="shared" si="2"/>
        <v>327.8</v>
      </c>
      <c r="L17" s="142">
        <f t="shared" si="3"/>
        <v>405.12801999999999</v>
      </c>
      <c r="M17" s="256">
        <f>ROUND((E17+F17+I17)*(kopsavilkums!$O$8)*D17*12*(1+kopsavilkums!$O$23),2)</f>
        <v>515.32000000000005</v>
      </c>
      <c r="O17" s="265"/>
    </row>
    <row r="18" spans="1:15" x14ac:dyDescent="0.25">
      <c r="A18" s="572" t="s">
        <v>12</v>
      </c>
      <c r="B18" s="592" t="s">
        <v>465</v>
      </c>
      <c r="C18" s="592"/>
      <c r="D18" s="792">
        <v>0.5</v>
      </c>
      <c r="E18" s="793">
        <v>1639</v>
      </c>
      <c r="F18" s="793"/>
      <c r="G18" s="793">
        <v>163.9</v>
      </c>
      <c r="H18" s="567"/>
      <c r="I18" s="567">
        <f t="shared" si="0"/>
        <v>163.9</v>
      </c>
      <c r="J18" s="578">
        <f t="shared" si="1"/>
        <v>1802.9</v>
      </c>
      <c r="K18" s="87">
        <f t="shared" si="2"/>
        <v>901.45</v>
      </c>
      <c r="L18" s="142">
        <f t="shared" si="3"/>
        <v>1114.1020550000001</v>
      </c>
      <c r="M18" s="256">
        <f>ROUND((E18+F18+I18)*(kopsavilkums!$O$8)*D18*12*(1+kopsavilkums!$O$23),2)</f>
        <v>1417.14</v>
      </c>
      <c r="O18" s="265"/>
    </row>
    <row r="19" spans="1:15" x14ac:dyDescent="0.25">
      <c r="A19" s="572" t="s">
        <v>12</v>
      </c>
      <c r="B19" s="592" t="s">
        <v>465</v>
      </c>
      <c r="C19" s="592"/>
      <c r="D19" s="792">
        <v>0.1</v>
      </c>
      <c r="E19" s="793">
        <v>1720</v>
      </c>
      <c r="F19" s="793"/>
      <c r="G19" s="793"/>
      <c r="H19" s="567"/>
      <c r="I19" s="567">
        <f t="shared" si="0"/>
        <v>0</v>
      </c>
      <c r="J19" s="578">
        <f t="shared" si="1"/>
        <v>1720</v>
      </c>
      <c r="K19" s="87">
        <f t="shared" si="2"/>
        <v>172</v>
      </c>
      <c r="L19" s="142">
        <f t="shared" si="3"/>
        <v>212.57480000000001</v>
      </c>
      <c r="M19" s="256">
        <f>ROUND((E19+F19+I19)*(kopsavilkums!$O$8)*D19*12*(1+kopsavilkums!$O$23),2)</f>
        <v>270.39999999999998</v>
      </c>
      <c r="O19" s="265"/>
    </row>
    <row r="20" spans="1:15" x14ac:dyDescent="0.25">
      <c r="A20" s="572" t="s">
        <v>12</v>
      </c>
      <c r="B20" s="592" t="s">
        <v>465</v>
      </c>
      <c r="C20" s="592"/>
      <c r="D20" s="792">
        <v>1</v>
      </c>
      <c r="E20" s="793">
        <v>1063.7</v>
      </c>
      <c r="F20" s="793"/>
      <c r="G20" s="793">
        <v>137.91</v>
      </c>
      <c r="H20" s="567"/>
      <c r="I20" s="567">
        <f t="shared" si="0"/>
        <v>137.91</v>
      </c>
      <c r="J20" s="578">
        <f t="shared" si="1"/>
        <v>1201.6100000000001</v>
      </c>
      <c r="K20" s="87">
        <f t="shared" si="2"/>
        <v>1201.6100000000001</v>
      </c>
      <c r="L20" s="142">
        <f t="shared" si="3"/>
        <v>1485.0697990000001</v>
      </c>
      <c r="M20" s="256">
        <f>ROUND((E20+F20+I20)*(kopsavilkums!$O$8)*D20*12*(1+kopsavilkums!$O$23),2)</f>
        <v>1889.01</v>
      </c>
      <c r="O20" s="265"/>
    </row>
    <row r="21" spans="1:15" x14ac:dyDescent="0.25">
      <c r="A21" s="572" t="s">
        <v>12</v>
      </c>
      <c r="B21" s="592" t="s">
        <v>465</v>
      </c>
      <c r="C21" s="592"/>
      <c r="D21" s="792">
        <v>0.4</v>
      </c>
      <c r="E21" s="793">
        <v>1882</v>
      </c>
      <c r="F21" s="793"/>
      <c r="G21" s="793"/>
      <c r="H21" s="567"/>
      <c r="I21" s="567">
        <f t="shared" si="0"/>
        <v>0</v>
      </c>
      <c r="J21" s="578">
        <f t="shared" si="1"/>
        <v>1882</v>
      </c>
      <c r="K21" s="87">
        <f t="shared" si="2"/>
        <v>752.80000000000007</v>
      </c>
      <c r="L21" s="142">
        <f t="shared" si="3"/>
        <v>930.38552000000004</v>
      </c>
      <c r="M21" s="256">
        <f>ROUND((E21+F21+I21)*(kopsavilkums!$O$8)*D21*12*(1+kopsavilkums!$O$23),2)</f>
        <v>1183.45</v>
      </c>
      <c r="O21" s="265"/>
    </row>
    <row r="22" spans="1:15" x14ac:dyDescent="0.25">
      <c r="A22" s="572" t="s">
        <v>12</v>
      </c>
      <c r="B22" s="592" t="s">
        <v>465</v>
      </c>
      <c r="C22" s="592"/>
      <c r="D22" s="792">
        <v>0.25</v>
      </c>
      <c r="E22" s="793">
        <v>1453</v>
      </c>
      <c r="F22" s="793"/>
      <c r="G22" s="793">
        <v>363.25</v>
      </c>
      <c r="H22" s="567"/>
      <c r="I22" s="567">
        <f t="shared" si="0"/>
        <v>363.25</v>
      </c>
      <c r="J22" s="578">
        <f t="shared" si="1"/>
        <v>1816.25</v>
      </c>
      <c r="K22" s="87">
        <f t="shared" si="2"/>
        <v>454.0625</v>
      </c>
      <c r="L22" s="142">
        <f t="shared" si="3"/>
        <v>561.17584375000001</v>
      </c>
      <c r="M22" s="256">
        <f>ROUND((E22+F22+I22)*(kopsavilkums!$O$8)*D22*12*(1+kopsavilkums!$O$23),2)</f>
        <v>713.82</v>
      </c>
      <c r="O22" s="265"/>
    </row>
    <row r="23" spans="1:15" x14ac:dyDescent="0.25">
      <c r="A23" s="572" t="s">
        <v>12</v>
      </c>
      <c r="B23" s="592" t="s">
        <v>465</v>
      </c>
      <c r="C23" s="592"/>
      <c r="D23" s="792">
        <v>0.5</v>
      </c>
      <c r="E23" s="793">
        <v>1639</v>
      </c>
      <c r="F23" s="793"/>
      <c r="G23" s="793">
        <v>213.07</v>
      </c>
      <c r="H23" s="567"/>
      <c r="I23" s="567">
        <f t="shared" si="0"/>
        <v>213.07</v>
      </c>
      <c r="J23" s="578">
        <f t="shared" si="1"/>
        <v>1852.07</v>
      </c>
      <c r="K23" s="87">
        <f t="shared" si="2"/>
        <v>926.03499999999997</v>
      </c>
      <c r="L23" s="142">
        <f t="shared" si="3"/>
        <v>1144.4866565</v>
      </c>
      <c r="M23" s="256">
        <f>ROUND((E23+F23+I23)*(kopsavilkums!$O$8)*D23*12*(1+kopsavilkums!$O$23),2)</f>
        <v>1455.79</v>
      </c>
      <c r="O23" s="265"/>
    </row>
    <row r="24" spans="1:15" x14ac:dyDescent="0.25">
      <c r="A24" s="572" t="s">
        <v>12</v>
      </c>
      <c r="B24" s="592" t="s">
        <v>465</v>
      </c>
      <c r="C24" s="592"/>
      <c r="D24" s="792">
        <v>1</v>
      </c>
      <c r="E24" s="793">
        <v>1639</v>
      </c>
      <c r="F24" s="793"/>
      <c r="G24" s="793">
        <v>163.9</v>
      </c>
      <c r="H24" s="567"/>
      <c r="I24" s="567">
        <f t="shared" si="0"/>
        <v>163.9</v>
      </c>
      <c r="J24" s="578">
        <f t="shared" si="1"/>
        <v>1802.9</v>
      </c>
      <c r="K24" s="87">
        <f t="shared" si="2"/>
        <v>1802.9</v>
      </c>
      <c r="L24" s="142">
        <f t="shared" si="3"/>
        <v>2228.2041100000001</v>
      </c>
      <c r="M24" s="256">
        <f>ROUND((E24+F24+I24)*(kopsavilkums!$O$8)*D24*12*(1+kopsavilkums!$O$23),2)</f>
        <v>2834.28</v>
      </c>
      <c r="O24" s="265"/>
    </row>
    <row r="25" spans="1:15" x14ac:dyDescent="0.25">
      <c r="A25" s="887" t="s">
        <v>12</v>
      </c>
      <c r="B25" s="888" t="s">
        <v>465</v>
      </c>
      <c r="C25" s="888"/>
      <c r="D25" s="889">
        <v>0.25</v>
      </c>
      <c r="E25" s="890">
        <v>1492</v>
      </c>
      <c r="F25" s="890"/>
      <c r="G25" s="890"/>
      <c r="H25" s="891"/>
      <c r="I25" s="891">
        <f t="shared" si="0"/>
        <v>0</v>
      </c>
      <c r="J25" s="892">
        <f t="shared" si="1"/>
        <v>1492</v>
      </c>
      <c r="K25" s="87">
        <f t="shared" si="2"/>
        <v>373</v>
      </c>
      <c r="L25" s="142">
        <f t="shared" si="3"/>
        <v>460.9907</v>
      </c>
      <c r="M25" s="256">
        <f>ROUND((E25+F25+I25)*(kopsavilkums!$O$8)*D25*12*(1+kopsavilkums!$O$23),2)</f>
        <v>586.38</v>
      </c>
      <c r="O25" s="265"/>
    </row>
    <row r="26" spans="1:15" x14ac:dyDescent="0.25">
      <c r="A26" s="572" t="s">
        <v>154</v>
      </c>
      <c r="B26" s="592" t="s">
        <v>536</v>
      </c>
      <c r="C26" s="592"/>
      <c r="D26" s="792">
        <v>1</v>
      </c>
      <c r="E26" s="793">
        <v>1453</v>
      </c>
      <c r="F26" s="793"/>
      <c r="G26" s="793">
        <v>145.30000000000001</v>
      </c>
      <c r="H26" s="567"/>
      <c r="I26" s="567">
        <f t="shared" si="0"/>
        <v>145.30000000000001</v>
      </c>
      <c r="J26" s="578">
        <f t="shared" si="1"/>
        <v>1598.3</v>
      </c>
      <c r="K26" s="87">
        <f t="shared" si="2"/>
        <v>1598.3</v>
      </c>
      <c r="L26" s="142">
        <f t="shared" si="3"/>
        <v>1975.33897</v>
      </c>
      <c r="M26" s="256">
        <f>ROUND((E26+F26+I26)*(kopsavilkums!$O$8)*D26*12*(1+kopsavilkums!$O$23),2)</f>
        <v>2512.63</v>
      </c>
      <c r="O26" s="265"/>
    </row>
    <row r="27" spans="1:15" x14ac:dyDescent="0.25">
      <c r="A27" s="572" t="s">
        <v>121</v>
      </c>
      <c r="B27" s="592" t="s">
        <v>470</v>
      </c>
      <c r="C27" s="592"/>
      <c r="D27" s="792">
        <v>1</v>
      </c>
      <c r="E27" s="793">
        <v>1116</v>
      </c>
      <c r="F27" s="793"/>
      <c r="G27" s="793">
        <v>111.6</v>
      </c>
      <c r="H27" s="567"/>
      <c r="I27" s="567">
        <f t="shared" si="0"/>
        <v>111.6</v>
      </c>
      <c r="J27" s="578">
        <f t="shared" si="1"/>
        <v>1227.5999999999999</v>
      </c>
      <c r="K27" s="87">
        <f t="shared" si="2"/>
        <v>1227.5999999999999</v>
      </c>
      <c r="L27" s="142">
        <f t="shared" si="3"/>
        <v>1517.19084</v>
      </c>
      <c r="M27" s="256">
        <f>ROUND((E27+F27+I27)*(kopsavilkums!$O$8)*D27*12*(1+kopsavilkums!$O$23),2)</f>
        <v>1929.87</v>
      </c>
      <c r="O27" s="265"/>
    </row>
    <row r="28" spans="1:15" x14ac:dyDescent="0.25">
      <c r="A28" s="572" t="s">
        <v>121</v>
      </c>
      <c r="B28" s="592" t="s">
        <v>470</v>
      </c>
      <c r="C28" s="592"/>
      <c r="D28" s="792">
        <v>1</v>
      </c>
      <c r="E28" s="793">
        <v>1116</v>
      </c>
      <c r="F28" s="793"/>
      <c r="G28" s="793">
        <v>133.91999999999999</v>
      </c>
      <c r="H28" s="567"/>
      <c r="I28" s="567">
        <f t="shared" si="0"/>
        <v>133.91999999999999</v>
      </c>
      <c r="J28" s="578">
        <f t="shared" si="1"/>
        <v>1249.92</v>
      </c>
      <c r="K28" s="87">
        <f t="shared" si="2"/>
        <v>1249.92</v>
      </c>
      <c r="L28" s="142">
        <f t="shared" si="3"/>
        <v>1544.7761280000002</v>
      </c>
      <c r="M28" s="256">
        <f>ROUND((E28+F28+I28)*(kopsavilkums!$O$8)*D28*12*(1+kopsavilkums!$O$23),2)</f>
        <v>1964.96</v>
      </c>
      <c r="O28" s="265"/>
    </row>
    <row r="29" spans="1:15" x14ac:dyDescent="0.25">
      <c r="A29" s="572" t="s">
        <v>121</v>
      </c>
      <c r="B29" s="592" t="s">
        <v>868</v>
      </c>
      <c r="C29" s="592"/>
      <c r="D29" s="792">
        <v>0.4</v>
      </c>
      <c r="E29" s="793">
        <v>1124</v>
      </c>
      <c r="F29" s="793"/>
      <c r="G29" s="793"/>
      <c r="H29" s="567"/>
      <c r="I29" s="567">
        <f t="shared" si="0"/>
        <v>0</v>
      </c>
      <c r="J29" s="578">
        <f t="shared" si="1"/>
        <v>1124</v>
      </c>
      <c r="K29" s="87">
        <f t="shared" si="2"/>
        <v>449.6</v>
      </c>
      <c r="L29" s="142">
        <f t="shared" si="3"/>
        <v>555.66064000000006</v>
      </c>
      <c r="M29" s="256">
        <f>ROUND((E29+F29+I29)*(kopsavilkums!$O$8)*D29*12*(1+kopsavilkums!$O$23),2)</f>
        <v>706.8</v>
      </c>
      <c r="O29" s="265"/>
    </row>
    <row r="30" spans="1:15" x14ac:dyDescent="0.25">
      <c r="A30" s="572" t="s">
        <v>121</v>
      </c>
      <c r="B30" s="592" t="s">
        <v>884</v>
      </c>
      <c r="C30" s="592"/>
      <c r="D30" s="792">
        <v>1</v>
      </c>
      <c r="E30" s="793">
        <v>1453</v>
      </c>
      <c r="F30" s="793"/>
      <c r="G30" s="793">
        <v>14.53</v>
      </c>
      <c r="H30" s="567"/>
      <c r="I30" s="567">
        <f t="shared" si="0"/>
        <v>14.53</v>
      </c>
      <c r="J30" s="578">
        <f t="shared" si="1"/>
        <v>1467.53</v>
      </c>
      <c r="K30" s="87">
        <f t="shared" si="2"/>
        <v>1467.53</v>
      </c>
      <c r="L30" s="142">
        <f t="shared" si="3"/>
        <v>1813.720327</v>
      </c>
      <c r="M30" s="256">
        <f>ROUND((E30+F30+I30)*(kopsavilkums!$O$8)*D30*12*(1+kopsavilkums!$O$23),2)</f>
        <v>2307.0500000000002</v>
      </c>
      <c r="O30" s="265"/>
    </row>
    <row r="31" spans="1:15" x14ac:dyDescent="0.25">
      <c r="A31" s="572" t="s">
        <v>121</v>
      </c>
      <c r="B31" s="592" t="s">
        <v>885</v>
      </c>
      <c r="C31" s="592"/>
      <c r="D31" s="792">
        <v>0.875</v>
      </c>
      <c r="E31" s="793">
        <v>1453</v>
      </c>
      <c r="F31" s="793"/>
      <c r="G31" s="793">
        <v>145.30000000000001</v>
      </c>
      <c r="H31" s="567"/>
      <c r="I31" s="567">
        <f t="shared" si="0"/>
        <v>145.30000000000001</v>
      </c>
      <c r="J31" s="578">
        <f t="shared" si="1"/>
        <v>1598.3</v>
      </c>
      <c r="K31" s="87">
        <f t="shared" si="2"/>
        <v>1398.5125</v>
      </c>
      <c r="L31" s="142">
        <f t="shared" si="3"/>
        <v>1728.4215987500002</v>
      </c>
      <c r="M31" s="256">
        <f>ROUND((E31+F31+I31)*(kopsavilkums!$O$8)*D31*12*(1+kopsavilkums!$O$23),2)</f>
        <v>2198.5500000000002</v>
      </c>
      <c r="O31" s="265"/>
    </row>
    <row r="32" spans="1:15" x14ac:dyDescent="0.25">
      <c r="A32" s="572" t="s">
        <v>121</v>
      </c>
      <c r="B32" s="592" t="s">
        <v>885</v>
      </c>
      <c r="C32" s="592"/>
      <c r="D32" s="792">
        <v>0.25</v>
      </c>
      <c r="E32" s="793">
        <v>1529</v>
      </c>
      <c r="F32" s="793"/>
      <c r="G32" s="793"/>
      <c r="H32" s="567"/>
      <c r="I32" s="567">
        <f t="shared" si="0"/>
        <v>0</v>
      </c>
      <c r="J32" s="578">
        <f t="shared" si="1"/>
        <v>1529</v>
      </c>
      <c r="K32" s="87">
        <f t="shared" si="2"/>
        <v>382.25</v>
      </c>
      <c r="L32" s="142">
        <f t="shared" si="3"/>
        <v>472.422775</v>
      </c>
      <c r="M32" s="256">
        <f>ROUND((E32+F32+I32)*(kopsavilkums!$O$8)*D32*12*(1+kopsavilkums!$O$23),2)</f>
        <v>600.91999999999996</v>
      </c>
      <c r="O32" s="265"/>
    </row>
    <row r="33" spans="1:15" x14ac:dyDescent="0.25">
      <c r="A33" s="572" t="s">
        <v>121</v>
      </c>
      <c r="B33" s="592" t="s">
        <v>885</v>
      </c>
      <c r="C33" s="592"/>
      <c r="D33" s="792">
        <v>0.5</v>
      </c>
      <c r="E33" s="793">
        <v>1400</v>
      </c>
      <c r="F33" s="793"/>
      <c r="G33" s="793"/>
      <c r="H33" s="567"/>
      <c r="I33" s="567">
        <f t="shared" si="0"/>
        <v>0</v>
      </c>
      <c r="J33" s="578">
        <f t="shared" si="1"/>
        <v>1400</v>
      </c>
      <c r="K33" s="87">
        <f t="shared" si="2"/>
        <v>700</v>
      </c>
      <c r="L33" s="142">
        <f t="shared" si="3"/>
        <v>865.13</v>
      </c>
      <c r="M33" s="256">
        <f>ROUND((E33+F33+I33)*(kopsavilkums!$O$8)*D33*12*(1+kopsavilkums!$O$23),2)</f>
        <v>1100.45</v>
      </c>
      <c r="O33" s="265"/>
    </row>
    <row r="34" spans="1:15" x14ac:dyDescent="0.25">
      <c r="A34" s="572" t="s">
        <v>121</v>
      </c>
      <c r="B34" s="592" t="s">
        <v>885</v>
      </c>
      <c r="C34" s="592"/>
      <c r="D34" s="792">
        <v>0.5</v>
      </c>
      <c r="E34" s="793">
        <v>1453</v>
      </c>
      <c r="F34" s="793"/>
      <c r="G34" s="793">
        <v>188.89</v>
      </c>
      <c r="H34" s="567"/>
      <c r="I34" s="567">
        <f t="shared" si="0"/>
        <v>188.89</v>
      </c>
      <c r="J34" s="578">
        <f t="shared" si="1"/>
        <v>1641.8899999999999</v>
      </c>
      <c r="K34" s="87">
        <f t="shared" si="2"/>
        <v>820.94499999999994</v>
      </c>
      <c r="L34" s="142">
        <f t="shared" si="3"/>
        <v>1014.6059254999999</v>
      </c>
      <c r="M34" s="256">
        <f>ROUND((E34+F34+I34)*(kopsavilkums!$O$8)*D34*12*(1+kopsavilkums!$O$23),2)</f>
        <v>1290.58</v>
      </c>
      <c r="O34" s="265"/>
    </row>
    <row r="35" spans="1:15" x14ac:dyDescent="0.25">
      <c r="A35" s="572" t="s">
        <v>121</v>
      </c>
      <c r="B35" s="592" t="s">
        <v>885</v>
      </c>
      <c r="C35" s="592"/>
      <c r="D35" s="792">
        <v>0.5</v>
      </c>
      <c r="E35" s="793">
        <v>1453</v>
      </c>
      <c r="F35" s="793"/>
      <c r="G35" s="793">
        <v>145.30000000000001</v>
      </c>
      <c r="H35" s="567"/>
      <c r="I35" s="567">
        <f t="shared" si="0"/>
        <v>145.30000000000001</v>
      </c>
      <c r="J35" s="578">
        <f t="shared" si="1"/>
        <v>1598.3</v>
      </c>
      <c r="K35" s="87">
        <f t="shared" si="2"/>
        <v>799.15</v>
      </c>
      <c r="L35" s="142">
        <f t="shared" si="3"/>
        <v>987.66948500000001</v>
      </c>
      <c r="M35" s="256">
        <f>ROUND((E35+F35+I35)*(kopsavilkums!$O$8)*D35*12*(1+kopsavilkums!$O$23),2)</f>
        <v>1256.32</v>
      </c>
      <c r="O35" s="265"/>
    </row>
    <row r="36" spans="1:15" x14ac:dyDescent="0.25">
      <c r="A36" s="572" t="s">
        <v>121</v>
      </c>
      <c r="B36" s="592" t="s">
        <v>885</v>
      </c>
      <c r="C36" s="592"/>
      <c r="D36" s="792">
        <v>0.75</v>
      </c>
      <c r="E36" s="793">
        <v>1116</v>
      </c>
      <c r="F36" s="793"/>
      <c r="G36" s="793"/>
      <c r="H36" s="567"/>
      <c r="I36" s="567">
        <f t="shared" si="0"/>
        <v>0</v>
      </c>
      <c r="J36" s="578">
        <f t="shared" si="1"/>
        <v>1116</v>
      </c>
      <c r="K36" s="87">
        <f t="shared" si="2"/>
        <v>837</v>
      </c>
      <c r="L36" s="142">
        <f t="shared" si="3"/>
        <v>1034.4483</v>
      </c>
      <c r="M36" s="256">
        <f>ROUND((E36+F36+I36)*(kopsavilkums!$O$8)*D36*12*(1+kopsavilkums!$O$23),2)</f>
        <v>1315.82</v>
      </c>
      <c r="O36" s="265"/>
    </row>
    <row r="37" spans="1:15" x14ac:dyDescent="0.25">
      <c r="A37" s="572" t="s">
        <v>121</v>
      </c>
      <c r="B37" s="592" t="s">
        <v>885</v>
      </c>
      <c r="C37" s="592"/>
      <c r="D37" s="792">
        <v>0.25</v>
      </c>
      <c r="E37" s="793">
        <v>1453</v>
      </c>
      <c r="F37" s="793"/>
      <c r="G37" s="793"/>
      <c r="H37" s="567"/>
      <c r="I37" s="567">
        <f t="shared" si="0"/>
        <v>0</v>
      </c>
      <c r="J37" s="578">
        <f t="shared" si="1"/>
        <v>1453</v>
      </c>
      <c r="K37" s="87">
        <f t="shared" si="2"/>
        <v>363.25</v>
      </c>
      <c r="L37" s="142">
        <f t="shared" si="3"/>
        <v>448.940675</v>
      </c>
      <c r="M37" s="256">
        <f>ROUND((E37+F37+I37)*(kopsavilkums!$O$8)*D37*12*(1+kopsavilkums!$O$23),2)</f>
        <v>571.04999999999995</v>
      </c>
      <c r="O37" s="265"/>
    </row>
    <row r="38" spans="1:15" x14ac:dyDescent="0.25">
      <c r="A38" s="887" t="s">
        <v>121</v>
      </c>
      <c r="B38" s="888" t="s">
        <v>885</v>
      </c>
      <c r="C38" s="888"/>
      <c r="D38" s="889">
        <v>0.25</v>
      </c>
      <c r="E38" s="890">
        <v>1100</v>
      </c>
      <c r="F38" s="890"/>
      <c r="G38" s="890"/>
      <c r="H38" s="891"/>
      <c r="I38" s="891">
        <f t="shared" si="0"/>
        <v>0</v>
      </c>
      <c r="J38" s="892">
        <f t="shared" si="1"/>
        <v>1100</v>
      </c>
      <c r="K38" s="87">
        <f t="shared" si="2"/>
        <v>275</v>
      </c>
      <c r="L38" s="142">
        <f t="shared" si="3"/>
        <v>339.8725</v>
      </c>
      <c r="M38" s="256">
        <f>ROUND((E38+F38+I38)*(kopsavilkums!$O$8)*D38*12*(1+kopsavilkums!$O$23),2)</f>
        <v>432.32</v>
      </c>
      <c r="O38" s="265"/>
    </row>
    <row r="39" spans="1:15" x14ac:dyDescent="0.25">
      <c r="A39" s="572" t="s">
        <v>128</v>
      </c>
      <c r="B39" s="592" t="s">
        <v>468</v>
      </c>
      <c r="C39" s="592"/>
      <c r="D39" s="792">
        <v>0.25</v>
      </c>
      <c r="E39" s="793">
        <v>1453</v>
      </c>
      <c r="F39" s="793"/>
      <c r="G39" s="793">
        <v>363.25</v>
      </c>
      <c r="H39" s="567"/>
      <c r="I39" s="567">
        <f t="shared" si="0"/>
        <v>363.25</v>
      </c>
      <c r="J39" s="578">
        <f t="shared" si="1"/>
        <v>1816.25</v>
      </c>
      <c r="K39" s="87">
        <f t="shared" si="2"/>
        <v>454.0625</v>
      </c>
      <c r="L39" s="142">
        <f t="shared" si="3"/>
        <v>561.17584375000001</v>
      </c>
      <c r="M39" s="256">
        <f>ROUND((E39+F39+I39)*(kopsavilkums!$O$8)*D39*12*(1+kopsavilkums!$O$23),2)</f>
        <v>713.82</v>
      </c>
      <c r="O39" s="265"/>
    </row>
    <row r="40" spans="1:15" x14ac:dyDescent="0.25">
      <c r="A40" s="572" t="s">
        <v>128</v>
      </c>
      <c r="B40" s="592" t="s">
        <v>468</v>
      </c>
      <c r="C40" s="592"/>
      <c r="D40" s="792">
        <v>1.2</v>
      </c>
      <c r="E40" s="793">
        <v>1651</v>
      </c>
      <c r="F40" s="793"/>
      <c r="G40" s="793"/>
      <c r="H40" s="567"/>
      <c r="I40" s="567">
        <f t="shared" si="0"/>
        <v>0</v>
      </c>
      <c r="J40" s="578">
        <f t="shared" si="1"/>
        <v>1651</v>
      </c>
      <c r="K40" s="87">
        <f t="shared" si="2"/>
        <v>1981.1999999999998</v>
      </c>
      <c r="L40" s="142">
        <f t="shared" si="3"/>
        <v>2448.5650799999999</v>
      </c>
      <c r="M40" s="256">
        <f>ROUND((E40+F40+I40)*(kopsavilkums!$O$8)*D40*12*(1+kopsavilkums!$O$23),2)</f>
        <v>3114.57</v>
      </c>
      <c r="O40" s="265"/>
    </row>
    <row r="41" spans="1:15" x14ac:dyDescent="0.25">
      <c r="A41" s="572" t="s">
        <v>126</v>
      </c>
      <c r="B41" s="592" t="s">
        <v>483</v>
      </c>
      <c r="C41" s="592"/>
      <c r="D41" s="792">
        <v>1.1000000000000001</v>
      </c>
      <c r="E41" s="793">
        <v>1210</v>
      </c>
      <c r="F41" s="793"/>
      <c r="G41" s="793"/>
      <c r="H41" s="567"/>
      <c r="I41" s="567">
        <f t="shared" si="0"/>
        <v>0</v>
      </c>
      <c r="J41" s="578">
        <f t="shared" si="1"/>
        <v>1210</v>
      </c>
      <c r="K41" s="87">
        <f t="shared" si="2"/>
        <v>1331</v>
      </c>
      <c r="L41" s="142">
        <f t="shared" si="3"/>
        <v>1644.9829</v>
      </c>
      <c r="M41" s="256">
        <f>ROUND((E41+F41+I41)*(kopsavilkums!$O$8)*D41*12*(1+kopsavilkums!$O$23),2)</f>
        <v>2092.42</v>
      </c>
      <c r="O41" s="265"/>
    </row>
    <row r="42" spans="1:15" x14ac:dyDescent="0.25">
      <c r="A42" s="572" t="s">
        <v>136</v>
      </c>
      <c r="B42" s="592" t="s">
        <v>534</v>
      </c>
      <c r="C42" s="592"/>
      <c r="D42" s="792">
        <v>1.5</v>
      </c>
      <c r="E42" s="793">
        <v>1116</v>
      </c>
      <c r="F42" s="793"/>
      <c r="G42" s="793">
        <v>111.6</v>
      </c>
      <c r="H42" s="567"/>
      <c r="I42" s="567">
        <f t="shared" si="0"/>
        <v>111.6</v>
      </c>
      <c r="J42" s="578">
        <f t="shared" si="1"/>
        <v>1227.5999999999999</v>
      </c>
      <c r="K42" s="87">
        <f t="shared" si="2"/>
        <v>1841.3999999999999</v>
      </c>
      <c r="L42" s="142">
        <f t="shared" si="3"/>
        <v>2275.7862599999999</v>
      </c>
      <c r="M42" s="256">
        <f>ROUND((E42+F42+I42)*(kopsavilkums!$O$8)*D42*12*(1+kopsavilkums!$O$23),2)</f>
        <v>2894.8</v>
      </c>
      <c r="O42" s="265"/>
    </row>
    <row r="43" spans="1:15" x14ac:dyDescent="0.25">
      <c r="A43" s="572" t="s">
        <v>128</v>
      </c>
      <c r="B43" s="592" t="s">
        <v>468</v>
      </c>
      <c r="C43" s="592"/>
      <c r="D43" s="792">
        <v>1.5</v>
      </c>
      <c r="E43" s="793">
        <v>1453</v>
      </c>
      <c r="F43" s="793"/>
      <c r="G43" s="793">
        <v>145.30000000000001</v>
      </c>
      <c r="H43" s="567"/>
      <c r="I43" s="567">
        <f t="shared" si="0"/>
        <v>145.30000000000001</v>
      </c>
      <c r="J43" s="578">
        <f t="shared" si="1"/>
        <v>1598.3</v>
      </c>
      <c r="K43" s="87">
        <f t="shared" si="2"/>
        <v>2397.4499999999998</v>
      </c>
      <c r="L43" s="142">
        <f t="shared" si="3"/>
        <v>2963.0084549999997</v>
      </c>
      <c r="M43" s="256">
        <f>ROUND((E43+F43+I43)*(kopsavilkums!$O$8)*D43*12*(1+kopsavilkums!$O$23),2)</f>
        <v>3768.95</v>
      </c>
      <c r="O43" s="265"/>
    </row>
    <row r="44" spans="1:15" x14ac:dyDescent="0.25">
      <c r="A44" s="572" t="s">
        <v>238</v>
      </c>
      <c r="B44" s="592" t="s">
        <v>553</v>
      </c>
      <c r="C44" s="592"/>
      <c r="D44" s="792">
        <v>0.1</v>
      </c>
      <c r="E44" s="793">
        <v>1639</v>
      </c>
      <c r="F44" s="793"/>
      <c r="G44" s="793">
        <v>213.07</v>
      </c>
      <c r="H44" s="567"/>
      <c r="I44" s="567">
        <f t="shared" si="0"/>
        <v>213.07</v>
      </c>
      <c r="J44" s="578">
        <f t="shared" si="1"/>
        <v>1852.07</v>
      </c>
      <c r="K44" s="87">
        <f t="shared" si="2"/>
        <v>185.20699999999999</v>
      </c>
      <c r="L44" s="142">
        <f t="shared" si="3"/>
        <v>228.89733129999999</v>
      </c>
      <c r="M44" s="256">
        <f>ROUND((E44+F44+I44)*(kopsavilkums!$O$8)*D44*12*(1+kopsavilkums!$O$23),2)</f>
        <v>291.16000000000003</v>
      </c>
      <c r="O44" s="265"/>
    </row>
    <row r="45" spans="1:15" x14ac:dyDescent="0.25">
      <c r="A45" s="572" t="s">
        <v>125</v>
      </c>
      <c r="B45" s="592" t="s">
        <v>503</v>
      </c>
      <c r="C45" s="592"/>
      <c r="D45" s="792">
        <v>0.2</v>
      </c>
      <c r="E45" s="793">
        <v>1555</v>
      </c>
      <c r="F45" s="793"/>
      <c r="G45" s="793"/>
      <c r="H45" s="567"/>
      <c r="I45" s="567">
        <f t="shared" ref="I45:I49" si="4">SUM(F45:H45)</f>
        <v>0</v>
      </c>
      <c r="J45" s="578">
        <f t="shared" ref="J45:J49" si="5">+(I45+E45)</f>
        <v>1555</v>
      </c>
      <c r="K45" s="87">
        <f t="shared" ref="K45:K49" si="6">+J45*D45</f>
        <v>311</v>
      </c>
      <c r="L45" s="142">
        <f t="shared" ref="L45:L49" si="7">+K45*1.2359</f>
        <v>384.36489999999998</v>
      </c>
      <c r="M45" s="256">
        <f>ROUND((E45+F45+I45)*(kopsavilkums!$O$8)*D45*12*(1+kopsavilkums!$O$23),2)</f>
        <v>488.91</v>
      </c>
      <c r="O45" s="265"/>
    </row>
    <row r="46" spans="1:15" x14ac:dyDescent="0.25">
      <c r="A46" s="572" t="s">
        <v>118</v>
      </c>
      <c r="B46" s="592" t="s">
        <v>654</v>
      </c>
      <c r="C46" s="592"/>
      <c r="D46" s="792">
        <v>0.2</v>
      </c>
      <c r="E46" s="793">
        <v>1555</v>
      </c>
      <c r="F46" s="793"/>
      <c r="G46" s="793"/>
      <c r="H46" s="567"/>
      <c r="I46" s="567">
        <f t="shared" si="4"/>
        <v>0</v>
      </c>
      <c r="J46" s="578">
        <f t="shared" si="5"/>
        <v>1555</v>
      </c>
      <c r="K46" s="87">
        <f t="shared" si="6"/>
        <v>311</v>
      </c>
      <c r="L46" s="142">
        <f t="shared" si="7"/>
        <v>384.36489999999998</v>
      </c>
      <c r="M46" s="256">
        <f>ROUND((E46+F46+I46)*(kopsavilkums!$O$8)*D46*12*(1+kopsavilkums!$O$23),2)</f>
        <v>488.91</v>
      </c>
      <c r="O46" s="265"/>
    </row>
    <row r="47" spans="1:15" x14ac:dyDescent="0.25">
      <c r="A47" s="572" t="s">
        <v>118</v>
      </c>
      <c r="B47" s="592" t="s">
        <v>654</v>
      </c>
      <c r="C47" s="592"/>
      <c r="D47" s="792">
        <v>0.4</v>
      </c>
      <c r="E47" s="793">
        <v>1453</v>
      </c>
      <c r="F47" s="793"/>
      <c r="G47" s="793"/>
      <c r="H47" s="567"/>
      <c r="I47" s="567">
        <f t="shared" si="4"/>
        <v>0</v>
      </c>
      <c r="J47" s="578">
        <f t="shared" si="5"/>
        <v>1453</v>
      </c>
      <c r="K47" s="87">
        <f t="shared" si="6"/>
        <v>581.20000000000005</v>
      </c>
      <c r="L47" s="142">
        <f t="shared" si="7"/>
        <v>718.30508000000009</v>
      </c>
      <c r="M47" s="256">
        <f>ROUND((E47+F47+I47)*(kopsavilkums!$O$8)*D47*12*(1+kopsavilkums!$O$23),2)</f>
        <v>913.68</v>
      </c>
      <c r="O47" s="265"/>
    </row>
    <row r="48" spans="1:15" x14ac:dyDescent="0.25">
      <c r="A48" s="572" t="s">
        <v>118</v>
      </c>
      <c r="B48" s="592" t="s">
        <v>654</v>
      </c>
      <c r="C48" s="592"/>
      <c r="D48" s="792">
        <v>0.5</v>
      </c>
      <c r="E48" s="793">
        <v>1639</v>
      </c>
      <c r="F48" s="793"/>
      <c r="G48" s="793">
        <v>491.7</v>
      </c>
      <c r="H48" s="567"/>
      <c r="I48" s="567">
        <f t="shared" si="4"/>
        <v>491.7</v>
      </c>
      <c r="J48" s="578">
        <f t="shared" si="5"/>
        <v>2130.6999999999998</v>
      </c>
      <c r="K48" s="87">
        <f t="shared" si="6"/>
        <v>1065.3499999999999</v>
      </c>
      <c r="L48" s="142">
        <f t="shared" si="7"/>
        <v>1316.6660649999999</v>
      </c>
      <c r="M48" s="256">
        <f>ROUND((E48+F48+I48)*(kopsavilkums!$O$8)*D48*12*(1+kopsavilkums!$O$23),2)</f>
        <v>1674.8</v>
      </c>
      <c r="O48" s="265"/>
    </row>
    <row r="49" spans="1:15" x14ac:dyDescent="0.25">
      <c r="A49" s="572" t="s">
        <v>118</v>
      </c>
      <c r="B49" s="592" t="s">
        <v>654</v>
      </c>
      <c r="C49" s="592"/>
      <c r="D49" s="792">
        <v>0.5</v>
      </c>
      <c r="E49" s="793">
        <v>1555</v>
      </c>
      <c r="F49" s="793"/>
      <c r="G49" s="793"/>
      <c r="H49" s="567"/>
      <c r="I49" s="567">
        <f t="shared" si="4"/>
        <v>0</v>
      </c>
      <c r="J49" s="578">
        <f t="shared" si="5"/>
        <v>1555</v>
      </c>
      <c r="K49" s="87">
        <f t="shared" si="6"/>
        <v>777.5</v>
      </c>
      <c r="L49" s="142">
        <f t="shared" si="7"/>
        <v>960.91224999999997</v>
      </c>
      <c r="M49" s="256">
        <f>ROUND((E49+F49+I49)*(kopsavilkums!$O$8)*D49*12*(1+kopsavilkums!$O$23),2)</f>
        <v>1222.28</v>
      </c>
      <c r="O49" s="265"/>
    </row>
    <row r="50" spans="1:15" x14ac:dyDescent="0.25">
      <c r="A50" s="572" t="s">
        <v>118</v>
      </c>
      <c r="B50" s="592" t="s">
        <v>654</v>
      </c>
      <c r="C50" s="592"/>
      <c r="D50" s="792">
        <v>0.5</v>
      </c>
      <c r="E50" s="793">
        <v>1480</v>
      </c>
      <c r="F50" s="793"/>
      <c r="G50" s="793"/>
      <c r="H50" s="567"/>
      <c r="I50" s="567">
        <f t="shared" si="0"/>
        <v>0</v>
      </c>
      <c r="J50" s="578">
        <f t="shared" si="1"/>
        <v>1480</v>
      </c>
      <c r="K50" s="87">
        <f t="shared" si="2"/>
        <v>740</v>
      </c>
      <c r="L50" s="142">
        <f t="shared" si="3"/>
        <v>914.56600000000003</v>
      </c>
      <c r="M50" s="256">
        <f>ROUND((E50+F50+I50)*(kopsavilkums!$O$8)*D50*12*(1+kopsavilkums!$O$23),2)</f>
        <v>1163.33</v>
      </c>
      <c r="O50" s="265"/>
    </row>
    <row r="51" spans="1:15" x14ac:dyDescent="0.25">
      <c r="A51" s="887" t="s">
        <v>118</v>
      </c>
      <c r="B51" s="888" t="s">
        <v>481</v>
      </c>
      <c r="C51" s="888"/>
      <c r="D51" s="889">
        <v>0.25</v>
      </c>
      <c r="E51" s="890">
        <v>1453</v>
      </c>
      <c r="F51" s="890"/>
      <c r="G51" s="890">
        <v>145.30000000000001</v>
      </c>
      <c r="H51" s="891"/>
      <c r="I51" s="891">
        <f t="shared" si="0"/>
        <v>145.30000000000001</v>
      </c>
      <c r="J51" s="892">
        <f t="shared" si="1"/>
        <v>1598.3</v>
      </c>
      <c r="K51" s="87">
        <f t="shared" si="2"/>
        <v>399.57499999999999</v>
      </c>
      <c r="L51" s="142">
        <f t="shared" si="3"/>
        <v>493.8347425</v>
      </c>
      <c r="M51" s="256">
        <f>ROUND((E51+F51+I51)*(kopsavilkums!$O$8)*D51*12*(1+kopsavilkums!$O$23),2)</f>
        <v>628.16</v>
      </c>
      <c r="O51" s="265"/>
    </row>
    <row r="52" spans="1:15" x14ac:dyDescent="0.25">
      <c r="A52" s="572" t="s">
        <v>280</v>
      </c>
      <c r="B52" s="592">
        <v>2212104</v>
      </c>
      <c r="C52" s="592"/>
      <c r="D52" s="792">
        <v>0.75</v>
      </c>
      <c r="E52" s="793">
        <v>1453</v>
      </c>
      <c r="F52" s="793"/>
      <c r="G52" s="793">
        <v>290.60000000000002</v>
      </c>
      <c r="H52" s="567"/>
      <c r="I52" s="567">
        <f t="shared" si="0"/>
        <v>290.60000000000002</v>
      </c>
      <c r="J52" s="578">
        <f t="shared" si="1"/>
        <v>1743.6</v>
      </c>
      <c r="K52" s="87">
        <f t="shared" si="2"/>
        <v>1307.6999999999998</v>
      </c>
      <c r="L52" s="142">
        <f t="shared" si="3"/>
        <v>1616.1864299999997</v>
      </c>
      <c r="M52" s="256">
        <f>ROUND((E52+F52+I52)*(kopsavilkums!$O$8)*D52*12*(1+kopsavilkums!$O$23),2)</f>
        <v>2055.79</v>
      </c>
      <c r="O52" s="265"/>
    </row>
    <row r="53" spans="1:15" ht="25.5" x14ac:dyDescent="0.25">
      <c r="A53" s="78" t="s">
        <v>14</v>
      </c>
      <c r="B53" s="530"/>
      <c r="C53" s="530"/>
      <c r="D53" s="534">
        <f>SUM(D54:D105)</f>
        <v>85.92</v>
      </c>
      <c r="E53" s="88"/>
      <c r="F53" s="88"/>
      <c r="G53" s="88"/>
      <c r="H53" s="364"/>
      <c r="I53" s="364"/>
      <c r="J53" s="51">
        <f t="shared" ref="J53:J108" si="8">+(I53+E53)</f>
        <v>0</v>
      </c>
      <c r="K53" s="86">
        <f t="shared" ref="K53:M53" si="9">SUM(K54:K105)</f>
        <v>102981.62284999999</v>
      </c>
      <c r="L53" s="86">
        <f t="shared" si="9"/>
        <v>127274.98768031503</v>
      </c>
      <c r="M53" s="86">
        <f t="shared" si="9"/>
        <v>99489.62999999999</v>
      </c>
    </row>
    <row r="54" spans="1:15" x14ac:dyDescent="0.25">
      <c r="A54" s="572" t="s">
        <v>163</v>
      </c>
      <c r="B54" s="592" t="s">
        <v>561</v>
      </c>
      <c r="C54" s="592"/>
      <c r="D54" s="792">
        <v>0.5</v>
      </c>
      <c r="E54" s="793">
        <v>1453</v>
      </c>
      <c r="F54" s="793"/>
      <c r="G54" s="793">
        <v>145.30000000000001</v>
      </c>
      <c r="H54" s="567"/>
      <c r="I54" s="567">
        <f t="shared" ref="I54" si="10">SUM(F54:H54)</f>
        <v>145.30000000000001</v>
      </c>
      <c r="J54" s="578">
        <f t="shared" si="8"/>
        <v>1598.3</v>
      </c>
      <c r="K54" s="87">
        <f t="shared" ref="K54:K93" si="11">+J54*D54</f>
        <v>799.15</v>
      </c>
      <c r="L54" s="142">
        <f t="shared" si="3"/>
        <v>987.66948500000001</v>
      </c>
      <c r="M54" s="256">
        <f>ROUND((E54+F54+I54)*(kopsavilkums!$O$12)*D54*12*(1+kopsavilkums!$O$23),2)</f>
        <v>770.38</v>
      </c>
      <c r="O54" s="265"/>
    </row>
    <row r="55" spans="1:15" x14ac:dyDescent="0.25">
      <c r="A55" s="572" t="s">
        <v>127</v>
      </c>
      <c r="B55" s="592" t="s">
        <v>524</v>
      </c>
      <c r="C55" s="592"/>
      <c r="D55" s="792">
        <v>2.8</v>
      </c>
      <c r="E55" s="793">
        <v>992</v>
      </c>
      <c r="F55" s="793"/>
      <c r="G55" s="793">
        <v>99.2</v>
      </c>
      <c r="H55" s="567"/>
      <c r="I55" s="567">
        <f t="shared" ref="I55:I59" si="12">SUM(F55:H55)</f>
        <v>99.2</v>
      </c>
      <c r="J55" s="578">
        <f t="shared" si="8"/>
        <v>1091.2</v>
      </c>
      <c r="K55" s="87">
        <f t="shared" si="11"/>
        <v>3055.36</v>
      </c>
      <c r="L55" s="142">
        <f t="shared" si="3"/>
        <v>3776.119424</v>
      </c>
      <c r="M55" s="256">
        <f>ROUND((E55+F55+I55)*(kopsavilkums!$O$12)*D55*12*(1+kopsavilkums!$O$23),2)</f>
        <v>2945.37</v>
      </c>
      <c r="O55" s="265"/>
    </row>
    <row r="56" spans="1:15" x14ac:dyDescent="0.25">
      <c r="A56" s="572" t="s">
        <v>127</v>
      </c>
      <c r="B56" s="592" t="s">
        <v>524</v>
      </c>
      <c r="C56" s="592"/>
      <c r="D56" s="792">
        <v>0.75</v>
      </c>
      <c r="E56" s="793">
        <v>951</v>
      </c>
      <c r="F56" s="793"/>
      <c r="G56" s="793">
        <v>95.1</v>
      </c>
      <c r="H56" s="567"/>
      <c r="I56" s="567">
        <f t="shared" si="12"/>
        <v>95.1</v>
      </c>
      <c r="J56" s="578">
        <f t="shared" si="8"/>
        <v>1046.0999999999999</v>
      </c>
      <c r="K56" s="87">
        <f t="shared" si="11"/>
        <v>784.57499999999993</v>
      </c>
      <c r="L56" s="142">
        <f t="shared" si="3"/>
        <v>969.65624249999996</v>
      </c>
      <c r="M56" s="256">
        <f>ROUND((E56+F56+I56)*(kopsavilkums!$O$12)*D56*12*(1+kopsavilkums!$O$23),2)</f>
        <v>756.33</v>
      </c>
      <c r="O56" s="265"/>
    </row>
    <row r="57" spans="1:15" x14ac:dyDescent="0.25">
      <c r="A57" s="572" t="s">
        <v>127</v>
      </c>
      <c r="B57" s="592" t="s">
        <v>653</v>
      </c>
      <c r="C57" s="592"/>
      <c r="D57" s="792">
        <v>0.5</v>
      </c>
      <c r="E57" s="793">
        <v>992</v>
      </c>
      <c r="F57" s="793"/>
      <c r="G57" s="793">
        <v>226</v>
      </c>
      <c r="H57" s="567"/>
      <c r="I57" s="567">
        <f t="shared" si="12"/>
        <v>226</v>
      </c>
      <c r="J57" s="578">
        <f t="shared" si="8"/>
        <v>1218</v>
      </c>
      <c r="K57" s="87">
        <f t="shared" si="11"/>
        <v>609</v>
      </c>
      <c r="L57" s="142">
        <f t="shared" si="3"/>
        <v>752.66309999999999</v>
      </c>
      <c r="M57" s="256">
        <f>ROUND((E57+F57+I57)*(kopsavilkums!$O$12)*D57*12*(1+kopsavilkums!$O$23),2)</f>
        <v>587.08000000000004</v>
      </c>
      <c r="O57" s="265"/>
    </row>
    <row r="58" spans="1:15" x14ac:dyDescent="0.25">
      <c r="A58" s="572" t="s">
        <v>127</v>
      </c>
      <c r="B58" s="592" t="s">
        <v>524</v>
      </c>
      <c r="C58" s="592"/>
      <c r="D58" s="792">
        <v>0.5</v>
      </c>
      <c r="E58" s="793">
        <v>893</v>
      </c>
      <c r="F58" s="793"/>
      <c r="G58" s="793"/>
      <c r="H58" s="567"/>
      <c r="I58" s="567">
        <f t="shared" si="12"/>
        <v>0</v>
      </c>
      <c r="J58" s="578">
        <f t="shared" si="8"/>
        <v>893</v>
      </c>
      <c r="K58" s="87">
        <f t="shared" si="11"/>
        <v>446.5</v>
      </c>
      <c r="L58" s="142">
        <f t="shared" si="3"/>
        <v>551.82934999999998</v>
      </c>
      <c r="M58" s="256">
        <f>ROUND((E58+F58+I58)*(kopsavilkums!$O$12)*D58*12*(1+kopsavilkums!$O$23),2)</f>
        <v>430.43</v>
      </c>
      <c r="O58" s="265"/>
    </row>
    <row r="59" spans="1:15" x14ac:dyDescent="0.25">
      <c r="A59" s="572" t="s">
        <v>127</v>
      </c>
      <c r="B59" s="592" t="s">
        <v>524</v>
      </c>
      <c r="C59" s="592"/>
      <c r="D59" s="792">
        <v>0.5</v>
      </c>
      <c r="E59" s="793">
        <v>1116</v>
      </c>
      <c r="F59" s="793"/>
      <c r="G59" s="793">
        <v>133.91999999999999</v>
      </c>
      <c r="H59" s="567"/>
      <c r="I59" s="567">
        <f t="shared" si="12"/>
        <v>133.91999999999999</v>
      </c>
      <c r="J59" s="578">
        <f t="shared" si="8"/>
        <v>1249.92</v>
      </c>
      <c r="K59" s="87">
        <f t="shared" si="11"/>
        <v>624.96</v>
      </c>
      <c r="L59" s="142">
        <f t="shared" si="3"/>
        <v>772.3880640000001</v>
      </c>
      <c r="M59" s="256">
        <f>ROUND((E59+F59+I59)*(kopsavilkums!$O$12)*D59*12*(1+kopsavilkums!$O$23),2)</f>
        <v>602.46</v>
      </c>
      <c r="O59" s="265"/>
    </row>
    <row r="60" spans="1:15" x14ac:dyDescent="0.25">
      <c r="A60" s="572" t="s">
        <v>127</v>
      </c>
      <c r="B60" s="592" t="s">
        <v>653</v>
      </c>
      <c r="C60" s="592"/>
      <c r="D60" s="792">
        <v>0.5</v>
      </c>
      <c r="E60" s="793">
        <v>992</v>
      </c>
      <c r="F60" s="793"/>
      <c r="G60" s="793">
        <v>128.96</v>
      </c>
      <c r="H60" s="567"/>
      <c r="I60" s="567">
        <f t="shared" ref="I60:I100" si="13">SUM(F60:H60)</f>
        <v>128.96</v>
      </c>
      <c r="J60" s="578">
        <f t="shared" si="8"/>
        <v>1120.96</v>
      </c>
      <c r="K60" s="87">
        <f t="shared" si="11"/>
        <v>560.48</v>
      </c>
      <c r="L60" s="142">
        <f t="shared" si="3"/>
        <v>692.69723199999999</v>
      </c>
      <c r="M60" s="256">
        <f>ROUND((E60+F60+I60)*(kopsavilkums!$O$12)*D60*12*(1+kopsavilkums!$O$23),2)</f>
        <v>540.29999999999995</v>
      </c>
      <c r="O60" s="265"/>
    </row>
    <row r="61" spans="1:15" x14ac:dyDescent="0.25">
      <c r="A61" s="572" t="s">
        <v>127</v>
      </c>
      <c r="B61" s="592" t="s">
        <v>653</v>
      </c>
      <c r="C61" s="592"/>
      <c r="D61" s="792">
        <v>0.17499999999999999</v>
      </c>
      <c r="E61" s="793">
        <v>785.4</v>
      </c>
      <c r="F61" s="793"/>
      <c r="G61" s="793">
        <v>137.91</v>
      </c>
      <c r="H61" s="567"/>
      <c r="I61" s="567">
        <f t="shared" si="13"/>
        <v>137.91</v>
      </c>
      <c r="J61" s="578">
        <f t="shared" si="8"/>
        <v>923.31</v>
      </c>
      <c r="K61" s="87">
        <f t="shared" si="11"/>
        <v>161.57924999999997</v>
      </c>
      <c r="L61" s="142">
        <f t="shared" si="3"/>
        <v>199.69579507499998</v>
      </c>
      <c r="M61" s="256">
        <f>ROUND((E61+F61+I61)*(kopsavilkums!$O$12)*D61*12*(1+kopsavilkums!$O$23),2)</f>
        <v>155.76</v>
      </c>
      <c r="O61" s="265"/>
    </row>
    <row r="62" spans="1:15" x14ac:dyDescent="0.25">
      <c r="A62" s="572" t="s">
        <v>127</v>
      </c>
      <c r="B62" s="592" t="s">
        <v>653</v>
      </c>
      <c r="C62" s="592"/>
      <c r="D62" s="792">
        <v>0.5</v>
      </c>
      <c r="E62" s="793">
        <v>992</v>
      </c>
      <c r="F62" s="793"/>
      <c r="G62" s="793"/>
      <c r="H62" s="567"/>
      <c r="I62" s="567">
        <f t="shared" si="13"/>
        <v>0</v>
      </c>
      <c r="J62" s="578">
        <f t="shared" si="8"/>
        <v>992</v>
      </c>
      <c r="K62" s="87">
        <f t="shared" si="11"/>
        <v>496</v>
      </c>
      <c r="L62" s="142">
        <f t="shared" si="3"/>
        <v>613.00639999999999</v>
      </c>
      <c r="M62" s="256">
        <f>ROUND((E62+F62+I62)*(kopsavilkums!$O$12)*D62*12*(1+kopsavilkums!$O$23),2)</f>
        <v>478.14</v>
      </c>
      <c r="O62" s="265"/>
    </row>
    <row r="63" spans="1:15" x14ac:dyDescent="0.25">
      <c r="A63" s="572" t="s">
        <v>127</v>
      </c>
      <c r="B63" s="592" t="s">
        <v>525</v>
      </c>
      <c r="C63" s="592"/>
      <c r="D63" s="792">
        <v>0.85</v>
      </c>
      <c r="E63" s="793">
        <v>1100</v>
      </c>
      <c r="F63" s="793"/>
      <c r="G63" s="793"/>
      <c r="H63" s="567"/>
      <c r="I63" s="567">
        <f t="shared" si="13"/>
        <v>0</v>
      </c>
      <c r="J63" s="578">
        <f t="shared" si="8"/>
        <v>1100</v>
      </c>
      <c r="K63" s="87">
        <f t="shared" si="11"/>
        <v>935</v>
      </c>
      <c r="L63" s="142">
        <f t="shared" si="3"/>
        <v>1155.5664999999999</v>
      </c>
      <c r="M63" s="256">
        <f>ROUND((E63+F63+I63)*(kopsavilkums!$O$12)*D63*12*(1+kopsavilkums!$O$23),2)</f>
        <v>901.34</v>
      </c>
      <c r="O63" s="265"/>
    </row>
    <row r="64" spans="1:15" x14ac:dyDescent="0.25">
      <c r="A64" s="572" t="s">
        <v>108</v>
      </c>
      <c r="B64" s="592" t="s">
        <v>492</v>
      </c>
      <c r="C64" s="592"/>
      <c r="D64" s="792">
        <v>0.42</v>
      </c>
      <c r="E64" s="793">
        <v>1116</v>
      </c>
      <c r="F64" s="793"/>
      <c r="G64" s="793">
        <v>89.28</v>
      </c>
      <c r="H64" s="567"/>
      <c r="I64" s="567">
        <f t="shared" si="13"/>
        <v>89.28</v>
      </c>
      <c r="J64" s="578">
        <f t="shared" si="8"/>
        <v>1205.28</v>
      </c>
      <c r="K64" s="87">
        <f t="shared" si="11"/>
        <v>506.21759999999995</v>
      </c>
      <c r="L64" s="142">
        <f t="shared" si="3"/>
        <v>625.63433183999996</v>
      </c>
      <c r="M64" s="256">
        <f>ROUND((E64+F64+I64)*(kopsavilkums!$O$12)*D64*12*(1+kopsavilkums!$O$23),2)</f>
        <v>487.99</v>
      </c>
      <c r="O64" s="265"/>
    </row>
    <row r="65" spans="1:15" x14ac:dyDescent="0.25">
      <c r="A65" s="572" t="s">
        <v>108</v>
      </c>
      <c r="B65" s="592" t="s">
        <v>492</v>
      </c>
      <c r="C65" s="592"/>
      <c r="D65" s="792">
        <v>1</v>
      </c>
      <c r="E65" s="793">
        <v>1116</v>
      </c>
      <c r="F65" s="793"/>
      <c r="G65" s="793">
        <v>279</v>
      </c>
      <c r="H65" s="567"/>
      <c r="I65" s="567">
        <f t="shared" si="13"/>
        <v>279</v>
      </c>
      <c r="J65" s="578">
        <f t="shared" si="8"/>
        <v>1395</v>
      </c>
      <c r="K65" s="87">
        <f t="shared" si="11"/>
        <v>1395</v>
      </c>
      <c r="L65" s="142">
        <f t="shared" si="3"/>
        <v>1724.0805</v>
      </c>
      <c r="M65" s="256">
        <f>ROUND((E65+F65+I65)*(kopsavilkums!$O$12)*D65*12*(1+kopsavilkums!$O$23),2)</f>
        <v>1344.78</v>
      </c>
      <c r="O65" s="265"/>
    </row>
    <row r="66" spans="1:15" x14ac:dyDescent="0.25">
      <c r="A66" s="572" t="s">
        <v>112</v>
      </c>
      <c r="B66" s="592" t="s">
        <v>529</v>
      </c>
      <c r="C66" s="592"/>
      <c r="D66" s="792">
        <v>20.95</v>
      </c>
      <c r="E66" s="793">
        <v>1116</v>
      </c>
      <c r="F66" s="793"/>
      <c r="G66" s="793">
        <v>111.6</v>
      </c>
      <c r="H66" s="567"/>
      <c r="I66" s="567">
        <f t="shared" si="13"/>
        <v>111.6</v>
      </c>
      <c r="J66" s="578">
        <f t="shared" si="8"/>
        <v>1227.5999999999999</v>
      </c>
      <c r="K66" s="87">
        <f t="shared" si="11"/>
        <v>25718.219999999998</v>
      </c>
      <c r="L66" s="142">
        <f t="shared" ref="L66:L107" si="14">+K66*1.2359</f>
        <v>31785.148097999998</v>
      </c>
      <c r="M66" s="256">
        <f>ROUND((E66+F66+I66)*(kopsavilkums!$O$12)*D66*12*(1+kopsavilkums!$O$23),2)</f>
        <v>24792.42</v>
      </c>
      <c r="O66" s="265"/>
    </row>
    <row r="67" spans="1:15" x14ac:dyDescent="0.25">
      <c r="A67" s="572" t="s">
        <v>112</v>
      </c>
      <c r="B67" s="592" t="s">
        <v>529</v>
      </c>
      <c r="C67" s="592"/>
      <c r="D67" s="792">
        <v>2</v>
      </c>
      <c r="E67" s="793">
        <v>1010</v>
      </c>
      <c r="F67" s="793"/>
      <c r="G67" s="793"/>
      <c r="H67" s="567"/>
      <c r="I67" s="567">
        <f t="shared" si="13"/>
        <v>0</v>
      </c>
      <c r="J67" s="578">
        <f t="shared" si="8"/>
        <v>1010</v>
      </c>
      <c r="K67" s="87">
        <f t="shared" si="11"/>
        <v>2020</v>
      </c>
      <c r="L67" s="142">
        <f t="shared" si="14"/>
        <v>2496.518</v>
      </c>
      <c r="M67" s="256">
        <f>ROUND((E67+F67+I67)*(kopsavilkums!$O$12)*D67*12*(1+kopsavilkums!$O$23),2)</f>
        <v>1947.28</v>
      </c>
      <c r="O67" s="265"/>
    </row>
    <row r="68" spans="1:15" x14ac:dyDescent="0.25">
      <c r="A68" s="572" t="s">
        <v>112</v>
      </c>
      <c r="B68" s="592" t="s">
        <v>529</v>
      </c>
      <c r="C68" s="592"/>
      <c r="D68" s="792">
        <v>1</v>
      </c>
      <c r="E68" s="793">
        <v>1116</v>
      </c>
      <c r="F68" s="793"/>
      <c r="G68" s="793">
        <v>279</v>
      </c>
      <c r="H68" s="567"/>
      <c r="I68" s="567">
        <f t="shared" si="13"/>
        <v>279</v>
      </c>
      <c r="J68" s="578">
        <f t="shared" si="8"/>
        <v>1395</v>
      </c>
      <c r="K68" s="87">
        <f t="shared" si="11"/>
        <v>1395</v>
      </c>
      <c r="L68" s="142">
        <f t="shared" si="14"/>
        <v>1724.0805</v>
      </c>
      <c r="M68" s="256">
        <f>ROUND((E68+F68+I68)*(kopsavilkums!$O$12)*D68*12*(1+kopsavilkums!$O$23),2)</f>
        <v>1344.78</v>
      </c>
      <c r="O68" s="265"/>
    </row>
    <row r="69" spans="1:15" x14ac:dyDescent="0.25">
      <c r="A69" s="572" t="s">
        <v>112</v>
      </c>
      <c r="B69" s="592" t="s">
        <v>529</v>
      </c>
      <c r="C69" s="592"/>
      <c r="D69" s="792">
        <v>1.3</v>
      </c>
      <c r="E69" s="793">
        <v>1081</v>
      </c>
      <c r="F69" s="793"/>
      <c r="G69" s="793">
        <v>108.1</v>
      </c>
      <c r="H69" s="567"/>
      <c r="I69" s="567">
        <f t="shared" si="13"/>
        <v>108.1</v>
      </c>
      <c r="J69" s="578">
        <f t="shared" si="8"/>
        <v>1189.0999999999999</v>
      </c>
      <c r="K69" s="87">
        <f t="shared" si="11"/>
        <v>1545.83</v>
      </c>
      <c r="L69" s="142">
        <f t="shared" si="14"/>
        <v>1910.4912969999998</v>
      </c>
      <c r="M69" s="256">
        <f>ROUND((E69+F69+I69)*(kopsavilkums!$O$12)*D69*12*(1+kopsavilkums!$O$23),2)</f>
        <v>1490.18</v>
      </c>
      <c r="O69" s="265"/>
    </row>
    <row r="70" spans="1:15" x14ac:dyDescent="0.25">
      <c r="A70" s="572" t="s">
        <v>112</v>
      </c>
      <c r="B70" s="592" t="s">
        <v>529</v>
      </c>
      <c r="C70" s="592"/>
      <c r="D70" s="792">
        <v>3</v>
      </c>
      <c r="E70" s="793">
        <v>1116</v>
      </c>
      <c r="F70" s="793"/>
      <c r="G70" s="793">
        <v>236</v>
      </c>
      <c r="H70" s="567"/>
      <c r="I70" s="567">
        <f t="shared" si="13"/>
        <v>236</v>
      </c>
      <c r="J70" s="578">
        <f t="shared" si="8"/>
        <v>1352</v>
      </c>
      <c r="K70" s="87">
        <f t="shared" si="11"/>
        <v>4056</v>
      </c>
      <c r="L70" s="142">
        <f t="shared" si="14"/>
        <v>5012.8104000000003</v>
      </c>
      <c r="M70" s="256">
        <f>ROUND((E70+F70+I70)*(kopsavilkums!$O$12)*D70*12*(1+kopsavilkums!$O$23),2)</f>
        <v>3909.99</v>
      </c>
      <c r="O70" s="265"/>
    </row>
    <row r="71" spans="1:15" x14ac:dyDescent="0.25">
      <c r="A71" s="572" t="s">
        <v>112</v>
      </c>
      <c r="B71" s="592" t="s">
        <v>529</v>
      </c>
      <c r="C71" s="592"/>
      <c r="D71" s="792">
        <v>1</v>
      </c>
      <c r="E71" s="793">
        <v>1116</v>
      </c>
      <c r="F71" s="793"/>
      <c r="G71" s="793">
        <v>189</v>
      </c>
      <c r="H71" s="567"/>
      <c r="I71" s="567">
        <f t="shared" si="13"/>
        <v>189</v>
      </c>
      <c r="J71" s="578">
        <f t="shared" si="8"/>
        <v>1305</v>
      </c>
      <c r="K71" s="87">
        <f t="shared" si="11"/>
        <v>1305</v>
      </c>
      <c r="L71" s="142">
        <f t="shared" si="14"/>
        <v>1612.8495</v>
      </c>
      <c r="M71" s="256">
        <f>ROUND((E71+F71+I71)*(kopsavilkums!$O$12)*D71*12*(1+kopsavilkums!$O$23),2)</f>
        <v>1258.02</v>
      </c>
      <c r="O71" s="265"/>
    </row>
    <row r="72" spans="1:15" x14ac:dyDescent="0.25">
      <c r="A72" s="572" t="s">
        <v>112</v>
      </c>
      <c r="B72" s="592" t="s">
        <v>529</v>
      </c>
      <c r="C72" s="592"/>
      <c r="D72" s="792">
        <v>0.5</v>
      </c>
      <c r="E72" s="793">
        <v>1116</v>
      </c>
      <c r="F72" s="793"/>
      <c r="G72" s="793">
        <v>252</v>
      </c>
      <c r="H72" s="567"/>
      <c r="I72" s="567">
        <f t="shared" si="13"/>
        <v>252</v>
      </c>
      <c r="J72" s="578">
        <f t="shared" si="8"/>
        <v>1368</v>
      </c>
      <c r="K72" s="87">
        <f t="shared" si="11"/>
        <v>684</v>
      </c>
      <c r="L72" s="142">
        <f t="shared" si="14"/>
        <v>845.35559999999998</v>
      </c>
      <c r="M72" s="256">
        <f>ROUND((E72+F72+I72)*(kopsavilkums!$O$12)*D72*12*(1+kopsavilkums!$O$23),2)</f>
        <v>659.38</v>
      </c>
      <c r="O72" s="265"/>
    </row>
    <row r="73" spans="1:15" x14ac:dyDescent="0.25">
      <c r="A73" s="572" t="s">
        <v>112</v>
      </c>
      <c r="B73" s="592" t="s">
        <v>529</v>
      </c>
      <c r="C73" s="592"/>
      <c r="D73" s="792">
        <v>2</v>
      </c>
      <c r="E73" s="793">
        <v>1116</v>
      </c>
      <c r="F73" s="793"/>
      <c r="G73" s="793"/>
      <c r="H73" s="567"/>
      <c r="I73" s="567">
        <f t="shared" si="13"/>
        <v>0</v>
      </c>
      <c r="J73" s="578">
        <f t="shared" si="8"/>
        <v>1116</v>
      </c>
      <c r="K73" s="87">
        <f t="shared" si="11"/>
        <v>2232</v>
      </c>
      <c r="L73" s="142">
        <f t="shared" si="14"/>
        <v>2758.5288</v>
      </c>
      <c r="M73" s="256">
        <f>ROUND((E73+F73+I73)*(kopsavilkums!$O$12)*D73*12*(1+kopsavilkums!$O$23),2)</f>
        <v>2151.65</v>
      </c>
      <c r="O73" s="265"/>
    </row>
    <row r="74" spans="1:15" x14ac:dyDescent="0.25">
      <c r="A74" s="572" t="s">
        <v>112</v>
      </c>
      <c r="B74" s="592" t="s">
        <v>529</v>
      </c>
      <c r="C74" s="592"/>
      <c r="D74" s="792">
        <v>2</v>
      </c>
      <c r="E74" s="793">
        <v>1116</v>
      </c>
      <c r="F74" s="793"/>
      <c r="G74" s="793"/>
      <c r="H74" s="567"/>
      <c r="I74" s="567">
        <f t="shared" si="13"/>
        <v>0</v>
      </c>
      <c r="J74" s="578">
        <f t="shared" si="8"/>
        <v>1116</v>
      </c>
      <c r="K74" s="87">
        <f t="shared" si="11"/>
        <v>2232</v>
      </c>
      <c r="L74" s="142">
        <f t="shared" si="14"/>
        <v>2758.5288</v>
      </c>
      <c r="M74" s="256">
        <f>ROUND((E74+F74+I74)*(kopsavilkums!$O$12)*D74*12*(1+kopsavilkums!$O$23),2)</f>
        <v>2151.65</v>
      </c>
      <c r="O74" s="265"/>
    </row>
    <row r="75" spans="1:15" x14ac:dyDescent="0.25">
      <c r="A75" s="572" t="s">
        <v>112</v>
      </c>
      <c r="B75" s="592" t="s">
        <v>529</v>
      </c>
      <c r="C75" s="592"/>
      <c r="D75" s="792">
        <v>1.5</v>
      </c>
      <c r="E75" s="793">
        <v>1116</v>
      </c>
      <c r="F75" s="793"/>
      <c r="G75" s="793">
        <v>111.6</v>
      </c>
      <c r="H75" s="567"/>
      <c r="I75" s="567">
        <f t="shared" si="13"/>
        <v>111.6</v>
      </c>
      <c r="J75" s="578">
        <f t="shared" si="8"/>
        <v>1227.5999999999999</v>
      </c>
      <c r="K75" s="87">
        <f t="shared" si="11"/>
        <v>1841.3999999999999</v>
      </c>
      <c r="L75" s="142">
        <f t="shared" si="14"/>
        <v>2275.7862599999999</v>
      </c>
      <c r="M75" s="256">
        <f>ROUND((E75+F75+I75)*(kopsavilkums!$O$12)*D75*12*(1+kopsavilkums!$O$23),2)</f>
        <v>1775.11</v>
      </c>
      <c r="O75" s="265"/>
    </row>
    <row r="76" spans="1:15" x14ac:dyDescent="0.25">
      <c r="A76" s="572" t="s">
        <v>112</v>
      </c>
      <c r="B76" s="592" t="s">
        <v>529</v>
      </c>
      <c r="C76" s="592"/>
      <c r="D76" s="792">
        <v>1</v>
      </c>
      <c r="E76" s="793">
        <v>867</v>
      </c>
      <c r="F76" s="793"/>
      <c r="G76" s="793">
        <v>173.4</v>
      </c>
      <c r="H76" s="567"/>
      <c r="I76" s="567">
        <f t="shared" si="13"/>
        <v>173.4</v>
      </c>
      <c r="J76" s="578">
        <f t="shared" si="8"/>
        <v>1040.4000000000001</v>
      </c>
      <c r="K76" s="87">
        <f t="shared" si="11"/>
        <v>1040.4000000000001</v>
      </c>
      <c r="L76" s="142">
        <f t="shared" si="14"/>
        <v>1285.8303600000002</v>
      </c>
      <c r="M76" s="256">
        <f>ROUND((E76+F76+I76)*(kopsavilkums!$O$12)*D76*12*(1+kopsavilkums!$O$23),2)</f>
        <v>1002.95</v>
      </c>
      <c r="O76" s="265"/>
    </row>
    <row r="77" spans="1:15" x14ac:dyDescent="0.25">
      <c r="A77" s="572" t="s">
        <v>112</v>
      </c>
      <c r="B77" s="592" t="s">
        <v>529</v>
      </c>
      <c r="C77" s="592"/>
      <c r="D77" s="792">
        <v>1.75</v>
      </c>
      <c r="E77" s="793">
        <v>1116</v>
      </c>
      <c r="F77" s="793"/>
      <c r="G77" s="793">
        <v>89.28</v>
      </c>
      <c r="H77" s="567"/>
      <c r="I77" s="567">
        <f t="shared" si="13"/>
        <v>89.28</v>
      </c>
      <c r="J77" s="578">
        <f t="shared" si="8"/>
        <v>1205.28</v>
      </c>
      <c r="K77" s="87">
        <f t="shared" si="11"/>
        <v>2109.2399999999998</v>
      </c>
      <c r="L77" s="142">
        <f t="shared" si="14"/>
        <v>2606.8097159999998</v>
      </c>
      <c r="M77" s="256">
        <f>ROUND((E77+F77+I77)*(kopsavilkums!$O$12)*D77*12*(1+kopsavilkums!$O$23),2)</f>
        <v>2033.31</v>
      </c>
      <c r="O77" s="265"/>
    </row>
    <row r="78" spans="1:15" x14ac:dyDescent="0.25">
      <c r="A78" s="572" t="s">
        <v>112</v>
      </c>
      <c r="B78" s="592" t="s">
        <v>529</v>
      </c>
      <c r="C78" s="592"/>
      <c r="D78" s="792">
        <v>1.25</v>
      </c>
      <c r="E78" s="793">
        <v>1130</v>
      </c>
      <c r="F78" s="793"/>
      <c r="G78" s="793"/>
      <c r="H78" s="567"/>
      <c r="I78" s="567">
        <f t="shared" si="13"/>
        <v>0</v>
      </c>
      <c r="J78" s="578">
        <f t="shared" si="8"/>
        <v>1130</v>
      </c>
      <c r="K78" s="87">
        <f t="shared" si="11"/>
        <v>1412.5</v>
      </c>
      <c r="L78" s="142">
        <f t="shared" si="14"/>
        <v>1745.70875</v>
      </c>
      <c r="M78" s="256">
        <f>ROUND((E78+F78+I78)*(kopsavilkums!$O$12)*D78*12*(1+kopsavilkums!$O$23),2)</f>
        <v>1361.65</v>
      </c>
      <c r="O78" s="265"/>
    </row>
    <row r="79" spans="1:15" x14ac:dyDescent="0.25">
      <c r="A79" s="572" t="s">
        <v>112</v>
      </c>
      <c r="B79" s="592" t="s">
        <v>529</v>
      </c>
      <c r="C79" s="592"/>
      <c r="D79" s="792">
        <v>1</v>
      </c>
      <c r="E79" s="793">
        <v>1116</v>
      </c>
      <c r="F79" s="793"/>
      <c r="G79" s="793">
        <v>167</v>
      </c>
      <c r="H79" s="567"/>
      <c r="I79" s="567">
        <f t="shared" si="13"/>
        <v>167</v>
      </c>
      <c r="J79" s="578">
        <f t="shared" si="8"/>
        <v>1283</v>
      </c>
      <c r="K79" s="87">
        <f t="shared" si="11"/>
        <v>1283</v>
      </c>
      <c r="L79" s="142">
        <f t="shared" si="14"/>
        <v>1585.6596999999999</v>
      </c>
      <c r="M79" s="256">
        <f>ROUND((E79+F79+I79)*(kopsavilkums!$O$12)*D79*12*(1+kopsavilkums!$O$23),2)</f>
        <v>1236.81</v>
      </c>
      <c r="O79" s="265"/>
    </row>
    <row r="80" spans="1:15" x14ac:dyDescent="0.25">
      <c r="A80" s="572" t="s">
        <v>112</v>
      </c>
      <c r="B80" s="592" t="s">
        <v>529</v>
      </c>
      <c r="C80" s="592"/>
      <c r="D80" s="792">
        <v>2</v>
      </c>
      <c r="E80" s="793">
        <v>1116</v>
      </c>
      <c r="F80" s="793"/>
      <c r="G80" s="793">
        <v>111.6</v>
      </c>
      <c r="H80" s="567"/>
      <c r="I80" s="567">
        <f t="shared" si="13"/>
        <v>111.6</v>
      </c>
      <c r="J80" s="578">
        <f t="shared" si="8"/>
        <v>1227.5999999999999</v>
      </c>
      <c r="K80" s="87">
        <f t="shared" si="11"/>
        <v>2455.1999999999998</v>
      </c>
      <c r="L80" s="142">
        <f t="shared" si="14"/>
        <v>3034.38168</v>
      </c>
      <c r="M80" s="256">
        <f>ROUND((E80+F80+I80)*(kopsavilkums!$O$12)*D80*12*(1+kopsavilkums!$O$23),2)</f>
        <v>2366.8200000000002</v>
      </c>
      <c r="O80" s="265"/>
    </row>
    <row r="81" spans="1:15" x14ac:dyDescent="0.25">
      <c r="A81" s="572" t="s">
        <v>112</v>
      </c>
      <c r="B81" s="592" t="s">
        <v>529</v>
      </c>
      <c r="C81" s="592"/>
      <c r="D81" s="792">
        <v>1</v>
      </c>
      <c r="E81" s="793">
        <v>1116</v>
      </c>
      <c r="F81" s="793"/>
      <c r="G81" s="793">
        <v>111.6</v>
      </c>
      <c r="H81" s="567"/>
      <c r="I81" s="567">
        <f t="shared" si="13"/>
        <v>111.6</v>
      </c>
      <c r="J81" s="578">
        <f t="shared" si="8"/>
        <v>1227.5999999999999</v>
      </c>
      <c r="K81" s="87">
        <f t="shared" si="11"/>
        <v>1227.5999999999999</v>
      </c>
      <c r="L81" s="142">
        <f t="shared" si="14"/>
        <v>1517.19084</v>
      </c>
      <c r="M81" s="256">
        <f>ROUND((E81+F81+I81)*(kopsavilkums!$O$12)*D81*12*(1+kopsavilkums!$O$23),2)</f>
        <v>1183.4100000000001</v>
      </c>
      <c r="O81" s="265"/>
    </row>
    <row r="82" spans="1:15" x14ac:dyDescent="0.25">
      <c r="A82" s="572" t="s">
        <v>112</v>
      </c>
      <c r="B82" s="592" t="s">
        <v>529</v>
      </c>
      <c r="C82" s="592"/>
      <c r="D82" s="792">
        <v>2</v>
      </c>
      <c r="E82" s="793">
        <v>1116</v>
      </c>
      <c r="F82" s="793"/>
      <c r="G82" s="793">
        <v>111.6</v>
      </c>
      <c r="H82" s="567"/>
      <c r="I82" s="567">
        <f t="shared" si="13"/>
        <v>111.6</v>
      </c>
      <c r="J82" s="578">
        <f t="shared" si="8"/>
        <v>1227.5999999999999</v>
      </c>
      <c r="K82" s="87">
        <f t="shared" si="11"/>
        <v>2455.1999999999998</v>
      </c>
      <c r="L82" s="142">
        <f t="shared" si="14"/>
        <v>3034.38168</v>
      </c>
      <c r="M82" s="256">
        <f>ROUND((E82+F82+I82)*(kopsavilkums!$O$12)*D82*12*(1+kopsavilkums!$O$23),2)</f>
        <v>2366.8200000000002</v>
      </c>
      <c r="O82" s="265"/>
    </row>
    <row r="83" spans="1:15" x14ac:dyDescent="0.25">
      <c r="A83" s="572" t="s">
        <v>112</v>
      </c>
      <c r="B83" s="592" t="s">
        <v>529</v>
      </c>
      <c r="C83" s="592"/>
      <c r="D83" s="792">
        <v>2</v>
      </c>
      <c r="E83" s="793">
        <v>1116</v>
      </c>
      <c r="F83" s="793"/>
      <c r="G83" s="793">
        <v>111.6</v>
      </c>
      <c r="H83" s="567"/>
      <c r="I83" s="567">
        <f t="shared" si="13"/>
        <v>111.6</v>
      </c>
      <c r="J83" s="578">
        <f t="shared" si="8"/>
        <v>1227.5999999999999</v>
      </c>
      <c r="K83" s="87">
        <f t="shared" si="11"/>
        <v>2455.1999999999998</v>
      </c>
      <c r="L83" s="142">
        <f t="shared" si="14"/>
        <v>3034.38168</v>
      </c>
      <c r="M83" s="256">
        <f>ROUND((E83+F83+I83)*(kopsavilkums!$O$12)*D83*12*(1+kopsavilkums!$O$23),2)</f>
        <v>2366.8200000000002</v>
      </c>
      <c r="O83" s="265"/>
    </row>
    <row r="84" spans="1:15" x14ac:dyDescent="0.25">
      <c r="A84" s="572" t="s">
        <v>112</v>
      </c>
      <c r="B84" s="592" t="s">
        <v>529</v>
      </c>
      <c r="C84" s="592"/>
      <c r="D84" s="792">
        <v>1.5</v>
      </c>
      <c r="E84" s="793">
        <v>1116</v>
      </c>
      <c r="F84" s="793"/>
      <c r="G84" s="793">
        <v>111.6</v>
      </c>
      <c r="H84" s="567"/>
      <c r="I84" s="567">
        <f t="shared" si="13"/>
        <v>111.6</v>
      </c>
      <c r="J84" s="578">
        <f t="shared" si="8"/>
        <v>1227.5999999999999</v>
      </c>
      <c r="K84" s="87">
        <f t="shared" si="11"/>
        <v>1841.3999999999999</v>
      </c>
      <c r="L84" s="142">
        <f t="shared" si="14"/>
        <v>2275.7862599999999</v>
      </c>
      <c r="M84" s="256">
        <f>ROUND((E84+F84+I84)*(kopsavilkums!$O$12)*D84*12*(1+kopsavilkums!$O$23),2)</f>
        <v>1775.11</v>
      </c>
      <c r="O84" s="265"/>
    </row>
    <row r="85" spans="1:15" x14ac:dyDescent="0.25">
      <c r="A85" s="572" t="s">
        <v>112</v>
      </c>
      <c r="B85" s="592" t="s">
        <v>529</v>
      </c>
      <c r="C85" s="592"/>
      <c r="D85" s="792">
        <v>1</v>
      </c>
      <c r="E85" s="793">
        <v>1116</v>
      </c>
      <c r="F85" s="793"/>
      <c r="G85" s="793"/>
      <c r="H85" s="567"/>
      <c r="I85" s="567">
        <f t="shared" si="13"/>
        <v>0</v>
      </c>
      <c r="J85" s="578">
        <f t="shared" si="8"/>
        <v>1116</v>
      </c>
      <c r="K85" s="87">
        <f t="shared" si="11"/>
        <v>1116</v>
      </c>
      <c r="L85" s="142">
        <f t="shared" si="14"/>
        <v>1379.2644</v>
      </c>
      <c r="M85" s="256">
        <f>ROUND((E85+F85+I85)*(kopsavilkums!$O$12)*D85*12*(1+kopsavilkums!$O$23),2)</f>
        <v>1075.83</v>
      </c>
      <c r="O85" s="265"/>
    </row>
    <row r="86" spans="1:15" x14ac:dyDescent="0.25">
      <c r="A86" s="572" t="s">
        <v>112</v>
      </c>
      <c r="B86" s="592" t="s">
        <v>529</v>
      </c>
      <c r="C86" s="592"/>
      <c r="D86" s="792">
        <v>2</v>
      </c>
      <c r="E86" s="793">
        <v>1116</v>
      </c>
      <c r="F86" s="793"/>
      <c r="G86" s="793">
        <v>167.4</v>
      </c>
      <c r="H86" s="567"/>
      <c r="I86" s="567">
        <f t="shared" si="13"/>
        <v>167.4</v>
      </c>
      <c r="J86" s="578">
        <f t="shared" si="8"/>
        <v>1283.4000000000001</v>
      </c>
      <c r="K86" s="87">
        <f t="shared" si="11"/>
        <v>2566.8000000000002</v>
      </c>
      <c r="L86" s="142">
        <f t="shared" si="14"/>
        <v>3172.3081200000001</v>
      </c>
      <c r="M86" s="256">
        <f>ROUND((E86+F86+I86)*(kopsavilkums!$O$12)*D86*12*(1+kopsavilkums!$O$23),2)</f>
        <v>2474.4</v>
      </c>
      <c r="O86" s="265"/>
    </row>
    <row r="87" spans="1:15" x14ac:dyDescent="0.25">
      <c r="A87" s="572" t="s">
        <v>112</v>
      </c>
      <c r="B87" s="592" t="s">
        <v>649</v>
      </c>
      <c r="C87" s="592"/>
      <c r="D87" s="792">
        <v>1</v>
      </c>
      <c r="E87" s="793">
        <v>1116</v>
      </c>
      <c r="F87" s="793"/>
      <c r="G87" s="793"/>
      <c r="H87" s="567"/>
      <c r="I87" s="567">
        <f t="shared" si="13"/>
        <v>0</v>
      </c>
      <c r="J87" s="578">
        <f t="shared" si="8"/>
        <v>1116</v>
      </c>
      <c r="K87" s="87">
        <f t="shared" si="11"/>
        <v>1116</v>
      </c>
      <c r="L87" s="142">
        <f t="shared" si="14"/>
        <v>1379.2644</v>
      </c>
      <c r="M87" s="256">
        <f>ROUND((E87+F87+I87)*(kopsavilkums!$O$12)*D87*12*(1+kopsavilkums!$O$23),2)</f>
        <v>1075.83</v>
      </c>
      <c r="O87" s="265"/>
    </row>
    <row r="88" spans="1:15" x14ac:dyDescent="0.25">
      <c r="A88" s="572" t="s">
        <v>112</v>
      </c>
      <c r="B88" s="592" t="s">
        <v>649</v>
      </c>
      <c r="C88" s="592"/>
      <c r="D88" s="792">
        <v>1</v>
      </c>
      <c r="E88" s="793">
        <v>850</v>
      </c>
      <c r="F88" s="793"/>
      <c r="G88" s="793">
        <v>51</v>
      </c>
      <c r="H88" s="567"/>
      <c r="I88" s="567">
        <f t="shared" si="13"/>
        <v>51</v>
      </c>
      <c r="J88" s="578">
        <f t="shared" si="8"/>
        <v>901</v>
      </c>
      <c r="K88" s="87">
        <f t="shared" si="11"/>
        <v>901</v>
      </c>
      <c r="L88" s="142">
        <f t="shared" ref="L88:L90" si="15">+K88*1.2359</f>
        <v>1113.5459000000001</v>
      </c>
      <c r="M88" s="256">
        <f>ROUND((E88+F88+I88)*(kopsavilkums!$O$12)*D88*12*(1+kopsavilkums!$O$23),2)</f>
        <v>868.57</v>
      </c>
      <c r="O88" s="265"/>
    </row>
    <row r="89" spans="1:15" x14ac:dyDescent="0.25">
      <c r="A89" s="572" t="s">
        <v>112</v>
      </c>
      <c r="B89" s="592" t="s">
        <v>529</v>
      </c>
      <c r="C89" s="592"/>
      <c r="D89" s="792">
        <v>1.3</v>
      </c>
      <c r="E89" s="793">
        <v>1192</v>
      </c>
      <c r="F89" s="793"/>
      <c r="G89" s="793"/>
      <c r="H89" s="567"/>
      <c r="I89" s="567">
        <f t="shared" si="13"/>
        <v>0</v>
      </c>
      <c r="J89" s="578">
        <f t="shared" si="8"/>
        <v>1192</v>
      </c>
      <c r="K89" s="87">
        <f t="shared" si="11"/>
        <v>1549.6000000000001</v>
      </c>
      <c r="L89" s="142">
        <f t="shared" si="15"/>
        <v>1915.1506400000001</v>
      </c>
      <c r="M89" s="256">
        <f>ROUND((E89+F89+I89)*(kopsavilkums!$O$12)*D89*12*(1+kopsavilkums!$O$23),2)</f>
        <v>1493.82</v>
      </c>
      <c r="O89" s="265"/>
    </row>
    <row r="90" spans="1:15" x14ac:dyDescent="0.25">
      <c r="A90" s="572" t="s">
        <v>112</v>
      </c>
      <c r="B90" s="592" t="s">
        <v>529</v>
      </c>
      <c r="C90" s="592"/>
      <c r="D90" s="792">
        <v>0.5</v>
      </c>
      <c r="E90" s="793">
        <v>838.2</v>
      </c>
      <c r="F90" s="793"/>
      <c r="G90" s="793">
        <v>137.91</v>
      </c>
      <c r="H90" s="567"/>
      <c r="I90" s="567">
        <f t="shared" si="13"/>
        <v>137.91</v>
      </c>
      <c r="J90" s="578">
        <f t="shared" si="8"/>
        <v>976.11</v>
      </c>
      <c r="K90" s="87">
        <f t="shared" si="11"/>
        <v>488.05500000000001</v>
      </c>
      <c r="L90" s="142">
        <f t="shared" si="15"/>
        <v>603.18717449999997</v>
      </c>
      <c r="M90" s="256">
        <f>ROUND((E90+F90+I90)*(kopsavilkums!$O$12)*D90*12*(1+kopsavilkums!$O$23),2)</f>
        <v>470.49</v>
      </c>
      <c r="O90" s="265"/>
    </row>
    <row r="91" spans="1:15" x14ac:dyDescent="0.25">
      <c r="A91" s="572" t="s">
        <v>112</v>
      </c>
      <c r="B91" s="592" t="s">
        <v>649</v>
      </c>
      <c r="C91" s="592"/>
      <c r="D91" s="792">
        <v>3.2</v>
      </c>
      <c r="E91" s="793">
        <v>1116</v>
      </c>
      <c r="F91" s="793"/>
      <c r="G91" s="793"/>
      <c r="H91" s="567"/>
      <c r="I91" s="567">
        <f t="shared" si="13"/>
        <v>0</v>
      </c>
      <c r="J91" s="578">
        <f t="shared" si="8"/>
        <v>1116</v>
      </c>
      <c r="K91" s="87">
        <f t="shared" si="11"/>
        <v>3571.2000000000003</v>
      </c>
      <c r="L91" s="142">
        <f t="shared" si="14"/>
        <v>4413.6460800000004</v>
      </c>
      <c r="M91" s="256">
        <f>ROUND((E91+F91+I91)*(kopsavilkums!$O$12)*D91*12*(1+kopsavilkums!$O$23),2)</f>
        <v>3442.64</v>
      </c>
      <c r="O91" s="265"/>
    </row>
    <row r="92" spans="1:15" x14ac:dyDescent="0.25">
      <c r="A92" s="572" t="s">
        <v>112</v>
      </c>
      <c r="B92" s="592" t="s">
        <v>649</v>
      </c>
      <c r="C92" s="592"/>
      <c r="D92" s="792">
        <v>2.0750000000000002</v>
      </c>
      <c r="E92" s="793">
        <v>1320</v>
      </c>
      <c r="F92" s="793"/>
      <c r="G92" s="793"/>
      <c r="H92" s="567"/>
      <c r="I92" s="567">
        <f t="shared" si="13"/>
        <v>0</v>
      </c>
      <c r="J92" s="578">
        <f t="shared" si="8"/>
        <v>1320</v>
      </c>
      <c r="K92" s="87">
        <f t="shared" si="11"/>
        <v>2739.0000000000005</v>
      </c>
      <c r="L92" s="142">
        <f t="shared" si="14"/>
        <v>3385.1301000000008</v>
      </c>
      <c r="M92" s="256">
        <f>ROUND((E92+F92+I92)*(kopsavilkums!$O$12)*D92*12*(1+kopsavilkums!$O$23),2)</f>
        <v>2640.4</v>
      </c>
      <c r="O92" s="265"/>
    </row>
    <row r="93" spans="1:15" x14ac:dyDescent="0.25">
      <c r="A93" s="572" t="s">
        <v>112</v>
      </c>
      <c r="B93" s="592" t="s">
        <v>529</v>
      </c>
      <c r="C93" s="592"/>
      <c r="D93" s="792">
        <v>2</v>
      </c>
      <c r="E93" s="793">
        <v>1116</v>
      </c>
      <c r="F93" s="793"/>
      <c r="G93" s="793"/>
      <c r="H93" s="567"/>
      <c r="I93" s="567">
        <f t="shared" si="13"/>
        <v>0</v>
      </c>
      <c r="J93" s="578">
        <f t="shared" si="8"/>
        <v>1116</v>
      </c>
      <c r="K93" s="87">
        <f t="shared" si="11"/>
        <v>2232</v>
      </c>
      <c r="L93" s="142">
        <f t="shared" si="14"/>
        <v>2758.5288</v>
      </c>
      <c r="M93" s="256">
        <f>ROUND((E93+F93+I93)*(kopsavilkums!$O$12)*D93*12*(1+kopsavilkums!$O$23),2)</f>
        <v>2151.65</v>
      </c>
      <c r="O93" s="265"/>
    </row>
    <row r="94" spans="1:15" x14ac:dyDescent="0.25">
      <c r="A94" s="572" t="s">
        <v>112</v>
      </c>
      <c r="B94" s="592" t="s">
        <v>529</v>
      </c>
      <c r="C94" s="592"/>
      <c r="D94" s="792">
        <v>1</v>
      </c>
      <c r="E94" s="793">
        <v>794</v>
      </c>
      <c r="F94" s="793"/>
      <c r="G94" s="793"/>
      <c r="H94" s="567"/>
      <c r="I94" s="567">
        <f t="shared" si="13"/>
        <v>0</v>
      </c>
      <c r="J94" s="578">
        <f t="shared" si="8"/>
        <v>794</v>
      </c>
      <c r="K94" s="87">
        <f t="shared" ref="K94:K105" si="16">+J94*D94</f>
        <v>794</v>
      </c>
      <c r="L94" s="142">
        <f t="shared" ref="L94:L105" si="17">+K94*1.2359</f>
        <v>981.30460000000005</v>
      </c>
      <c r="M94" s="256">
        <f>ROUND((E94+F94+I94)*(kopsavilkums!$O$12)*D94*12*(1+kopsavilkums!$O$23),2)</f>
        <v>765.42</v>
      </c>
      <c r="O94" s="265"/>
    </row>
    <row r="95" spans="1:15" x14ac:dyDescent="0.25">
      <c r="A95" s="572" t="s">
        <v>112</v>
      </c>
      <c r="B95" s="592" t="s">
        <v>529</v>
      </c>
      <c r="C95" s="592"/>
      <c r="D95" s="792">
        <v>0.8</v>
      </c>
      <c r="E95" s="793">
        <v>1116</v>
      </c>
      <c r="F95" s="793"/>
      <c r="G95" s="793">
        <v>279</v>
      </c>
      <c r="H95" s="567"/>
      <c r="I95" s="567">
        <f t="shared" si="13"/>
        <v>279</v>
      </c>
      <c r="J95" s="578">
        <f t="shared" si="8"/>
        <v>1395</v>
      </c>
      <c r="K95" s="87">
        <f t="shared" si="16"/>
        <v>1116</v>
      </c>
      <c r="L95" s="142">
        <f t="shared" si="17"/>
        <v>1379.2644</v>
      </c>
      <c r="M95" s="256">
        <f>ROUND((E95+F95+I95)*(kopsavilkums!$O$12)*D95*12*(1+kopsavilkums!$O$23),2)</f>
        <v>1075.83</v>
      </c>
      <c r="O95" s="265"/>
    </row>
    <row r="96" spans="1:15" x14ac:dyDescent="0.25">
      <c r="A96" s="572" t="s">
        <v>112</v>
      </c>
      <c r="B96" s="592" t="s">
        <v>529</v>
      </c>
      <c r="C96" s="592"/>
      <c r="D96" s="792">
        <v>3.6</v>
      </c>
      <c r="E96" s="793">
        <v>1116</v>
      </c>
      <c r="F96" s="793"/>
      <c r="G96" s="793">
        <v>111.6</v>
      </c>
      <c r="H96" s="567"/>
      <c r="I96" s="567">
        <f t="shared" si="13"/>
        <v>111.6</v>
      </c>
      <c r="J96" s="578">
        <f t="shared" si="8"/>
        <v>1227.5999999999999</v>
      </c>
      <c r="K96" s="87">
        <f t="shared" si="16"/>
        <v>4419.3599999999997</v>
      </c>
      <c r="L96" s="142">
        <f t="shared" si="17"/>
        <v>5461.8870239999997</v>
      </c>
      <c r="M96" s="256">
        <f>ROUND((E96+F96+I96)*(kopsavilkums!$O$12)*D96*12*(1+kopsavilkums!$O$23),2)</f>
        <v>4260.2700000000004</v>
      </c>
      <c r="O96" s="265"/>
    </row>
    <row r="97" spans="1:16" x14ac:dyDescent="0.25">
      <c r="A97" s="572" t="s">
        <v>112</v>
      </c>
      <c r="B97" s="592" t="s">
        <v>649</v>
      </c>
      <c r="C97" s="592"/>
      <c r="D97" s="792">
        <v>1.2</v>
      </c>
      <c r="E97" s="793">
        <v>1116</v>
      </c>
      <c r="F97" s="793"/>
      <c r="G97" s="793">
        <v>145.08000000000001</v>
      </c>
      <c r="H97" s="567"/>
      <c r="I97" s="567">
        <f t="shared" si="13"/>
        <v>145.08000000000001</v>
      </c>
      <c r="J97" s="578">
        <f t="shared" si="8"/>
        <v>1261.08</v>
      </c>
      <c r="K97" s="87">
        <f t="shared" si="16"/>
        <v>1513.2959999999998</v>
      </c>
      <c r="L97" s="142">
        <f t="shared" si="17"/>
        <v>1870.2825263999998</v>
      </c>
      <c r="M97" s="256">
        <f>ROUND((E97+F97+I97)*(kopsavilkums!$O$12)*D97*12*(1+kopsavilkums!$O$23),2)</f>
        <v>1458.82</v>
      </c>
      <c r="O97" s="265"/>
    </row>
    <row r="98" spans="1:16" x14ac:dyDescent="0.25">
      <c r="A98" s="572" t="s">
        <v>112</v>
      </c>
      <c r="B98" s="592" t="s">
        <v>649</v>
      </c>
      <c r="C98" s="592"/>
      <c r="D98" s="792">
        <v>1</v>
      </c>
      <c r="E98" s="793">
        <v>1116</v>
      </c>
      <c r="F98" s="793"/>
      <c r="G98" s="793">
        <v>111.6</v>
      </c>
      <c r="H98" s="567"/>
      <c r="I98" s="567">
        <f t="shared" si="13"/>
        <v>111.6</v>
      </c>
      <c r="J98" s="578">
        <f t="shared" si="8"/>
        <v>1227.5999999999999</v>
      </c>
      <c r="K98" s="87">
        <f t="shared" si="16"/>
        <v>1227.5999999999999</v>
      </c>
      <c r="L98" s="142">
        <f t="shared" si="17"/>
        <v>1517.19084</v>
      </c>
      <c r="M98" s="256">
        <f>ROUND((E98+F98+I98)*(kopsavilkums!$O$12)*D98*12*(1+kopsavilkums!$O$23),2)</f>
        <v>1183.4100000000001</v>
      </c>
      <c r="O98" s="265"/>
    </row>
    <row r="99" spans="1:16" x14ac:dyDescent="0.25">
      <c r="A99" s="572" t="s">
        <v>112</v>
      </c>
      <c r="B99" s="592" t="s">
        <v>649</v>
      </c>
      <c r="C99" s="592"/>
      <c r="D99" s="792">
        <v>0.5</v>
      </c>
      <c r="E99" s="793">
        <v>1116</v>
      </c>
      <c r="F99" s="793"/>
      <c r="G99" s="793">
        <v>111.6</v>
      </c>
      <c r="H99" s="567"/>
      <c r="I99" s="567">
        <f t="shared" si="13"/>
        <v>111.6</v>
      </c>
      <c r="J99" s="578">
        <f t="shared" si="8"/>
        <v>1227.5999999999999</v>
      </c>
      <c r="K99" s="87">
        <f t="shared" si="16"/>
        <v>613.79999999999995</v>
      </c>
      <c r="L99" s="142">
        <f t="shared" si="17"/>
        <v>758.59541999999999</v>
      </c>
      <c r="M99" s="256">
        <f>ROUND((E99+F99+I99)*(kopsavilkums!$O$12)*D99*12*(1+kopsavilkums!$O$23),2)</f>
        <v>591.70000000000005</v>
      </c>
      <c r="O99" s="265"/>
    </row>
    <row r="100" spans="1:16" x14ac:dyDescent="0.25">
      <c r="A100" s="572" t="s">
        <v>112</v>
      </c>
      <c r="B100" s="592" t="s">
        <v>529</v>
      </c>
      <c r="C100" s="592"/>
      <c r="D100" s="792">
        <v>1.5</v>
      </c>
      <c r="E100" s="793">
        <v>1116</v>
      </c>
      <c r="F100" s="793"/>
      <c r="G100" s="793">
        <v>145.08000000000001</v>
      </c>
      <c r="H100" s="567"/>
      <c r="I100" s="567">
        <f t="shared" si="13"/>
        <v>145.08000000000001</v>
      </c>
      <c r="J100" s="578">
        <f t="shared" si="8"/>
        <v>1261.08</v>
      </c>
      <c r="K100" s="87">
        <f t="shared" si="16"/>
        <v>1891.62</v>
      </c>
      <c r="L100" s="142">
        <f t="shared" si="17"/>
        <v>2337.8531579999999</v>
      </c>
      <c r="M100" s="256">
        <f>ROUND((E100+F100+I100)*(kopsavilkums!$O$12)*D100*12*(1+kopsavilkums!$O$23),2)</f>
        <v>1823.53</v>
      </c>
      <c r="O100" s="265"/>
    </row>
    <row r="101" spans="1:16" x14ac:dyDescent="0.25">
      <c r="A101" s="572" t="s">
        <v>112</v>
      </c>
      <c r="B101" s="592" t="s">
        <v>649</v>
      </c>
      <c r="C101" s="592"/>
      <c r="D101" s="792">
        <v>1</v>
      </c>
      <c r="E101" s="793">
        <v>1116</v>
      </c>
      <c r="F101" s="793"/>
      <c r="G101" s="793">
        <v>145.08000000000001</v>
      </c>
      <c r="H101" s="567"/>
      <c r="I101" s="567">
        <f t="shared" ref="I101" si="18">SUM(F101:H101)</f>
        <v>145.08000000000001</v>
      </c>
      <c r="J101" s="578">
        <f t="shared" si="8"/>
        <v>1261.08</v>
      </c>
      <c r="K101" s="87">
        <f t="shared" si="16"/>
        <v>1261.08</v>
      </c>
      <c r="L101" s="142">
        <f t="shared" si="17"/>
        <v>1558.5687719999999</v>
      </c>
      <c r="M101" s="256">
        <f>ROUND((E101+F101+I101)*(kopsavilkums!$O$12)*D101*12*(1+kopsavilkums!$O$23),2)</f>
        <v>1215.68</v>
      </c>
      <c r="O101" s="265"/>
    </row>
    <row r="102" spans="1:16" x14ac:dyDescent="0.25">
      <c r="A102" s="572" t="s">
        <v>107</v>
      </c>
      <c r="B102" s="592" t="s">
        <v>486</v>
      </c>
      <c r="C102" s="592"/>
      <c r="D102" s="792">
        <v>1</v>
      </c>
      <c r="E102" s="793">
        <v>1116</v>
      </c>
      <c r="F102" s="793">
        <v>223.2</v>
      </c>
      <c r="G102" s="793"/>
      <c r="H102" s="567"/>
      <c r="I102" s="567">
        <f t="shared" ref="I102:I105" si="19">SUM(F102:H102)</f>
        <v>223.2</v>
      </c>
      <c r="J102" s="578">
        <f t="shared" si="8"/>
        <v>1339.2</v>
      </c>
      <c r="K102" s="87">
        <f t="shared" si="16"/>
        <v>1339.2</v>
      </c>
      <c r="L102" s="142">
        <f t="shared" si="17"/>
        <v>1655.1172800000002</v>
      </c>
      <c r="M102" s="256">
        <f>ROUND((E102+F102+I102)*(kopsavilkums!$O$12)*D102*12*(1+kopsavilkums!$O$23),2)</f>
        <v>1506.16</v>
      </c>
      <c r="O102" s="265"/>
    </row>
    <row r="103" spans="1:16" x14ac:dyDescent="0.25">
      <c r="A103" s="572" t="s">
        <v>107</v>
      </c>
      <c r="B103" s="592" t="s">
        <v>486</v>
      </c>
      <c r="C103" s="592"/>
      <c r="D103" s="792">
        <v>1</v>
      </c>
      <c r="E103" s="793">
        <v>1032</v>
      </c>
      <c r="F103" s="793"/>
      <c r="G103" s="793">
        <v>103</v>
      </c>
      <c r="H103" s="567"/>
      <c r="I103" s="567">
        <f t="shared" ref="I103:I104" si="20">SUM(F103:H103)</f>
        <v>103</v>
      </c>
      <c r="J103" s="578">
        <f t="shared" ref="J103:J104" si="21">+(I103+E103)</f>
        <v>1135</v>
      </c>
      <c r="K103" s="87">
        <f t="shared" ref="K103:K104" si="22">+J103*D103</f>
        <v>1135</v>
      </c>
      <c r="L103" s="142">
        <f t="shared" ref="L103:L104" si="23">+K103*1.2359</f>
        <v>1402.7465</v>
      </c>
      <c r="M103" s="256">
        <f>ROUND((E103+F103+I103)*(kopsavilkums!$O$12)*D103*12*(1+kopsavilkums!$O$23),2)</f>
        <v>1094.1400000000001</v>
      </c>
      <c r="O103" s="265"/>
    </row>
    <row r="104" spans="1:16" x14ac:dyDescent="0.25">
      <c r="A104" s="572" t="s">
        <v>107</v>
      </c>
      <c r="B104" s="592" t="s">
        <v>486</v>
      </c>
      <c r="C104" s="592"/>
      <c r="D104" s="792">
        <v>0.5</v>
      </c>
      <c r="E104" s="793">
        <v>1032</v>
      </c>
      <c r="F104" s="793"/>
      <c r="G104" s="793"/>
      <c r="H104" s="567"/>
      <c r="I104" s="567">
        <f t="shared" si="20"/>
        <v>0</v>
      </c>
      <c r="J104" s="578">
        <f t="shared" si="21"/>
        <v>1032</v>
      </c>
      <c r="K104" s="87">
        <f t="shared" si="22"/>
        <v>516</v>
      </c>
      <c r="L104" s="142">
        <f t="shared" si="23"/>
        <v>637.72439999999995</v>
      </c>
      <c r="M104" s="256">
        <f>ROUND((E104+F104+I104)*(kopsavilkums!$O$12)*D104*12*(1+kopsavilkums!$O$23),2)</f>
        <v>497.43</v>
      </c>
      <c r="O104" s="265"/>
    </row>
    <row r="105" spans="1:16" x14ac:dyDescent="0.25">
      <c r="A105" s="887" t="s">
        <v>107</v>
      </c>
      <c r="B105" s="888" t="s">
        <v>486</v>
      </c>
      <c r="C105" s="888"/>
      <c r="D105" s="889">
        <v>1</v>
      </c>
      <c r="E105" s="890">
        <v>1192</v>
      </c>
      <c r="F105" s="890"/>
      <c r="G105" s="890"/>
      <c r="H105" s="891"/>
      <c r="I105" s="891">
        <f t="shared" si="19"/>
        <v>0</v>
      </c>
      <c r="J105" s="892">
        <f t="shared" si="8"/>
        <v>1192</v>
      </c>
      <c r="K105" s="87">
        <f t="shared" si="16"/>
        <v>1192</v>
      </c>
      <c r="L105" s="142">
        <f t="shared" si="17"/>
        <v>1473.1928</v>
      </c>
      <c r="M105" s="256">
        <f>ROUND((E105+F105+I105)*(kopsavilkums!$O$12)*D105*12*(1+kopsavilkums!$O$23),2)</f>
        <v>1149.0899999999999</v>
      </c>
      <c r="O105" s="265"/>
    </row>
    <row r="106" spans="1:16" ht="25.5" x14ac:dyDescent="0.25">
      <c r="A106" s="78" t="s">
        <v>25</v>
      </c>
      <c r="B106" s="530"/>
      <c r="C106" s="530"/>
      <c r="D106" s="536"/>
      <c r="E106" s="88"/>
      <c r="F106" s="88"/>
      <c r="G106" s="88"/>
      <c r="H106" s="364"/>
      <c r="I106" s="364"/>
      <c r="J106" s="51">
        <f t="shared" si="8"/>
        <v>0</v>
      </c>
      <c r="K106" s="86">
        <f>SUM(K107:K107)</f>
        <v>807</v>
      </c>
      <c r="L106" s="86">
        <f>SUM(L107:L107)</f>
        <v>997.37130000000002</v>
      </c>
      <c r="M106" s="86">
        <f>SUM(M107:M107)</f>
        <v>825.82</v>
      </c>
    </row>
    <row r="107" spans="1:16" x14ac:dyDescent="0.25">
      <c r="A107" s="572" t="s">
        <v>887</v>
      </c>
      <c r="B107" s="592" t="s">
        <v>497</v>
      </c>
      <c r="C107" s="794"/>
      <c r="D107" s="792">
        <v>1</v>
      </c>
      <c r="E107" s="795">
        <v>807</v>
      </c>
      <c r="F107" s="796"/>
      <c r="G107" s="796"/>
      <c r="H107" s="797"/>
      <c r="I107" s="797"/>
      <c r="J107" s="578">
        <f t="shared" si="8"/>
        <v>807</v>
      </c>
      <c r="K107" s="87">
        <f t="shared" ref="K107" si="24">+J107*D107</f>
        <v>807</v>
      </c>
      <c r="L107" s="142">
        <f t="shared" si="14"/>
        <v>997.37130000000002</v>
      </c>
      <c r="M107" s="256">
        <f>ROUND((E107+F107+I107)*(kopsavilkums!$O$15)*D107*12*(1+kopsavilkums!$O$23),2)</f>
        <v>825.82</v>
      </c>
      <c r="O107" s="265"/>
      <c r="P107" s="15">
        <v>0</v>
      </c>
    </row>
    <row r="108" spans="1:16" ht="15.75" thickBot="1" x14ac:dyDescent="0.3">
      <c r="A108" s="89"/>
      <c r="B108" s="531"/>
      <c r="C108" s="531"/>
      <c r="D108" s="533"/>
      <c r="E108" s="90"/>
      <c r="F108" s="90"/>
      <c r="G108" s="90"/>
      <c r="H108" s="365"/>
      <c r="I108" s="365"/>
      <c r="J108" s="51">
        <f t="shared" si="8"/>
        <v>0</v>
      </c>
      <c r="K108" s="91">
        <f>K10+K53+K106</f>
        <v>160859.14734999998</v>
      </c>
      <c r="L108" s="254">
        <f>L10+L53+L106</f>
        <v>198805.82020986502</v>
      </c>
      <c r="M108" s="256">
        <f>ROUND((E108+F108+I108)*(kopsavilkums!$O$12)*D108*12*(1+kopsavilkums!$O$23),2)</f>
        <v>0</v>
      </c>
    </row>
    <row r="109" spans="1:16" s="17" customFormat="1" ht="15.75" thickBot="1" x14ac:dyDescent="0.25">
      <c r="A109" s="257" t="s">
        <v>32</v>
      </c>
      <c r="B109" s="532"/>
      <c r="C109" s="532"/>
      <c r="D109" s="731">
        <f>D107+D53+D10</f>
        <v>122.295</v>
      </c>
      <c r="E109" s="258" t="s">
        <v>102</v>
      </c>
      <c r="F109" s="258" t="s">
        <v>102</v>
      </c>
      <c r="G109" s="258" t="s">
        <v>102</v>
      </c>
      <c r="H109" s="366"/>
      <c r="I109" s="366"/>
      <c r="J109" s="259">
        <f>J106+J53+J10</f>
        <v>65923.990000000005</v>
      </c>
      <c r="K109" s="260">
        <f>K106+K53+K10</f>
        <v>160859.14734999998</v>
      </c>
      <c r="L109" s="261">
        <f>L106+L53+L10</f>
        <v>198805.82020986502</v>
      </c>
      <c r="M109" s="270">
        <f>SUM(M11:M52,M54:M105,M107:M107)</f>
        <v>190034.06</v>
      </c>
    </row>
    <row r="110" spans="1:16" x14ac:dyDescent="0.25">
      <c r="D110" s="538"/>
      <c r="E110" s="93"/>
      <c r="F110" s="93"/>
      <c r="G110" s="93"/>
      <c r="H110" s="93"/>
      <c r="I110" s="93"/>
      <c r="J110" s="92"/>
      <c r="M110" s="82"/>
    </row>
    <row r="111" spans="1:16" x14ac:dyDescent="0.25">
      <c r="A111" s="13"/>
      <c r="B111" s="13"/>
      <c r="C111" s="13"/>
      <c r="D111" s="539"/>
      <c r="E111" s="93"/>
      <c r="F111" s="93"/>
      <c r="G111" s="93"/>
      <c r="H111" s="93"/>
      <c r="I111" s="93"/>
      <c r="J111" s="92"/>
    </row>
    <row r="112" spans="1:16" hidden="1" x14ac:dyDescent="0.25">
      <c r="D112" s="537">
        <v>3.75</v>
      </c>
      <c r="E112" s="93"/>
      <c r="F112" s="93"/>
      <c r="G112" s="93"/>
      <c r="H112" s="93"/>
      <c r="I112" s="93"/>
      <c r="J112" s="92"/>
      <c r="K112" s="93"/>
      <c r="L112" s="93"/>
    </row>
    <row r="113" spans="1:14" hidden="1" x14ac:dyDescent="0.25">
      <c r="D113" s="94"/>
      <c r="E113" s="93"/>
      <c r="F113" s="93"/>
      <c r="G113" s="93"/>
      <c r="H113" s="93"/>
      <c r="I113" s="93"/>
      <c r="J113" s="93"/>
      <c r="K113" s="93"/>
      <c r="L113" s="93"/>
    </row>
    <row r="114" spans="1:14" x14ac:dyDescent="0.25">
      <c r="A114" s="12" t="s">
        <v>264</v>
      </c>
      <c r="B114" s="12"/>
      <c r="C114" s="12"/>
      <c r="D114" s="94"/>
      <c r="E114" s="94"/>
      <c r="F114" s="94"/>
      <c r="G114" s="94"/>
      <c r="H114" s="94"/>
      <c r="I114" s="94"/>
      <c r="J114" s="94"/>
      <c r="K114" s="94"/>
      <c r="L114" s="94"/>
      <c r="M114" s="546">
        <f>ROUND(B113*106*kopsavilkums!$O$20*1.2359,0)</f>
        <v>0</v>
      </c>
      <c r="N114" s="330"/>
    </row>
    <row r="115" spans="1:14" x14ac:dyDescent="0.25">
      <c r="A115" s="12" t="s">
        <v>265</v>
      </c>
      <c r="B115" s="12"/>
      <c r="C115" s="12"/>
      <c r="E115" s="93"/>
      <c r="F115" s="93"/>
      <c r="G115" s="93"/>
      <c r="H115" s="93"/>
      <c r="I115" s="93"/>
      <c r="J115" s="92"/>
      <c r="M115" s="333"/>
    </row>
    <row r="116" spans="1:14" x14ac:dyDescent="0.25">
      <c r="E116" s="93"/>
      <c r="F116" s="93"/>
      <c r="G116" s="93"/>
      <c r="H116" s="93"/>
      <c r="I116" s="93"/>
      <c r="J116" s="92"/>
    </row>
    <row r="117" spans="1:14" x14ac:dyDescent="0.25">
      <c r="E117" s="93"/>
      <c r="F117" s="93"/>
      <c r="G117" s="93"/>
      <c r="H117" s="93"/>
      <c r="I117" s="93"/>
      <c r="J117" s="92"/>
    </row>
    <row r="118" spans="1:14" x14ac:dyDescent="0.25">
      <c r="E118" s="93"/>
      <c r="F118" s="93"/>
      <c r="G118" s="93"/>
      <c r="H118" s="93"/>
      <c r="I118" s="93"/>
      <c r="J118" s="92"/>
    </row>
    <row r="119" spans="1:14" x14ac:dyDescent="0.25">
      <c r="E119" s="93"/>
      <c r="F119" s="93"/>
      <c r="G119" s="93"/>
      <c r="H119" s="93"/>
      <c r="I119" s="93"/>
      <c r="J119" s="92"/>
    </row>
    <row r="120" spans="1:14" x14ac:dyDescent="0.25">
      <c r="E120" s="93"/>
      <c r="F120" s="93"/>
      <c r="G120" s="93"/>
      <c r="H120" s="93"/>
      <c r="I120" s="93"/>
      <c r="J120" s="92"/>
    </row>
    <row r="121" spans="1:14" x14ac:dyDescent="0.25">
      <c r="E121" s="93"/>
      <c r="F121" s="93"/>
      <c r="G121" s="93"/>
      <c r="H121" s="93"/>
      <c r="I121" s="93"/>
      <c r="J121" s="92"/>
    </row>
    <row r="122" spans="1:14" x14ac:dyDescent="0.25">
      <c r="E122" s="93"/>
      <c r="F122" s="93"/>
      <c r="G122" s="93"/>
      <c r="H122" s="93"/>
      <c r="I122" s="93"/>
      <c r="J122" s="92"/>
    </row>
    <row r="123" spans="1:14" x14ac:dyDescent="0.25">
      <c r="E123" s="93"/>
      <c r="F123" s="93"/>
      <c r="G123" s="93"/>
      <c r="H123" s="93"/>
      <c r="I123" s="93"/>
      <c r="J123" s="92"/>
    </row>
    <row r="124" spans="1:14" x14ac:dyDescent="0.25">
      <c r="E124" s="93"/>
      <c r="F124" s="93"/>
      <c r="G124" s="93"/>
      <c r="H124" s="93"/>
      <c r="I124" s="93"/>
      <c r="J124" s="92"/>
    </row>
    <row r="125" spans="1:14" x14ac:dyDescent="0.25">
      <c r="E125" s="93"/>
      <c r="F125" s="93"/>
      <c r="G125" s="93"/>
      <c r="H125" s="93"/>
      <c r="I125" s="93"/>
      <c r="J125" s="92"/>
    </row>
  </sheetData>
  <mergeCells count="18">
    <mergeCell ref="J6:J7"/>
    <mergeCell ref="H6:H7"/>
    <mergeCell ref="I6:I7"/>
    <mergeCell ref="A2:J2"/>
    <mergeCell ref="A9:L9"/>
    <mergeCell ref="A8:L8"/>
    <mergeCell ref="M6:M7"/>
    <mergeCell ref="A3:M3"/>
    <mergeCell ref="K6:K7"/>
    <mergeCell ref="L6:L7"/>
    <mergeCell ref="A5:L5"/>
    <mergeCell ref="A6:A7"/>
    <mergeCell ref="D6:D7"/>
    <mergeCell ref="E6:E7"/>
    <mergeCell ref="F6:F7"/>
    <mergeCell ref="G6:G7"/>
    <mergeCell ref="B6:B7"/>
    <mergeCell ref="C6:C7"/>
  </mergeCells>
  <printOptions horizontalCentered="1"/>
  <pageMargins left="0.19685039370078741" right="0.19685039370078741" top="0.47244094488188981" bottom="0.39370078740157483" header="0.19685039370078741" footer="0.19685039370078741"/>
  <pageSetup paperSize="9" scale="43" pageOrder="overThenDown" orientation="portrait" r:id="rId1"/>
  <headerFooter>
    <oddHeader xml:space="preserve">&amp;R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66B2F-C465-46D6-B8B4-DA1E86AB8C13}">
  <dimension ref="A1:AA39"/>
  <sheetViews>
    <sheetView view="pageBreakPreview" zoomScale="60" zoomScaleNormal="100" workbookViewId="0">
      <selection activeCell="N7" sqref="N7"/>
    </sheetView>
  </sheetViews>
  <sheetFormatPr defaultRowHeight="15" x14ac:dyDescent="0.25"/>
  <cols>
    <col min="1" max="1" width="18.42578125" customWidth="1"/>
    <col min="2" max="2" width="11.28515625" bestFit="1" customWidth="1"/>
    <col min="3" max="3" width="17.28515625" customWidth="1"/>
    <col min="4" max="4" width="12.5703125" customWidth="1"/>
    <col min="5" max="5" width="10.140625" customWidth="1"/>
    <col min="6" max="6" width="9" bestFit="1" customWidth="1"/>
    <col min="7" max="7" width="9" customWidth="1"/>
    <col min="8" max="8" width="8.5703125" bestFit="1" customWidth="1"/>
    <col min="9" max="9" width="7.28515625" bestFit="1" customWidth="1"/>
    <col min="10" max="10" width="8.85546875" customWidth="1"/>
    <col min="11" max="11" width="7.28515625" bestFit="1" customWidth="1"/>
    <col min="12" max="12" width="15.42578125" customWidth="1"/>
    <col min="13" max="13" width="9.7109375" customWidth="1"/>
    <col min="14" max="14" width="11.28515625" customWidth="1"/>
    <col min="15" max="15" width="9.5703125" bestFit="1" customWidth="1"/>
    <col min="16" max="16" width="9.7109375" customWidth="1"/>
    <col min="17" max="17" width="8" customWidth="1"/>
    <col min="18" max="18" width="9.42578125" customWidth="1"/>
    <col min="19" max="20" width="8.140625" bestFit="1" customWidth="1"/>
    <col min="21" max="21" width="12.5703125" customWidth="1"/>
    <col min="22" max="22" width="7.28515625" bestFit="1" customWidth="1"/>
    <col min="23" max="23" width="8.42578125" bestFit="1" customWidth="1"/>
    <col min="24" max="24" width="7" bestFit="1" customWidth="1"/>
    <col min="25" max="25" width="11.140625" customWidth="1"/>
    <col min="26" max="26" width="11.7109375" customWidth="1"/>
    <col min="27" max="27" width="8.42578125" style="67" bestFit="1" customWidth="1"/>
  </cols>
  <sheetData>
    <row r="1" spans="1:27" ht="15.75" x14ac:dyDescent="0.25">
      <c r="T1" s="391"/>
      <c r="U1" s="927"/>
      <c r="V1" s="1155" t="s">
        <v>987</v>
      </c>
      <c r="W1" s="1155"/>
      <c r="X1" s="391"/>
      <c r="Y1" s="391"/>
      <c r="Z1" s="391"/>
      <c r="AA1" s="391"/>
    </row>
    <row r="2" spans="1:27" ht="40.5" customHeight="1" x14ac:dyDescent="0.25">
      <c r="A2" s="1156" t="s">
        <v>989</v>
      </c>
      <c r="B2" s="1156"/>
      <c r="C2" s="1156"/>
      <c r="D2" s="1156"/>
      <c r="E2" s="1156"/>
      <c r="F2" s="1156"/>
      <c r="G2" s="1156"/>
      <c r="H2" s="1156"/>
      <c r="I2" s="1156"/>
      <c r="J2" s="1156"/>
      <c r="K2" s="1156"/>
      <c r="L2" s="1156"/>
      <c r="M2" s="1156"/>
      <c r="N2" s="1156"/>
      <c r="O2" s="1156"/>
      <c r="P2" s="1156"/>
      <c r="Q2" s="1156"/>
      <c r="R2" s="1156"/>
      <c r="S2" s="1156"/>
      <c r="T2" s="1156"/>
      <c r="U2" s="1156"/>
      <c r="V2" s="1156"/>
      <c r="W2" s="1156"/>
      <c r="X2" s="928"/>
      <c r="Y2" s="928"/>
      <c r="Z2" s="928"/>
      <c r="AA2" s="928"/>
    </row>
    <row r="3" spans="1:27" ht="17.25" customHeight="1" thickBot="1" x14ac:dyDescent="0.3">
      <c r="A3" s="1148" t="s">
        <v>165</v>
      </c>
      <c r="B3" s="1148"/>
      <c r="C3" s="1148"/>
      <c r="D3" s="1148"/>
      <c r="E3" s="1148"/>
    </row>
    <row r="4" spans="1:27" ht="56.25" customHeight="1" x14ac:dyDescent="0.25">
      <c r="A4" s="1149" t="s">
        <v>161</v>
      </c>
      <c r="B4" s="1150"/>
      <c r="C4" s="367" t="s">
        <v>166</v>
      </c>
      <c r="D4" s="1151" t="s">
        <v>1</v>
      </c>
      <c r="E4" s="1152"/>
      <c r="F4" s="1153"/>
      <c r="G4" s="1153"/>
      <c r="H4" s="1153"/>
      <c r="I4" s="1153"/>
      <c r="J4" s="1153"/>
      <c r="K4" s="1153"/>
      <c r="L4" s="1153"/>
      <c r="M4" s="1153"/>
      <c r="N4" s="1153"/>
      <c r="O4" s="1153"/>
      <c r="P4" s="1153"/>
      <c r="Q4" s="1153"/>
      <c r="R4" s="1153"/>
      <c r="S4" s="1153"/>
      <c r="T4" s="1153"/>
      <c r="U4" s="1153"/>
      <c r="V4" s="1153"/>
      <c r="W4" s="1154"/>
      <c r="AA4"/>
    </row>
    <row r="5" spans="1:27" ht="51" x14ac:dyDescent="0.25">
      <c r="A5" s="348" t="s">
        <v>167</v>
      </c>
      <c r="B5" s="349" t="s">
        <v>271</v>
      </c>
      <c r="C5" s="368" t="s">
        <v>32</v>
      </c>
      <c r="D5" s="369" t="s">
        <v>450</v>
      </c>
      <c r="E5" s="370" t="s">
        <v>112</v>
      </c>
      <c r="F5" s="371" t="s">
        <v>254</v>
      </c>
      <c r="G5" s="371" t="s">
        <v>12</v>
      </c>
      <c r="H5" s="371" t="s">
        <v>107</v>
      </c>
      <c r="I5" s="371" t="s">
        <v>125</v>
      </c>
      <c r="J5" s="371" t="s">
        <v>118</v>
      </c>
      <c r="K5" s="371" t="s">
        <v>272</v>
      </c>
      <c r="L5" s="371" t="s">
        <v>273</v>
      </c>
      <c r="M5" s="371" t="s">
        <v>274</v>
      </c>
      <c r="N5" s="371" t="s">
        <v>162</v>
      </c>
      <c r="O5" s="371" t="s">
        <v>164</v>
      </c>
      <c r="P5" s="371" t="s">
        <v>275</v>
      </c>
      <c r="Q5" s="371" t="s">
        <v>276</v>
      </c>
      <c r="R5" s="371" t="s">
        <v>126</v>
      </c>
      <c r="S5" s="371" t="s">
        <v>277</v>
      </c>
      <c r="T5" s="371" t="s">
        <v>127</v>
      </c>
      <c r="U5" s="371" t="s">
        <v>278</v>
      </c>
      <c r="V5" s="371" t="s">
        <v>26</v>
      </c>
      <c r="W5" s="372" t="s">
        <v>32</v>
      </c>
      <c r="AA5"/>
    </row>
    <row r="6" spans="1:27" x14ac:dyDescent="0.25">
      <c r="A6" s="373" t="s">
        <v>350</v>
      </c>
      <c r="B6" s="374">
        <v>54491.86</v>
      </c>
      <c r="C6" s="375">
        <v>41.6</v>
      </c>
      <c r="D6" s="376">
        <v>12.1</v>
      </c>
      <c r="E6" s="96"/>
      <c r="F6" s="95"/>
      <c r="G6" s="95">
        <v>1</v>
      </c>
      <c r="H6" s="95">
        <v>1.5</v>
      </c>
      <c r="I6" s="95">
        <v>2</v>
      </c>
      <c r="J6" s="95"/>
      <c r="K6" s="95"/>
      <c r="L6" s="95"/>
      <c r="M6" s="95">
        <v>3.55</v>
      </c>
      <c r="N6" s="95"/>
      <c r="O6" s="95"/>
      <c r="P6" s="95"/>
      <c r="Q6" s="95"/>
      <c r="R6" s="95"/>
      <c r="S6" s="95"/>
      <c r="T6" s="95">
        <v>21.45</v>
      </c>
      <c r="U6" s="95"/>
      <c r="V6" s="95"/>
      <c r="W6" s="377">
        <v>41.6</v>
      </c>
      <c r="X6" s="98"/>
      <c r="AA6"/>
    </row>
    <row r="7" spans="1:27" x14ac:dyDescent="0.25">
      <c r="A7" s="373" t="s">
        <v>351</v>
      </c>
      <c r="B7" s="374">
        <v>4688.5</v>
      </c>
      <c r="C7" s="375">
        <v>5.75</v>
      </c>
      <c r="D7" s="376">
        <v>0.25</v>
      </c>
      <c r="E7" s="96"/>
      <c r="F7" s="95"/>
      <c r="G7" s="95"/>
      <c r="H7" s="95"/>
      <c r="I7" s="95">
        <v>0.25</v>
      </c>
      <c r="J7" s="95"/>
      <c r="K7" s="95"/>
      <c r="L7" s="95"/>
      <c r="M7" s="95"/>
      <c r="N7" s="95"/>
      <c r="O7" s="95"/>
      <c r="P7" s="95">
        <v>0.5</v>
      </c>
      <c r="Q7" s="95"/>
      <c r="R7" s="95"/>
      <c r="S7" s="95"/>
      <c r="T7" s="95">
        <v>3.75</v>
      </c>
      <c r="U7" s="95">
        <v>1</v>
      </c>
      <c r="V7" s="95"/>
      <c r="W7" s="377">
        <v>5.75</v>
      </c>
      <c r="X7" s="98"/>
      <c r="AA7"/>
    </row>
    <row r="8" spans="1:27" ht="19.5" customHeight="1" x14ac:dyDescent="0.25">
      <c r="A8" s="373" t="s">
        <v>352</v>
      </c>
      <c r="B8" s="374">
        <v>7865.69</v>
      </c>
      <c r="C8" s="375">
        <v>5.85</v>
      </c>
      <c r="D8" s="376">
        <v>1</v>
      </c>
      <c r="E8" s="96"/>
      <c r="F8" s="95"/>
      <c r="G8" s="95"/>
      <c r="H8" s="95"/>
      <c r="I8" s="95">
        <v>1</v>
      </c>
      <c r="J8" s="95"/>
      <c r="K8" s="95"/>
      <c r="L8" s="95"/>
      <c r="M8" s="95">
        <v>1</v>
      </c>
      <c r="N8" s="95"/>
      <c r="O8" s="95"/>
      <c r="P8" s="95"/>
      <c r="Q8" s="95"/>
      <c r="R8" s="95"/>
      <c r="S8" s="95"/>
      <c r="T8" s="95">
        <v>2.85</v>
      </c>
      <c r="U8" s="95"/>
      <c r="V8" s="95"/>
      <c r="W8" s="377">
        <v>5.85</v>
      </c>
      <c r="X8" s="98"/>
      <c r="AA8"/>
    </row>
    <row r="9" spans="1:27" x14ac:dyDescent="0.25">
      <c r="A9" s="373" t="s">
        <v>353</v>
      </c>
      <c r="B9" s="374">
        <v>2155.5100000000002</v>
      </c>
      <c r="C9" s="375">
        <v>2.0499999999999998</v>
      </c>
      <c r="D9" s="376">
        <v>0.35</v>
      </c>
      <c r="E9" s="96"/>
      <c r="F9" s="95"/>
      <c r="G9" s="95"/>
      <c r="H9" s="95"/>
      <c r="I9" s="95">
        <v>0.4</v>
      </c>
      <c r="J9" s="95"/>
      <c r="K9" s="95"/>
      <c r="L9" s="95"/>
      <c r="M9" s="95"/>
      <c r="N9" s="95"/>
      <c r="O9" s="95"/>
      <c r="P9" s="95"/>
      <c r="Q9" s="95"/>
      <c r="R9" s="95"/>
      <c r="S9" s="95"/>
      <c r="T9" s="95">
        <v>1.3</v>
      </c>
      <c r="U9" s="95"/>
      <c r="V9" s="95"/>
      <c r="W9" s="377">
        <v>2.0499999999999998</v>
      </c>
      <c r="X9" s="98"/>
      <c r="AA9"/>
    </row>
    <row r="10" spans="1:27" x14ac:dyDescent="0.25">
      <c r="A10" s="373" t="s">
        <v>354</v>
      </c>
      <c r="B10" s="374">
        <v>7200.5</v>
      </c>
      <c r="C10" s="375">
        <v>5.5</v>
      </c>
      <c r="D10" s="376">
        <v>0.5</v>
      </c>
      <c r="E10" s="96"/>
      <c r="F10" s="95"/>
      <c r="G10" s="95"/>
      <c r="H10" s="95"/>
      <c r="I10" s="95"/>
      <c r="J10" s="95"/>
      <c r="K10" s="95"/>
      <c r="L10" s="95"/>
      <c r="M10" s="95">
        <v>0.5</v>
      </c>
      <c r="N10" s="95"/>
      <c r="O10" s="95"/>
      <c r="P10" s="95"/>
      <c r="Q10" s="95"/>
      <c r="R10" s="95"/>
      <c r="S10" s="95"/>
      <c r="T10" s="95">
        <v>4.5</v>
      </c>
      <c r="U10" s="95"/>
      <c r="V10" s="95"/>
      <c r="W10" s="377">
        <v>5.5</v>
      </c>
      <c r="X10" s="98"/>
      <c r="AA10"/>
    </row>
    <row r="11" spans="1:27" x14ac:dyDescent="0.25">
      <c r="A11" s="373" t="s">
        <v>355</v>
      </c>
      <c r="B11" s="374">
        <v>3549.68</v>
      </c>
      <c r="C11" s="375">
        <v>3</v>
      </c>
      <c r="D11" s="376"/>
      <c r="E11" s="96"/>
      <c r="F11" s="95"/>
      <c r="G11" s="95"/>
      <c r="H11" s="95"/>
      <c r="I11" s="95">
        <v>1</v>
      </c>
      <c r="J11" s="95"/>
      <c r="K11" s="95"/>
      <c r="L11" s="95"/>
      <c r="M11" s="95"/>
      <c r="N11" s="95"/>
      <c r="O11" s="95"/>
      <c r="P11" s="95"/>
      <c r="Q11" s="95"/>
      <c r="R11" s="95"/>
      <c r="S11" s="95"/>
      <c r="T11" s="95">
        <v>2</v>
      </c>
      <c r="U11" s="95"/>
      <c r="V11" s="95"/>
      <c r="W11" s="377">
        <v>3</v>
      </c>
      <c r="X11" s="98"/>
      <c r="AA11"/>
    </row>
    <row r="12" spans="1:27" x14ac:dyDescent="0.25">
      <c r="A12" s="373" t="s">
        <v>356</v>
      </c>
      <c r="B12" s="374">
        <v>3660.82</v>
      </c>
      <c r="C12" s="375">
        <v>3.5</v>
      </c>
      <c r="D12" s="376">
        <v>0.5</v>
      </c>
      <c r="E12" s="96"/>
      <c r="F12" s="95"/>
      <c r="G12" s="95"/>
      <c r="H12" s="95"/>
      <c r="I12" s="95"/>
      <c r="J12" s="95"/>
      <c r="K12" s="95"/>
      <c r="L12" s="95"/>
      <c r="M12" s="95">
        <v>1</v>
      </c>
      <c r="N12" s="95"/>
      <c r="O12" s="95"/>
      <c r="P12" s="95"/>
      <c r="Q12" s="95"/>
      <c r="R12" s="95"/>
      <c r="S12" s="95"/>
      <c r="T12" s="95">
        <v>2</v>
      </c>
      <c r="U12" s="95"/>
      <c r="V12" s="95"/>
      <c r="W12" s="377">
        <v>3.5</v>
      </c>
      <c r="X12" s="98"/>
      <c r="AA12"/>
    </row>
    <row r="13" spans="1:27" x14ac:dyDescent="0.25">
      <c r="A13" s="373" t="s">
        <v>357</v>
      </c>
      <c r="B13" s="374">
        <v>2270.4</v>
      </c>
      <c r="C13" s="375">
        <v>2</v>
      </c>
      <c r="D13" s="376"/>
      <c r="E13" s="96"/>
      <c r="F13" s="95"/>
      <c r="G13" s="95"/>
      <c r="H13" s="95"/>
      <c r="I13" s="95">
        <v>1</v>
      </c>
      <c r="J13" s="95"/>
      <c r="K13" s="95"/>
      <c r="L13" s="95"/>
      <c r="M13" s="95"/>
      <c r="N13" s="95"/>
      <c r="O13" s="95"/>
      <c r="P13" s="95"/>
      <c r="Q13" s="95"/>
      <c r="R13" s="95"/>
      <c r="S13" s="95"/>
      <c r="T13" s="95">
        <v>1</v>
      </c>
      <c r="U13" s="95"/>
      <c r="V13" s="95"/>
      <c r="W13" s="377">
        <v>2</v>
      </c>
      <c r="X13" s="98"/>
      <c r="AA13"/>
    </row>
    <row r="14" spans="1:27" x14ac:dyDescent="0.25">
      <c r="A14" s="373" t="s">
        <v>168</v>
      </c>
      <c r="B14" s="374">
        <v>2547.06</v>
      </c>
      <c r="C14" s="375">
        <v>2.4</v>
      </c>
      <c r="D14" s="376"/>
      <c r="E14" s="96"/>
      <c r="F14" s="95"/>
      <c r="G14" s="95"/>
      <c r="H14" s="95"/>
      <c r="I14" s="95"/>
      <c r="J14" s="95"/>
      <c r="K14" s="95"/>
      <c r="L14" s="95"/>
      <c r="M14" s="95"/>
      <c r="N14" s="95"/>
      <c r="O14" s="95">
        <v>0.2</v>
      </c>
      <c r="P14" s="95">
        <v>0.2</v>
      </c>
      <c r="Q14" s="95"/>
      <c r="R14" s="95"/>
      <c r="S14" s="95"/>
      <c r="T14" s="95">
        <v>1</v>
      </c>
      <c r="U14" s="95">
        <v>1</v>
      </c>
      <c r="V14" s="95"/>
      <c r="W14" s="377">
        <v>2.4</v>
      </c>
      <c r="X14" s="98"/>
      <c r="AA14"/>
    </row>
    <row r="15" spans="1:27" x14ac:dyDescent="0.25">
      <c r="A15" s="373" t="s">
        <v>169</v>
      </c>
      <c r="B15" s="374">
        <v>10601.83</v>
      </c>
      <c r="C15" s="375">
        <v>9.1739999999999995</v>
      </c>
      <c r="D15" s="376"/>
      <c r="E15" s="96">
        <v>0.25</v>
      </c>
      <c r="F15" s="95"/>
      <c r="G15" s="95"/>
      <c r="H15" s="95"/>
      <c r="I15" s="95">
        <v>0.1</v>
      </c>
      <c r="J15" s="95"/>
      <c r="K15" s="95"/>
      <c r="L15" s="95"/>
      <c r="M15" s="95">
        <v>1.5</v>
      </c>
      <c r="N15" s="95"/>
      <c r="O15" s="95">
        <v>0.45</v>
      </c>
      <c r="P15" s="95"/>
      <c r="Q15" s="95">
        <v>0.05</v>
      </c>
      <c r="R15" s="95">
        <v>0.25</v>
      </c>
      <c r="S15" s="95">
        <v>0.45900000000000002</v>
      </c>
      <c r="T15" s="95">
        <v>6.1150000000000002</v>
      </c>
      <c r="U15" s="95"/>
      <c r="V15" s="95"/>
      <c r="W15" s="377">
        <v>9.1739999999999995</v>
      </c>
      <c r="X15" s="98"/>
      <c r="AA15"/>
    </row>
    <row r="16" spans="1:27" x14ac:dyDescent="0.25">
      <c r="A16" s="373" t="s">
        <v>358</v>
      </c>
      <c r="B16" s="374">
        <v>4377.08</v>
      </c>
      <c r="C16" s="375">
        <v>3.8</v>
      </c>
      <c r="D16" s="376">
        <v>0.2</v>
      </c>
      <c r="E16" s="96"/>
      <c r="F16" s="95"/>
      <c r="G16" s="95"/>
      <c r="H16" s="95"/>
      <c r="I16" s="95"/>
      <c r="J16" s="95"/>
      <c r="K16" s="95"/>
      <c r="L16" s="95"/>
      <c r="M16" s="95"/>
      <c r="N16" s="95"/>
      <c r="O16" s="95"/>
      <c r="P16" s="95"/>
      <c r="Q16" s="95"/>
      <c r="R16" s="95"/>
      <c r="S16" s="95"/>
      <c r="T16" s="95">
        <v>3.6</v>
      </c>
      <c r="U16" s="95"/>
      <c r="V16" s="95"/>
      <c r="W16" s="377">
        <v>3.8</v>
      </c>
      <c r="X16" s="98"/>
      <c r="AA16"/>
    </row>
    <row r="17" spans="1:24" customFormat="1" x14ac:dyDescent="0.25">
      <c r="A17" s="373" t="s">
        <v>170</v>
      </c>
      <c r="B17" s="374">
        <v>1135.2</v>
      </c>
      <c r="C17" s="375">
        <v>1</v>
      </c>
      <c r="D17" s="376"/>
      <c r="E17" s="96"/>
      <c r="F17" s="95"/>
      <c r="G17" s="95"/>
      <c r="H17" s="95"/>
      <c r="I17" s="95"/>
      <c r="J17" s="95"/>
      <c r="K17" s="95"/>
      <c r="L17" s="95"/>
      <c r="M17" s="95"/>
      <c r="N17" s="95"/>
      <c r="O17" s="95"/>
      <c r="P17" s="95"/>
      <c r="Q17" s="95"/>
      <c r="R17" s="95"/>
      <c r="S17" s="95"/>
      <c r="T17" s="95">
        <v>1</v>
      </c>
      <c r="U17" s="95"/>
      <c r="V17" s="95"/>
      <c r="W17" s="377">
        <v>1</v>
      </c>
      <c r="X17" s="98"/>
    </row>
    <row r="18" spans="1:24" customFormat="1" x14ac:dyDescent="0.25">
      <c r="A18" s="373" t="s">
        <v>171</v>
      </c>
      <c r="B18" s="374">
        <v>3210.9</v>
      </c>
      <c r="C18" s="375">
        <v>2.5</v>
      </c>
      <c r="D18" s="376">
        <v>0.5</v>
      </c>
      <c r="E18" s="96"/>
      <c r="F18" s="95"/>
      <c r="G18" s="95"/>
      <c r="H18" s="95"/>
      <c r="I18" s="95"/>
      <c r="J18" s="95"/>
      <c r="K18" s="95"/>
      <c r="L18" s="95"/>
      <c r="M18" s="95"/>
      <c r="N18" s="95"/>
      <c r="O18" s="95"/>
      <c r="P18" s="95"/>
      <c r="Q18" s="95"/>
      <c r="R18" s="95"/>
      <c r="S18" s="95"/>
      <c r="T18" s="95">
        <v>2</v>
      </c>
      <c r="U18" s="95"/>
      <c r="V18" s="95"/>
      <c r="W18" s="377">
        <v>2.5</v>
      </c>
      <c r="X18" s="98"/>
    </row>
    <row r="19" spans="1:24" customFormat="1" x14ac:dyDescent="0.25">
      <c r="A19" s="373" t="s">
        <v>172</v>
      </c>
      <c r="B19" s="374">
        <v>2510.4</v>
      </c>
      <c r="C19" s="375">
        <v>2.2000000000000002</v>
      </c>
      <c r="D19" s="376">
        <v>0.2</v>
      </c>
      <c r="E19" s="96"/>
      <c r="F19" s="95"/>
      <c r="G19" s="95"/>
      <c r="H19" s="95"/>
      <c r="I19" s="95"/>
      <c r="J19" s="95"/>
      <c r="K19" s="95"/>
      <c r="L19" s="95"/>
      <c r="M19" s="95"/>
      <c r="N19" s="95"/>
      <c r="O19" s="95"/>
      <c r="P19" s="95"/>
      <c r="Q19" s="95"/>
      <c r="R19" s="95"/>
      <c r="S19" s="95"/>
      <c r="T19" s="95">
        <v>2</v>
      </c>
      <c r="U19" s="95"/>
      <c r="V19" s="95"/>
      <c r="W19" s="377">
        <v>2.2000000000000002</v>
      </c>
      <c r="X19" s="98"/>
    </row>
    <row r="20" spans="1:24" customFormat="1" x14ac:dyDescent="0.25">
      <c r="A20" s="373" t="s">
        <v>359</v>
      </c>
      <c r="B20" s="374">
        <v>1339.5</v>
      </c>
      <c r="C20" s="375">
        <v>1.5</v>
      </c>
      <c r="D20" s="376"/>
      <c r="E20" s="96"/>
      <c r="F20" s="95"/>
      <c r="G20" s="95"/>
      <c r="H20" s="95"/>
      <c r="I20" s="95"/>
      <c r="J20" s="95"/>
      <c r="K20" s="95"/>
      <c r="L20" s="95"/>
      <c r="M20" s="95"/>
      <c r="N20" s="95"/>
      <c r="O20" s="95"/>
      <c r="P20" s="95"/>
      <c r="Q20" s="95"/>
      <c r="R20" s="95"/>
      <c r="S20" s="95"/>
      <c r="T20" s="95">
        <v>1.5</v>
      </c>
      <c r="U20" s="95"/>
      <c r="V20" s="95"/>
      <c r="W20" s="377">
        <v>1.5</v>
      </c>
      <c r="X20" s="98"/>
    </row>
    <row r="21" spans="1:24" customFormat="1" x14ac:dyDescent="0.25">
      <c r="A21" s="373" t="s">
        <v>360</v>
      </c>
      <c r="B21" s="374">
        <v>2140</v>
      </c>
      <c r="C21" s="375">
        <v>2.5</v>
      </c>
      <c r="D21" s="376"/>
      <c r="E21" s="96"/>
      <c r="F21" s="95"/>
      <c r="G21" s="95"/>
      <c r="H21" s="95"/>
      <c r="I21" s="95"/>
      <c r="J21" s="95"/>
      <c r="K21" s="95"/>
      <c r="L21" s="95"/>
      <c r="M21" s="95"/>
      <c r="N21" s="95"/>
      <c r="O21" s="95"/>
      <c r="P21" s="95">
        <v>0.5</v>
      </c>
      <c r="Q21" s="95"/>
      <c r="R21" s="95"/>
      <c r="S21" s="95"/>
      <c r="T21" s="95">
        <v>2</v>
      </c>
      <c r="U21" s="95"/>
      <c r="V21" s="95"/>
      <c r="W21" s="377">
        <v>2.5</v>
      </c>
      <c r="X21" s="98"/>
    </row>
    <row r="22" spans="1:24" customFormat="1" x14ac:dyDescent="0.25">
      <c r="A22" s="373" t="s">
        <v>173</v>
      </c>
      <c r="B22" s="374">
        <v>5187.37</v>
      </c>
      <c r="C22" s="375">
        <v>4</v>
      </c>
      <c r="D22" s="376"/>
      <c r="E22" s="96"/>
      <c r="F22" s="95"/>
      <c r="G22" s="95"/>
      <c r="H22" s="95"/>
      <c r="I22" s="95"/>
      <c r="J22" s="95"/>
      <c r="K22" s="95"/>
      <c r="L22" s="95"/>
      <c r="M22" s="95">
        <v>0.5</v>
      </c>
      <c r="N22" s="95"/>
      <c r="O22" s="95"/>
      <c r="P22" s="95">
        <v>0.5</v>
      </c>
      <c r="Q22" s="95"/>
      <c r="R22" s="95"/>
      <c r="S22" s="95">
        <v>1</v>
      </c>
      <c r="T22" s="95">
        <v>2</v>
      </c>
      <c r="U22" s="95"/>
      <c r="V22" s="95"/>
      <c r="W22" s="377">
        <v>4</v>
      </c>
      <c r="X22" s="98"/>
    </row>
    <row r="23" spans="1:24" customFormat="1" x14ac:dyDescent="0.25">
      <c r="A23" s="373" t="s">
        <v>174</v>
      </c>
      <c r="B23" s="374">
        <v>1685.5</v>
      </c>
      <c r="C23" s="375">
        <v>1.5</v>
      </c>
      <c r="D23" s="376">
        <v>0.5</v>
      </c>
      <c r="E23" s="96"/>
      <c r="F23" s="95"/>
      <c r="G23" s="95"/>
      <c r="H23" s="95"/>
      <c r="I23" s="95"/>
      <c r="J23" s="95"/>
      <c r="K23" s="95"/>
      <c r="L23" s="95"/>
      <c r="M23" s="95"/>
      <c r="N23" s="95"/>
      <c r="O23" s="95"/>
      <c r="P23" s="95"/>
      <c r="Q23" s="95"/>
      <c r="R23" s="95"/>
      <c r="S23" s="95"/>
      <c r="T23" s="95">
        <v>1</v>
      </c>
      <c r="U23" s="95"/>
      <c r="V23" s="95"/>
      <c r="W23" s="377">
        <v>1.5</v>
      </c>
      <c r="X23" s="98"/>
    </row>
    <row r="24" spans="1:24" customFormat="1" x14ac:dyDescent="0.25">
      <c r="A24" s="373" t="s">
        <v>175</v>
      </c>
      <c r="B24" s="374">
        <v>880</v>
      </c>
      <c r="C24" s="375">
        <v>1</v>
      </c>
      <c r="D24" s="376"/>
      <c r="E24" s="96"/>
      <c r="F24" s="95"/>
      <c r="G24" s="95"/>
      <c r="H24" s="95"/>
      <c r="I24" s="95"/>
      <c r="J24" s="95"/>
      <c r="K24" s="95"/>
      <c r="L24" s="95"/>
      <c r="M24" s="95"/>
      <c r="N24" s="95"/>
      <c r="O24" s="95"/>
      <c r="P24" s="95"/>
      <c r="Q24" s="95"/>
      <c r="R24" s="95"/>
      <c r="S24" s="95"/>
      <c r="T24" s="95">
        <v>1</v>
      </c>
      <c r="U24" s="95"/>
      <c r="V24" s="95"/>
      <c r="W24" s="377">
        <v>1</v>
      </c>
      <c r="X24" s="98"/>
    </row>
    <row r="25" spans="1:24" customFormat="1" x14ac:dyDescent="0.25">
      <c r="A25" s="373" t="s">
        <v>176</v>
      </c>
      <c r="B25" s="374">
        <v>1895.4</v>
      </c>
      <c r="C25" s="375">
        <v>1.65</v>
      </c>
      <c r="D25" s="376">
        <v>0.1</v>
      </c>
      <c r="E25" s="96"/>
      <c r="F25" s="95"/>
      <c r="G25" s="95"/>
      <c r="H25" s="95"/>
      <c r="I25" s="95">
        <v>0.3</v>
      </c>
      <c r="J25" s="95"/>
      <c r="K25" s="95"/>
      <c r="L25" s="95"/>
      <c r="M25" s="95"/>
      <c r="N25" s="95"/>
      <c r="O25" s="95"/>
      <c r="P25" s="95"/>
      <c r="Q25" s="95"/>
      <c r="R25" s="95"/>
      <c r="S25" s="95"/>
      <c r="T25" s="95">
        <v>1.25</v>
      </c>
      <c r="U25" s="95"/>
      <c r="V25" s="95"/>
      <c r="W25" s="377">
        <v>1.65</v>
      </c>
      <c r="X25" s="98"/>
    </row>
    <row r="26" spans="1:24" customFormat="1" x14ac:dyDescent="0.25">
      <c r="A26" s="373" t="s">
        <v>361</v>
      </c>
      <c r="B26" s="374">
        <v>1472.75</v>
      </c>
      <c r="C26" s="375">
        <v>1.675</v>
      </c>
      <c r="D26" s="376">
        <v>1</v>
      </c>
      <c r="E26" s="96"/>
      <c r="F26" s="95"/>
      <c r="G26" s="95"/>
      <c r="H26" s="95"/>
      <c r="I26" s="95"/>
      <c r="J26" s="95"/>
      <c r="K26" s="95"/>
      <c r="L26" s="95"/>
      <c r="M26" s="95">
        <v>0.17499999999999999</v>
      </c>
      <c r="N26" s="95"/>
      <c r="O26" s="95"/>
      <c r="P26" s="95"/>
      <c r="Q26" s="95"/>
      <c r="R26" s="95"/>
      <c r="S26" s="95"/>
      <c r="T26" s="95">
        <v>0.5</v>
      </c>
      <c r="U26" s="95"/>
      <c r="V26" s="95"/>
      <c r="W26" s="377">
        <v>1.675</v>
      </c>
      <c r="X26" s="98"/>
    </row>
    <row r="27" spans="1:24" customFormat="1" x14ac:dyDescent="0.25">
      <c r="A27" s="373" t="s">
        <v>177</v>
      </c>
      <c r="B27" s="374">
        <v>5764.03</v>
      </c>
      <c r="C27" s="375">
        <v>5.45</v>
      </c>
      <c r="D27" s="376"/>
      <c r="E27" s="96"/>
      <c r="F27" s="95"/>
      <c r="G27" s="95"/>
      <c r="H27" s="95"/>
      <c r="I27" s="95"/>
      <c r="J27" s="95"/>
      <c r="K27" s="95"/>
      <c r="L27" s="95"/>
      <c r="M27" s="95">
        <v>0.5</v>
      </c>
      <c r="N27" s="95"/>
      <c r="O27" s="95"/>
      <c r="P27" s="95">
        <v>0.75</v>
      </c>
      <c r="Q27" s="95"/>
      <c r="R27" s="95"/>
      <c r="S27" s="95"/>
      <c r="T27" s="95">
        <v>3.2</v>
      </c>
      <c r="U27" s="95"/>
      <c r="V27" s="95">
        <v>1</v>
      </c>
      <c r="W27" s="377">
        <v>5.45</v>
      </c>
      <c r="X27" s="98"/>
    </row>
    <row r="28" spans="1:24" customFormat="1" x14ac:dyDescent="0.25">
      <c r="A28" s="373" t="s">
        <v>362</v>
      </c>
      <c r="B28" s="374">
        <v>5004.5</v>
      </c>
      <c r="C28" s="375">
        <v>4.375</v>
      </c>
      <c r="D28" s="376"/>
      <c r="E28" s="96"/>
      <c r="F28" s="95"/>
      <c r="G28" s="95"/>
      <c r="H28" s="95"/>
      <c r="I28" s="95"/>
      <c r="J28" s="95">
        <v>1.2</v>
      </c>
      <c r="K28" s="95">
        <v>1.1000000000000001</v>
      </c>
      <c r="L28" s="95"/>
      <c r="M28" s="95"/>
      <c r="N28" s="95"/>
      <c r="O28" s="95"/>
      <c r="P28" s="95"/>
      <c r="Q28" s="95"/>
      <c r="R28" s="95"/>
      <c r="S28" s="95">
        <v>2.0750000000000002</v>
      </c>
      <c r="T28" s="95"/>
      <c r="U28" s="95"/>
      <c r="V28" s="95"/>
      <c r="W28" s="377">
        <v>4.375</v>
      </c>
      <c r="X28" s="98"/>
    </row>
    <row r="29" spans="1:24" customFormat="1" x14ac:dyDescent="0.25">
      <c r="A29" s="373" t="s">
        <v>178</v>
      </c>
      <c r="B29" s="374">
        <v>4775.3</v>
      </c>
      <c r="C29" s="375">
        <v>5.5</v>
      </c>
      <c r="D29" s="376">
        <v>0.9</v>
      </c>
      <c r="E29" s="96"/>
      <c r="F29" s="95"/>
      <c r="G29" s="95"/>
      <c r="H29" s="95"/>
      <c r="I29" s="95"/>
      <c r="J29" s="95"/>
      <c r="K29" s="95"/>
      <c r="L29" s="95">
        <v>0.6</v>
      </c>
      <c r="M29" s="95">
        <v>1</v>
      </c>
      <c r="N29" s="95"/>
      <c r="O29" s="95"/>
      <c r="P29" s="95"/>
      <c r="Q29" s="95"/>
      <c r="R29" s="95"/>
      <c r="S29" s="95"/>
      <c r="T29" s="95">
        <v>3</v>
      </c>
      <c r="U29" s="95"/>
      <c r="V29" s="95"/>
      <c r="W29" s="377">
        <v>5.5</v>
      </c>
      <c r="X29" s="98"/>
    </row>
    <row r="30" spans="1:24" customFormat="1" x14ac:dyDescent="0.25">
      <c r="A30" s="373" t="s">
        <v>179</v>
      </c>
      <c r="B30" s="374">
        <v>1239</v>
      </c>
      <c r="C30" s="375">
        <v>1.5</v>
      </c>
      <c r="D30" s="376"/>
      <c r="E30" s="96"/>
      <c r="F30" s="95"/>
      <c r="G30" s="95"/>
      <c r="H30" s="95"/>
      <c r="I30" s="95"/>
      <c r="J30" s="95"/>
      <c r="K30" s="95"/>
      <c r="L30" s="95"/>
      <c r="M30" s="95"/>
      <c r="N30" s="95"/>
      <c r="O30" s="95"/>
      <c r="P30" s="95"/>
      <c r="Q30" s="95"/>
      <c r="R30" s="95"/>
      <c r="S30" s="95"/>
      <c r="T30" s="95">
        <v>1</v>
      </c>
      <c r="U30" s="95">
        <v>0.5</v>
      </c>
      <c r="V30" s="95"/>
      <c r="W30" s="377">
        <v>1.5</v>
      </c>
      <c r="X30" s="98"/>
    </row>
    <row r="31" spans="1:24" customFormat="1" x14ac:dyDescent="0.25">
      <c r="A31" s="373" t="s">
        <v>180</v>
      </c>
      <c r="B31" s="374">
        <v>1887.62</v>
      </c>
      <c r="C31" s="375">
        <v>1.3</v>
      </c>
      <c r="D31" s="376">
        <v>0.25</v>
      </c>
      <c r="E31" s="96"/>
      <c r="F31" s="95"/>
      <c r="G31" s="95"/>
      <c r="H31" s="95">
        <v>0.25</v>
      </c>
      <c r="I31" s="95"/>
      <c r="J31" s="95"/>
      <c r="K31" s="95"/>
      <c r="L31" s="95"/>
      <c r="M31" s="95"/>
      <c r="N31" s="95"/>
      <c r="O31" s="95"/>
      <c r="P31" s="95"/>
      <c r="Q31" s="95"/>
      <c r="R31" s="95"/>
      <c r="S31" s="95"/>
      <c r="T31" s="95">
        <v>0.8</v>
      </c>
      <c r="U31" s="95"/>
      <c r="V31" s="95"/>
      <c r="W31" s="377">
        <v>1.3</v>
      </c>
      <c r="X31" s="98"/>
    </row>
    <row r="32" spans="1:24" customFormat="1" x14ac:dyDescent="0.25">
      <c r="A32" s="373" t="s">
        <v>181</v>
      </c>
      <c r="B32" s="374">
        <v>5827.51</v>
      </c>
      <c r="C32" s="375">
        <v>5.05</v>
      </c>
      <c r="D32" s="376"/>
      <c r="E32" s="96"/>
      <c r="F32" s="95"/>
      <c r="G32" s="95">
        <v>0.7</v>
      </c>
      <c r="H32" s="95"/>
      <c r="I32" s="95">
        <v>0.5</v>
      </c>
      <c r="J32" s="95"/>
      <c r="K32" s="95"/>
      <c r="L32" s="95"/>
      <c r="M32" s="95"/>
      <c r="N32" s="95"/>
      <c r="O32" s="95">
        <v>0.3</v>
      </c>
      <c r="P32" s="95">
        <v>0.25</v>
      </c>
      <c r="Q32" s="95"/>
      <c r="R32" s="95"/>
      <c r="S32" s="95"/>
      <c r="T32" s="95">
        <v>3.3</v>
      </c>
      <c r="U32" s="95"/>
      <c r="V32" s="95"/>
      <c r="W32" s="377">
        <v>5.05</v>
      </c>
      <c r="X32" s="98"/>
    </row>
    <row r="33" spans="1:27" x14ac:dyDescent="0.25">
      <c r="A33" s="373" t="s">
        <v>363</v>
      </c>
      <c r="B33" s="374">
        <v>13472.39</v>
      </c>
      <c r="C33" s="375">
        <v>9.8000000000000007</v>
      </c>
      <c r="D33" s="376"/>
      <c r="E33" s="96"/>
      <c r="F33" s="95">
        <v>1</v>
      </c>
      <c r="G33" s="95"/>
      <c r="H33" s="95">
        <v>0.7</v>
      </c>
      <c r="I33" s="95">
        <v>1.3</v>
      </c>
      <c r="J33" s="95"/>
      <c r="K33" s="95"/>
      <c r="L33" s="95"/>
      <c r="M33" s="95"/>
      <c r="N33" s="95">
        <v>0.1</v>
      </c>
      <c r="O33" s="95">
        <v>1.5</v>
      </c>
      <c r="P33" s="95"/>
      <c r="Q33" s="95"/>
      <c r="R33" s="95">
        <v>0.5</v>
      </c>
      <c r="S33" s="95"/>
      <c r="T33" s="95">
        <v>4.7</v>
      </c>
      <c r="U33" s="95"/>
      <c r="V33" s="95"/>
      <c r="W33" s="377">
        <v>9.8000000000000007</v>
      </c>
      <c r="X33" s="98"/>
      <c r="AA33"/>
    </row>
    <row r="34" spans="1:27" ht="15.75" thickBot="1" x14ac:dyDescent="0.3">
      <c r="A34" s="373" t="s">
        <v>182</v>
      </c>
      <c r="B34" s="374">
        <v>1029.5999999999999</v>
      </c>
      <c r="C34" s="375">
        <v>1</v>
      </c>
      <c r="D34" s="376"/>
      <c r="E34" s="96"/>
      <c r="F34" s="95"/>
      <c r="G34" s="95"/>
      <c r="H34" s="95"/>
      <c r="I34" s="95">
        <v>0.25</v>
      </c>
      <c r="J34" s="95"/>
      <c r="K34" s="95"/>
      <c r="L34" s="95"/>
      <c r="M34" s="95"/>
      <c r="N34" s="95"/>
      <c r="O34" s="95"/>
      <c r="P34" s="95"/>
      <c r="Q34" s="95"/>
      <c r="R34" s="95"/>
      <c r="S34" s="95">
        <v>0.75</v>
      </c>
      <c r="T34" s="95"/>
      <c r="U34" s="95"/>
      <c r="V34" s="95"/>
      <c r="W34" s="377">
        <v>1</v>
      </c>
      <c r="X34" s="98"/>
      <c r="AA34"/>
    </row>
    <row r="35" spans="1:27" ht="15.75" thickBot="1" x14ac:dyDescent="0.3">
      <c r="A35" s="378" t="s">
        <v>32</v>
      </c>
      <c r="B35" s="379">
        <f t="shared" ref="B35:V35" si="0">SUM(B6:B34)</f>
        <v>163865.9</v>
      </c>
      <c r="C35" s="380">
        <f t="shared" si="0"/>
        <v>138.12400000000002</v>
      </c>
      <c r="D35" s="97">
        <f t="shared" si="0"/>
        <v>18.349999999999998</v>
      </c>
      <c r="E35" s="97">
        <f t="shared" si="0"/>
        <v>0.25</v>
      </c>
      <c r="F35" s="97">
        <f t="shared" si="0"/>
        <v>1</v>
      </c>
      <c r="G35" s="97">
        <f t="shared" si="0"/>
        <v>1.7</v>
      </c>
      <c r="H35" s="97">
        <f t="shared" si="0"/>
        <v>2.4500000000000002</v>
      </c>
      <c r="I35" s="97">
        <f t="shared" si="0"/>
        <v>8.1</v>
      </c>
      <c r="J35" s="97">
        <f t="shared" si="0"/>
        <v>1.2</v>
      </c>
      <c r="K35" s="97">
        <f t="shared" si="0"/>
        <v>1.1000000000000001</v>
      </c>
      <c r="L35" s="97">
        <f t="shared" si="0"/>
        <v>0.6</v>
      </c>
      <c r="M35" s="97">
        <f t="shared" si="0"/>
        <v>9.7250000000000014</v>
      </c>
      <c r="N35" s="97">
        <f t="shared" si="0"/>
        <v>0.1</v>
      </c>
      <c r="O35" s="97">
        <f t="shared" si="0"/>
        <v>2.4500000000000002</v>
      </c>
      <c r="P35" s="97">
        <f t="shared" si="0"/>
        <v>2.7</v>
      </c>
      <c r="Q35" s="97">
        <f t="shared" si="0"/>
        <v>0.05</v>
      </c>
      <c r="R35" s="97">
        <f t="shared" si="0"/>
        <v>0.75</v>
      </c>
      <c r="S35" s="97">
        <f t="shared" si="0"/>
        <v>4.2840000000000007</v>
      </c>
      <c r="T35" s="97">
        <f t="shared" si="0"/>
        <v>79.814999999999998</v>
      </c>
      <c r="U35" s="97">
        <f t="shared" si="0"/>
        <v>2.5</v>
      </c>
      <c r="V35" s="381">
        <f t="shared" si="0"/>
        <v>1</v>
      </c>
      <c r="W35" s="382">
        <f>SUM(W6:W34)</f>
        <v>138.12400000000002</v>
      </c>
      <c r="X35" s="98"/>
      <c r="AA35"/>
    </row>
    <row r="36" spans="1:27" x14ac:dyDescent="0.25">
      <c r="A36" s="383" t="s">
        <v>279</v>
      </c>
      <c r="AA36"/>
    </row>
    <row r="38" spans="1:27" x14ac:dyDescent="0.25">
      <c r="A38" s="1147"/>
      <c r="B38" s="1147"/>
      <c r="D38" s="57"/>
      <c r="F38" s="98"/>
      <c r="G38" s="98"/>
      <c r="H38" s="98"/>
      <c r="I38" s="98"/>
      <c r="J38" s="98"/>
      <c r="K38" s="98"/>
      <c r="L38" s="98"/>
      <c r="M38" s="98"/>
      <c r="N38" s="98"/>
      <c r="O38" s="98"/>
      <c r="P38" s="98"/>
      <c r="Q38" s="98"/>
      <c r="R38" s="98"/>
      <c r="S38" s="98"/>
      <c r="T38" s="98"/>
      <c r="U38" s="98"/>
      <c r="V38" s="98"/>
      <c r="W38" s="98"/>
      <c r="X38" s="98"/>
      <c r="Y38" s="98"/>
      <c r="Z38" s="98"/>
      <c r="AA38" s="99"/>
    </row>
    <row r="39" spans="1:27" x14ac:dyDescent="0.25">
      <c r="B39" s="57"/>
      <c r="C39" s="100"/>
      <c r="D39" s="100"/>
      <c r="E39" s="100"/>
      <c r="F39" s="100"/>
      <c r="G39" s="100"/>
      <c r="H39" s="100"/>
      <c r="I39" s="100"/>
      <c r="J39" s="100"/>
      <c r="K39" s="100"/>
      <c r="L39" s="100"/>
      <c r="M39" s="100"/>
      <c r="N39" s="100"/>
      <c r="O39" s="100"/>
      <c r="P39" s="100"/>
      <c r="Q39" s="100"/>
      <c r="R39" s="100"/>
      <c r="S39" s="100"/>
      <c r="T39" s="100"/>
      <c r="U39" s="100"/>
      <c r="V39" s="100"/>
      <c r="W39" s="100"/>
      <c r="X39" s="100"/>
      <c r="Y39" s="100"/>
      <c r="Z39" s="100"/>
      <c r="AA39" s="101"/>
    </row>
  </sheetData>
  <mergeCells count="6">
    <mergeCell ref="A38:B38"/>
    <mergeCell ref="A3:E3"/>
    <mergeCell ref="A4:B4"/>
    <mergeCell ref="D4:W4"/>
    <mergeCell ref="V1:W1"/>
    <mergeCell ref="A2:W2"/>
  </mergeCells>
  <printOptions horizontalCentered="1"/>
  <pageMargins left="0.11811023622047245" right="0.11811023622047245" top="0.35433070866141736" bottom="0.31496062992125984" header="0.19685039370078741" footer="0.19685039370078741"/>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4</vt:i4>
      </vt:variant>
    </vt:vector>
  </HeadingPairs>
  <TitlesOfParts>
    <vt:vector size="16" baseType="lpstr">
      <vt:lpstr>kopsavilkums</vt:lpstr>
      <vt:lpstr>Pārējās ministrijas MK361</vt:lpstr>
      <vt:lpstr>Pārējās ministrijas MK851</vt:lpstr>
      <vt:lpstr>Pārējās ministrijas MK509</vt:lpstr>
      <vt:lpstr>VM padotibas iest MK361</vt:lpstr>
      <vt:lpstr>VM NMPD MK851</vt:lpstr>
      <vt:lpstr>VM VADC MK851</vt:lpstr>
      <vt:lpstr>VM VTMEC MK851</vt:lpstr>
      <vt:lpstr>LM_līgumorg_851</vt:lpstr>
      <vt:lpstr>IEM_kapitsab_851</vt:lpstr>
      <vt:lpstr>IZM_pašv_1</vt:lpstr>
      <vt:lpstr>IZM_pašv_2</vt:lpstr>
      <vt:lpstr>IZM_pašv_1!Print_Area</vt:lpstr>
      <vt:lpstr>kopsavilkums!Print_Area</vt:lpstr>
      <vt:lpstr>'VM padotibas iest MK361'!Print_Area</vt:lpstr>
      <vt:lpstr>IZM_pašv_1!Print_Titles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Gints Rudzītis</dc:creator>
  <cp:lastModifiedBy>Lāsma Zandberga</cp:lastModifiedBy>
  <cp:lastPrinted>2021-09-30T11:17:05Z</cp:lastPrinted>
  <dcterms:created xsi:type="dcterms:W3CDTF">2019-05-13T06:29:17Z</dcterms:created>
  <dcterms:modified xsi:type="dcterms:W3CDTF">2023-11-28T09:13:26Z</dcterms:modified>
</cp:coreProperties>
</file>