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5\"/>
    </mc:Choice>
  </mc:AlternateContent>
  <xr:revisionPtr revIDLastSave="0" documentId="8_{EDBFDCB2-194F-466D-B692-07D6C3A5EC61}" xr6:coauthVersionLast="36" xr6:coauthVersionMax="36" xr10:uidLastSave="{00000000-0000-0000-0000-000000000000}"/>
  <bookViews>
    <workbookView xWindow="0" yWindow="0" windowWidth="28800" windowHeight="11630" firstSheet="28" activeTab="28" xr2:uid="{00000000-000D-0000-FFFF-FFFF00000000}"/>
  </bookViews>
  <sheets>
    <sheet name="Satursvec" sheetId="22" state="hidden" r:id="rId1"/>
    <sheet name="4.1.1." sheetId="24" state="hidden" r:id="rId2"/>
    <sheet name="4.1.2." sheetId="23" state="hidden" r:id="rId3"/>
    <sheet name="4.2.1." sheetId="26" state="hidden" r:id="rId4"/>
    <sheet name="4.2.2." sheetId="25" state="hidden" r:id="rId5"/>
    <sheet name="4.2.3." sheetId="33" state="hidden" r:id="rId6"/>
    <sheet name="4.2.4." sheetId="34" state="hidden" r:id="rId7"/>
    <sheet name="4.2.5." sheetId="35" state="hidden" r:id="rId8"/>
    <sheet name="7.3.1._vec" sheetId="28" state="hidden" r:id="rId9"/>
    <sheet name="7.3.2.vec" sheetId="27" state="hidden" r:id="rId10"/>
    <sheet name="7.4.1.vec" sheetId="30" state="hidden" r:id="rId11"/>
    <sheet name="7.4.2.vec" sheetId="29" state="hidden" r:id="rId12"/>
    <sheet name="7.4.3." sheetId="36" state="hidden" r:id="rId13"/>
    <sheet name="4.3.1." sheetId="32" state="hidden" r:id="rId14"/>
    <sheet name="4.3.2." sheetId="31" state="hidden" r:id="rId15"/>
    <sheet name="7.5.3.vec" sheetId="38" state="hidden" r:id="rId16"/>
    <sheet name="7.5.4." sheetId="39" state="hidden" r:id="rId17"/>
    <sheet name="4.3.3." sheetId="37" state="hidden" r:id="rId18"/>
    <sheet name="7.5.7." sheetId="41" state="hidden" r:id="rId19"/>
    <sheet name="7.5.8." sheetId="42" state="hidden" r:id="rId20"/>
    <sheet name="4.3.4." sheetId="40" state="hidden" r:id="rId21"/>
    <sheet name="Saturs" sheetId="83" r:id="rId22"/>
    <sheet name="2.2.2.1." sheetId="58" r:id="rId23"/>
    <sheet name="2.2.2.2." sheetId="59" r:id="rId24"/>
    <sheet name="2.3.2.4." sheetId="60" state="hidden" r:id="rId25"/>
    <sheet name="2.3.1.5." sheetId="61" r:id="rId26"/>
    <sheet name="2.3.2.6." sheetId="62" state="hidden" r:id="rId27"/>
    <sheet name="2.4.7." sheetId="95" r:id="rId28"/>
    <sheet name="3.2.2." sheetId="94" r:id="rId29"/>
    <sheet name="3.5.2." sheetId="93" r:id="rId30"/>
    <sheet name="3.11.2." sheetId="92" r:id="rId31"/>
    <sheet name="4.4.1." sheetId="43" r:id="rId32"/>
    <sheet name="4.4.2." sheetId="53" r:id="rId33"/>
    <sheet name="4.5.1." sheetId="44" r:id="rId34"/>
    <sheet name="4.5.2." sheetId="54" r:id="rId35"/>
    <sheet name="4.6.1." sheetId="45" r:id="rId36"/>
    <sheet name="4.6.2." sheetId="55" r:id="rId37"/>
    <sheet name="4.7." sheetId="46" r:id="rId38"/>
    <sheet name="4.8." sheetId="47" r:id="rId39"/>
    <sheet name="4.9." sheetId="51" r:id="rId40"/>
    <sheet name="4.10." sheetId="48" r:id="rId41"/>
    <sheet name="4.11." sheetId="49" r:id="rId42"/>
    <sheet name="4.12." sheetId="52" r:id="rId43"/>
    <sheet name="4.13." sheetId="50" state="hidden" r:id="rId44"/>
    <sheet name="6.6." sheetId="64" r:id="rId45"/>
    <sheet name="7.1.1." sheetId="65" r:id="rId46"/>
    <sheet name="7.1.2." sheetId="78" r:id="rId47"/>
    <sheet name="7.3." sheetId="67" state="hidden" r:id="rId48"/>
    <sheet name="7.3.1." sheetId="70" state="hidden" r:id="rId49"/>
    <sheet name="7.3.2." sheetId="68" state="hidden" r:id="rId50"/>
    <sheet name="7.4." sheetId="69" state="hidden" r:id="rId51"/>
    <sheet name="7.4.1." sheetId="71" state="hidden" r:id="rId52"/>
    <sheet name="7.4.2." sheetId="72" state="hidden" r:id="rId53"/>
    <sheet name="7.5.1." sheetId="73" state="hidden" r:id="rId54"/>
    <sheet name="7.2." sheetId="66" r:id="rId55"/>
    <sheet name="7.5.2." sheetId="74" r:id="rId56"/>
    <sheet name="7.5.3." sheetId="75" r:id="rId57"/>
    <sheet name="7.6.1." sheetId="76" r:id="rId58"/>
    <sheet name="7.6.2." sheetId="77" r:id="rId59"/>
    <sheet name="8.2.6." sheetId="85" r:id="rId60"/>
    <sheet name="8.13." sheetId="79" r:id="rId61"/>
    <sheet name="T-N_ekk" sheetId="56" state="hidden" r:id="rId62"/>
    <sheet name="Kopā EKK" sheetId="57" state="hidden" r:id="rId63"/>
  </sheets>
  <externalReferences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</externalReferences>
  <calcPr calcId="191029"/>
</workbook>
</file>

<file path=xl/calcChain.xml><?xml version="1.0" encoding="utf-8"?>
<calcChain xmlns="http://schemas.openxmlformats.org/spreadsheetml/2006/main">
  <c r="C39" i="77" l="1"/>
  <c r="C57" i="92" l="1"/>
  <c r="C26" i="92"/>
  <c r="C22" i="92"/>
  <c r="C65" i="95"/>
  <c r="C66" i="95"/>
  <c r="C69" i="95"/>
  <c r="D64" i="95"/>
  <c r="D63" i="95"/>
  <c r="D62" i="95"/>
  <c r="D61" i="95"/>
  <c r="D60" i="95"/>
  <c r="D59" i="95"/>
  <c r="D58" i="95"/>
  <c r="D57" i="95"/>
  <c r="D56" i="95"/>
  <c r="D55" i="95"/>
  <c r="D54" i="95"/>
  <c r="D53" i="95"/>
  <c r="D52" i="95"/>
  <c r="D51" i="95"/>
  <c r="D50" i="95"/>
  <c r="D49" i="95"/>
  <c r="D48" i="95"/>
  <c r="D47" i="95"/>
  <c r="D46" i="95"/>
  <c r="D45" i="95"/>
  <c r="D44" i="95"/>
  <c r="D43" i="95"/>
  <c r="D42" i="95"/>
  <c r="D41" i="95"/>
  <c r="D40" i="95"/>
  <c r="D39" i="95"/>
  <c r="D38" i="95"/>
  <c r="D37" i="95"/>
  <c r="D36" i="95"/>
  <c r="D35" i="95"/>
  <c r="D34" i="95"/>
  <c r="D33" i="95"/>
  <c r="D32" i="95"/>
  <c r="D31" i="95"/>
  <c r="D30" i="95"/>
  <c r="D65" i="95"/>
  <c r="C28" i="95"/>
  <c r="D27" i="95"/>
  <c r="D26" i="95"/>
  <c r="D25" i="95"/>
  <c r="D24" i="95"/>
  <c r="D23" i="95"/>
  <c r="D28" i="95"/>
  <c r="D22" i="95"/>
  <c r="D21" i="95"/>
  <c r="D20" i="95"/>
  <c r="D19" i="95"/>
  <c r="C58" i="92"/>
  <c r="C61" i="92"/>
  <c r="D66" i="95"/>
  <c r="D69" i="95"/>
  <c r="C56" i="93"/>
  <c r="D49" i="93"/>
  <c r="D48" i="93"/>
  <c r="D47" i="93"/>
  <c r="D46" i="93"/>
  <c r="D44" i="93"/>
  <c r="D43" i="93"/>
  <c r="D42" i="93"/>
  <c r="D41" i="93"/>
  <c r="D40" i="93"/>
  <c r="D39" i="93"/>
  <c r="D38" i="93"/>
  <c r="D37" i="93"/>
  <c r="D35" i="93"/>
  <c r="D33" i="93"/>
  <c r="D56" i="93" s="1"/>
  <c r="D57" i="93" s="1"/>
  <c r="D26" i="93"/>
  <c r="C26" i="93"/>
  <c r="C34" i="94"/>
  <c r="C56" i="94"/>
  <c r="C57" i="94" s="1"/>
  <c r="C60" i="94" s="1"/>
  <c r="C26" i="94"/>
  <c r="C22" i="94"/>
  <c r="C57" i="93"/>
  <c r="C60" i="93" s="1"/>
  <c r="F32" i="59"/>
  <c r="F56" i="59"/>
  <c r="F31" i="59"/>
  <c r="F32" i="58"/>
  <c r="F33" i="58"/>
  <c r="F34" i="58"/>
  <c r="F35" i="58"/>
  <c r="F36" i="58"/>
  <c r="F37" i="58"/>
  <c r="F38" i="58"/>
  <c r="F39" i="58"/>
  <c r="F40" i="58"/>
  <c r="F41" i="58"/>
  <c r="F42" i="58"/>
  <c r="F43" i="58"/>
  <c r="F44" i="58"/>
  <c r="F45" i="58"/>
  <c r="F46" i="58"/>
  <c r="F47" i="58"/>
  <c r="F48" i="58"/>
  <c r="F49" i="58"/>
  <c r="F50" i="58"/>
  <c r="F51" i="58"/>
  <c r="F52" i="58"/>
  <c r="F53" i="58"/>
  <c r="F54" i="58"/>
  <c r="F55" i="58"/>
  <c r="F56" i="58"/>
  <c r="F57" i="58"/>
  <c r="F58" i="58"/>
  <c r="F59" i="58"/>
  <c r="F60" i="58"/>
  <c r="F61" i="58"/>
  <c r="F62" i="58"/>
  <c r="F63" i="58"/>
  <c r="F64" i="58"/>
  <c r="F65" i="58"/>
  <c r="F31" i="58"/>
  <c r="F21" i="58"/>
  <c r="F22" i="58"/>
  <c r="F23" i="58"/>
  <c r="F24" i="58"/>
  <c r="F25" i="58"/>
  <c r="F26" i="58"/>
  <c r="F27" i="58"/>
  <c r="F28" i="58"/>
  <c r="F20" i="58"/>
  <c r="F29" i="58"/>
  <c r="D21" i="85"/>
  <c r="D19" i="85"/>
  <c r="D29" i="85"/>
  <c r="D76" i="85"/>
  <c r="D79" i="85"/>
  <c r="D75" i="85"/>
  <c r="C75" i="85"/>
  <c r="C21" i="85"/>
  <c r="C29" i="85"/>
  <c r="D36" i="76"/>
  <c r="F53" i="64"/>
  <c r="G36" i="52"/>
  <c r="F28" i="52"/>
  <c r="F22" i="52"/>
  <c r="F29" i="52"/>
  <c r="F27" i="52"/>
  <c r="C19" i="52"/>
  <c r="C37" i="52"/>
  <c r="G72" i="48"/>
  <c r="G71" i="48"/>
  <c r="G70" i="48"/>
  <c r="G65" i="48"/>
  <c r="G63" i="48"/>
  <c r="G59" i="48"/>
  <c r="G58" i="48"/>
  <c r="G55" i="48"/>
  <c r="G54" i="48"/>
  <c r="G50" i="48"/>
  <c r="G49" i="48"/>
  <c r="G48" i="48"/>
  <c r="G45" i="48"/>
  <c r="G36" i="48"/>
  <c r="G35" i="48"/>
  <c r="G29" i="48"/>
  <c r="G28" i="48"/>
  <c r="G21" i="48"/>
  <c r="G20" i="48"/>
  <c r="G52" i="48"/>
  <c r="G51" i="48"/>
  <c r="G39" i="48"/>
  <c r="G34" i="48"/>
  <c r="G31" i="48"/>
  <c r="G30" i="48"/>
  <c r="G24" i="48"/>
  <c r="G23" i="48"/>
  <c r="G22" i="48"/>
  <c r="F15" i="48"/>
  <c r="G71" i="49"/>
  <c r="G72" i="49"/>
  <c r="G70" i="49"/>
  <c r="G68" i="49"/>
  <c r="G67" i="49"/>
  <c r="G65" i="49"/>
  <c r="G63" i="49"/>
  <c r="G62" i="49"/>
  <c r="G59" i="49"/>
  <c r="G58" i="49"/>
  <c r="G56" i="49"/>
  <c r="G55" i="49"/>
  <c r="G54" i="49"/>
  <c r="G52" i="49"/>
  <c r="G51" i="49"/>
  <c r="G50" i="49"/>
  <c r="G49" i="49"/>
  <c r="G48" i="49"/>
  <c r="G45" i="49"/>
  <c r="G44" i="49"/>
  <c r="G39" i="49"/>
  <c r="G36" i="49"/>
  <c r="G35" i="49"/>
  <c r="G34" i="49"/>
  <c r="G31" i="49"/>
  <c r="G30" i="49"/>
  <c r="G29" i="49"/>
  <c r="G28" i="49"/>
  <c r="G26" i="49"/>
  <c r="G24" i="49"/>
  <c r="G23" i="49"/>
  <c r="G22" i="49"/>
  <c r="G21" i="49"/>
  <c r="G20" i="49"/>
  <c r="G18" i="49"/>
  <c r="C18" i="49"/>
  <c r="F15" i="49"/>
  <c r="G62" i="46"/>
  <c r="E73" i="55"/>
  <c r="E37" i="55"/>
  <c r="G71" i="45"/>
  <c r="G37" i="45"/>
  <c r="G73" i="45"/>
  <c r="E68" i="54"/>
  <c r="E63" i="54"/>
  <c r="E52" i="54"/>
  <c r="E37" i="54"/>
  <c r="D81" i="54"/>
  <c r="G71" i="44"/>
  <c r="G73" i="44"/>
  <c r="G37" i="44"/>
  <c r="E62" i="53"/>
  <c r="G62" i="43"/>
  <c r="C62" i="48"/>
  <c r="G44" i="43"/>
  <c r="C29" i="79"/>
  <c r="C61" i="79"/>
  <c r="C62" i="79"/>
  <c r="D32" i="76"/>
  <c r="D18" i="76"/>
  <c r="C29" i="66"/>
  <c r="C31" i="66"/>
  <c r="C28" i="66"/>
  <c r="C30" i="66"/>
  <c r="D32" i="78"/>
  <c r="D33" i="78"/>
  <c r="D21" i="78"/>
  <c r="C18" i="78"/>
  <c r="C19" i="78"/>
  <c r="C31" i="78"/>
  <c r="C30" i="78"/>
  <c r="C28" i="78"/>
  <c r="C25" i="78"/>
  <c r="C24" i="78"/>
  <c r="C20" i="78"/>
  <c r="I31" i="65"/>
  <c r="I32" i="65"/>
  <c r="I33" i="65"/>
  <c r="I34" i="65"/>
  <c r="I36" i="65"/>
  <c r="I37" i="65"/>
  <c r="I38" i="65"/>
  <c r="I39" i="65"/>
  <c r="I40" i="65"/>
  <c r="I41" i="65"/>
  <c r="H24" i="65"/>
  <c r="H20" i="65"/>
  <c r="H29" i="65"/>
  <c r="H30" i="65"/>
  <c r="H35" i="65"/>
  <c r="H18" i="65"/>
  <c r="H25" i="65"/>
  <c r="H42" i="65"/>
  <c r="C38" i="76"/>
  <c r="C39" i="76"/>
  <c r="C42" i="76"/>
  <c r="C25" i="76"/>
  <c r="D22" i="76"/>
  <c r="C59" i="74"/>
  <c r="C58" i="74"/>
  <c r="C57" i="74"/>
  <c r="C56" i="74"/>
  <c r="C55" i="74"/>
  <c r="C54" i="74"/>
  <c r="C53" i="74"/>
  <c r="C52" i="74"/>
  <c r="D52" i="74"/>
  <c r="D60" i="74"/>
  <c r="D61" i="74"/>
  <c r="D64" i="74"/>
  <c r="C51" i="74"/>
  <c r="C50" i="74"/>
  <c r="C49" i="74"/>
  <c r="C48" i="74"/>
  <c r="C47" i="74"/>
  <c r="C46" i="74"/>
  <c r="C45" i="74"/>
  <c r="C44" i="74"/>
  <c r="C43" i="74"/>
  <c r="C42" i="74"/>
  <c r="C41" i="74"/>
  <c r="C40" i="74"/>
  <c r="C39" i="74"/>
  <c r="C38" i="74"/>
  <c r="C37" i="74"/>
  <c r="C36" i="74"/>
  <c r="C35" i="74"/>
  <c r="C34" i="74"/>
  <c r="C33" i="74"/>
  <c r="C32" i="74"/>
  <c r="C31" i="74"/>
  <c r="C30" i="74"/>
  <c r="C28" i="74"/>
  <c r="C25" i="74"/>
  <c r="D24" i="74"/>
  <c r="C24" i="74"/>
  <c r="D23" i="74"/>
  <c r="C23" i="74"/>
  <c r="D22" i="74"/>
  <c r="D26" i="74"/>
  <c r="C22" i="74"/>
  <c r="D21" i="74"/>
  <c r="C21" i="74"/>
  <c r="D20" i="74"/>
  <c r="C20" i="74"/>
  <c r="C19" i="74"/>
  <c r="C26" i="74"/>
  <c r="D18" i="74"/>
  <c r="C18" i="74"/>
  <c r="D59" i="73"/>
  <c r="D58" i="73"/>
  <c r="D57" i="73"/>
  <c r="D56" i="73"/>
  <c r="D55" i="73"/>
  <c r="D54" i="73"/>
  <c r="D53" i="73"/>
  <c r="D52" i="73"/>
  <c r="D51" i="73"/>
  <c r="D50" i="73"/>
  <c r="D49" i="73"/>
  <c r="D48" i="73"/>
  <c r="D47" i="73"/>
  <c r="D46" i="73"/>
  <c r="D45" i="73"/>
  <c r="D44" i="73"/>
  <c r="D43" i="73"/>
  <c r="D42" i="73"/>
  <c r="E41" i="73"/>
  <c r="D41" i="73"/>
  <c r="D40" i="73"/>
  <c r="D39" i="73"/>
  <c r="D38" i="73"/>
  <c r="D37" i="73"/>
  <c r="D36" i="73"/>
  <c r="D35" i="73"/>
  <c r="D34" i="73"/>
  <c r="D33" i="73"/>
  <c r="D32" i="73"/>
  <c r="D31" i="73"/>
  <c r="D30" i="73"/>
  <c r="D60" i="73"/>
  <c r="D61" i="73"/>
  <c r="D29" i="73"/>
  <c r="C29" i="73"/>
  <c r="E28" i="73"/>
  <c r="D28" i="73"/>
  <c r="E26" i="73"/>
  <c r="D26" i="73"/>
  <c r="D25" i="73"/>
  <c r="D24" i="73"/>
  <c r="D23" i="73"/>
  <c r="D22" i="73"/>
  <c r="D21" i="73"/>
  <c r="D20" i="73"/>
  <c r="D19" i="73"/>
  <c r="D18" i="73"/>
  <c r="C36" i="72"/>
  <c r="D29" i="72"/>
  <c r="C23" i="72"/>
  <c r="C22" i="72"/>
  <c r="C21" i="72"/>
  <c r="D20" i="72"/>
  <c r="E20" i="72"/>
  <c r="E24" i="72"/>
  <c r="C18" i="72"/>
  <c r="C19" i="72"/>
  <c r="D36" i="71"/>
  <c r="C36" i="71"/>
  <c r="E29" i="71"/>
  <c r="E36" i="71"/>
  <c r="E37" i="71"/>
  <c r="E40" i="71"/>
  <c r="E24" i="71"/>
  <c r="D24" i="71"/>
  <c r="D37" i="71"/>
  <c r="D40" i="71"/>
  <c r="C23" i="71"/>
  <c r="C21" i="71"/>
  <c r="C24" i="71"/>
  <c r="D36" i="69"/>
  <c r="D37" i="69"/>
  <c r="D40" i="69"/>
  <c r="C36" i="69"/>
  <c r="E29" i="69"/>
  <c r="E36" i="69"/>
  <c r="E37" i="69"/>
  <c r="E40" i="69"/>
  <c r="D24" i="69"/>
  <c r="E23" i="69"/>
  <c r="C23" i="69"/>
  <c r="C24" i="69"/>
  <c r="E22" i="69"/>
  <c r="E21" i="69"/>
  <c r="E20" i="69"/>
  <c r="D35" i="68"/>
  <c r="D36" i="68"/>
  <c r="D39" i="68"/>
  <c r="C34" i="68"/>
  <c r="C33" i="68"/>
  <c r="C32" i="68"/>
  <c r="C31" i="68"/>
  <c r="C30" i="68"/>
  <c r="C29" i="68"/>
  <c r="C28" i="68"/>
  <c r="C25" i="68"/>
  <c r="D23" i="68"/>
  <c r="C22" i="68"/>
  <c r="C21" i="68"/>
  <c r="C20" i="68"/>
  <c r="C18" i="68"/>
  <c r="C19" i="68"/>
  <c r="C23" i="68"/>
  <c r="D36" i="70"/>
  <c r="C35" i="70"/>
  <c r="C34" i="70"/>
  <c r="C33" i="70"/>
  <c r="C32" i="70"/>
  <c r="C31" i="70"/>
  <c r="C28" i="70"/>
  <c r="C36" i="70"/>
  <c r="C27" i="70"/>
  <c r="D24" i="70"/>
  <c r="D37" i="70"/>
  <c r="D40" i="70"/>
  <c r="C23" i="70"/>
  <c r="C22" i="70"/>
  <c r="C21" i="70"/>
  <c r="C20" i="70"/>
  <c r="C18" i="70"/>
  <c r="E35" i="67"/>
  <c r="E34" i="67"/>
  <c r="C34" i="67"/>
  <c r="E33" i="67"/>
  <c r="C33" i="67"/>
  <c r="E32" i="67"/>
  <c r="C32" i="67"/>
  <c r="C36" i="67"/>
  <c r="E31" i="67"/>
  <c r="C31" i="67"/>
  <c r="E30" i="67"/>
  <c r="C30" i="67"/>
  <c r="D29" i="67"/>
  <c r="D36" i="67"/>
  <c r="D28" i="67"/>
  <c r="E27" i="67"/>
  <c r="C27" i="67"/>
  <c r="E26" i="67"/>
  <c r="F24" i="67"/>
  <c r="D24" i="67"/>
  <c r="D37" i="67"/>
  <c r="D40" i="67"/>
  <c r="E23" i="67"/>
  <c r="C23" i="67"/>
  <c r="E22" i="67"/>
  <c r="C22" i="67"/>
  <c r="E21" i="67"/>
  <c r="C21" i="67"/>
  <c r="E20" i="67"/>
  <c r="C20" i="67"/>
  <c r="E19" i="67"/>
  <c r="E18" i="67"/>
  <c r="E24" i="67"/>
  <c r="C18" i="67"/>
  <c r="C19" i="67"/>
  <c r="C24" i="66"/>
  <c r="C32" i="66"/>
  <c r="C35" i="66"/>
  <c r="D53" i="65"/>
  <c r="E53" i="65"/>
  <c r="F50" i="65"/>
  <c r="G50" i="65"/>
  <c r="F49" i="65"/>
  <c r="G49" i="65"/>
  <c r="F48" i="65"/>
  <c r="G48" i="65"/>
  <c r="F46" i="65"/>
  <c r="G46" i="65"/>
  <c r="F44" i="65"/>
  <c r="G44" i="65"/>
  <c r="G42" i="65"/>
  <c r="F42" i="65"/>
  <c r="F38" i="65"/>
  <c r="G38" i="65"/>
  <c r="F35" i="65"/>
  <c r="G35" i="65"/>
  <c r="F34" i="65"/>
  <c r="F31" i="65"/>
  <c r="G31" i="65"/>
  <c r="C30" i="65"/>
  <c r="C61" i="65"/>
  <c r="C24" i="65"/>
  <c r="C23" i="65"/>
  <c r="D21" i="65"/>
  <c r="E21" i="65"/>
  <c r="C20" i="65"/>
  <c r="C18" i="65"/>
  <c r="C19" i="65"/>
  <c r="C63" i="64"/>
  <c r="E62" i="64"/>
  <c r="E61" i="64"/>
  <c r="D60" i="64"/>
  <c r="E60" i="64"/>
  <c r="E59" i="64"/>
  <c r="E58" i="64"/>
  <c r="D57" i="64"/>
  <c r="E57" i="64"/>
  <c r="D56" i="64"/>
  <c r="E56" i="64"/>
  <c r="D55" i="64"/>
  <c r="E55" i="64"/>
  <c r="D54" i="64"/>
  <c r="E54" i="64"/>
  <c r="E53" i="64"/>
  <c r="E52" i="64"/>
  <c r="D51" i="64"/>
  <c r="E51" i="64"/>
  <c r="E50" i="64"/>
  <c r="E49" i="64"/>
  <c r="E48" i="64"/>
  <c r="E47" i="64"/>
  <c r="E46" i="64"/>
  <c r="E45" i="64"/>
  <c r="D44" i="64"/>
  <c r="E44" i="64"/>
  <c r="E43" i="64"/>
  <c r="E42" i="64"/>
  <c r="E41" i="64"/>
  <c r="E40" i="64"/>
  <c r="E39" i="64"/>
  <c r="D38" i="64"/>
  <c r="E38" i="64"/>
  <c r="E63" i="64"/>
  <c r="D37" i="64"/>
  <c r="E37" i="64"/>
  <c r="D36" i="64"/>
  <c r="E36" i="64"/>
  <c r="E35" i="64"/>
  <c r="D34" i="64"/>
  <c r="E34" i="64"/>
  <c r="F63" i="64"/>
  <c r="E33" i="64"/>
  <c r="E32" i="64"/>
  <c r="E29" i="64"/>
  <c r="C29" i="64"/>
  <c r="E28" i="64"/>
  <c r="C28" i="64"/>
  <c r="E27" i="64"/>
  <c r="C27" i="64"/>
  <c r="D26" i="64"/>
  <c r="E26" i="64"/>
  <c r="C26" i="64"/>
  <c r="E25" i="64"/>
  <c r="C25" i="64"/>
  <c r="E24" i="64"/>
  <c r="E23" i="64"/>
  <c r="C23" i="64"/>
  <c r="D22" i="64"/>
  <c r="E22" i="64"/>
  <c r="C22" i="64"/>
  <c r="D21" i="64"/>
  <c r="E21" i="64"/>
  <c r="E30" i="64"/>
  <c r="E64" i="64"/>
  <c r="E67" i="64"/>
  <c r="C21" i="64"/>
  <c r="F30" i="64"/>
  <c r="F64" i="64"/>
  <c r="F67" i="64"/>
  <c r="E20" i="64"/>
  <c r="E19" i="64"/>
  <c r="D68" i="62"/>
  <c r="C68" i="62"/>
  <c r="C31" i="62"/>
  <c r="C30" i="62"/>
  <c r="D29" i="62"/>
  <c r="D28" i="62"/>
  <c r="C27" i="62"/>
  <c r="C26" i="62"/>
  <c r="C25" i="62"/>
  <c r="C24" i="62"/>
  <c r="C22" i="62"/>
  <c r="D21" i="62"/>
  <c r="D31" i="62"/>
  <c r="D69" i="62"/>
  <c r="D72" i="62"/>
  <c r="C20" i="62"/>
  <c r="C19" i="62"/>
  <c r="D65" i="61"/>
  <c r="C65" i="61"/>
  <c r="D28" i="61"/>
  <c r="D66" i="61"/>
  <c r="D69" i="61"/>
  <c r="C27" i="61"/>
  <c r="C26" i="61"/>
  <c r="C25" i="61"/>
  <c r="C24" i="61"/>
  <c r="C23" i="61"/>
  <c r="C21" i="61"/>
  <c r="C20" i="61"/>
  <c r="C19" i="61"/>
  <c r="D65" i="60"/>
  <c r="D66" i="60"/>
  <c r="D69" i="60"/>
  <c r="C65" i="60"/>
  <c r="D28" i="60"/>
  <c r="C27" i="60"/>
  <c r="C26" i="60"/>
  <c r="C25" i="60"/>
  <c r="C24" i="60"/>
  <c r="C22" i="60"/>
  <c r="C23" i="60"/>
  <c r="C21" i="60"/>
  <c r="C19" i="60"/>
  <c r="C20" i="60"/>
  <c r="D66" i="59"/>
  <c r="C66" i="59"/>
  <c r="E65" i="59"/>
  <c r="F65" i="59"/>
  <c r="E64" i="59"/>
  <c r="F64" i="59"/>
  <c r="E63" i="59"/>
  <c r="F63" i="59"/>
  <c r="E62" i="59"/>
  <c r="F62" i="59"/>
  <c r="E61" i="59"/>
  <c r="F61" i="59"/>
  <c r="E60" i="59"/>
  <c r="F60" i="59"/>
  <c r="E59" i="59"/>
  <c r="F59" i="59"/>
  <c r="E58" i="59"/>
  <c r="F58" i="59"/>
  <c r="E57" i="59"/>
  <c r="F57" i="59"/>
  <c r="E55" i="59"/>
  <c r="F55" i="59"/>
  <c r="E54" i="59"/>
  <c r="F54" i="59"/>
  <c r="E53" i="59"/>
  <c r="F53" i="59"/>
  <c r="E52" i="59"/>
  <c r="F52" i="59"/>
  <c r="E51" i="59"/>
  <c r="F51" i="59"/>
  <c r="E50" i="59"/>
  <c r="F50" i="59"/>
  <c r="E49" i="59"/>
  <c r="F49" i="59"/>
  <c r="E48" i="59"/>
  <c r="F48" i="59"/>
  <c r="E47" i="59"/>
  <c r="F47" i="59"/>
  <c r="E46" i="59"/>
  <c r="F46" i="59"/>
  <c r="E45" i="59"/>
  <c r="F45" i="59"/>
  <c r="E44" i="59"/>
  <c r="F44" i="59"/>
  <c r="E43" i="59"/>
  <c r="F43" i="59"/>
  <c r="E42" i="59"/>
  <c r="F42" i="59"/>
  <c r="E41" i="59"/>
  <c r="F41" i="59"/>
  <c r="E40" i="59"/>
  <c r="F40" i="59"/>
  <c r="E39" i="59"/>
  <c r="F39" i="59"/>
  <c r="E38" i="59"/>
  <c r="F38" i="59"/>
  <c r="E37" i="59"/>
  <c r="F37" i="59"/>
  <c r="E36" i="59"/>
  <c r="F36" i="59"/>
  <c r="E35" i="59"/>
  <c r="F35" i="59"/>
  <c r="E34" i="59"/>
  <c r="E33" i="59"/>
  <c r="F33" i="59"/>
  <c r="D29" i="59"/>
  <c r="E28" i="59"/>
  <c r="F28" i="59"/>
  <c r="E27" i="59"/>
  <c r="F27" i="59"/>
  <c r="E26" i="59"/>
  <c r="F26" i="59"/>
  <c r="E25" i="59"/>
  <c r="F25" i="59"/>
  <c r="E24" i="59"/>
  <c r="F24" i="59"/>
  <c r="E23" i="59"/>
  <c r="F23" i="59"/>
  <c r="E22" i="59"/>
  <c r="F22" i="59"/>
  <c r="E21" i="59"/>
  <c r="E20" i="59"/>
  <c r="F20" i="59"/>
  <c r="D66" i="58"/>
  <c r="D67" i="58"/>
  <c r="D70" i="58"/>
  <c r="C66" i="58"/>
  <c r="E66" i="58"/>
  <c r="D29" i="58"/>
  <c r="E29" i="58"/>
  <c r="C19" i="49"/>
  <c r="D19" i="49"/>
  <c r="C20" i="49"/>
  <c r="D20" i="49"/>
  <c r="C21" i="49"/>
  <c r="D21" i="49"/>
  <c r="C22" i="49"/>
  <c r="D22" i="49"/>
  <c r="C23" i="49"/>
  <c r="D23" i="49"/>
  <c r="C24" i="49"/>
  <c r="D24" i="49"/>
  <c r="C25" i="49"/>
  <c r="D25" i="49"/>
  <c r="C27" i="49"/>
  <c r="D27" i="49"/>
  <c r="C28" i="49"/>
  <c r="D28" i="49"/>
  <c r="C29" i="49"/>
  <c r="D29" i="49"/>
  <c r="C30" i="49"/>
  <c r="D30" i="49"/>
  <c r="F30" i="49"/>
  <c r="C31" i="49"/>
  <c r="C32" i="49"/>
  <c r="D32" i="49"/>
  <c r="C33" i="49"/>
  <c r="D33" i="49"/>
  <c r="C38" i="49"/>
  <c r="D38" i="49"/>
  <c r="E38" i="49"/>
  <c r="C39" i="49"/>
  <c r="D39" i="49"/>
  <c r="C40" i="49"/>
  <c r="D40" i="49"/>
  <c r="C41" i="49"/>
  <c r="D41" i="49"/>
  <c r="C42" i="49"/>
  <c r="F42" i="49"/>
  <c r="G42" i="49"/>
  <c r="D42" i="49"/>
  <c r="E42" i="49"/>
  <c r="C43" i="49"/>
  <c r="D43" i="49"/>
  <c r="C44" i="49"/>
  <c r="C45" i="49"/>
  <c r="D45" i="49"/>
  <c r="C46" i="49"/>
  <c r="D46" i="49"/>
  <c r="C47" i="49"/>
  <c r="D47" i="49"/>
  <c r="C48" i="49"/>
  <c r="D48" i="49"/>
  <c r="C49" i="49"/>
  <c r="D49" i="49"/>
  <c r="C50" i="49"/>
  <c r="D50" i="49"/>
  <c r="F50" i="49"/>
  <c r="C51" i="49"/>
  <c r="C53" i="49"/>
  <c r="D53" i="49"/>
  <c r="C54" i="49"/>
  <c r="D54" i="49"/>
  <c r="C55" i="49"/>
  <c r="C56" i="49"/>
  <c r="D56" i="49"/>
  <c r="C57" i="49"/>
  <c r="D57" i="49"/>
  <c r="C58" i="49"/>
  <c r="D58" i="49"/>
  <c r="C59" i="49"/>
  <c r="D59" i="49"/>
  <c r="C60" i="49"/>
  <c r="D60" i="49"/>
  <c r="C61" i="49"/>
  <c r="F61" i="49"/>
  <c r="G61" i="49"/>
  <c r="D61" i="49"/>
  <c r="C62" i="49"/>
  <c r="C63" i="49"/>
  <c r="C64" i="49"/>
  <c r="D64" i="49"/>
  <c r="C65" i="49"/>
  <c r="D65" i="49"/>
  <c r="C66" i="49"/>
  <c r="D66" i="49"/>
  <c r="C68" i="49"/>
  <c r="F68" i="49"/>
  <c r="C69" i="49"/>
  <c r="D69" i="49"/>
  <c r="C70" i="49"/>
  <c r="D70" i="49"/>
  <c r="C71" i="49"/>
  <c r="D71" i="49"/>
  <c r="C72" i="49"/>
  <c r="D72" i="49"/>
  <c r="D18" i="49"/>
  <c r="E38" i="48"/>
  <c r="E42" i="48"/>
  <c r="D38" i="48"/>
  <c r="D42" i="48"/>
  <c r="F42" i="48"/>
  <c r="C38" i="48"/>
  <c r="F38" i="48"/>
  <c r="C42" i="48"/>
  <c r="G42" i="48"/>
  <c r="C44" i="48"/>
  <c r="C68" i="48"/>
  <c r="F72" i="52"/>
  <c r="F24" i="52"/>
  <c r="F37" i="52"/>
  <c r="F69" i="52"/>
  <c r="F68" i="52"/>
  <c r="F34" i="52"/>
  <c r="F35" i="52"/>
  <c r="G35" i="52"/>
  <c r="E33" i="52"/>
  <c r="F33" i="52"/>
  <c r="F67" i="52"/>
  <c r="F74" i="52"/>
  <c r="F75" i="52"/>
  <c r="F78" i="52"/>
  <c r="F26" i="52"/>
  <c r="F40" i="52"/>
  <c r="F41" i="52"/>
  <c r="F42" i="52"/>
  <c r="F43" i="52"/>
  <c r="F44" i="52"/>
  <c r="F45" i="52"/>
  <c r="F46" i="52"/>
  <c r="F47" i="52"/>
  <c r="F48" i="52"/>
  <c r="F50" i="52"/>
  <c r="F51" i="52"/>
  <c r="F52" i="52"/>
  <c r="F53" i="52"/>
  <c r="F54" i="52"/>
  <c r="F55" i="52"/>
  <c r="F57" i="52"/>
  <c r="F59" i="52"/>
  <c r="F60" i="52"/>
  <c r="F61" i="52"/>
  <c r="F62" i="52"/>
  <c r="F63" i="52"/>
  <c r="F66" i="52"/>
  <c r="F70" i="52"/>
  <c r="F71" i="52"/>
  <c r="F73" i="52"/>
  <c r="F39" i="52"/>
  <c r="F20" i="52"/>
  <c r="G20" i="52"/>
  <c r="F21" i="52"/>
  <c r="F23" i="52"/>
  <c r="F25" i="52"/>
  <c r="G25" i="52"/>
  <c r="F30" i="52"/>
  <c r="F31" i="52"/>
  <c r="F32" i="52"/>
  <c r="F18" i="52"/>
  <c r="F40" i="47"/>
  <c r="F41" i="47"/>
  <c r="F42" i="47"/>
  <c r="F43" i="47"/>
  <c r="F44" i="47"/>
  <c r="F45" i="47"/>
  <c r="F46" i="47"/>
  <c r="F47" i="47"/>
  <c r="F48" i="47"/>
  <c r="F49" i="47"/>
  <c r="F50" i="47"/>
  <c r="F51" i="47"/>
  <c r="F52" i="47"/>
  <c r="F53" i="47"/>
  <c r="F54" i="47"/>
  <c r="F55" i="47"/>
  <c r="F56" i="47"/>
  <c r="F57" i="47"/>
  <c r="F58" i="47"/>
  <c r="F59" i="47"/>
  <c r="F60" i="47"/>
  <c r="F61" i="47"/>
  <c r="F63" i="47"/>
  <c r="F64" i="47"/>
  <c r="F65" i="47"/>
  <c r="F66" i="47"/>
  <c r="F67" i="47"/>
  <c r="F68" i="47"/>
  <c r="F69" i="47"/>
  <c r="F70" i="47"/>
  <c r="F72" i="47"/>
  <c r="F20" i="47"/>
  <c r="F21" i="47"/>
  <c r="F22" i="47"/>
  <c r="F23" i="47"/>
  <c r="F24" i="47"/>
  <c r="F25" i="47"/>
  <c r="F26" i="47"/>
  <c r="F27" i="47"/>
  <c r="F28" i="47"/>
  <c r="F29" i="47"/>
  <c r="F30" i="47"/>
  <c r="F31" i="47"/>
  <c r="F32" i="47"/>
  <c r="F33" i="47"/>
  <c r="F34" i="47"/>
  <c r="F35" i="47"/>
  <c r="F36" i="47"/>
  <c r="F18" i="47"/>
  <c r="D71" i="51"/>
  <c r="C29" i="51"/>
  <c r="C24" i="51"/>
  <c r="C23" i="51"/>
  <c r="C22" i="51"/>
  <c r="C18" i="51"/>
  <c r="C19" i="51"/>
  <c r="C20" i="51"/>
  <c r="D39" i="51"/>
  <c r="F39" i="47"/>
  <c r="F62" i="46"/>
  <c r="F44" i="46"/>
  <c r="D62" i="55"/>
  <c r="E62" i="49"/>
  <c r="F62" i="49"/>
  <c r="D44" i="55"/>
  <c r="E44" i="49"/>
  <c r="F62" i="45"/>
  <c r="E62" i="48"/>
  <c r="F44" i="45"/>
  <c r="E44" i="48"/>
  <c r="D62" i="54"/>
  <c r="D62" i="49"/>
  <c r="D44" i="54"/>
  <c r="F62" i="44"/>
  <c r="F44" i="44"/>
  <c r="D44" i="48"/>
  <c r="D68" i="54"/>
  <c r="D68" i="49"/>
  <c r="D68" i="55"/>
  <c r="F68" i="44"/>
  <c r="E68" i="49"/>
  <c r="F41" i="46"/>
  <c r="G41" i="46"/>
  <c r="F43" i="46"/>
  <c r="G43" i="46"/>
  <c r="F46" i="46"/>
  <c r="G46" i="46"/>
  <c r="F47" i="46"/>
  <c r="G47" i="46"/>
  <c r="F53" i="46"/>
  <c r="G53" i="46"/>
  <c r="F57" i="46"/>
  <c r="G57" i="46"/>
  <c r="F61" i="46"/>
  <c r="G61" i="46"/>
  <c r="F64" i="46"/>
  <c r="G64" i="46"/>
  <c r="F69" i="46"/>
  <c r="G69" i="46"/>
  <c r="F27" i="46"/>
  <c r="G27" i="46"/>
  <c r="F32" i="46"/>
  <c r="G32" i="46"/>
  <c r="F33" i="46"/>
  <c r="G33" i="46"/>
  <c r="D24" i="44"/>
  <c r="C37" i="44"/>
  <c r="D52" i="44"/>
  <c r="C73" i="44"/>
  <c r="C74" i="44"/>
  <c r="C77" i="44"/>
  <c r="E18" i="44"/>
  <c r="E19" i="44"/>
  <c r="E20" i="44"/>
  <c r="E21" i="44"/>
  <c r="E22" i="44"/>
  <c r="E23" i="44"/>
  <c r="E26" i="44"/>
  <c r="E28" i="44"/>
  <c r="E29" i="44"/>
  <c r="E30" i="44"/>
  <c r="E31" i="44"/>
  <c r="E34" i="44"/>
  <c r="E35" i="44"/>
  <c r="E39" i="44"/>
  <c r="E40" i="44"/>
  <c r="E42" i="44"/>
  <c r="E45" i="44"/>
  <c r="E49" i="44"/>
  <c r="E50" i="44"/>
  <c r="E51" i="44"/>
  <c r="E54" i="44"/>
  <c r="E55" i="44"/>
  <c r="E56" i="44"/>
  <c r="E58" i="44"/>
  <c r="E59" i="44"/>
  <c r="E60" i="44"/>
  <c r="E63" i="44"/>
  <c r="E65" i="44"/>
  <c r="E66" i="44"/>
  <c r="E67" i="44"/>
  <c r="E68" i="44"/>
  <c r="E70" i="44"/>
  <c r="E71" i="44"/>
  <c r="E72" i="44"/>
  <c r="F67" i="45"/>
  <c r="E67" i="48"/>
  <c r="F67" i="48"/>
  <c r="F36" i="45"/>
  <c r="E36" i="48"/>
  <c r="F35" i="45"/>
  <c r="E35" i="48"/>
  <c r="F35" i="48"/>
  <c r="F34" i="45"/>
  <c r="F26" i="45"/>
  <c r="E26" i="48"/>
  <c r="F26" i="48"/>
  <c r="F41" i="45"/>
  <c r="E41" i="48"/>
  <c r="F43" i="45"/>
  <c r="E43" i="48"/>
  <c r="F46" i="45"/>
  <c r="E46" i="48"/>
  <c r="F47" i="45"/>
  <c r="E47" i="48"/>
  <c r="F53" i="45"/>
  <c r="E53" i="48"/>
  <c r="F57" i="45"/>
  <c r="E57" i="48"/>
  <c r="F61" i="45"/>
  <c r="E61" i="48"/>
  <c r="F64" i="45"/>
  <c r="E64" i="48"/>
  <c r="F69" i="45"/>
  <c r="E69" i="48"/>
  <c r="F27" i="45"/>
  <c r="E27" i="48"/>
  <c r="F32" i="45"/>
  <c r="E32" i="48"/>
  <c r="F33" i="45"/>
  <c r="E33" i="48"/>
  <c r="D67" i="54"/>
  <c r="D36" i="54"/>
  <c r="D36" i="49"/>
  <c r="F36" i="49"/>
  <c r="D35" i="54"/>
  <c r="D35" i="49"/>
  <c r="F35" i="49"/>
  <c r="D34" i="54"/>
  <c r="D34" i="49"/>
  <c r="F34" i="49"/>
  <c r="D26" i="54"/>
  <c r="D26" i="49"/>
  <c r="F26" i="49"/>
  <c r="D63" i="54"/>
  <c r="D63" i="49"/>
  <c r="F63" i="49"/>
  <c r="D55" i="54"/>
  <c r="D55" i="49"/>
  <c r="D52" i="54"/>
  <c r="D52" i="49"/>
  <c r="D51" i="54"/>
  <c r="D51" i="49"/>
  <c r="F51" i="49"/>
  <c r="D31" i="54"/>
  <c r="D31" i="49"/>
  <c r="F31" i="49"/>
  <c r="D37" i="51"/>
  <c r="D40" i="55"/>
  <c r="F40" i="44"/>
  <c r="D40" i="48"/>
  <c r="D41" i="55"/>
  <c r="F41" i="44"/>
  <c r="D41" i="48"/>
  <c r="D43" i="55"/>
  <c r="D45" i="55"/>
  <c r="F45" i="44"/>
  <c r="D45" i="48"/>
  <c r="D46" i="55"/>
  <c r="F46" i="44"/>
  <c r="D46" i="48"/>
  <c r="D47" i="55"/>
  <c r="D48" i="55"/>
  <c r="D49" i="55"/>
  <c r="E49" i="49"/>
  <c r="F49" i="49"/>
  <c r="D50" i="55"/>
  <c r="E50" i="49"/>
  <c r="D51" i="55"/>
  <c r="D53" i="55"/>
  <c r="D54" i="55"/>
  <c r="E54" i="49"/>
  <c r="F54" i="49"/>
  <c r="D55" i="55"/>
  <c r="E55" i="49"/>
  <c r="D56" i="55"/>
  <c r="E56" i="49"/>
  <c r="F56" i="49"/>
  <c r="D57" i="55"/>
  <c r="F57" i="44"/>
  <c r="D57" i="48"/>
  <c r="D58" i="55"/>
  <c r="E58" i="49"/>
  <c r="D60" i="55"/>
  <c r="E60" i="49"/>
  <c r="F60" i="49"/>
  <c r="G60" i="49"/>
  <c r="D61" i="55"/>
  <c r="E61" i="49"/>
  <c r="D63" i="55"/>
  <c r="D64" i="55"/>
  <c r="D65" i="55"/>
  <c r="E65" i="49"/>
  <c r="D66" i="55"/>
  <c r="E66" i="49"/>
  <c r="D69" i="55"/>
  <c r="D70" i="55"/>
  <c r="D71" i="55"/>
  <c r="D72" i="55"/>
  <c r="D39" i="55"/>
  <c r="E39" i="49"/>
  <c r="D19" i="55"/>
  <c r="F19" i="44"/>
  <c r="D19" i="48"/>
  <c r="D20" i="55"/>
  <c r="F20" i="44"/>
  <c r="D21" i="55"/>
  <c r="F21" i="44"/>
  <c r="D21" i="48"/>
  <c r="D22" i="55"/>
  <c r="D23" i="55"/>
  <c r="F23" i="44"/>
  <c r="D23" i="48"/>
  <c r="E23" i="49"/>
  <c r="D24" i="55"/>
  <c r="E24" i="49"/>
  <c r="D25" i="55"/>
  <c r="E25" i="49"/>
  <c r="F25" i="49"/>
  <c r="G25" i="49"/>
  <c r="D27" i="55"/>
  <c r="F27" i="44"/>
  <c r="D27" i="48"/>
  <c r="E27" i="49"/>
  <c r="D28" i="55"/>
  <c r="F28" i="44"/>
  <c r="D28" i="48"/>
  <c r="D29" i="55"/>
  <c r="E29" i="49"/>
  <c r="F29" i="44"/>
  <c r="D29" i="48"/>
  <c r="D30" i="55"/>
  <c r="E30" i="49"/>
  <c r="D31" i="55"/>
  <c r="E31" i="49"/>
  <c r="D32" i="55"/>
  <c r="D33" i="55"/>
  <c r="E33" i="49"/>
  <c r="F33" i="49"/>
  <c r="G33" i="49"/>
  <c r="D18" i="55"/>
  <c r="C36" i="49"/>
  <c r="E52" i="53"/>
  <c r="C52" i="49"/>
  <c r="G41" i="43"/>
  <c r="C41" i="48"/>
  <c r="G43" i="43"/>
  <c r="C43" i="48"/>
  <c r="G46" i="43"/>
  <c r="C46" i="48"/>
  <c r="G47" i="43"/>
  <c r="C47" i="48"/>
  <c r="G53" i="43"/>
  <c r="C53" i="48"/>
  <c r="G57" i="43"/>
  <c r="C57" i="48"/>
  <c r="G61" i="43"/>
  <c r="C61" i="48"/>
  <c r="G64" i="43"/>
  <c r="C64" i="48"/>
  <c r="G66" i="43"/>
  <c r="C66" i="48"/>
  <c r="G69" i="43"/>
  <c r="C69" i="48"/>
  <c r="G25" i="43"/>
  <c r="G27" i="43"/>
  <c r="G32" i="43"/>
  <c r="C32" i="48"/>
  <c r="G33" i="43"/>
  <c r="C33" i="48"/>
  <c r="F35" i="43"/>
  <c r="E37" i="24"/>
  <c r="F18" i="26"/>
  <c r="F19" i="26"/>
  <c r="F21" i="26"/>
  <c r="F22" i="26"/>
  <c r="F37" i="26"/>
  <c r="F74" i="26"/>
  <c r="F77" i="26"/>
  <c r="F23" i="26"/>
  <c r="F24" i="26"/>
  <c r="F25" i="26"/>
  <c r="E25" i="43"/>
  <c r="C70" i="47"/>
  <c r="C40" i="47"/>
  <c r="C65" i="47"/>
  <c r="C71" i="47"/>
  <c r="C45" i="47"/>
  <c r="C54" i="47"/>
  <c r="C51" i="47"/>
  <c r="C59" i="47"/>
  <c r="C42" i="47"/>
  <c r="E40" i="46"/>
  <c r="F40" i="46"/>
  <c r="E42" i="46"/>
  <c r="E45" i="46"/>
  <c r="F45" i="46"/>
  <c r="E48" i="46"/>
  <c r="E49" i="46"/>
  <c r="F49" i="46"/>
  <c r="E50" i="46"/>
  <c r="F50" i="46"/>
  <c r="E51" i="46"/>
  <c r="F51" i="46"/>
  <c r="E54" i="46"/>
  <c r="F54" i="46"/>
  <c r="E55" i="46"/>
  <c r="F55" i="46"/>
  <c r="E56" i="46"/>
  <c r="F56" i="46"/>
  <c r="E58" i="46"/>
  <c r="F58" i="46"/>
  <c r="E59" i="46"/>
  <c r="F59" i="46"/>
  <c r="E60" i="46"/>
  <c r="F60" i="46"/>
  <c r="E63" i="46"/>
  <c r="F63" i="46"/>
  <c r="E65" i="46"/>
  <c r="F65" i="46"/>
  <c r="E66" i="46"/>
  <c r="E67" i="46"/>
  <c r="E68" i="46"/>
  <c r="F68" i="46"/>
  <c r="E70" i="46"/>
  <c r="F70" i="46"/>
  <c r="E71" i="46"/>
  <c r="F71" i="46"/>
  <c r="E72" i="46"/>
  <c r="F72" i="46"/>
  <c r="E39" i="46"/>
  <c r="F39" i="46"/>
  <c r="E19" i="46"/>
  <c r="F19" i="46"/>
  <c r="E20" i="46"/>
  <c r="F20" i="46"/>
  <c r="E22" i="46"/>
  <c r="F22" i="46"/>
  <c r="E23" i="46"/>
  <c r="F23" i="46"/>
  <c r="E24" i="46"/>
  <c r="F24" i="46"/>
  <c r="E26" i="46"/>
  <c r="E28" i="46"/>
  <c r="F28" i="46"/>
  <c r="E29" i="46"/>
  <c r="F29" i="46"/>
  <c r="E30" i="46"/>
  <c r="F30" i="46"/>
  <c r="E31" i="46"/>
  <c r="F31" i="46"/>
  <c r="E34" i="46"/>
  <c r="E35" i="46"/>
  <c r="E18" i="46"/>
  <c r="F18" i="46"/>
  <c r="E40" i="45"/>
  <c r="F40" i="45"/>
  <c r="E40" i="48"/>
  <c r="E42" i="45"/>
  <c r="E45" i="45"/>
  <c r="F45" i="45"/>
  <c r="E45" i="48"/>
  <c r="E48" i="45"/>
  <c r="F48" i="45"/>
  <c r="E48" i="48"/>
  <c r="E49" i="45"/>
  <c r="F49" i="45"/>
  <c r="E49" i="48"/>
  <c r="E50" i="45"/>
  <c r="F50" i="45"/>
  <c r="E50" i="48"/>
  <c r="E51" i="45"/>
  <c r="F51" i="45"/>
  <c r="E51" i="48"/>
  <c r="E54" i="45"/>
  <c r="F54" i="45"/>
  <c r="E54" i="48"/>
  <c r="E55" i="45"/>
  <c r="F55" i="45"/>
  <c r="E55" i="48"/>
  <c r="E56" i="45"/>
  <c r="F56" i="45"/>
  <c r="E56" i="48"/>
  <c r="E58" i="45"/>
  <c r="F58" i="45"/>
  <c r="E58" i="48"/>
  <c r="E59" i="45"/>
  <c r="F59" i="45"/>
  <c r="E59" i="48"/>
  <c r="E60" i="45"/>
  <c r="F60" i="45"/>
  <c r="E63" i="45"/>
  <c r="F63" i="45"/>
  <c r="E63" i="48"/>
  <c r="E65" i="45"/>
  <c r="F65" i="45"/>
  <c r="E65" i="48"/>
  <c r="E66" i="45"/>
  <c r="F66" i="45"/>
  <c r="E66" i="48"/>
  <c r="E67" i="45"/>
  <c r="E68" i="45"/>
  <c r="F68" i="45"/>
  <c r="E68" i="48"/>
  <c r="E70" i="45"/>
  <c r="F70" i="45"/>
  <c r="E70" i="48"/>
  <c r="E71" i="45"/>
  <c r="F71" i="45"/>
  <c r="E71" i="48"/>
  <c r="E72" i="45"/>
  <c r="F72" i="45"/>
  <c r="E72" i="48"/>
  <c r="E39" i="45"/>
  <c r="E19" i="45"/>
  <c r="F19" i="45"/>
  <c r="E19" i="48"/>
  <c r="E20" i="45"/>
  <c r="F20" i="45"/>
  <c r="E20" i="48"/>
  <c r="E21" i="45"/>
  <c r="F21" i="45"/>
  <c r="E21" i="48"/>
  <c r="E22" i="45"/>
  <c r="F22" i="45"/>
  <c r="E22" i="48"/>
  <c r="E23" i="45"/>
  <c r="F23" i="45"/>
  <c r="E23" i="48"/>
  <c r="E24" i="45"/>
  <c r="F24" i="45"/>
  <c r="E24" i="48"/>
  <c r="E26" i="45"/>
  <c r="E28" i="45"/>
  <c r="F28" i="45"/>
  <c r="E28" i="48"/>
  <c r="E29" i="45"/>
  <c r="F29" i="45"/>
  <c r="E30" i="45"/>
  <c r="F30" i="45"/>
  <c r="E30" i="48"/>
  <c r="E31" i="45"/>
  <c r="F31" i="45"/>
  <c r="E31" i="48"/>
  <c r="E34" i="45"/>
  <c r="E35" i="45"/>
  <c r="E18" i="45"/>
  <c r="F18" i="45"/>
  <c r="E18" i="48"/>
  <c r="F40" i="43"/>
  <c r="G40" i="43"/>
  <c r="F42" i="43"/>
  <c r="F45" i="43"/>
  <c r="G45" i="43"/>
  <c r="F48" i="43"/>
  <c r="G48" i="43"/>
  <c r="C48" i="48"/>
  <c r="F50" i="43"/>
  <c r="G50" i="43"/>
  <c r="C50" i="48"/>
  <c r="F56" i="43"/>
  <c r="G56" i="43"/>
  <c r="C56" i="48"/>
  <c r="F58" i="43"/>
  <c r="G58" i="43"/>
  <c r="D43" i="56"/>
  <c r="D21" i="57"/>
  <c r="F59" i="43"/>
  <c r="G59" i="43"/>
  <c r="F60" i="43"/>
  <c r="G60" i="43"/>
  <c r="C60" i="48"/>
  <c r="F60" i="48"/>
  <c r="G60" i="48"/>
  <c r="D45" i="56"/>
  <c r="F63" i="43"/>
  <c r="G63" i="43"/>
  <c r="C63" i="48"/>
  <c r="F67" i="43"/>
  <c r="F68" i="43"/>
  <c r="F70" i="43"/>
  <c r="G70" i="43"/>
  <c r="C70" i="48"/>
  <c r="F71" i="43"/>
  <c r="G71" i="43"/>
  <c r="F72" i="43"/>
  <c r="G72" i="43"/>
  <c r="F39" i="43"/>
  <c r="G39" i="43"/>
  <c r="F19" i="43"/>
  <c r="G19" i="43"/>
  <c r="C19" i="48"/>
  <c r="F19" i="48"/>
  <c r="F20" i="43"/>
  <c r="G20" i="43"/>
  <c r="F21" i="43"/>
  <c r="G21" i="43"/>
  <c r="C21" i="48"/>
  <c r="F21" i="48"/>
  <c r="F22" i="43"/>
  <c r="G22" i="43"/>
  <c r="C22" i="48"/>
  <c r="F23" i="43"/>
  <c r="G23" i="43"/>
  <c r="C23" i="48"/>
  <c r="F26" i="43"/>
  <c r="F28" i="43"/>
  <c r="G28" i="43"/>
  <c r="C28" i="48"/>
  <c r="F29" i="43"/>
  <c r="G29" i="43"/>
  <c r="C29" i="48"/>
  <c r="F30" i="43"/>
  <c r="G30" i="43"/>
  <c r="C30" i="48"/>
  <c r="F31" i="43"/>
  <c r="G31" i="43"/>
  <c r="C31" i="48"/>
  <c r="F34" i="43"/>
  <c r="F18" i="43"/>
  <c r="G18" i="43"/>
  <c r="C18" i="48"/>
  <c r="F40" i="25"/>
  <c r="F41" i="25"/>
  <c r="F42" i="25"/>
  <c r="F43" i="25"/>
  <c r="F44" i="25"/>
  <c r="F45" i="25"/>
  <c r="F46" i="25"/>
  <c r="F47" i="25"/>
  <c r="F48" i="25"/>
  <c r="F50" i="25"/>
  <c r="F51" i="25"/>
  <c r="F52" i="25"/>
  <c r="F53" i="25"/>
  <c r="F54" i="25"/>
  <c r="F55" i="25"/>
  <c r="F56" i="25"/>
  <c r="F57" i="25"/>
  <c r="F58" i="25"/>
  <c r="F59" i="25"/>
  <c r="F60" i="25"/>
  <c r="F61" i="25"/>
  <c r="F62" i="25"/>
  <c r="F63" i="25"/>
  <c r="F65" i="25"/>
  <c r="F66" i="25"/>
  <c r="F67" i="25"/>
  <c r="F68" i="25"/>
  <c r="F69" i="25"/>
  <c r="F70" i="25"/>
  <c r="F71" i="25"/>
  <c r="F72" i="25"/>
  <c r="F39" i="25"/>
  <c r="F19" i="25"/>
  <c r="F21" i="25"/>
  <c r="F22" i="25"/>
  <c r="F23" i="25"/>
  <c r="F24" i="25"/>
  <c r="F25" i="25"/>
  <c r="F27" i="25"/>
  <c r="F28" i="25"/>
  <c r="F29" i="25"/>
  <c r="F30" i="25"/>
  <c r="F31" i="25"/>
  <c r="F32" i="25"/>
  <c r="F36" i="25"/>
  <c r="F18" i="25"/>
  <c r="F40" i="26"/>
  <c r="F41" i="26"/>
  <c r="F42" i="26"/>
  <c r="F43" i="26"/>
  <c r="F44" i="26"/>
  <c r="F45" i="26"/>
  <c r="F46" i="26"/>
  <c r="F47" i="26"/>
  <c r="F48" i="26"/>
  <c r="F50" i="26"/>
  <c r="F51" i="26"/>
  <c r="F52" i="26"/>
  <c r="F53" i="26"/>
  <c r="F54" i="26"/>
  <c r="F55" i="26"/>
  <c r="F56" i="26"/>
  <c r="F57" i="26"/>
  <c r="F58" i="26"/>
  <c r="F59" i="26"/>
  <c r="F60" i="26"/>
  <c r="F61" i="26"/>
  <c r="F62" i="26"/>
  <c r="F63" i="26"/>
  <c r="F65" i="26"/>
  <c r="F66" i="26"/>
  <c r="F67" i="26"/>
  <c r="F68" i="26"/>
  <c r="F69" i="26"/>
  <c r="F70" i="26"/>
  <c r="F71" i="26"/>
  <c r="F72" i="26"/>
  <c r="F39" i="26"/>
  <c r="F27" i="26"/>
  <c r="F28" i="26"/>
  <c r="F29" i="26"/>
  <c r="F30" i="26"/>
  <c r="F31" i="26"/>
  <c r="F32" i="26"/>
  <c r="F33" i="26"/>
  <c r="F36" i="26"/>
  <c r="E49" i="52"/>
  <c r="F49" i="52"/>
  <c r="E64" i="52"/>
  <c r="F64" i="52"/>
  <c r="E56" i="52"/>
  <c r="F56" i="52"/>
  <c r="G56" i="52"/>
  <c r="G74" i="52"/>
  <c r="E65" i="52"/>
  <c r="F65" i="52"/>
  <c r="C54" i="50"/>
  <c r="C52" i="50"/>
  <c r="C37" i="50"/>
  <c r="C52" i="47"/>
  <c r="E52" i="47"/>
  <c r="E73" i="47"/>
  <c r="E45" i="47"/>
  <c r="E37" i="47"/>
  <c r="D52" i="46"/>
  <c r="E52" i="46"/>
  <c r="F52" i="46"/>
  <c r="C59" i="55"/>
  <c r="D59" i="55"/>
  <c r="C52" i="55"/>
  <c r="D52" i="55"/>
  <c r="F52" i="44"/>
  <c r="D52" i="48"/>
  <c r="C37" i="55"/>
  <c r="C52" i="54"/>
  <c r="D52" i="45"/>
  <c r="D52" i="53"/>
  <c r="D73" i="53"/>
  <c r="D74" i="53"/>
  <c r="D77" i="53"/>
  <c r="D37" i="53"/>
  <c r="E52" i="43"/>
  <c r="F52" i="43"/>
  <c r="G52" i="43"/>
  <c r="E33" i="31"/>
  <c r="E37" i="31"/>
  <c r="E49" i="25"/>
  <c r="E49" i="26"/>
  <c r="F49" i="26"/>
  <c r="E37" i="26"/>
  <c r="D64" i="52"/>
  <c r="D63" i="52"/>
  <c r="D55" i="52"/>
  <c r="D52" i="52"/>
  <c r="D45" i="52"/>
  <c r="D44" i="52"/>
  <c r="D43" i="52"/>
  <c r="D40" i="52"/>
  <c r="C19" i="40"/>
  <c r="E64" i="37"/>
  <c r="E73" i="37"/>
  <c r="E64" i="31"/>
  <c r="E73" i="31"/>
  <c r="E73" i="40"/>
  <c r="E64" i="32"/>
  <c r="E73" i="32"/>
  <c r="E73" i="35"/>
  <c r="E74" i="35"/>
  <c r="E77" i="35"/>
  <c r="E37" i="35"/>
  <c r="E33" i="34"/>
  <c r="E37" i="34"/>
  <c r="E73" i="33"/>
  <c r="E33" i="33"/>
  <c r="E37" i="33"/>
  <c r="E74" i="33"/>
  <c r="E77" i="33"/>
  <c r="D19" i="33"/>
  <c r="E33" i="25"/>
  <c r="F33" i="25"/>
  <c r="F37" i="25"/>
  <c r="D19" i="25"/>
  <c r="D37" i="25"/>
  <c r="D19" i="26"/>
  <c r="D37" i="26"/>
  <c r="E73" i="23"/>
  <c r="D19" i="23"/>
  <c r="E73" i="24"/>
  <c r="D19" i="24"/>
  <c r="C19" i="32"/>
  <c r="C37" i="32"/>
  <c r="D16" i="47"/>
  <c r="D40" i="47"/>
  <c r="C49" i="47"/>
  <c r="D49" i="47"/>
  <c r="C50" i="47"/>
  <c r="D50" i="47"/>
  <c r="C55" i="47"/>
  <c r="D55" i="47"/>
  <c r="C56" i="47"/>
  <c r="D56" i="47"/>
  <c r="C58" i="47"/>
  <c r="D58" i="47"/>
  <c r="C60" i="47"/>
  <c r="D60" i="47"/>
  <c r="C63" i="47"/>
  <c r="D63" i="47"/>
  <c r="C66" i="47"/>
  <c r="D66" i="47"/>
  <c r="C67" i="47"/>
  <c r="D67" i="47"/>
  <c r="C68" i="47"/>
  <c r="D68" i="47"/>
  <c r="C72" i="47"/>
  <c r="D72" i="47"/>
  <c r="D21" i="47"/>
  <c r="D34" i="47"/>
  <c r="D21" i="46"/>
  <c r="E21" i="46"/>
  <c r="F21" i="46"/>
  <c r="C63" i="54"/>
  <c r="C55" i="54"/>
  <c r="C31" i="54"/>
  <c r="C37" i="54"/>
  <c r="C51" i="54"/>
  <c r="E37" i="23"/>
  <c r="C51" i="53"/>
  <c r="C73" i="53"/>
  <c r="C40" i="53"/>
  <c r="E51" i="43"/>
  <c r="E49" i="43"/>
  <c r="F49" i="43"/>
  <c r="G49" i="43"/>
  <c r="C49" i="48"/>
  <c r="F49" i="48"/>
  <c r="E54" i="43"/>
  <c r="F54" i="43"/>
  <c r="G54" i="43"/>
  <c r="E24" i="43"/>
  <c r="F24" i="43"/>
  <c r="E55" i="43"/>
  <c r="F55" i="43"/>
  <c r="G55" i="43"/>
  <c r="D40" i="56"/>
  <c r="E65" i="43"/>
  <c r="F65" i="43"/>
  <c r="G65" i="43"/>
  <c r="D50" i="56"/>
  <c r="D63" i="40"/>
  <c r="D62" i="40"/>
  <c r="D55" i="40"/>
  <c r="D52" i="40"/>
  <c r="D45" i="40"/>
  <c r="D44" i="40"/>
  <c r="D43" i="40"/>
  <c r="D40" i="40"/>
  <c r="E37" i="40"/>
  <c r="E74" i="40"/>
  <c r="E77" i="40"/>
  <c r="D63" i="37"/>
  <c r="D62" i="37"/>
  <c r="D55" i="37"/>
  <c r="D52" i="37"/>
  <c r="D45" i="37"/>
  <c r="D44" i="37"/>
  <c r="D43" i="37"/>
  <c r="D40" i="37"/>
  <c r="D73" i="37"/>
  <c r="E37" i="37"/>
  <c r="D63" i="31"/>
  <c r="D62" i="31"/>
  <c r="D55" i="31"/>
  <c r="D52" i="31"/>
  <c r="D45" i="31"/>
  <c r="D44" i="31"/>
  <c r="D43" i="31"/>
  <c r="D40" i="31"/>
  <c r="E37" i="32"/>
  <c r="E74" i="32"/>
  <c r="E77" i="32"/>
  <c r="D63" i="32"/>
  <c r="D62" i="32"/>
  <c r="D55" i="32"/>
  <c r="D52" i="32"/>
  <c r="D45" i="32"/>
  <c r="D44" i="32"/>
  <c r="D43" i="32"/>
  <c r="D40" i="32"/>
  <c r="D63" i="35"/>
  <c r="D62" i="35"/>
  <c r="D55" i="35"/>
  <c r="D52" i="35"/>
  <c r="D45" i="35"/>
  <c r="D44" i="35"/>
  <c r="D43" i="35"/>
  <c r="D40" i="35"/>
  <c r="D73" i="35"/>
  <c r="C63" i="34"/>
  <c r="C62" i="34"/>
  <c r="C55" i="34"/>
  <c r="C52" i="34"/>
  <c r="C45" i="34"/>
  <c r="C44" i="34"/>
  <c r="C43" i="34"/>
  <c r="E73" i="34"/>
  <c r="E74" i="34"/>
  <c r="E77" i="34"/>
  <c r="C40" i="34"/>
  <c r="C73" i="34"/>
  <c r="C63" i="33"/>
  <c r="C62" i="33"/>
  <c r="C55" i="33"/>
  <c r="C52" i="33"/>
  <c r="C45" i="33"/>
  <c r="C44" i="33"/>
  <c r="C43" i="33"/>
  <c r="C40" i="33"/>
  <c r="C63" i="24"/>
  <c r="C62" i="24"/>
  <c r="C55" i="24"/>
  <c r="C52" i="24"/>
  <c r="C45" i="24"/>
  <c r="C44" i="24"/>
  <c r="C43" i="24"/>
  <c r="C40" i="24"/>
  <c r="C73" i="24"/>
  <c r="C63" i="25"/>
  <c r="C62" i="25"/>
  <c r="C55" i="25"/>
  <c r="C52" i="25"/>
  <c r="C45" i="25"/>
  <c r="C44" i="25"/>
  <c r="C43" i="25"/>
  <c r="C40" i="25"/>
  <c r="C63" i="26"/>
  <c r="C62" i="26"/>
  <c r="C55" i="26"/>
  <c r="C52" i="26"/>
  <c r="C45" i="26"/>
  <c r="C44" i="26"/>
  <c r="C43" i="26"/>
  <c r="C40" i="26"/>
  <c r="C62" i="23"/>
  <c r="C55" i="23"/>
  <c r="C52" i="23"/>
  <c r="C73" i="23"/>
  <c r="C63" i="23"/>
  <c r="C45" i="23"/>
  <c r="C43" i="23"/>
  <c r="C44" i="23"/>
  <c r="C68" i="54"/>
  <c r="C73" i="54"/>
  <c r="C74" i="54"/>
  <c r="C77" i="54"/>
  <c r="C40" i="23"/>
  <c r="E53" i="29"/>
  <c r="E72" i="29"/>
  <c r="E62" i="29"/>
  <c r="E64" i="29"/>
  <c r="E20" i="29"/>
  <c r="E23" i="29"/>
  <c r="E25" i="29"/>
  <c r="E26" i="29"/>
  <c r="E27" i="29"/>
  <c r="E29" i="29"/>
  <c r="E30" i="29"/>
  <c r="E31" i="29"/>
  <c r="E32" i="29"/>
  <c r="C36" i="29"/>
  <c r="D18" i="29"/>
  <c r="D19" i="29"/>
  <c r="D34" i="29"/>
  <c r="E53" i="30"/>
  <c r="E62" i="30"/>
  <c r="E72" i="30"/>
  <c r="E20" i="30"/>
  <c r="E21" i="30"/>
  <c r="E34" i="30"/>
  <c r="E23" i="30"/>
  <c r="E25" i="30"/>
  <c r="E26" i="30"/>
  <c r="E27" i="30"/>
  <c r="E29" i="30"/>
  <c r="E30" i="30"/>
  <c r="E31" i="30"/>
  <c r="E32" i="30"/>
  <c r="C36" i="30"/>
  <c r="D18" i="30"/>
  <c r="D19" i="30"/>
  <c r="D34" i="30"/>
  <c r="E20" i="27"/>
  <c r="E26" i="27"/>
  <c r="E27" i="27"/>
  <c r="E29" i="27"/>
  <c r="E30" i="27"/>
  <c r="E31" i="27"/>
  <c r="E32" i="27"/>
  <c r="D19" i="27"/>
  <c r="D18" i="27"/>
  <c r="E53" i="28"/>
  <c r="E62" i="28"/>
  <c r="E20" i="28"/>
  <c r="E21" i="28"/>
  <c r="E23" i="28"/>
  <c r="E25" i="28"/>
  <c r="E26" i="28"/>
  <c r="E34" i="28"/>
  <c r="E73" i="28"/>
  <c r="E76" i="28"/>
  <c r="E27" i="28"/>
  <c r="E29" i="28"/>
  <c r="E30" i="28"/>
  <c r="E31" i="28"/>
  <c r="E32" i="28"/>
  <c r="E33" i="28"/>
  <c r="D18" i="28"/>
  <c r="E72" i="27"/>
  <c r="C36" i="27"/>
  <c r="C37" i="27"/>
  <c r="C72" i="27"/>
  <c r="C36" i="28"/>
  <c r="C37" i="28"/>
  <c r="E72" i="28"/>
  <c r="D86" i="36"/>
  <c r="D42" i="36"/>
  <c r="D43" i="36"/>
  <c r="D44" i="36"/>
  <c r="D45" i="36"/>
  <c r="D46" i="36"/>
  <c r="D47" i="36"/>
  <c r="D48" i="36"/>
  <c r="D49" i="36"/>
  <c r="D50" i="36"/>
  <c r="D51" i="36"/>
  <c r="D52" i="36"/>
  <c r="D53" i="36"/>
  <c r="D54" i="36"/>
  <c r="D55" i="36"/>
  <c r="D56" i="36"/>
  <c r="D57" i="36"/>
  <c r="D58" i="36"/>
  <c r="D59" i="36"/>
  <c r="D60" i="36"/>
  <c r="D61" i="36"/>
  <c r="D62" i="36"/>
  <c r="D63" i="36"/>
  <c r="D64" i="36"/>
  <c r="D65" i="36"/>
  <c r="D66" i="36"/>
  <c r="D67" i="36"/>
  <c r="D68" i="36"/>
  <c r="D69" i="36"/>
  <c r="D70" i="36"/>
  <c r="D71" i="36"/>
  <c r="D72" i="36"/>
  <c r="D73" i="36"/>
  <c r="D74" i="36"/>
  <c r="D75" i="36"/>
  <c r="D77" i="36"/>
  <c r="D78" i="36"/>
  <c r="D79" i="36"/>
  <c r="D80" i="36"/>
  <c r="D81" i="36"/>
  <c r="D82" i="36"/>
  <c r="D83" i="36"/>
  <c r="D84" i="36"/>
  <c r="D85" i="36"/>
  <c r="D41" i="36"/>
  <c r="D19" i="36"/>
  <c r="D20" i="36"/>
  <c r="D21" i="36"/>
  <c r="D22" i="36"/>
  <c r="D23" i="36"/>
  <c r="D24" i="36"/>
  <c r="D26" i="36"/>
  <c r="D27" i="36"/>
  <c r="D28" i="36"/>
  <c r="D29" i="36"/>
  <c r="D30" i="36"/>
  <c r="D31" i="36"/>
  <c r="D32" i="36"/>
  <c r="D33" i="36"/>
  <c r="D34" i="36"/>
  <c r="D35" i="36"/>
  <c r="D36" i="36"/>
  <c r="D37" i="36"/>
  <c r="D18" i="36"/>
  <c r="B14" i="35"/>
  <c r="B14" i="36"/>
  <c r="B14" i="38"/>
  <c r="B14" i="39"/>
  <c r="B14" i="41"/>
  <c r="B14" i="42"/>
  <c r="C33" i="38"/>
  <c r="C64" i="38"/>
  <c r="C67" i="38"/>
  <c r="D25" i="46"/>
  <c r="E25" i="46"/>
  <c r="F25" i="46"/>
  <c r="G25" i="46"/>
  <c r="D25" i="45"/>
  <c r="E25" i="45"/>
  <c r="E37" i="45"/>
  <c r="D37" i="42"/>
  <c r="D38" i="42"/>
  <c r="D39" i="42"/>
  <c r="D41" i="42"/>
  <c r="D44" i="42"/>
  <c r="D45" i="42"/>
  <c r="D47" i="42"/>
  <c r="D48" i="42"/>
  <c r="D49" i="42"/>
  <c r="D50" i="42"/>
  <c r="D51" i="42"/>
  <c r="D52" i="42"/>
  <c r="D53" i="42"/>
  <c r="D54" i="42"/>
  <c r="D55" i="42"/>
  <c r="D56" i="42"/>
  <c r="D58" i="42"/>
  <c r="D59" i="42"/>
  <c r="D60" i="42"/>
  <c r="D61" i="42"/>
  <c r="D20" i="42"/>
  <c r="D21" i="42"/>
  <c r="D22" i="42"/>
  <c r="D23" i="42"/>
  <c r="D24" i="42"/>
  <c r="D25" i="42"/>
  <c r="D26" i="42"/>
  <c r="D27" i="42"/>
  <c r="D28" i="42"/>
  <c r="D29" i="42"/>
  <c r="D31" i="42"/>
  <c r="D32" i="42"/>
  <c r="C37" i="46"/>
  <c r="C73" i="46"/>
  <c r="C74" i="46"/>
  <c r="C77" i="46"/>
  <c r="C73" i="45"/>
  <c r="C37" i="45"/>
  <c r="C73" i="43"/>
  <c r="C74" i="43"/>
  <c r="C77" i="43"/>
  <c r="C37" i="43"/>
  <c r="C63" i="42"/>
  <c r="C33" i="42"/>
  <c r="C63" i="41"/>
  <c r="C64" i="41"/>
  <c r="C67" i="41"/>
  <c r="C33" i="41"/>
  <c r="C63" i="39"/>
  <c r="C64" i="39"/>
  <c r="C67" i="39"/>
  <c r="C33" i="39"/>
  <c r="C63" i="38"/>
  <c r="C87" i="36"/>
  <c r="C88" i="36"/>
  <c r="C91" i="36"/>
  <c r="C39" i="36"/>
  <c r="B13" i="46"/>
  <c r="B14" i="47"/>
  <c r="B13" i="51"/>
  <c r="B14" i="44"/>
  <c r="B14" i="45"/>
  <c r="E37" i="25"/>
  <c r="D73" i="46"/>
  <c r="C19" i="31"/>
  <c r="C37" i="31"/>
  <c r="C39" i="47"/>
  <c r="D39" i="47"/>
  <c r="D73" i="47"/>
  <c r="C48" i="47"/>
  <c r="D48" i="47"/>
  <c r="C73" i="50"/>
  <c r="C74" i="50"/>
  <c r="C77" i="50"/>
  <c r="C37" i="40"/>
  <c r="C19" i="37"/>
  <c r="C37" i="37"/>
  <c r="C19" i="35"/>
  <c r="C37" i="35"/>
  <c r="D19" i="34"/>
  <c r="D37" i="34"/>
  <c r="D37" i="33"/>
  <c r="D37" i="23"/>
  <c r="D37" i="24"/>
  <c r="E74" i="23"/>
  <c r="E77" i="23"/>
  <c r="E37" i="43"/>
  <c r="E67" i="53"/>
  <c r="C67" i="49"/>
  <c r="D36" i="55"/>
  <c r="E36" i="49"/>
  <c r="E34" i="53"/>
  <c r="D35" i="55"/>
  <c r="F67" i="46"/>
  <c r="D52" i="56"/>
  <c r="D33" i="57"/>
  <c r="F36" i="46"/>
  <c r="F34" i="46"/>
  <c r="D18" i="56"/>
  <c r="D32" i="57"/>
  <c r="F26" i="46"/>
  <c r="F35" i="46"/>
  <c r="F37" i="46"/>
  <c r="D67" i="55"/>
  <c r="E67" i="49"/>
  <c r="D34" i="55"/>
  <c r="F34" i="44"/>
  <c r="D34" i="48"/>
  <c r="E35" i="53"/>
  <c r="C26" i="48"/>
  <c r="E26" i="53"/>
  <c r="D26" i="55"/>
  <c r="G74" i="43"/>
  <c r="G77" i="43"/>
  <c r="C73" i="48"/>
  <c r="C34" i="48"/>
  <c r="C67" i="48"/>
  <c r="C36" i="48"/>
  <c r="C35" i="48"/>
  <c r="C26" i="75"/>
  <c r="D25" i="75"/>
  <c r="C38" i="77"/>
  <c r="C42" i="77"/>
  <c r="C60" i="75"/>
  <c r="C25" i="77"/>
  <c r="D25" i="76"/>
  <c r="D39" i="76"/>
  <c r="D42" i="76"/>
  <c r="C29" i="74"/>
  <c r="C60" i="74"/>
  <c r="D24" i="72"/>
  <c r="E28" i="67"/>
  <c r="F28" i="67"/>
  <c r="F21" i="65"/>
  <c r="F27" i="65"/>
  <c r="E27" i="65"/>
  <c r="D27" i="65"/>
  <c r="D61" i="65"/>
  <c r="D62" i="65"/>
  <c r="D65" i="65"/>
  <c r="G34" i="65"/>
  <c r="G61" i="65"/>
  <c r="D63" i="64"/>
  <c r="D64" i="64"/>
  <c r="D67" i="64"/>
  <c r="D30" i="64"/>
  <c r="G21" i="65"/>
  <c r="H21" i="65"/>
  <c r="I21" i="65"/>
  <c r="I27" i="65"/>
  <c r="G27" i="65"/>
  <c r="D38" i="76"/>
  <c r="C19" i="70"/>
  <c r="C24" i="70"/>
  <c r="C37" i="70"/>
  <c r="F53" i="65"/>
  <c r="G53" i="65"/>
  <c r="E61" i="65"/>
  <c r="E62" i="65"/>
  <c r="E65" i="65"/>
  <c r="E67" i="58"/>
  <c r="E70" i="58"/>
  <c r="D26" i="78"/>
  <c r="D34" i="78"/>
  <c r="D37" i="78"/>
  <c r="C27" i="79"/>
  <c r="C65" i="79"/>
  <c r="G74" i="44"/>
  <c r="E73" i="53"/>
  <c r="C73" i="49"/>
  <c r="C34" i="49"/>
  <c r="C27" i="48"/>
  <c r="F27" i="48"/>
  <c r="G27" i="48"/>
  <c r="D11" i="56"/>
  <c r="C37" i="48"/>
  <c r="G77" i="44"/>
  <c r="F66" i="44"/>
  <c r="D66" i="48"/>
  <c r="F66" i="48"/>
  <c r="G66" i="48"/>
  <c r="F60" i="44"/>
  <c r="D60" i="48"/>
  <c r="E57" i="49"/>
  <c r="F57" i="49"/>
  <c r="G57" i="49"/>
  <c r="E41" i="49"/>
  <c r="F41" i="49"/>
  <c r="G41" i="49"/>
  <c r="F25" i="44"/>
  <c r="D25" i="48"/>
  <c r="E74" i="55"/>
  <c r="E77" i="55"/>
  <c r="D20" i="48"/>
  <c r="F23" i="49"/>
  <c r="F65" i="49"/>
  <c r="G74" i="45"/>
  <c r="G77" i="45"/>
  <c r="E34" i="48"/>
  <c r="F34" i="48"/>
  <c r="D12" i="56"/>
  <c r="D7" i="56"/>
  <c r="G34" i="52"/>
  <c r="F66" i="46"/>
  <c r="G66" i="46"/>
  <c r="E71" i="49"/>
  <c r="F71" i="49"/>
  <c r="F71" i="44"/>
  <c r="D71" i="48"/>
  <c r="C74" i="45"/>
  <c r="C77" i="45"/>
  <c r="C52" i="48"/>
  <c r="D36" i="72"/>
  <c r="D37" i="72"/>
  <c r="D40" i="72"/>
  <c r="E29" i="72"/>
  <c r="E36" i="72"/>
  <c r="E37" i="72"/>
  <c r="E40" i="72"/>
  <c r="D19" i="28"/>
  <c r="D34" i="28"/>
  <c r="C73" i="55"/>
  <c r="C74" i="55"/>
  <c r="C77" i="55"/>
  <c r="D44" i="49"/>
  <c r="C59" i="48"/>
  <c r="D62" i="48"/>
  <c r="F62" i="48"/>
  <c r="F59" i="44"/>
  <c r="D59" i="48"/>
  <c r="E59" i="49"/>
  <c r="F59" i="49"/>
  <c r="E18" i="49"/>
  <c r="F18" i="49"/>
  <c r="F18" i="44"/>
  <c r="D2" i="56"/>
  <c r="F63" i="44"/>
  <c r="D63" i="48"/>
  <c r="F63" i="48"/>
  <c r="E63" i="49"/>
  <c r="E34" i="49"/>
  <c r="C39" i="48"/>
  <c r="E74" i="52"/>
  <c r="E72" i="49"/>
  <c r="F72" i="49"/>
  <c r="F72" i="44"/>
  <c r="D72" i="48"/>
  <c r="E48" i="49"/>
  <c r="F48" i="49"/>
  <c r="F48" i="44"/>
  <c r="F27" i="49"/>
  <c r="G27" i="49"/>
  <c r="D23" i="47"/>
  <c r="D31" i="47"/>
  <c r="D65" i="47"/>
  <c r="D54" i="47"/>
  <c r="D42" i="47"/>
  <c r="D26" i="47"/>
  <c r="D35" i="47"/>
  <c r="D70" i="47"/>
  <c r="D71" i="47"/>
  <c r="D51" i="47"/>
  <c r="D20" i="47"/>
  <c r="D28" i="47"/>
  <c r="D18" i="47"/>
  <c r="C30" i="64"/>
  <c r="C64" i="64"/>
  <c r="E64" i="49"/>
  <c r="F64" i="49"/>
  <c r="G64" i="49"/>
  <c r="F64" i="44"/>
  <c r="D64" i="48"/>
  <c r="F64" i="48"/>
  <c r="G64" i="48"/>
  <c r="D29" i="56"/>
  <c r="F55" i="49"/>
  <c r="E24" i="69"/>
  <c r="F65" i="44"/>
  <c r="D65" i="48"/>
  <c r="F61" i="44"/>
  <c r="D61" i="48"/>
  <c r="F61" i="48"/>
  <c r="G61" i="48"/>
  <c r="F50" i="44"/>
  <c r="D50" i="48"/>
  <c r="D35" i="56"/>
  <c r="D13" i="57"/>
  <c r="E21" i="49"/>
  <c r="F21" i="49"/>
  <c r="E19" i="49"/>
  <c r="F19" i="49"/>
  <c r="F31" i="44"/>
  <c r="D31" i="48"/>
  <c r="F31" i="48"/>
  <c r="F24" i="44"/>
  <c r="D24" i="48"/>
  <c r="F44" i="49"/>
  <c r="F39" i="44"/>
  <c r="F49" i="44"/>
  <c r="D49" i="48"/>
  <c r="F55" i="44"/>
  <c r="D55" i="48"/>
  <c r="D15" i="56"/>
  <c r="D29" i="57"/>
  <c r="D37" i="47"/>
  <c r="D19" i="47"/>
  <c r="C72" i="28"/>
  <c r="C37" i="30"/>
  <c r="C72" i="30"/>
  <c r="F21" i="59"/>
  <c r="E29" i="59"/>
  <c r="D39" i="48"/>
  <c r="C61" i="75"/>
  <c r="C64" i="75"/>
  <c r="C74" i="48"/>
  <c r="D87" i="36"/>
  <c r="C54" i="48"/>
  <c r="C35" i="49"/>
  <c r="D33" i="42"/>
  <c r="D48" i="48"/>
  <c r="E34" i="27"/>
  <c r="E73" i="27"/>
  <c r="E76" i="27"/>
  <c r="C37" i="29"/>
  <c r="C72" i="29"/>
  <c r="F51" i="43"/>
  <c r="G51" i="43"/>
  <c r="C51" i="48"/>
  <c r="F51" i="48"/>
  <c r="E73" i="43"/>
  <c r="E74" i="43"/>
  <c r="E77" i="43"/>
  <c r="C20" i="48"/>
  <c r="F20" i="48"/>
  <c r="C58" i="48"/>
  <c r="F39" i="45"/>
  <c r="F73" i="45"/>
  <c r="D24" i="56"/>
  <c r="E73" i="45"/>
  <c r="E74" i="45"/>
  <c r="E77" i="45"/>
  <c r="E60" i="48"/>
  <c r="F48" i="46"/>
  <c r="D33" i="56"/>
  <c r="D11" i="57"/>
  <c r="C25" i="48"/>
  <c r="F32" i="44"/>
  <c r="E32" i="49"/>
  <c r="F32" i="49"/>
  <c r="G32" i="49"/>
  <c r="D37" i="55"/>
  <c r="F69" i="44"/>
  <c r="E69" i="49"/>
  <c r="F69" i="49"/>
  <c r="G69" i="49"/>
  <c r="H19" i="65"/>
  <c r="H27" i="65"/>
  <c r="E73" i="26"/>
  <c r="E74" i="26"/>
  <c r="E77" i="26"/>
  <c r="D37" i="44"/>
  <c r="E24" i="44"/>
  <c r="E37" i="44"/>
  <c r="C76" i="85"/>
  <c r="C79" i="85"/>
  <c r="D29" i="47"/>
  <c r="F58" i="49"/>
  <c r="D3" i="56"/>
  <c r="D24" i="47"/>
  <c r="D52" i="47"/>
  <c r="F43" i="44"/>
  <c r="F73" i="44"/>
  <c r="E43" i="49"/>
  <c r="F43" i="49"/>
  <c r="G43" i="49"/>
  <c r="F39" i="49"/>
  <c r="D22" i="47"/>
  <c r="D45" i="47"/>
  <c r="E52" i="45"/>
  <c r="F52" i="45"/>
  <c r="E52" i="48"/>
  <c r="F52" i="48"/>
  <c r="D73" i="45"/>
  <c r="E74" i="24"/>
  <c r="E77" i="24"/>
  <c r="E29" i="73"/>
  <c r="E60" i="73"/>
  <c r="E61" i="73"/>
  <c r="E64" i="73"/>
  <c r="F66" i="58"/>
  <c r="F67" i="58"/>
  <c r="F70" i="58"/>
  <c r="F28" i="48"/>
  <c r="C40" i="48"/>
  <c r="F40" i="48"/>
  <c r="F70" i="44"/>
  <c r="D70" i="48"/>
  <c r="F70" i="48"/>
  <c r="E70" i="49"/>
  <c r="F70" i="49"/>
  <c r="E51" i="49"/>
  <c r="F51" i="44"/>
  <c r="D36" i="56"/>
  <c r="D14" i="57"/>
  <c r="D51" i="48"/>
  <c r="F66" i="49"/>
  <c r="G66" i="49"/>
  <c r="F54" i="44"/>
  <c r="D39" i="56"/>
  <c r="D17" i="57"/>
  <c r="F30" i="44"/>
  <c r="D14" i="56"/>
  <c r="E28" i="49"/>
  <c r="F28" i="49"/>
  <c r="E46" i="49"/>
  <c r="F46" i="49"/>
  <c r="G46" i="49"/>
  <c r="F34" i="59"/>
  <c r="F58" i="44"/>
  <c r="D58" i="48"/>
  <c r="F58" i="48"/>
  <c r="D69" i="48"/>
  <c r="F69" i="48"/>
  <c r="G69" i="48"/>
  <c r="D32" i="48"/>
  <c r="F32" i="48"/>
  <c r="G32" i="48"/>
  <c r="D51" i="56"/>
  <c r="C65" i="48"/>
  <c r="F65" i="48"/>
  <c r="D34" i="56"/>
  <c r="D12" i="57"/>
  <c r="D5" i="56"/>
  <c r="C55" i="48"/>
  <c r="F55" i="48"/>
  <c r="E53" i="49"/>
  <c r="F53" i="49"/>
  <c r="G53" i="49"/>
  <c r="F53" i="44"/>
  <c r="F47" i="44"/>
  <c r="E47" i="49"/>
  <c r="F47" i="49"/>
  <c r="G47" i="49"/>
  <c r="D27" i="56"/>
  <c r="D55" i="56"/>
  <c r="D36" i="57"/>
  <c r="D47" i="56"/>
  <c r="F59" i="48"/>
  <c r="F67" i="44"/>
  <c r="C64" i="42"/>
  <c r="C67" i="42"/>
  <c r="E37" i="46"/>
  <c r="C73" i="26"/>
  <c r="C73" i="25"/>
  <c r="C73" i="33"/>
  <c r="D73" i="31"/>
  <c r="D73" i="40"/>
  <c r="F41" i="48"/>
  <c r="G41" i="48"/>
  <c r="F37" i="47"/>
  <c r="E73" i="46"/>
  <c r="E74" i="46"/>
  <c r="E77" i="46"/>
  <c r="D88" i="36"/>
  <c r="D91" i="36"/>
  <c r="G37" i="46"/>
  <c r="D48" i="56"/>
  <c r="D26" i="57"/>
  <c r="C26" i="49"/>
  <c r="E37" i="53"/>
  <c r="E74" i="53"/>
  <c r="E34" i="29"/>
  <c r="E73" i="29"/>
  <c r="E76" i="29"/>
  <c r="E74" i="31"/>
  <c r="E77" i="31"/>
  <c r="E29" i="48"/>
  <c r="D13" i="56"/>
  <c r="D4" i="56"/>
  <c r="F73" i="43"/>
  <c r="F25" i="45"/>
  <c r="E25" i="48"/>
  <c r="F25" i="48"/>
  <c r="G25" i="48"/>
  <c r="G37" i="48"/>
  <c r="D63" i="42"/>
  <c r="D64" i="42"/>
  <c r="D67" i="42"/>
  <c r="D39" i="36"/>
  <c r="D34" i="27"/>
  <c r="C72" i="48"/>
  <c r="F72" i="48"/>
  <c r="D57" i="56"/>
  <c r="D38" i="57"/>
  <c r="D73" i="51"/>
  <c r="D74" i="51"/>
  <c r="D77" i="51"/>
  <c r="F71" i="47"/>
  <c r="F73" i="47"/>
  <c r="F74" i="47"/>
  <c r="F77" i="47"/>
  <c r="D37" i="46"/>
  <c r="D74" i="46"/>
  <c r="D77" i="46"/>
  <c r="F61" i="65"/>
  <c r="F62" i="65"/>
  <c r="F65" i="65"/>
  <c r="D73" i="32"/>
  <c r="F49" i="25"/>
  <c r="F73" i="25"/>
  <c r="F74" i="25"/>
  <c r="F77" i="25"/>
  <c r="E73" i="25"/>
  <c r="E74" i="25"/>
  <c r="E77" i="25"/>
  <c r="F73" i="26"/>
  <c r="C71" i="48"/>
  <c r="F71" i="48"/>
  <c r="D56" i="56"/>
  <c r="E22" i="49"/>
  <c r="F22" i="49"/>
  <c r="F22" i="44"/>
  <c r="D18" i="48"/>
  <c r="F18" i="48"/>
  <c r="D30" i="47"/>
  <c r="D59" i="47"/>
  <c r="F29" i="48"/>
  <c r="E37" i="52"/>
  <c r="E75" i="52"/>
  <c r="E78" i="52"/>
  <c r="F33" i="44"/>
  <c r="E40" i="49"/>
  <c r="F40" i="49"/>
  <c r="F56" i="44"/>
  <c r="D41" i="56"/>
  <c r="D19" i="57"/>
  <c r="E66" i="59"/>
  <c r="E67" i="59"/>
  <c r="E70" i="59"/>
  <c r="E20" i="49"/>
  <c r="F20" i="49"/>
  <c r="C29" i="78"/>
  <c r="D5" i="57"/>
  <c r="D53" i="48"/>
  <c r="F53" i="48"/>
  <c r="G53" i="48"/>
  <c r="D38" i="56"/>
  <c r="D16" i="57"/>
  <c r="D25" i="57"/>
  <c r="D56" i="48"/>
  <c r="F56" i="48"/>
  <c r="D6" i="56"/>
  <c r="D7" i="57"/>
  <c r="D33" i="48"/>
  <c r="F33" i="48"/>
  <c r="G33" i="48"/>
  <c r="C37" i="49"/>
  <c r="D47" i="48"/>
  <c r="F47" i="48"/>
  <c r="G47" i="48"/>
  <c r="D32" i="56"/>
  <c r="D10" i="57"/>
  <c r="G37" i="49"/>
  <c r="G74" i="49"/>
  <c r="G77" i="49"/>
  <c r="D17" i="56"/>
  <c r="D31" i="57"/>
  <c r="E77" i="53"/>
  <c r="C74" i="49"/>
  <c r="D54" i="56"/>
  <c r="D35" i="57"/>
  <c r="D28" i="57"/>
  <c r="D73" i="48"/>
  <c r="D49" i="56"/>
  <c r="D27" i="57"/>
  <c r="D23" i="57"/>
  <c r="E73" i="48"/>
  <c r="F73" i="48"/>
  <c r="D26" i="56"/>
  <c r="D4" i="57"/>
  <c r="G73" i="49"/>
  <c r="D22" i="48"/>
  <c r="F22" i="48"/>
  <c r="F37" i="45"/>
  <c r="F74" i="45"/>
  <c r="E74" i="48"/>
  <c r="F74" i="48"/>
  <c r="D67" i="48"/>
  <c r="D28" i="56"/>
  <c r="D6" i="57"/>
  <c r="D30" i="48"/>
  <c r="F30" i="48"/>
  <c r="D9" i="56"/>
  <c r="D18" i="57"/>
  <c r="D54" i="48"/>
  <c r="F54" i="48"/>
  <c r="D25" i="56"/>
  <c r="D43" i="48"/>
  <c r="F43" i="48"/>
  <c r="G43" i="48"/>
  <c r="E37" i="49"/>
  <c r="E52" i="49"/>
  <c r="F52" i="49"/>
  <c r="D2" i="57"/>
  <c r="F37" i="43"/>
  <c r="F74" i="43"/>
  <c r="F77" i="43"/>
  <c r="G24" i="43"/>
  <c r="G73" i="46"/>
  <c r="G74" i="46"/>
  <c r="G77" i="46"/>
  <c r="D30" i="56"/>
  <c r="D8" i="57"/>
  <c r="C45" i="48"/>
  <c r="F45" i="48"/>
  <c r="E39" i="48"/>
  <c r="F39" i="48"/>
  <c r="D73" i="55"/>
  <c r="E73" i="49"/>
  <c r="E73" i="30"/>
  <c r="E76" i="30"/>
  <c r="F50" i="48"/>
  <c r="F46" i="48"/>
  <c r="G46" i="48"/>
  <c r="D31" i="56"/>
  <c r="D9" i="57"/>
  <c r="G62" i="65"/>
  <c r="G65" i="65"/>
  <c r="E26" i="49"/>
  <c r="F26" i="44"/>
  <c r="E35" i="49"/>
  <c r="F35" i="44"/>
  <c r="D35" i="48"/>
  <c r="F23" i="48"/>
  <c r="F48" i="48"/>
  <c r="F57" i="48"/>
  <c r="G57" i="48"/>
  <c r="D42" i="56"/>
  <c r="E74" i="47"/>
  <c r="E77" i="47"/>
  <c r="C73" i="47"/>
  <c r="D37" i="45"/>
  <c r="D74" i="45"/>
  <c r="D77" i="45"/>
  <c r="F36" i="44"/>
  <c r="D53" i="56"/>
  <c r="D68" i="48"/>
  <c r="F68" i="48"/>
  <c r="E29" i="67"/>
  <c r="E45" i="49"/>
  <c r="F45" i="49"/>
  <c r="F44" i="48"/>
  <c r="F29" i="59"/>
  <c r="D37" i="56"/>
  <c r="E52" i="44"/>
  <c r="E73" i="44"/>
  <c r="E74" i="44"/>
  <c r="E77" i="44"/>
  <c r="D73" i="44"/>
  <c r="D74" i="44"/>
  <c r="D77" i="44"/>
  <c r="G37" i="52"/>
  <c r="G75" i="52"/>
  <c r="G78" i="52"/>
  <c r="F29" i="49"/>
  <c r="D44" i="56"/>
  <c r="D22" i="57"/>
  <c r="D16" i="56"/>
  <c r="D30" i="57"/>
  <c r="F66" i="59"/>
  <c r="D46" i="56"/>
  <c r="D24" i="57"/>
  <c r="E74" i="37"/>
  <c r="E77" i="37"/>
  <c r="F38" i="49"/>
  <c r="F24" i="49"/>
  <c r="D67" i="59"/>
  <c r="D70" i="59"/>
  <c r="I61" i="65"/>
  <c r="I62" i="65"/>
  <c r="I65" i="65"/>
  <c r="E73" i="54"/>
  <c r="E74" i="54"/>
  <c r="E77" i="54"/>
  <c r="F37" i="44"/>
  <c r="G73" i="48"/>
  <c r="G74" i="48"/>
  <c r="G77" i="48"/>
  <c r="F67" i="59"/>
  <c r="F70" i="59"/>
  <c r="D20" i="56"/>
  <c r="D37" i="57"/>
  <c r="D36" i="48"/>
  <c r="F36" i="48"/>
  <c r="C24" i="48"/>
  <c r="F24" i="48"/>
  <c r="D8" i="56"/>
  <c r="D21" i="56"/>
  <c r="D15" i="57"/>
  <c r="D39" i="57"/>
  <c r="D3" i="57"/>
  <c r="D74" i="55"/>
  <c r="F29" i="67"/>
  <c r="F36" i="67"/>
  <c r="F37" i="67"/>
  <c r="F40" i="67"/>
  <c r="E36" i="67"/>
  <c r="E37" i="67"/>
  <c r="E40" i="67"/>
  <c r="D26" i="48"/>
  <c r="D10" i="56"/>
  <c r="D20" i="57"/>
  <c r="D77" i="55"/>
  <c r="E74" i="49"/>
  <c r="D37" i="48"/>
  <c r="F74" i="44"/>
  <c r="D74" i="48"/>
  <c r="F77" i="44"/>
  <c r="D73" i="54"/>
  <c r="D73" i="49"/>
  <c r="F73" i="49"/>
  <c r="C24" i="72"/>
  <c r="D67" i="49"/>
  <c r="F67" i="49"/>
  <c r="E37" i="48"/>
  <c r="F37" i="48"/>
  <c r="C33" i="78"/>
  <c r="C35" i="68"/>
  <c r="C36" i="68"/>
  <c r="C61" i="74"/>
  <c r="C64" i="74"/>
  <c r="C26" i="68"/>
  <c r="F73" i="46"/>
  <c r="F74" i="46"/>
  <c r="F77" i="46"/>
  <c r="C24" i="67"/>
  <c r="C37" i="67"/>
  <c r="D58" i="56"/>
  <c r="D59" i="56"/>
  <c r="D41" i="57"/>
  <c r="C27" i="65"/>
  <c r="C26" i="78"/>
  <c r="C34" i="78"/>
  <c r="F77" i="45"/>
  <c r="D37" i="54"/>
  <c r="H61" i="65"/>
  <c r="H62" i="65"/>
  <c r="H65" i="65"/>
  <c r="D19" i="56"/>
  <c r="D34" i="57"/>
  <c r="D74" i="54"/>
  <c r="D37" i="49"/>
  <c r="F37" i="49"/>
  <c r="E21" i="56"/>
  <c r="F21" i="56"/>
  <c r="D77" i="54"/>
  <c r="D74" i="49"/>
  <c r="F74" i="49"/>
  <c r="D62" i="56"/>
  <c r="D64" i="56"/>
</calcChain>
</file>

<file path=xl/sharedStrings.xml><?xml version="1.0" encoding="utf-8"?>
<sst xmlns="http://schemas.openxmlformats.org/spreadsheetml/2006/main" count="4409" uniqueCount="392">
  <si>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</si>
  <si>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</si>
  <si>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</si>
  <si>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</si>
  <si>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</si>
  <si>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 xml:space="preserve">Tiešās izmaksas </t>
  </si>
  <si>
    <t>Tiešās izmaksas kopā</t>
  </si>
  <si>
    <t xml:space="preserve">Netiešās izmaksas </t>
  </si>
  <si>
    <t>Netiešās izmaksas kopā</t>
  </si>
  <si>
    <t>Maksas pakalpojuma izcenojuma aprēķins</t>
  </si>
  <si>
    <t>SASKAŅOTS</t>
  </si>
  <si>
    <t>Informācijas sistēmas uzturēšana</t>
  </si>
  <si>
    <t> Transportlīdzekļu uzturēšana un remonts</t>
  </si>
  <si>
    <t> Iekārtas, inventāra un aparatūras remonts, tehniskā apkalpošana</t>
  </si>
  <si>
    <t> Ēku, būvju un telpu uzturēšana</t>
  </si>
  <si>
    <t> Transportlīdzekļu noma</t>
  </si>
  <si>
    <t> Pārējie iepriekš neklasificētie pakalpojumu veidi</t>
  </si>
  <si>
    <t> Biroja preces</t>
  </si>
  <si>
    <t> Inventārs</t>
  </si>
  <si>
    <t> Kurināmais</t>
  </si>
  <si>
    <t> Degviela</t>
  </si>
  <si>
    <t> Kārtējā remonta un iestāžu uzturēšanas materiāli</t>
  </si>
  <si>
    <t> Mīkstais inventārs</t>
  </si>
  <si>
    <t> Budžeta iestāžu nekustamā īpašuma nodokļa (t.sk. zemes nodokļa parāda) maksājumi budžetā</t>
  </si>
  <si>
    <t xml:space="preserve"> Saimniecības pamatlīdzekļi</t>
  </si>
  <si>
    <t> Pārējie budžeta iestāžu pārskaitītie nodokļi un nodevas</t>
  </si>
  <si>
    <t> Izdevumi par ūdeni un kanalizāciju</t>
  </si>
  <si>
    <t> Izdevumi par elektroenerģiju</t>
  </si>
  <si>
    <t> Izdevumi periodikas iegādei</t>
  </si>
  <si>
    <t>Pakalpojumu izmaksas kopā</t>
  </si>
  <si>
    <t xml:space="preserve"> Budžeta iestāžu pievienotās vērtības nodokļa maksājumi </t>
  </si>
  <si>
    <t>7. Viesu izmitināšana</t>
  </si>
  <si>
    <t>Sociālās integrācijas valsts aģentūras</t>
  </si>
  <si>
    <t>Prognozētais maksas pakalpojumu skaits gadā (gab.)*</t>
  </si>
  <si>
    <t>Piezīme. *Ailes neaizpilda, ja izvēlētais laikposms ir viens gads.</t>
  </si>
  <si>
    <t>sākotnējās ietekmes novērtējuma ziņojumam (anotācijai)</t>
  </si>
  <si>
    <t>Satura rādītājs</t>
  </si>
  <si>
    <t> Pasta, telefona un citu sakaru pakalpojumi</t>
  </si>
  <si>
    <t> Iestādes administratīvie izdevumi un ar iestādes darbības nodrošināšanu saistītie izdevumi</t>
  </si>
  <si>
    <t> Pārējie remonta darbu un iestāžu uzturēšanas pakalpojumi</t>
  </si>
  <si>
    <t> Zemes noma</t>
  </si>
  <si>
    <t> Iekārtu un inventāra īre un noma</t>
  </si>
  <si>
    <t> Zāles, ķimikālijas, laboratorijas preces</t>
  </si>
  <si>
    <t> Virtuves inventārs, trauki un galda piederumi</t>
  </si>
  <si>
    <t> Ēdināšanas izdevumi</t>
  </si>
  <si>
    <t>Mācību, darba un dienesta komandējumi, dienesta, darba braucieni</t>
  </si>
  <si>
    <t> Ēku, būvju un telpu kārtējais remonts</t>
  </si>
  <si>
    <t>Informācijas sistēmas licenču nomas izdevumi</t>
  </si>
  <si>
    <t> Ēku, telpu īre un noma</t>
  </si>
  <si>
    <t> Medicīnas instrumenti, laboratorijas dzīvnieki un to uzturēšana</t>
  </si>
  <si>
    <t> Mācību līdzekļi un materiāli</t>
  </si>
  <si>
    <t xml:space="preserve">Bezdarbnieku stipendijas </t>
  </si>
  <si>
    <t>Stipendijas</t>
  </si>
  <si>
    <t> Datorprogrammas</t>
  </si>
  <si>
    <t> Datortehnika, sakaru un cita biroja tehnika</t>
  </si>
  <si>
    <t> Pamatlīdzekļu izveidošana un nepabeigtā būvniecība</t>
  </si>
  <si>
    <t> Kapitālais remonts un rekonstrukcija</t>
  </si>
  <si>
    <t xml:space="preserve">Maksas pakalpojuma vienību skaits noteiktā laikposmā </t>
  </si>
  <si>
    <t>Maksas pakalpojuma izcenojums (euro)</t>
  </si>
  <si>
    <t>Aprēķinu sastādīja:SIVA Finanšu nodaļas vecākā finanšu ekonomiste Anita Ozoliņa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</si>
  <si>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</si>
  <si>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</si>
  <si>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</si>
  <si>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 xml:space="preserve">Izmaksu apjoms noteiktā laikposmā viena maksas pakalpojuma veida nodrošināšanai </t>
  </si>
  <si>
    <t>Prognozētie ieņēmumi gadā (euro)*</t>
  </si>
  <si>
    <t>7.4. Viesu izmitināšana Dubultu prospektā 71, 1.korpusā  Jūrmalā (viena vieta divvietīgā numurā)</t>
  </si>
  <si>
    <t>direktore I.Jurševska</t>
  </si>
  <si>
    <t>2017. gada    .novembrī</t>
  </si>
  <si>
    <t xml:space="preserve"> Atalgojums</t>
  </si>
  <si>
    <t xml:space="preserve"> Darba devēja valsts sociālās apdrošināšanas obligātās iemaksas, sociāla rakstura pabalsti un kompensācijas</t>
  </si>
  <si>
    <t xml:space="preserve"> Informācijas sistēmas uzturēšana</t>
  </si>
  <si>
    <t xml:space="preserve"> Apdrošināšanas izdevumi</t>
  </si>
  <si>
    <t xml:space="preserve"> Pārējie informācijas tehnoloģiju pakalpojumi</t>
  </si>
  <si>
    <t xml:space="preserve"> Budžeta iestāžu dabas resursu nodokļa maksājumi</t>
  </si>
  <si>
    <t xml:space="preserve"> Normatīvajos aktos noteiktie darba devēja veselības izdevumi darba ņēmējiem</t>
  </si>
  <si>
    <t xml:space="preserve"> Pārējie iestādes administratīvie izdevumi un ar iestādes darbības nodrošināšanu saistītie pakalpojumi</t>
  </si>
  <si>
    <t xml:space="preserve">Piemaksa par uzturēšanos vienai personai divvietīgā numurā, Dubultu prospektā 71, 2.korpusā, Jūrmalā </t>
  </si>
  <si>
    <t xml:space="preserve"> Pārējie sakaru pakalpojumi</t>
  </si>
  <si>
    <t xml:space="preserve"> Iekārtas, inventāra un aparatūras remonts, tehniskā apkalpošana</t>
  </si>
  <si>
    <t xml:space="preserve"> Pārējie remontdarbu un iestāžu uzturēšanas pakalpojumi</t>
  </si>
  <si>
    <t xml:space="preserve"> Zemes noma</t>
  </si>
  <si>
    <t xml:space="preserve"> Iekārtu un inventāra īre un noma</t>
  </si>
  <si>
    <t xml:space="preserve"> Ēdināšanas izdevumi</t>
  </si>
  <si>
    <t xml:space="preserve"> Ēku, būvju un telpu remonts</t>
  </si>
  <si>
    <t xml:space="preserve"> Pamatlīdzekļu izveidošana un nepabeigtā būvniecība</t>
  </si>
  <si>
    <t xml:space="preserve"> Kapitālais remonts un rekonstrukcija</t>
  </si>
  <si>
    <t>7.4.3. Piemaksa par uzturēšanos vienai personai divvietīgā numurā</t>
  </si>
  <si>
    <t>Papildu vieta bērnam no 2 līdz 14 gadu vecumam  Dubultu prospektā 71, 2 korpuss, Jūrmalā (ar brokastīm)</t>
  </si>
  <si>
    <t>Papildu vieta bērnam no 2 līdz 14 gadu vecumam  Dubultu prospektā 71, 2 korpuss, Jūrmalā (ar trīsreizēju ēdināšanu)</t>
  </si>
  <si>
    <t>7.5.3. Papildu vieta bērnam no 2 līdz 14 gadu vecumam  Dubultu prospektā 71, 1 korpuss, Jūrmalā (ar brokastīm)</t>
  </si>
  <si>
    <t>7.5.4. Papildu vieta bērnam no 2 līdz 14 gadu vecumam  Dubultu prospektā 71, 1 korpuss, Jūrmalā (ar trīsreizēju ēdināšanu)</t>
  </si>
  <si>
    <t>Papildu vieta vienai personai Dubultu prospektā 71, 2 korpuss, Jūrmalā (ar brokastīm)</t>
  </si>
  <si>
    <t>Papildu vieta vienai personai Dubultu prospektā 71, 2 korpuss, Jūrmalā (ar trīsreizēju ēdināšanu)</t>
  </si>
  <si>
    <t>7.5.7. Papildu vieta vienai personai Dubultu prospektā 71, 1 korpuss, Jūrmalā (ar brokastīm)</t>
  </si>
  <si>
    <t xml:space="preserve"> Tiešās izmaksas </t>
  </si>
  <si>
    <t xml:space="preserve"> Tiešās izmaksas kopā</t>
  </si>
  <si>
    <t xml:space="preserve"> Netiešās izmaksas </t>
  </si>
  <si>
    <t xml:space="preserve"> Netiešās izmaksas kopā</t>
  </si>
  <si>
    <t xml:space="preserve"> Pakalpojumu izmaksas kopā</t>
  </si>
  <si>
    <t>Ēku, telpu īre un noma</t>
  </si>
  <si>
    <t>Papildu vieta vienai personai Dubultu prospektā 59, Jūrmala</t>
  </si>
  <si>
    <t xml:space="preserve">Viesu izmitināšana  Dubultu prospektā 59, Jūrmalā viena ēka - 34 vietas </t>
  </si>
  <si>
    <t xml:space="preserve">Viesu izmitināšana  Dubultu prospektā 59, Jūrmalā viena ēka - 20 vietas </t>
  </si>
  <si>
    <t>7.5.8. Papildu vieta vienai personai Dubultu prospektā 71, 1 korpuss, Jūrmalā (ar trīsreizēju ēdināšanu)</t>
  </si>
  <si>
    <t xml:space="preserve"> Viesu izmitināšana Dubultu prospektā 71, 2.korpusā, Jūrmalā (viena vieta vienvietīgā numurā)</t>
  </si>
  <si>
    <t>7.1.</t>
  </si>
  <si>
    <t>Maksas pakalpojuma vienību skaits noteiktā laikposmā (gab.)</t>
  </si>
  <si>
    <t xml:space="preserve">Maksas pakalpojuma izcenojums (euro) </t>
  </si>
  <si>
    <t>Aprēķinu sastādīja: SIVA Finanšu nodaļas vecākā finanšu ekonomiste Anita Ozoliņa</t>
  </si>
  <si>
    <t>Viesu izmitināšana  Dubultu prospektā 59, Jūrmala,  1.stāvs, četrvietīgs numurs</t>
  </si>
  <si>
    <t xml:space="preserve">Viesu izmitināšana  Dubultu prospektā 59, Jūrmalā,  2.stāvs, četrvietīgs numurs </t>
  </si>
  <si>
    <t>Viesu izmitināšana  Dubultu prospektā 59, Jūrmala,  1.stāvs, astoņvietīgs numurs</t>
  </si>
  <si>
    <t xml:space="preserve">Viesu izmitināšana  Dubultu prospektā 59, Jūrmalā,  2.stāvs, sešvietīgs numurs </t>
  </si>
  <si>
    <t xml:space="preserve">Viesu izmitināšana  Dubultu prospektā 59, Jūrmalā,  3.stāvs, divvietīgs numurs </t>
  </si>
  <si>
    <t xml:space="preserve">Viesu izmitināšana  Dubultu prospektā 59, Jūrmalā,  3.stāvs, trīsvietīgs numurs </t>
  </si>
  <si>
    <t>7.5. Viesu izmitināšana Dubultu prospektā 71, Jūrmalā, papildus vieta</t>
  </si>
  <si>
    <t>Inventārs</t>
  </si>
  <si>
    <t>direktores p.i.  G.Apele</t>
  </si>
  <si>
    <t>2019. gada  15.martā</t>
  </si>
  <si>
    <t xml:space="preserve"> Informācijas tehnoloģiju pakalpojumi </t>
  </si>
  <si>
    <t>Izdevumi par sakaru pakalpojumiem</t>
  </si>
  <si>
    <t>Budžeta iestāžu nekustamā īpašuma nodokļa maksājumi</t>
  </si>
  <si>
    <t>Pārējie budžeta iestāžu pārskaitītie nodokļi un nodevas</t>
  </si>
  <si>
    <t>Ēku, būvju un telpu būvdarbi</t>
  </si>
  <si>
    <t>Informācijas tehnoloģiju pakalpojumi</t>
  </si>
  <si>
    <t>Iestāžu uzturēšanas materiāli un preces</t>
  </si>
  <si>
    <t>Izdevumi iestādes sabiedrisko aktivitāšu īstenošanai</t>
  </si>
  <si>
    <t>Izdevumi par saņemtajiem mācību pakalpojumiem</t>
  </si>
  <si>
    <t>Tehnoloģiskās iekārtas un mašīnas</t>
  </si>
  <si>
    <t>Datortehnika, sakaru un cita biroja tehnika</t>
  </si>
  <si>
    <t>Pārējie iepriekš neklasificētie pamatlīdzekļi un ieguldījuma īpašumi</t>
  </si>
  <si>
    <t>Kapitālais remonts un rekonstrukcija</t>
  </si>
  <si>
    <t>Atalgojums</t>
  </si>
  <si>
    <t>Darba devēja valsts sociālās apdrošināšanas obligātās iemaksas, pabalsti un kompensācijas</t>
  </si>
  <si>
    <t>Izmaksu apjoms noteiktā laikposmā viena maksas pakalpojuma veida nodrošināšanai</t>
  </si>
  <si>
    <t>Izdevumi par ūdensapgādi un kanalizāciju</t>
  </si>
  <si>
    <t>Izdevumi par elektroenerģiju</t>
  </si>
  <si>
    <t>Iekārtas, inventāra un aparatūras remonts, tehniskā apkalpošana</t>
  </si>
  <si>
    <t>Nekustamā īpašuma uzturēšana</t>
  </si>
  <si>
    <t>Kurināmais</t>
  </si>
  <si>
    <t>Zāles, ķimikālijas, laboratorijas preces</t>
  </si>
  <si>
    <t>Mīkstais inventārs</t>
  </si>
  <si>
    <t>Ēdināšanas izdevumi</t>
  </si>
  <si>
    <t>Izdevumi par atkritumu savākšanu, izvešanu no apdzīvotām vietām un teritorijām ārpus apdzīvotām vietām un atkritumu utilizāciju</t>
  </si>
  <si>
    <t>Pārējie neklasificētie pakalpojumi</t>
  </si>
  <si>
    <t>Transportlīdzekļu uzturēšana un remonts</t>
  </si>
  <si>
    <t>Apdrošināšanas izdevumi</t>
  </si>
  <si>
    <t>Pārējie remontdarbu un iestāžu uzturēšanas pakalpojum</t>
  </si>
  <si>
    <t>Transportlīdzekļu noma</t>
  </si>
  <si>
    <t>Zemes noma</t>
  </si>
  <si>
    <t>Iekārtu, aparatūras un inventāra īre un noma</t>
  </si>
  <si>
    <t>Biroja preces</t>
  </si>
  <si>
    <t>Izdevumi par precēm iestādes sabiedrisko aktivitāšu īstenošanai</t>
  </si>
  <si>
    <t>Degviela</t>
  </si>
  <si>
    <t>Budžeta iestāžu pievienotās vērtības nodokļa maksājumi</t>
  </si>
  <si>
    <t>Budžeta iestāžu dabas resursu nodokļa maksājumi</t>
  </si>
  <si>
    <t xml:space="preserve">Virtuves inventārs, trauki un galda piederumi
</t>
  </si>
  <si>
    <t>7.3. Viesu izmitināšana - Dubultu prospekts 71, 1.korpuss, Jūrmala (viena vieta vienvietīgā numurā)</t>
  </si>
  <si>
    <t>7.3.1. Viesu izmitināšana - Dubultu prospekts 71, 1.korpuss, Jūrmala (viena vieta vienvietīgā numurā, ar brokastīm)</t>
  </si>
  <si>
    <t>7.3. Viesu izmitināšana - Dubultu prospekts 71, 2.korpuss, Jūrmala (viena vieta vienvietīgā numurā)</t>
  </si>
  <si>
    <t>7.3.2. Viesu izmitināšana - Dubultu prospekts 71, 1.korpuss, Jūrmala (viena vieta vienvietīgā numurā, ar trīsreizēju ēdināšanu)</t>
  </si>
  <si>
    <t>7.4. Viesu izmitināšana - Dubultu prospekts 71, 1.korpuss, Jūrmala (viena vieta divvietīgā numurā)</t>
  </si>
  <si>
    <t>7.4.1. Viesu izmitināšana - Dubultu prospekts 71, 1.korpuss, Jūrmala (viena vieta divvietīgā numurā, ar brokastīm)</t>
  </si>
  <si>
    <t>7.4. Viesu izmitināšana - Dubultu prospekts 71, 2.korpuss, Jūrmala (viena vieta divvietīgā numurā)</t>
  </si>
  <si>
    <t>7.4.2. Viesu izmitināšana - Dubultu prospekts 71, 1.korpuss, Jūrmala (viena vieta divvietīgā numurā, ar trīsreizēju ēdināšanu)</t>
  </si>
  <si>
    <t>5.pielikums</t>
  </si>
  <si>
    <t>2022.gadā un turpmāk</t>
  </si>
  <si>
    <t>2021. gada  30. augustā</t>
  </si>
  <si>
    <t xml:space="preserve">2022. gada  </t>
  </si>
  <si>
    <t>2023.gadā un turpmāk</t>
  </si>
  <si>
    <t>Virtuves inventārs, trauki un galda piederumi</t>
  </si>
  <si>
    <t>Pārējie remontdarbu un iestāžu uzturēšanas pakalpojumi</t>
  </si>
  <si>
    <t xml:space="preserve">Pārējie neklasificētie pakalpojumi
</t>
  </si>
  <si>
    <t>Iekārtu un inventāra īre un noma</t>
  </si>
  <si>
    <t>Izdevumi par atkritumu savākšanu, izvešanu no apdzīvotām vietām un teritorijām ārpus
apdzīvotām vietām un atkritumu utilizāciju</t>
  </si>
  <si>
    <t>0.243 - 4vv</t>
  </si>
  <si>
    <t xml:space="preserve">Izdevumi par atkritumu savākšanu, izvešanu no apdzīvotām vietām un teritorijām ārpus apdzīvotām vietām un atkritumu utilizāciju </t>
  </si>
  <si>
    <t>Aprēķinu sastādīja: SIVA Finanšu nodaļas finanšu ekonomiste E.Lipiņa</t>
  </si>
  <si>
    <t xml:space="preserve">2023. gada  </t>
  </si>
  <si>
    <t>4. Viesu izmitināšana</t>
  </si>
  <si>
    <t>4.1. Viesu izmitināšana - Dubultu prospekts 71, 2.korpuss, Jūrmala (viena vieta vienvietīgā numurā)</t>
  </si>
  <si>
    <t>4.1.1. Viesu izmitināšana - Dubultu prospekts 71, 2.korpuss, Jūrmala (viena vieta vienvietīgā numurā, ar brokastīm)</t>
  </si>
  <si>
    <t xml:space="preserve">4.1.1. </t>
  </si>
  <si>
    <t xml:space="preserve">4.1.2. </t>
  </si>
  <si>
    <t xml:space="preserve">4.2.1. </t>
  </si>
  <si>
    <t xml:space="preserve">4.2.2. </t>
  </si>
  <si>
    <t xml:space="preserve">4.2.3. </t>
  </si>
  <si>
    <t xml:space="preserve">4.2.4. </t>
  </si>
  <si>
    <t>4.6.2.</t>
  </si>
  <si>
    <t xml:space="preserve">Viesu izmitināšana Dubultu prospektā 71, 2.korpusā, Jūrmalā, viena vieta vienvietīgā numurā (ar brokastīm), </t>
  </si>
  <si>
    <t xml:space="preserve">Viesu izmitināšana Dubultu prospektā 71, 2.korpusā, Jūrmalā, viena vieta vienvietīgā numurā (ar trīsreizēju ēdināšanu), </t>
  </si>
  <si>
    <t>Viesu izmitināšana Dubultu prospektā 71, 2.korpusā, Jūrmalā viena vieta divvietīgā numurā(ar brokastīm)</t>
  </si>
  <si>
    <t>Viesu izmitināšana Dubultu prospektā 71, 2.korpusā, Jūrmalā  viena vieta divvietīgā numurā (ar trīsreizēju ēdināšanu)</t>
  </si>
  <si>
    <t>4.2.5.</t>
  </si>
  <si>
    <t>4.3.1.</t>
  </si>
  <si>
    <t>4.3.2.</t>
  </si>
  <si>
    <t>4.3.3.</t>
  </si>
  <si>
    <t>4.3.4.</t>
  </si>
  <si>
    <t>4.1.2. Viesu izmitināšana - Dubultu prospekts 71, 2.korpuss, Jūrmala (viena vieta vienvietīgā numurā, ar trīsreizēju ēdināšanu)</t>
  </si>
  <si>
    <t>4.2. Viesu izmitināšana - Dubultu prospekts 71, 2.korpuss, Jūrmala (viena vieta divvietīgā numurā)</t>
  </si>
  <si>
    <t>4.2.1. Viesu izmitināšana - Dubultu prospekts 71, 2.korpuss, Jūrmala (viena vieta divvietīgā numurā, ar brokastīm)</t>
  </si>
  <si>
    <t>4.2.2. Viesu izmitināšana - Dubultu prospekts 71, 2.korpuss, Jūrmala (viena vieta divvietīgā numurā, ar trīsreizēju ēdināsanu)</t>
  </si>
  <si>
    <t>4.2.3. Viesu izmitināšana - Dubultu prospekts 71, 2.korpuss, Jūrmala (viena vieta divvietīgā pielāgotā numurā, ar brokastīm)</t>
  </si>
  <si>
    <t>4.2.4. Viesu izmitināšana - Dubultu prospekts 71, 2.korpuss, Jūrmala (viena vieta divvietīgā pielāgotā numurā, ar trīsreizēju ēdināšanu)</t>
  </si>
  <si>
    <t>4.2. Viesu izmitināšana Dubultu prospektā 71, 2.korpusā,  Jūrmalā (viena vieta divvietīgā numurā)</t>
  </si>
  <si>
    <t>4.3. Viesu izmitināšana Dubultu prospektā 71, Jūrmalā, papildus vieta</t>
  </si>
  <si>
    <t>4.3.1. Papildu vieta bērnam no 2 līdz 14 gadu vecumam  Dubultu prospektā 71, 2 korpuss, Jūrmalā (ar brokastīm)</t>
  </si>
  <si>
    <t>4.3.2. Papildu vieta bērnam no 2 līdz 14 gadu vecumam  Dubultu prospektā 71, 2 korpuss, Jūrmalā (ar trīsreizēju ēdināšanu)</t>
  </si>
  <si>
    <t>4.3.3. Papildu vieta vienai personai Dubultu prospektā 71, 2. korp., Jūrmalā (ar brokastīm)</t>
  </si>
  <si>
    <t>4.3.4. Papildu vieta vienai personai Dubultu prospektā 71, 2. korp., Jūrmalā (ar ar trīsreizēju ēdināšanu)</t>
  </si>
  <si>
    <t>4.4.1.</t>
  </si>
  <si>
    <t>4.4.2.</t>
  </si>
  <si>
    <t>4.5.1.</t>
  </si>
  <si>
    <t>4.5.2.</t>
  </si>
  <si>
    <t>4.6.1.</t>
  </si>
  <si>
    <t>4.7.</t>
  </si>
  <si>
    <t>4.8.</t>
  </si>
  <si>
    <t>4.9.</t>
  </si>
  <si>
    <t>4.10.</t>
  </si>
  <si>
    <t>4.11.</t>
  </si>
  <si>
    <t>4.12.</t>
  </si>
  <si>
    <t>4.13.</t>
  </si>
  <si>
    <t>4.7. Papildu vieta vienai personai Dubultu prospektā 59, Jūrmalā</t>
  </si>
  <si>
    <t>Viesu izmitināšana pielāgotā numurā Dubultu prospektā 71, 2.korpusā, Jūrmalā, viena vieta divvietīgā pielāgotā numurā (ar brokastīm)</t>
  </si>
  <si>
    <t>Viesu izmitināšana pielāgotā numurā Dubultu prospektā 71, 2.korpusā, Jūrmalā, viena vieta divvietīgā pielāgotā numurā (ar trīsreizēju ēdināšanu)</t>
  </si>
  <si>
    <t xml:space="preserve">Viesu izmitināšana Slokas ielā 68, Jūrmalā </t>
  </si>
  <si>
    <t>2023. gada  29. martā</t>
  </si>
  <si>
    <t>4.2.5. Piemaksa par uzturēšanos vienai personai divvietīgā numurā</t>
  </si>
  <si>
    <t>4.4.1. Dubultu prospektā 59, Jūrmalā,  četrvietīgs numurs</t>
  </si>
  <si>
    <t>4.4.2. Dubultu prospektā 59, Jūrmalā,  astoņvietīgs numurs</t>
  </si>
  <si>
    <t>4.5.1. Dubultu prospektā 59, Jūrmalā,  četrvietīgs numurs</t>
  </si>
  <si>
    <t>4.5.2. Dubultu prospektā 59, Jūrmalā,  sešvietīgs numurs</t>
  </si>
  <si>
    <t>4.6.1. Dubultu prospektā 59, Jūrmalā,  divvietīgs numurs</t>
  </si>
  <si>
    <t>4.5.. Viesu izmitināšana - Dubultu prospekts 59, Jūrmala,  2. stāvs</t>
  </si>
  <si>
    <t>4.5. Viesu izmitināšana - Dubultu prospekts 59, Jūrmala,  2. stāvs</t>
  </si>
  <si>
    <t>4.4. Viesu izmitināšana - Dubultu prospekts 59, Jūrmala, 1. stāvs</t>
  </si>
  <si>
    <t>4.6  Viesu izmitināšana - Dubultu prospekts 59, Jūrmala,  3. stāvs</t>
  </si>
  <si>
    <t>4.6. Viesu izmitināšana - Dubultu prospekts 59, Jūrmala, 3. stāvs</t>
  </si>
  <si>
    <t>4.6.2. Dubultu prospektā 59, Jūrmalā,  trīsvietīgs numurs</t>
  </si>
  <si>
    <t>4.13. Slokas ielā 68, Jūrmalā, 1 diennakts</t>
  </si>
  <si>
    <t>Aģentūras izglītojamo izmitināšana dienesta viesnīcā Dubultu prospektā 59, Slokas ielā 68,  Jūrmalā (mēnesī)</t>
  </si>
  <si>
    <t>Aģentūras izglītojamo un Ukrainas civiliedzīvotāju izmitināšana dienesta viesnīcā  Dubultu prospektā 59, Slokas ielā 68, Jūrmalā (diennaktī)</t>
  </si>
  <si>
    <t>Pavadošās personas izmitināšana Dubultu prospektā 71, Dubultu prospektā 59, Slokas ielā 68 , Jūrmalā ar trīsreizējo ēdināšanu (pavada valsts budžeta klientu)</t>
  </si>
  <si>
    <t>0.056.06</t>
  </si>
  <si>
    <t>2x</t>
  </si>
  <si>
    <t xml:space="preserve">2025. gada  </t>
  </si>
  <si>
    <t>2. Ārstniecības pakalpojumi</t>
  </si>
  <si>
    <t>2.2. Hidroterapija</t>
  </si>
  <si>
    <t>2.2.2. Ārstnieciskās vannas</t>
  </si>
  <si>
    <t>2.2.2.1. Ārstnieciskā vanna</t>
  </si>
  <si>
    <t>2025.gadā un turpmāk</t>
  </si>
  <si>
    <t>Izdevumi par profesionālās darbības pakalpojumiem</t>
  </si>
  <si>
    <t>Darba aizsardzības līdzekļi</t>
  </si>
  <si>
    <t xml:space="preserve">Prognozētie ieņēmumi gadā (euro)* </t>
  </si>
  <si>
    <t>2.2.2.2. Ārstnieciskā roku/kāju vanna</t>
  </si>
  <si>
    <t>2.3. Fizikālā terapija</t>
  </si>
  <si>
    <t xml:space="preserve">2.3.2. Aparātprocedūras </t>
  </si>
  <si>
    <t>2.3.2.4. FMS (funkcionālā magnētiskā stimulācija) ar manuālo aplikatoru, aktīva procedūra (ar speciālista darbu)</t>
  </si>
  <si>
    <t>Izdevumi periodikas iegādei</t>
  </si>
  <si>
    <t>2.3.2.6. FMS (funkcionālā magnētiskā stimulācija), magnētiskais krēsls ar diviem magnētiem</t>
  </si>
  <si>
    <t>2.4. Klasiskā masāža</t>
  </si>
  <si>
    <t xml:space="preserve">2.4.7. Visa ķermeņa masāža (6 vienības) </t>
  </si>
  <si>
    <t xml:space="preserve">2020.gada  </t>
  </si>
  <si>
    <t xml:space="preserve">2025. gada </t>
  </si>
  <si>
    <t>6. Telpu iznomāšana</t>
  </si>
  <si>
    <t xml:space="preserve"> Darba devēja valsts sociālās apdrošināšanas obligātās iemaksas, pabalsti un kompensācijas</t>
  </si>
  <si>
    <t xml:space="preserve"> Izdevumi par ūdensapgādi un kanalizāciju </t>
  </si>
  <si>
    <t xml:space="preserve"> Nekustamā īpašuma uzturēšana</t>
  </si>
  <si>
    <t xml:space="preserve"> Zāles, ķimikālijas, laboratorijas preces </t>
  </si>
  <si>
    <t xml:space="preserve"> Iestāžu uzturēšanas materiāli un preces</t>
  </si>
  <si>
    <t xml:space="preserve"> Pārējie iepriekš neklasificētie pamatlīdzekļi un ieguldījuma īpašumi</t>
  </si>
  <si>
    <t> Izdevumi par sakaru pakalpojumiem</t>
  </si>
  <si>
    <t xml:space="preserve"> Izdevumi par atkritumu savākšanu, izvešanu no apdzīvotām vietām un teritorijām ārpus apdzīvotām vietām un atkritumu utilizāciju</t>
  </si>
  <si>
    <t xml:space="preserve"> Izdevumi iestādes sabiedrisko aktivitāšu īstenošanai</t>
  </si>
  <si>
    <t xml:space="preserve"> Pārējie neklasificētie pakalpojumi</t>
  </si>
  <si>
    <t> Ēku, būvju un telpu būvdarbi</t>
  </si>
  <si>
    <t> Pārējie remontdarbu un iestāžu uzturēšanas pakalpojumi</t>
  </si>
  <si>
    <t> Budžeta iestāžu pievienotās vērtības nodokļa maksājumi</t>
  </si>
  <si>
    <t xml:space="preserve">Budžeta iestāžu nekustamā īpašuma nodokļa maksājumi </t>
  </si>
  <si>
    <t>2023. gada  29.martā</t>
  </si>
  <si>
    <t>7. Transportlīdzekļi, transportlīdzekļu stāvvietas un transportlīdzekļu vadītāju apmācība</t>
  </si>
  <si>
    <t xml:space="preserve">Nekustamā īpašuma uzturēšana
</t>
  </si>
  <si>
    <t>Pārējie remonta darbu un iestāžu uzturēšanas pakalpojumi</t>
  </si>
  <si>
    <t xml:space="preserve">2022.gada </t>
  </si>
  <si>
    <t>7.3. Autobusa (septiņas vietas) iznomāšana  ar šoferi vismaz uz četrām stundām (1 stunda)</t>
  </si>
  <si>
    <t>Transportlīdzekļi</t>
  </si>
  <si>
    <t>Darba devēja valsts sociālās apdrošināšanas obligātās iemaksas,  pabalsti un kompensācijas</t>
  </si>
  <si>
    <t>7.3.1. Autobusa (septiņas vietas) iznomāšana ar šoferi (1 diennakts)</t>
  </si>
  <si>
    <t>7.3.2. Papildus par katru kilometru virs 100 km</t>
  </si>
  <si>
    <t>Izdevumi par ūdeni un kanalizāciju</t>
  </si>
  <si>
    <t xml:space="preserve">7.4. Vieglā automobiļa (līdz 3,5 t) iznomāšana ar šoferi klientiem nobraukumam līdz 50 km, līdz 2 stundām </t>
  </si>
  <si>
    <t xml:space="preserve">7.4. Vieglā automobiļa (līdz 3,5 t) iznomāšana ar šoferi  </t>
  </si>
  <si>
    <t>7.4.1. Papildus par katru kilometru virs 50 km</t>
  </si>
  <si>
    <t>7.4.2. Laiks virs 2 stundām  (1 stunda)</t>
  </si>
  <si>
    <t>direktore  I.Jurševska</t>
  </si>
  <si>
    <t>7.5. Transportlīdzekļa vadītāja kursu teorijas apmācība</t>
  </si>
  <si>
    <t xml:space="preserve">7.5.1. Teorijas mācību stunda </t>
  </si>
  <si>
    <t>Aprēķinu sastādīja: SIVA Finanšu nodaļas finanšu ekonomiste Erna Lipiņa</t>
  </si>
  <si>
    <t>Pamatlīdzekļi</t>
  </si>
  <si>
    <t xml:space="preserve">7.6. Transportlīdzekļu vadītāju kursu praktiskā braukšana </t>
  </si>
  <si>
    <t>Mācību līdzekļi un materiāli</t>
  </si>
  <si>
    <t>8. Pārējie maksas pakalpojumi</t>
  </si>
  <si>
    <t xml:space="preserve"> Ārstnieciskā vanna</t>
  </si>
  <si>
    <t>2.2.2.2.</t>
  </si>
  <si>
    <t xml:space="preserve"> Ārstnieciskā roku/kāju vanna</t>
  </si>
  <si>
    <t>2.3.2.4.</t>
  </si>
  <si>
    <t xml:space="preserve"> FMS (funkcionālā magnētiskā stimulācija) ar manualo aplikatoru, aktīva procedūra (ar speciālista darbu)</t>
  </si>
  <si>
    <t xml:space="preserve"> FMS (funkcionālā magnētiskā stimulācija), magnētiskais krēsls ar vienu magnētu</t>
  </si>
  <si>
    <t>2.3.2.6.</t>
  </si>
  <si>
    <t xml:space="preserve"> FMS (funkcionālā magnētiskā stimulācija), magnētiskais krēsls ar diviem magnētiem </t>
  </si>
  <si>
    <t>2.4.7.</t>
  </si>
  <si>
    <t xml:space="preserve"> Visa ķermeņa masāža (6 vienības)</t>
  </si>
  <si>
    <t>6.6.</t>
  </si>
  <si>
    <t>7.2.</t>
  </si>
  <si>
    <t>7.5.1.</t>
  </si>
  <si>
    <t>Transportlīdzekļa vadītāja teorijas mācību kursa 1 mācību stunda (45 min)</t>
  </si>
  <si>
    <t>7.5.2.</t>
  </si>
  <si>
    <t>7.5.3.</t>
  </si>
  <si>
    <t>7.6.1.</t>
  </si>
  <si>
    <t>7.6.2.</t>
  </si>
  <si>
    <t>Atkārtots eksāmens praktiskajā braukšanā</t>
  </si>
  <si>
    <t>7.1.1.</t>
  </si>
  <si>
    <t>7.1.2.</t>
  </si>
  <si>
    <t>2025. gada</t>
  </si>
  <si>
    <t xml:space="preserve">Transportlīdzekļi  </t>
  </si>
  <si>
    <t>8.13.</t>
  </si>
  <si>
    <t>8.2. Lietvedības pakalpojumi</t>
  </si>
  <si>
    <t>8.2.6. Izrakstu/lēmumu nosūtīšana pa pastu vēstulē</t>
  </si>
  <si>
    <t>Pārējie informācijas tehnoloģiju pakalpojumi</t>
  </si>
  <si>
    <t xml:space="preserve">2025.gada </t>
  </si>
  <si>
    <t>Izrakstu/lēmumu nosūtīšana pa pastu vēstulē</t>
  </si>
  <si>
    <t>8.2.6.</t>
  </si>
  <si>
    <t>1.pielikums</t>
  </si>
  <si>
    <t>2025. gada  jūnijs</t>
  </si>
  <si>
    <t xml:space="preserve">2.3.1. Aparātprocedūras </t>
  </si>
  <si>
    <t>2.3.1.5. FMS (funkcionālā magnētiskā stimulācija), magnētiskais krēsls ar vienu magnētu</t>
  </si>
  <si>
    <t>2.3.1.5.</t>
  </si>
  <si>
    <t>Aģentūras izglītojamo izmitināšana dienesta viesnīcā Dubultu prospektā 59, Slokas ielā 68,  Jūrmalā</t>
  </si>
  <si>
    <t>Aģentūras izglītojamo un avārijas, stihiskas nelaimes, katastrofas vai to draudu gadījumos cietušo personu izmitināšana dienesta viesnīcā Dubultu prospektā 59, Slokas ielā 68, Jūrmalā</t>
  </si>
  <si>
    <t>Trenažieru zāles noma Dubultu prospektā 71, 2. korpuss, Jūrmalā</t>
  </si>
  <si>
    <t>Viena vieta automobilim maksas stāvvietā</t>
  </si>
  <si>
    <t>Viena vieta autobusam maksas stāvvietā</t>
  </si>
  <si>
    <t>Teorijas mācību kurss</t>
  </si>
  <si>
    <t>Atkārtots eksāmens teorijā</t>
  </si>
  <si>
    <t>Transportlīdzekļa vadītāju kursu praktiskā braukšana</t>
  </si>
  <si>
    <t>4.10. Viesu izmitināšana Dubultu prospektā 59, Jūrmalā viena ēka -20 vietas</t>
  </si>
  <si>
    <t xml:space="preserve">4.11. Viesu izmitināšana Dubultu prospektā 59, Jūrmalā viena ēka - 34 vietas </t>
  </si>
  <si>
    <t>4.12. Pavadošās personas izmitināšana ar trīsreizēju ēdināšanu  (pavada valsts budžeta klientu un pavadošās personas statuss noteikts ar lēmumu), Dubultu prospektā 71,  Dubultu prospektā  59, Slokas ielā 68, Jūrmalā</t>
  </si>
  <si>
    <t>Pavadošās personas izmitināšana ar trīsreizēju ēdināšanu  (pavada valsts budžeta klientu un pavadošās personas statuss noteikts ar lēmumu), Dubultu prospektā 71,  Dubultu prospektā  59, Slokas ielā 68, Jūrmalā</t>
  </si>
  <si>
    <t>7.1.1. Viena vieta automobilim maksas stāvvietā</t>
  </si>
  <si>
    <t>7.6.2. Atkārtots eksāmens praktiskajā braukšanā</t>
  </si>
  <si>
    <t>7.6.1. Transportlīdzekļu vadītāju kursu praktiskā braukšana</t>
  </si>
  <si>
    <t>7.5.3. Atkārtots eksāmens teorijā</t>
  </si>
  <si>
    <t>7.5.2. Teorijas mācību kurss</t>
  </si>
  <si>
    <t>7.2. Viena vieta autobusam maksas stāvvietā</t>
  </si>
  <si>
    <t>6.6. Trenažieru zāles noma Dubultu prospektā 71, 2. korpuss, Jūrmalā</t>
  </si>
  <si>
    <t>4.9. Aģentūras izglītojamo un avārijas, stihiskas nelaimes, katastrofas vai to draudu gadījumos cietušo personu izmitināšana dienesta viesnīcā Dubultu prospektā 59, Slokas ielā 68, Jūrmalā</t>
  </si>
  <si>
    <t>4.8. Aģentūras izglītojamo izmitināšana dienesta viesnīcā Dubultu prospektā 59 , Slokas ielā 68, Jūrmalā</t>
  </si>
  <si>
    <t>Papildu vieta vienai personai Dubultu prospektā 59, Jūrmalā</t>
  </si>
  <si>
    <t>Dubultu prospektā 59, Jūrmalā, četrvietīgs numurs</t>
  </si>
  <si>
    <t>Dubultu prospektā 59, Jūrmalā,  astoņvietīgs numurs</t>
  </si>
  <si>
    <t xml:space="preserve">Dubultu prospektā 59, Jūrmalā,  četrvietīgs numurs </t>
  </si>
  <si>
    <t xml:space="preserve">Dubultu prospektā 59, Jūrmalā,  sešvietīgs numurs </t>
  </si>
  <si>
    <t xml:space="preserve">Dubultu prospektā 59, Jūrmalā,  divvietīgs numurs </t>
  </si>
  <si>
    <t xml:space="preserve">Dubultu prospektā 59, Jūrmalā,   trīsvietīgs numurs </t>
  </si>
  <si>
    <t>7.1.2. Viena vieta automobilim maksas stāvvietā</t>
  </si>
  <si>
    <t>3. Transportlīdzekļu pielāgošana Slokas iela 61, 2.korpuss, Jūrmala</t>
  </si>
  <si>
    <t>3.2. Rokas bremze un akselerators transportlīdzeklim ar automātisko ātrumkārbu, stiprinājums pie grīdas (RBA-2) (personām ar satveršanas problēmām)</t>
  </si>
  <si>
    <t>Budžeta iestāžu pievienotās vērtības nodokļa maksājumi 21%</t>
  </si>
  <si>
    <t>Aprēķinu sastādīja:SIVA Finanšu nodaļas finanšu ekonomiste E.Lipiņa</t>
  </si>
  <si>
    <t>2025.gada jūlijs</t>
  </si>
  <si>
    <t>3.2.2. Rokas bremze un akselerators transportlīdzeklim ar automātisko ātrumkārbu, stiprinājums pie grīdas (RBA-2) (personām ar satveršanas problēmām) ar divzaru vai trīszaru palīgroktura izveidi un uzstādīšanu uz stūres rata</t>
  </si>
  <si>
    <t>direktora p.i. I.Misūna</t>
  </si>
  <si>
    <t xml:space="preserve">                                                                   (amats)    (vārds, uzvārds)    (paraksts)</t>
  </si>
  <si>
    <t>2017.gada xxxxxxxxxx</t>
  </si>
  <si>
    <t xml:space="preserve">3.5. Rokas bremze un akselerators transportlīdzeklim ar mehānisko ātrumkārbu, stiprinājums pie grīdas (RBA-5) (personām ar satveršanas problēmām) </t>
  </si>
  <si>
    <t xml:space="preserve">Izmaksu apjoms viena maksas pakalpojuma  nodrošināšanai </t>
  </si>
  <si>
    <t>3.5.2. Rokas bremze un akselerators transportlīdzeklim ar mehānisko ātrumkārbu, stiprinājums pie grīdas (RBA-5) (personām ar satveršanas problēmām) ar divzaru vai trīszaru palīgroktura izveidi un uzstādīšanu uz stūres rata</t>
  </si>
  <si>
    <t>3.11. Palīgroktura uzstādīšana uz stūres rata (PR)</t>
  </si>
  <si>
    <t>3.2.2.</t>
  </si>
  <si>
    <t>3.5.2.</t>
  </si>
  <si>
    <t>3.11.2.</t>
  </si>
  <si>
    <t xml:space="preserve">Divzaru vai trīszaru palīgroktura izveide un uzstādīšana uz stūres rata </t>
  </si>
  <si>
    <t xml:space="preserve">3.11.2. Divzaru vai trīszaru palīgroktura izveide un uzstādīšana uz stūres rata </t>
  </si>
  <si>
    <t>2.2.2.1.</t>
  </si>
  <si>
    <t>Nojumes vietas noma (līdz 9 m2) viesnīcas klientiem Dubultu prospektā 59, Jūrmalā</t>
  </si>
  <si>
    <t>4.4.  Viesu izmitināšana - Dubultu prospekts 59, Jūrmala, 1. stāvs</t>
  </si>
  <si>
    <t>7.1. Vieglo automobiļu maksas stāvvieta</t>
  </si>
  <si>
    <t>8.13. Nojumes vietas noma (līdz 9 m2) viesnīcas klientiem Dubultu prospektā 59, Jūrmalā</t>
  </si>
  <si>
    <t>Rokas bremze un akselerators transportlīdzeklim ar automātisko ātrumkārbu, stiprinājums pie grīdas (RBA-2) (personām ar satveršanas problēmām) ar divzaru  vai trīszaru palīgroktura izveidi un uzstādīšanu uz stūres rata</t>
  </si>
  <si>
    <t>Rokas bremze un akselerators transportlīdzeklim ar mehānisko ātrumkārbu, stiprinājums pie grīdas (RBA-5) (personām ar satveršanas problēmām) ar divzaru  vai trīszaru palīgroktura izveidi un uzstādīšanu uz stūres rata</t>
  </si>
  <si>
    <t xml:space="preserve"> Ministru kabineta noteikumu projekta "Grozījums Ministru kabineta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</si>
</sst>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0"/>
    <numFmt numFmtId="165" formatCode="0.00000"/>
    <numFmt numFmtId="166" formatCode="0.0000"/>
    <numFmt numFmtId="167" formatCode="0.000"/>
    <numFmt numFmtId="168" formatCode="0.0000000000000"/>
    <numFmt numFmtId="169" formatCode="0.000000000000000"/>
  </numFmts>
  <fonts count="27" x14ac:knownFonts="1">
    <font>
      <sz val="10"/>
      <name val="Arial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name val="Arial"/>
      <family val="2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Arial"/>
      <family val="2"/>
      <charset val="186"/>
    </font>
    <font>
      <sz val="11"/>
      <name val="Arial"/>
      <family val="2"/>
      <charset val="186"/>
    </font>
    <font>
      <u/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u/>
      <sz val="10"/>
      <color theme="10"/>
      <name val="Arial"/>
      <family val="2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0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2"/>
      <color rgb="FF00B0F0"/>
      <name val="Times New Roman"/>
      <family val="1"/>
      <charset val="186"/>
    </font>
    <font>
      <b/>
      <sz val="11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/>
    <xf numFmtId="0" fontId="2" fillId="0" borderId="0"/>
  </cellStyleXfs>
  <cellXfs count="461">
    <xf numFmtId="0" fontId="0" fillId="0" borderId="0" xfId="0"/>
    <xf numFmtId="0" fontId="3" fillId="0" borderId="0" xfId="0" applyFont="1" applyAlignment="1">
      <alignment horizontal="right"/>
    </xf>
    <xf numFmtId="0" fontId="3" fillId="0" borderId="0" xfId="2" applyFont="1"/>
    <xf numFmtId="0" fontId="3" fillId="0" borderId="0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right" wrapText="1"/>
    </xf>
    <xf numFmtId="0" fontId="3" fillId="0" borderId="0" xfId="0" applyFont="1" applyBorder="1"/>
    <xf numFmtId="0" fontId="2" fillId="0" borderId="0" xfId="0" applyFont="1"/>
    <xf numFmtId="0" fontId="0" fillId="0" borderId="0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right"/>
    </xf>
    <xf numFmtId="0" fontId="5" fillId="0" borderId="0" xfId="0" applyFont="1"/>
    <xf numFmtId="0" fontId="1" fillId="0" borderId="0" xfId="0" applyFont="1" applyAlignment="1">
      <alignment horizontal="right" wrapText="1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2" fontId="6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2" applyFont="1" applyBorder="1"/>
    <xf numFmtId="0" fontId="1" fillId="0" borderId="0" xfId="2" applyFont="1"/>
    <xf numFmtId="0" fontId="1" fillId="0" borderId="0" xfId="2" applyFont="1" applyBorder="1"/>
    <xf numFmtId="0" fontId="1" fillId="0" borderId="0" xfId="2" applyFont="1" applyAlignment="1">
      <alignment horizontal="center"/>
    </xf>
    <xf numFmtId="0" fontId="1" fillId="0" borderId="1" xfId="0" applyFont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2" fontId="6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left"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vertical="top"/>
    </xf>
    <xf numFmtId="2" fontId="1" fillId="0" borderId="0" xfId="0" applyNumberFormat="1" applyFont="1" applyBorder="1" applyAlignment="1">
      <alignment horizontal="center" vertical="top"/>
    </xf>
    <xf numFmtId="0" fontId="1" fillId="0" borderId="0" xfId="2" applyFont="1" applyAlignment="1">
      <alignment vertical="top"/>
    </xf>
    <xf numFmtId="0" fontId="1" fillId="0" borderId="0" xfId="2" applyFont="1" applyBorder="1" applyAlignment="1">
      <alignment vertical="top"/>
    </xf>
    <xf numFmtId="0" fontId="1" fillId="0" borderId="0" xfId="0" applyFont="1" applyAlignment="1">
      <alignment vertical="top"/>
    </xf>
    <xf numFmtId="0" fontId="6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" xfId="2" applyFont="1" applyBorder="1" applyAlignment="1">
      <alignment vertical="top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0" xfId="2" applyFont="1" applyAlignment="1">
      <alignment horizontal="right"/>
    </xf>
    <xf numFmtId="0" fontId="1" fillId="0" borderId="0" xfId="2" applyFont="1" applyBorder="1" applyAlignment="1">
      <alignment horizontal="right"/>
    </xf>
    <xf numFmtId="0" fontId="1" fillId="0" borderId="0" xfId="2" applyFont="1" applyBorder="1" applyAlignment="1">
      <alignment horizontal="left" wrapText="1"/>
    </xf>
    <xf numFmtId="2" fontId="0" fillId="0" borderId="0" xfId="0" applyNumberFormat="1"/>
    <xf numFmtId="2" fontId="1" fillId="0" borderId="0" xfId="0" applyNumberFormat="1" applyFont="1" applyAlignment="1">
      <alignment vertical="top"/>
    </xf>
    <xf numFmtId="2" fontId="1" fillId="0" borderId="0" xfId="0" applyNumberFormat="1" applyFont="1"/>
    <xf numFmtId="2" fontId="1" fillId="0" borderId="0" xfId="0" applyNumberFormat="1" applyFont="1" applyBorder="1" applyAlignment="1">
      <alignment horizontal="center"/>
    </xf>
    <xf numFmtId="0" fontId="1" fillId="0" borderId="0" xfId="0" applyFont="1" applyAlignment="1"/>
    <xf numFmtId="0" fontId="1" fillId="0" borderId="1" xfId="0" applyFont="1" applyBorder="1"/>
    <xf numFmtId="0" fontId="1" fillId="0" borderId="1" xfId="0" applyFont="1" applyFill="1" applyBorder="1" applyAlignment="1">
      <alignment horizontal="left" wrapText="1"/>
    </xf>
    <xf numFmtId="0" fontId="3" fillId="0" borderId="0" xfId="2" applyFont="1" applyBorder="1" applyAlignment="1">
      <alignment horizontal="right"/>
    </xf>
    <xf numFmtId="0" fontId="3" fillId="0" borderId="0" xfId="2" applyFont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2" fontId="6" fillId="0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/>
    </xf>
    <xf numFmtId="0" fontId="8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2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8" fillId="0" borderId="0" xfId="0" applyFont="1" applyAlignment="1"/>
    <xf numFmtId="0" fontId="1" fillId="0" borderId="0" xfId="0" applyFont="1" applyBorder="1" applyAlignment="1">
      <alignment horizontal="right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/>
    <xf numFmtId="0" fontId="1" fillId="0" borderId="0" xfId="2" applyFont="1" applyBorder="1" applyAlignment="1">
      <alignment wrapText="1"/>
    </xf>
    <xf numFmtId="2" fontId="1" fillId="0" borderId="0" xfId="2" applyNumberFormat="1" applyFont="1"/>
    <xf numFmtId="167" fontId="1" fillId="0" borderId="0" xfId="0" applyNumberFormat="1" applyFont="1"/>
    <xf numFmtId="0" fontId="1" fillId="0" borderId="1" xfId="0" applyFont="1" applyFill="1" applyBorder="1" applyAlignment="1">
      <alignment horizontal="left"/>
    </xf>
    <xf numFmtId="0" fontId="1" fillId="0" borderId="0" xfId="0" applyFont="1" applyBorder="1" applyAlignment="1">
      <alignment vertical="center"/>
    </xf>
    <xf numFmtId="2" fontId="1" fillId="0" borderId="1" xfId="2" applyNumberFormat="1" applyFont="1" applyBorder="1"/>
    <xf numFmtId="2" fontId="6" fillId="0" borderId="1" xfId="0" applyNumberFormat="1" applyFont="1" applyBorder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right"/>
    </xf>
    <xf numFmtId="0" fontId="18" fillId="0" borderId="0" xfId="0" applyFont="1" applyAlignment="1">
      <alignment horizontal="right" wrapText="1"/>
    </xf>
    <xf numFmtId="0" fontId="18" fillId="0" borderId="0" xfId="0" applyFont="1" applyAlignment="1">
      <alignment wrapText="1"/>
    </xf>
    <xf numFmtId="0" fontId="18" fillId="0" borderId="0" xfId="0" applyFont="1" applyAlignment="1"/>
    <xf numFmtId="0" fontId="18" fillId="0" borderId="0" xfId="0" applyFont="1" applyBorder="1" applyAlignment="1">
      <alignment horizontal="right" wrapText="1"/>
    </xf>
    <xf numFmtId="0" fontId="18" fillId="0" borderId="0" xfId="0" applyFont="1" applyBorder="1" applyAlignment="1">
      <alignment horizontal="right"/>
    </xf>
    <xf numFmtId="0" fontId="18" fillId="0" borderId="0" xfId="0" applyFont="1" applyBorder="1"/>
    <xf numFmtId="0" fontId="19" fillId="0" borderId="0" xfId="0" applyFont="1" applyAlignment="1">
      <alignment horizontal="center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vertical="top"/>
    </xf>
    <xf numFmtId="0" fontId="18" fillId="0" borderId="0" xfId="0" applyFont="1" applyBorder="1" applyAlignment="1">
      <alignment vertical="top" wrapText="1"/>
    </xf>
    <xf numFmtId="0" fontId="18" fillId="0" borderId="0" xfId="0" applyFont="1" applyBorder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/>
    </xf>
    <xf numFmtId="0" fontId="18" fillId="0" borderId="1" xfId="0" applyFont="1" applyBorder="1"/>
    <xf numFmtId="0" fontId="18" fillId="0" borderId="1" xfId="0" applyFont="1" applyBorder="1" applyAlignment="1">
      <alignment vertical="top"/>
    </xf>
    <xf numFmtId="2" fontId="18" fillId="0" borderId="1" xfId="0" applyNumberFormat="1" applyFont="1" applyBorder="1" applyAlignment="1">
      <alignment horizontal="center" vertical="top"/>
    </xf>
    <xf numFmtId="0" fontId="18" fillId="0" borderId="1" xfId="0" applyFont="1" applyFill="1" applyBorder="1" applyAlignment="1">
      <alignment horizontal="left" wrapText="1"/>
    </xf>
    <xf numFmtId="0" fontId="18" fillId="0" borderId="1" xfId="0" applyFont="1" applyFill="1" applyBorder="1" applyAlignment="1">
      <alignment horizontal="left"/>
    </xf>
    <xf numFmtId="0" fontId="19" fillId="0" borderId="1" xfId="0" applyFont="1" applyBorder="1" applyAlignment="1">
      <alignment horizontal="left"/>
    </xf>
    <xf numFmtId="2" fontId="19" fillId="0" borderId="1" xfId="0" applyNumberFormat="1" applyFont="1" applyBorder="1" applyAlignment="1">
      <alignment horizontal="center" vertical="top"/>
    </xf>
    <xf numFmtId="2" fontId="18" fillId="0" borderId="0" xfId="0" applyNumberFormat="1" applyFont="1"/>
    <xf numFmtId="0" fontId="18" fillId="0" borderId="1" xfId="0" applyFont="1" applyBorder="1" applyAlignment="1">
      <alignment horizontal="right" vertical="top"/>
    </xf>
    <xf numFmtId="0" fontId="18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right" vertical="top" wrapText="1"/>
    </xf>
    <xf numFmtId="0" fontId="18" fillId="0" borderId="1" xfId="0" applyFont="1" applyFill="1" applyBorder="1" applyAlignment="1">
      <alignment vertical="top" wrapText="1"/>
    </xf>
    <xf numFmtId="0" fontId="19" fillId="0" borderId="1" xfId="0" applyFont="1" applyBorder="1" applyAlignment="1"/>
    <xf numFmtId="2" fontId="18" fillId="0" borderId="0" xfId="0" applyNumberFormat="1" applyFont="1" applyBorder="1" applyAlignment="1">
      <alignment horizontal="center"/>
    </xf>
    <xf numFmtId="0" fontId="18" fillId="0" borderId="0" xfId="2" applyFont="1" applyBorder="1" applyAlignment="1">
      <alignment wrapText="1"/>
    </xf>
    <xf numFmtId="0" fontId="18" fillId="0" borderId="1" xfId="0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 vertical="top"/>
    </xf>
    <xf numFmtId="0" fontId="18" fillId="0" borderId="0" xfId="2" applyFont="1" applyBorder="1" applyAlignment="1">
      <alignment vertical="top" wrapText="1"/>
    </xf>
    <xf numFmtId="0" fontId="18" fillId="0" borderId="1" xfId="2" applyFont="1" applyBorder="1"/>
    <xf numFmtId="0" fontId="18" fillId="0" borderId="0" xfId="2" applyFont="1"/>
    <xf numFmtId="2" fontId="18" fillId="0" borderId="0" xfId="2" applyNumberFormat="1" applyFont="1"/>
    <xf numFmtId="0" fontId="18" fillId="0" borderId="0" xfId="2" applyFont="1" applyBorder="1"/>
    <xf numFmtId="0" fontId="18" fillId="0" borderId="0" xfId="0" applyFont="1" applyAlignment="1">
      <alignment horizontal="left"/>
    </xf>
    <xf numFmtId="167" fontId="18" fillId="0" borderId="0" xfId="0" applyNumberFormat="1" applyFont="1"/>
    <xf numFmtId="168" fontId="18" fillId="0" borderId="0" xfId="0" applyNumberFormat="1" applyFont="1"/>
    <xf numFmtId="2" fontId="18" fillId="0" borderId="1" xfId="2" applyNumberFormat="1" applyFont="1" applyBorder="1"/>
    <xf numFmtId="2" fontId="18" fillId="0" borderId="1" xfId="0" applyNumberFormat="1" applyFont="1" applyBorder="1"/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2" fontId="6" fillId="3" borderId="1" xfId="0" applyNumberFormat="1" applyFont="1" applyFill="1" applyBorder="1" applyAlignment="1">
      <alignment horizontal="center" vertical="top"/>
    </xf>
    <xf numFmtId="0" fontId="1" fillId="0" borderId="1" xfId="2" applyFont="1" applyBorder="1" applyAlignment="1">
      <alignment horizontal="center"/>
    </xf>
    <xf numFmtId="0" fontId="5" fillId="0" borderId="0" xfId="0" applyFont="1" applyAlignment="1">
      <alignment horizontal="center"/>
    </xf>
    <xf numFmtId="10" fontId="1" fillId="0" borderId="0" xfId="0" applyNumberFormat="1" applyFont="1"/>
    <xf numFmtId="0" fontId="10" fillId="0" borderId="0" xfId="0" applyFont="1"/>
    <xf numFmtId="0" fontId="1" fillId="0" borderId="2" xfId="0" applyFont="1" applyBorder="1" applyAlignment="1">
      <alignment vertical="top"/>
    </xf>
    <xf numFmtId="0" fontId="1" fillId="0" borderId="3" xfId="2" applyFont="1" applyBorder="1" applyAlignment="1">
      <alignment wrapText="1"/>
    </xf>
    <xf numFmtId="168" fontId="1" fillId="0" borderId="0" xfId="0" applyNumberFormat="1" applyFont="1"/>
    <xf numFmtId="0" fontId="1" fillId="0" borderId="0" xfId="0" applyFont="1" applyAlignment="1">
      <alignment horizontal="right" vertical="center"/>
    </xf>
    <xf numFmtId="2" fontId="1" fillId="0" borderId="0" xfId="2" applyNumberFormat="1" applyFont="1" applyAlignment="1">
      <alignment vertical="top"/>
    </xf>
    <xf numFmtId="0" fontId="2" fillId="0" borderId="0" xfId="0" applyFont="1" applyBorder="1"/>
    <xf numFmtId="2" fontId="2" fillId="0" borderId="0" xfId="0" applyNumberFormat="1" applyFont="1"/>
    <xf numFmtId="2" fontId="2" fillId="0" borderId="0" xfId="0" applyNumberFormat="1" applyFont="1" applyBorder="1"/>
    <xf numFmtId="2" fontId="3" fillId="0" borderId="0" xfId="2" applyNumberFormat="1" applyFont="1"/>
    <xf numFmtId="0" fontId="1" fillId="0" borderId="1" xfId="0" applyFont="1" applyFill="1" applyBorder="1" applyAlignment="1">
      <alignment horizontal="left" vertical="top"/>
    </xf>
    <xf numFmtId="166" fontId="1" fillId="0" borderId="1" xfId="0" applyNumberFormat="1" applyFont="1" applyBorder="1" applyAlignment="1">
      <alignment vertical="top"/>
    </xf>
    <xf numFmtId="0" fontId="2" fillId="0" borderId="0" xfId="0" applyFont="1" applyAlignment="1">
      <alignment horizontal="center"/>
    </xf>
    <xf numFmtId="2" fontId="1" fillId="0" borderId="0" xfId="2" applyNumberFormat="1" applyFont="1" applyAlignment="1">
      <alignment horizontal="center"/>
    </xf>
    <xf numFmtId="166" fontId="6" fillId="0" borderId="1" xfId="0" applyNumberFormat="1" applyFont="1" applyBorder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6" fontId="1" fillId="0" borderId="1" xfId="2" applyNumberFormat="1" applyFont="1" applyBorder="1"/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0" xfId="2" applyFont="1" applyBorder="1" applyAlignment="1">
      <alignment horizontal="center"/>
    </xf>
    <xf numFmtId="2" fontId="1" fillId="0" borderId="1" xfId="2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2" fontId="5" fillId="0" borderId="0" xfId="0" applyNumberFormat="1" applyFont="1"/>
    <xf numFmtId="0" fontId="1" fillId="0" borderId="0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top"/>
    </xf>
    <xf numFmtId="0" fontId="1" fillId="0" borderId="6" xfId="0" applyFont="1" applyBorder="1" applyAlignment="1">
      <alignment vertical="top"/>
    </xf>
    <xf numFmtId="0" fontId="1" fillId="0" borderId="6" xfId="0" applyFont="1" applyBorder="1"/>
    <xf numFmtId="0" fontId="1" fillId="0" borderId="6" xfId="0" applyFont="1" applyFill="1" applyBorder="1" applyAlignment="1">
      <alignment horizontal="left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/>
    </xf>
    <xf numFmtId="0" fontId="6" fillId="0" borderId="6" xfId="0" applyFont="1" applyBorder="1" applyAlignment="1">
      <alignment horizontal="left" vertical="top"/>
    </xf>
    <xf numFmtId="0" fontId="6" fillId="0" borderId="6" xfId="0" applyFont="1" applyBorder="1" applyAlignment="1">
      <alignment vertical="top"/>
    </xf>
    <xf numFmtId="0" fontId="1" fillId="2" borderId="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top"/>
    </xf>
    <xf numFmtId="0" fontId="5" fillId="0" borderId="0" xfId="0" applyFont="1" applyBorder="1"/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2" fontId="5" fillId="0" borderId="0" xfId="0" applyNumberFormat="1" applyFont="1" applyBorder="1"/>
    <xf numFmtId="0" fontId="6" fillId="0" borderId="0" xfId="0" applyFont="1" applyBorder="1" applyAlignment="1">
      <alignment vertical="top"/>
    </xf>
    <xf numFmtId="0" fontId="1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top"/>
    </xf>
    <xf numFmtId="0" fontId="11" fillId="0" borderId="0" xfId="0" applyFont="1"/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2" fontId="6" fillId="0" borderId="0" xfId="0" applyNumberFormat="1" applyFont="1" applyFill="1" applyBorder="1" applyAlignment="1">
      <alignment horizontal="center" vertical="top"/>
    </xf>
    <xf numFmtId="0" fontId="8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vertical="top"/>
    </xf>
    <xf numFmtId="2" fontId="8" fillId="0" borderId="1" xfId="0" applyNumberFormat="1" applyFont="1" applyBorder="1" applyAlignment="1">
      <alignment vertical="top"/>
    </xf>
    <xf numFmtId="0" fontId="8" fillId="0" borderId="1" xfId="0" applyFont="1" applyBorder="1"/>
    <xf numFmtId="2" fontId="8" fillId="0" borderId="1" xfId="0" applyNumberFormat="1" applyFont="1" applyBorder="1"/>
    <xf numFmtId="0" fontId="9" fillId="0" borderId="1" xfId="0" applyFont="1" applyBorder="1" applyAlignment="1">
      <alignment horizontal="left"/>
    </xf>
    <xf numFmtId="2" fontId="9" fillId="0" borderId="1" xfId="0" applyNumberFormat="1" applyFont="1" applyBorder="1" applyAlignment="1">
      <alignment horizontal="left"/>
    </xf>
    <xf numFmtId="0" fontId="9" fillId="0" borderId="1" xfId="0" applyFont="1" applyBorder="1" applyAlignment="1"/>
    <xf numFmtId="0" fontId="8" fillId="0" borderId="0" xfId="0" applyFont="1" applyBorder="1"/>
    <xf numFmtId="0" fontId="8" fillId="0" borderId="0" xfId="2" applyFont="1" applyBorder="1" applyAlignment="1">
      <alignment wrapText="1"/>
    </xf>
    <xf numFmtId="0" fontId="8" fillId="0" borderId="0" xfId="0" applyFont="1" applyBorder="1" applyAlignment="1">
      <alignment horizontal="center" vertical="top"/>
    </xf>
    <xf numFmtId="0" fontId="8" fillId="0" borderId="0" xfId="2" applyFont="1" applyBorder="1" applyAlignment="1">
      <alignment vertical="top" wrapText="1"/>
    </xf>
    <xf numFmtId="0" fontId="8" fillId="0" borderId="0" xfId="2" applyFont="1"/>
    <xf numFmtId="0" fontId="8" fillId="0" borderId="0" xfId="2" applyFont="1" applyBorder="1"/>
    <xf numFmtId="0" fontId="13" fillId="0" borderId="0" xfId="0" applyFont="1" applyAlignment="1">
      <alignment horizontal="right"/>
    </xf>
    <xf numFmtId="0" fontId="13" fillId="0" borderId="0" xfId="0" applyFont="1" applyAlignment="1">
      <alignment wrapText="1"/>
    </xf>
    <xf numFmtId="0" fontId="13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top" wrapText="1"/>
    </xf>
    <xf numFmtId="0" fontId="13" fillId="0" borderId="0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1" xfId="0" applyFont="1" applyBorder="1" applyAlignment="1">
      <alignment vertical="top"/>
    </xf>
    <xf numFmtId="2" fontId="13" fillId="0" borderId="1" xfId="0" applyNumberFormat="1" applyFont="1" applyBorder="1" applyAlignment="1">
      <alignment vertical="top"/>
    </xf>
    <xf numFmtId="0" fontId="13" fillId="0" borderId="1" xfId="0" applyFont="1" applyBorder="1"/>
    <xf numFmtId="2" fontId="13" fillId="0" borderId="1" xfId="0" applyNumberFormat="1" applyFont="1" applyBorder="1"/>
    <xf numFmtId="0" fontId="14" fillId="0" borderId="1" xfId="0" applyFont="1" applyBorder="1" applyAlignment="1">
      <alignment horizontal="left"/>
    </xf>
    <xf numFmtId="2" fontId="14" fillId="0" borderId="1" xfId="0" applyNumberFormat="1" applyFont="1" applyBorder="1" applyAlignment="1">
      <alignment horizontal="left"/>
    </xf>
    <xf numFmtId="0" fontId="14" fillId="0" borderId="1" xfId="0" applyFont="1" applyBorder="1" applyAlignment="1"/>
    <xf numFmtId="0" fontId="13" fillId="0" borderId="0" xfId="0" applyFont="1" applyBorder="1"/>
    <xf numFmtId="0" fontId="13" fillId="0" borderId="0" xfId="2" applyFont="1" applyBorder="1" applyAlignment="1">
      <alignment wrapText="1"/>
    </xf>
    <xf numFmtId="0" fontId="13" fillId="0" borderId="0" xfId="0" applyFont="1" applyBorder="1" applyAlignment="1">
      <alignment horizontal="center" vertical="top"/>
    </xf>
    <xf numFmtId="0" fontId="13" fillId="0" borderId="0" xfId="2" applyFont="1" applyBorder="1" applyAlignment="1">
      <alignment vertical="top" wrapText="1"/>
    </xf>
    <xf numFmtId="0" fontId="13" fillId="0" borderId="0" xfId="2" applyFont="1"/>
    <xf numFmtId="0" fontId="13" fillId="0" borderId="0" xfId="2" applyFont="1" applyBorder="1"/>
    <xf numFmtId="0" fontId="13" fillId="0" borderId="0" xfId="0" applyFont="1" applyAlignment="1">
      <alignment horizontal="left"/>
    </xf>
    <xf numFmtId="167" fontId="13" fillId="0" borderId="1" xfId="0" applyNumberFormat="1" applyFont="1" applyBorder="1"/>
    <xf numFmtId="0" fontId="13" fillId="0" borderId="0" xfId="0" applyFont="1" applyAlignment="1">
      <alignment horizontal="right" wrapText="1"/>
    </xf>
    <xf numFmtId="0" fontId="13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vertical="top"/>
    </xf>
    <xf numFmtId="0" fontId="13" fillId="0" borderId="0" xfId="0" applyFont="1" applyBorder="1" applyAlignment="1">
      <alignment vertical="top"/>
    </xf>
    <xf numFmtId="0" fontId="13" fillId="0" borderId="0" xfId="0" applyFont="1" applyBorder="1" applyAlignment="1">
      <alignment horizontal="left" vertical="top" wrapText="1"/>
    </xf>
    <xf numFmtId="0" fontId="13" fillId="0" borderId="0" xfId="0" applyFont="1" applyAlignment="1">
      <alignment vertical="top"/>
    </xf>
    <xf numFmtId="0" fontId="13" fillId="0" borderId="0" xfId="2" applyFont="1" applyAlignment="1">
      <alignment vertical="top"/>
    </xf>
    <xf numFmtId="0" fontId="13" fillId="0" borderId="0" xfId="2" applyFont="1" applyBorder="1" applyAlignment="1">
      <alignment vertical="top"/>
    </xf>
    <xf numFmtId="0" fontId="13" fillId="0" borderId="0" xfId="2" applyFont="1" applyAlignment="1">
      <alignment horizontal="center"/>
    </xf>
    <xf numFmtId="0" fontId="14" fillId="0" borderId="1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Fill="1" applyBorder="1" applyAlignment="1">
      <alignment vertical="top" wrapText="1"/>
    </xf>
    <xf numFmtId="0" fontId="13" fillId="0" borderId="0" xfId="0" applyFont="1" applyBorder="1" applyAlignment="1">
      <alignment horizontal="center"/>
    </xf>
    <xf numFmtId="0" fontId="13" fillId="0" borderId="3" xfId="2" applyFont="1" applyBorder="1" applyAlignment="1">
      <alignment wrapText="1"/>
    </xf>
    <xf numFmtId="167" fontId="1" fillId="0" borderId="1" xfId="2" applyNumberFormat="1" applyFont="1" applyBorder="1"/>
    <xf numFmtId="167" fontId="1" fillId="0" borderId="0" xfId="2" applyNumberFormat="1" applyFont="1"/>
    <xf numFmtId="0" fontId="13" fillId="0" borderId="0" xfId="0" applyFont="1" applyBorder="1" applyAlignment="1">
      <alignment horizontal="right" wrapText="1"/>
    </xf>
    <xf numFmtId="0" fontId="13" fillId="0" borderId="0" xfId="2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15" fillId="0" borderId="0" xfId="0" applyFont="1"/>
    <xf numFmtId="0" fontId="13" fillId="0" borderId="1" xfId="0" applyFont="1" applyBorder="1" applyAlignment="1">
      <alignment horizontal="center" vertical="top"/>
    </xf>
    <xf numFmtId="2" fontId="13" fillId="0" borderId="1" xfId="0" applyNumberFormat="1" applyFont="1" applyBorder="1" applyAlignment="1">
      <alignment horizontal="center" vertical="top"/>
    </xf>
    <xf numFmtId="2" fontId="14" fillId="0" borderId="1" xfId="0" applyNumberFormat="1" applyFont="1" applyBorder="1" applyAlignment="1">
      <alignment horizontal="center" vertical="top"/>
    </xf>
    <xf numFmtId="0" fontId="13" fillId="0" borderId="0" xfId="0" applyFont="1" applyBorder="1" applyAlignment="1">
      <alignment horizontal="center" vertical="center" wrapText="1"/>
    </xf>
    <xf numFmtId="2" fontId="13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top"/>
    </xf>
    <xf numFmtId="0" fontId="13" fillId="0" borderId="1" xfId="2" applyFont="1" applyBorder="1"/>
    <xf numFmtId="0" fontId="8" fillId="0" borderId="0" xfId="0" applyFont="1" applyAlignment="1">
      <alignment horizontal="center"/>
    </xf>
    <xf numFmtId="0" fontId="3" fillId="0" borderId="0" xfId="0" applyFont="1" applyAlignment="1">
      <alignment vertical="top"/>
    </xf>
    <xf numFmtId="0" fontId="1" fillId="3" borderId="0" xfId="0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center" vertical="top" wrapText="1"/>
    </xf>
    <xf numFmtId="2" fontId="11" fillId="0" borderId="0" xfId="0" applyNumberFormat="1" applyFont="1"/>
    <xf numFmtId="2" fontId="1" fillId="0" borderId="1" xfId="2" applyNumberFormat="1" applyFont="1" applyBorder="1" applyAlignment="1">
      <alignment vertical="top"/>
    </xf>
    <xf numFmtId="0" fontId="1" fillId="0" borderId="0" xfId="0" applyFont="1" applyBorder="1" applyAlignment="1">
      <alignment vertical="center" wrapText="1"/>
    </xf>
    <xf numFmtId="0" fontId="3" fillId="0" borderId="0" xfId="2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2" fontId="0" fillId="0" borderId="1" xfId="0" applyNumberFormat="1" applyBorder="1"/>
    <xf numFmtId="2" fontId="16" fillId="0" borderId="1" xfId="0" applyNumberFormat="1" applyFont="1" applyBorder="1"/>
    <xf numFmtId="0" fontId="1" fillId="0" borderId="1" xfId="0" applyFont="1" applyBorder="1" applyAlignment="1"/>
    <xf numFmtId="2" fontId="20" fillId="0" borderId="1" xfId="0" applyNumberFormat="1" applyFont="1" applyBorder="1"/>
    <xf numFmtId="2" fontId="20" fillId="0" borderId="0" xfId="0" applyNumberFormat="1" applyFont="1"/>
    <xf numFmtId="4" fontId="21" fillId="0" borderId="0" xfId="0" applyNumberFormat="1" applyFont="1" applyAlignment="1">
      <alignment horizontal="right"/>
    </xf>
    <xf numFmtId="4" fontId="21" fillId="0" borderId="0" xfId="0" applyNumberFormat="1" applyFont="1" applyAlignment="1"/>
    <xf numFmtId="0" fontId="21" fillId="0" borderId="0" xfId="0" applyFont="1" applyAlignment="1">
      <alignment horizontal="right"/>
    </xf>
    <xf numFmtId="0" fontId="21" fillId="0" borderId="0" xfId="0" applyFont="1"/>
    <xf numFmtId="0" fontId="20" fillId="0" borderId="0" xfId="0" applyFont="1"/>
    <xf numFmtId="4" fontId="18" fillId="0" borderId="0" xfId="0" applyNumberFormat="1" applyFont="1" applyAlignment="1"/>
    <xf numFmtId="0" fontId="22" fillId="0" borderId="0" xfId="0" applyFont="1" applyAlignment="1">
      <alignment horizontal="right"/>
    </xf>
    <xf numFmtId="0" fontId="22" fillId="0" borderId="0" xfId="0" applyFont="1"/>
    <xf numFmtId="0" fontId="22" fillId="0" borderId="0" xfId="0" applyFont="1" applyBorder="1" applyAlignment="1"/>
    <xf numFmtId="0" fontId="22" fillId="0" borderId="0" xfId="0" applyFont="1" applyBorder="1" applyAlignment="1">
      <alignment wrapText="1"/>
    </xf>
    <xf numFmtId="0" fontId="22" fillId="0" borderId="0" xfId="0" applyFont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165" fontId="1" fillId="0" borderId="1" xfId="0" applyNumberFormat="1" applyFont="1" applyBorder="1" applyAlignment="1">
      <alignment horizontal="center" vertical="top"/>
    </xf>
    <xf numFmtId="0" fontId="1" fillId="0" borderId="3" xfId="2" applyFont="1" applyBorder="1" applyAlignment="1">
      <alignment vertical="top" wrapText="1"/>
    </xf>
    <xf numFmtId="14" fontId="6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" fillId="0" borderId="0" xfId="0" applyFont="1" applyFill="1"/>
    <xf numFmtId="2" fontId="1" fillId="0" borderId="0" xfId="2" applyNumberFormat="1" applyFont="1" applyFill="1"/>
    <xf numFmtId="2" fontId="2" fillId="0" borderId="0" xfId="0" applyNumberFormat="1" applyFont="1" applyFill="1"/>
    <xf numFmtId="0" fontId="1" fillId="0" borderId="0" xfId="0" applyFont="1" applyBorder="1" applyAlignment="1"/>
    <xf numFmtId="2" fontId="6" fillId="0" borderId="1" xfId="0" applyNumberFormat="1" applyFont="1" applyBorder="1" applyAlignment="1">
      <alignment horizontal="left" vertical="top"/>
    </xf>
    <xf numFmtId="166" fontId="1" fillId="0" borderId="1" xfId="0" applyNumberFormat="1" applyFont="1" applyBorder="1" applyAlignment="1">
      <alignment horizontal="center" vertical="top"/>
    </xf>
    <xf numFmtId="166" fontId="6" fillId="0" borderId="1" xfId="0" applyNumberFormat="1" applyFont="1" applyBorder="1" applyAlignment="1">
      <alignment horizontal="center" vertical="top"/>
    </xf>
    <xf numFmtId="2" fontId="6" fillId="0" borderId="0" xfId="0" applyNumberFormat="1" applyFont="1" applyFill="1" applyBorder="1" applyAlignment="1">
      <alignment horizontal="center"/>
    </xf>
    <xf numFmtId="0" fontId="1" fillId="0" borderId="0" xfId="2" applyFont="1" applyBorder="1" applyAlignment="1">
      <alignment horizontal="left" vertical="center"/>
    </xf>
    <xf numFmtId="0" fontId="8" fillId="0" borderId="0" xfId="0" applyFont="1" applyBorder="1" applyAlignment="1"/>
    <xf numFmtId="0" fontId="8" fillId="0" borderId="0" xfId="0" applyFont="1" applyBorder="1" applyAlignment="1">
      <alignment horizontal="right"/>
    </xf>
    <xf numFmtId="2" fontId="8" fillId="0" borderId="0" xfId="0" applyNumberFormat="1" applyFont="1"/>
    <xf numFmtId="2" fontId="8" fillId="0" borderId="1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2" fontId="9" fillId="0" borderId="1" xfId="0" applyNumberFormat="1" applyFont="1" applyBorder="1" applyAlignment="1">
      <alignment horizontal="center" vertical="top"/>
    </xf>
    <xf numFmtId="2" fontId="8" fillId="0" borderId="0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2" fontId="9" fillId="0" borderId="1" xfId="0" applyNumberFormat="1" applyFont="1" applyFill="1" applyBorder="1" applyAlignment="1">
      <alignment horizontal="center" vertical="top"/>
    </xf>
    <xf numFmtId="0" fontId="8" fillId="0" borderId="1" xfId="2" applyFont="1" applyBorder="1"/>
    <xf numFmtId="2" fontId="8" fillId="0" borderId="0" xfId="2" applyNumberFormat="1" applyFont="1"/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/>
    <xf numFmtId="2" fontId="1" fillId="0" borderId="1" xfId="0" applyNumberFormat="1" applyFont="1" applyFill="1" applyBorder="1" applyAlignment="1">
      <alignment horizontal="left"/>
    </xf>
    <xf numFmtId="2" fontId="1" fillId="0" borderId="1" xfId="0" applyNumberFormat="1" applyFont="1" applyFill="1" applyBorder="1" applyAlignment="1">
      <alignment horizontal="left" wrapText="1"/>
    </xf>
    <xf numFmtId="165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horizontal="center" wrapText="1"/>
    </xf>
    <xf numFmtId="2" fontId="6" fillId="0" borderId="1" xfId="0" applyNumberFormat="1" applyFont="1" applyBorder="1" applyAlignment="1"/>
    <xf numFmtId="0" fontId="23" fillId="0" borderId="0" xfId="0" applyFont="1"/>
    <xf numFmtId="2" fontId="1" fillId="0" borderId="3" xfId="2" applyNumberFormat="1" applyFont="1" applyBorder="1" applyAlignment="1">
      <alignment wrapText="1"/>
    </xf>
    <xf numFmtId="0" fontId="1" fillId="3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167" fontId="1" fillId="0" borderId="1" xfId="0" applyNumberFormat="1" applyFont="1" applyBorder="1" applyAlignment="1"/>
    <xf numFmtId="165" fontId="1" fillId="0" borderId="1" xfId="0" applyNumberFormat="1" applyFont="1" applyBorder="1" applyAlignment="1"/>
    <xf numFmtId="164" fontId="1" fillId="0" borderId="1" xfId="0" applyNumberFormat="1" applyFont="1" applyBorder="1" applyAlignment="1"/>
    <xf numFmtId="166" fontId="1" fillId="0" borderId="1" xfId="0" applyNumberFormat="1" applyFont="1" applyBorder="1" applyAlignment="1"/>
    <xf numFmtId="2" fontId="1" fillId="0" borderId="3" xfId="2" applyNumberFormat="1" applyFont="1" applyBorder="1" applyAlignment="1">
      <alignment vertical="top" wrapText="1"/>
    </xf>
    <xf numFmtId="166" fontId="1" fillId="0" borderId="0" xfId="2" applyNumberFormat="1" applyFont="1"/>
    <xf numFmtId="167" fontId="6" fillId="0" borderId="1" xfId="0" applyNumberFormat="1" applyFont="1" applyBorder="1" applyAlignment="1"/>
    <xf numFmtId="2" fontId="3" fillId="0" borderId="0" xfId="0" applyNumberFormat="1" applyFont="1"/>
    <xf numFmtId="0" fontId="24" fillId="0" borderId="10" xfId="0" applyFont="1" applyBorder="1"/>
    <xf numFmtId="0" fontId="24" fillId="0" borderId="1" xfId="0" applyFont="1" applyBorder="1"/>
    <xf numFmtId="165" fontId="24" fillId="0" borderId="1" xfId="0" applyNumberFormat="1" applyFont="1" applyBorder="1"/>
    <xf numFmtId="166" fontId="25" fillId="0" borderId="1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center"/>
    </xf>
    <xf numFmtId="164" fontId="6" fillId="3" borderId="0" xfId="0" applyNumberFormat="1" applyFont="1" applyFill="1" applyBorder="1" applyAlignment="1">
      <alignment horizontal="center"/>
    </xf>
    <xf numFmtId="0" fontId="1" fillId="3" borderId="1" xfId="2" applyFont="1" applyFill="1" applyBorder="1"/>
    <xf numFmtId="167" fontId="1" fillId="0" borderId="0" xfId="0" applyNumberFormat="1" applyFont="1" applyBorder="1" applyAlignment="1">
      <alignment horizontal="center"/>
    </xf>
    <xf numFmtId="169" fontId="1" fillId="0" borderId="1" xfId="2" applyNumberFormat="1" applyFont="1" applyBorder="1"/>
    <xf numFmtId="168" fontId="1" fillId="0" borderId="1" xfId="2" applyNumberFormat="1" applyFont="1" applyBorder="1"/>
    <xf numFmtId="4" fontId="3" fillId="0" borderId="0" xfId="0" applyNumberFormat="1" applyFont="1" applyAlignment="1"/>
    <xf numFmtId="4" fontId="3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13" fillId="0" borderId="0" xfId="0" applyNumberFormat="1" applyFont="1" applyBorder="1" applyAlignment="1">
      <alignment horizontal="center"/>
    </xf>
    <xf numFmtId="2" fontId="1" fillId="0" borderId="1" xfId="0" applyNumberFormat="1" applyFont="1" applyBorder="1"/>
    <xf numFmtId="2" fontId="6" fillId="3" borderId="1" xfId="0" applyNumberFormat="1" applyFont="1" applyFill="1" applyBorder="1" applyAlignment="1">
      <alignment horizontal="center"/>
    </xf>
    <xf numFmtId="1" fontId="1" fillId="0" borderId="0" xfId="2" applyNumberFormat="1" applyFont="1"/>
    <xf numFmtId="2" fontId="18" fillId="0" borderId="1" xfId="0" applyNumberFormat="1" applyFont="1" applyBorder="1" applyAlignment="1">
      <alignment horizontal="center"/>
    </xf>
    <xf numFmtId="167" fontId="1" fillId="0" borderId="1" xfId="0" applyNumberFormat="1" applyFont="1" applyBorder="1" applyAlignment="1">
      <alignment horizontal="center"/>
    </xf>
    <xf numFmtId="167" fontId="1" fillId="0" borderId="1" xfId="0" applyNumberFormat="1" applyFont="1" applyBorder="1" applyAlignment="1">
      <alignment horizontal="center" vertical="top"/>
    </xf>
    <xf numFmtId="167" fontId="2" fillId="0" borderId="0" xfId="0" applyNumberFormat="1" applyFont="1"/>
    <xf numFmtId="2" fontId="1" fillId="0" borderId="0" xfId="0" applyNumberFormat="1" applyFont="1" applyBorder="1" applyAlignment="1">
      <alignment horizontal="left" vertical="center" wrapText="1"/>
    </xf>
    <xf numFmtId="166" fontId="1" fillId="0" borderId="0" xfId="0" applyNumberFormat="1" applyFont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66" fontId="1" fillId="0" borderId="1" xfId="2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2" fontId="6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top"/>
    </xf>
    <xf numFmtId="2" fontId="1" fillId="0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vertical="top"/>
    </xf>
    <xf numFmtId="0" fontId="3" fillId="0" borderId="11" xfId="0" applyFont="1" applyBorder="1" applyAlignment="1">
      <alignment horizontal="right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/>
    </xf>
    <xf numFmtId="2" fontId="3" fillId="0" borderId="1" xfId="0" applyNumberFormat="1" applyFont="1" applyBorder="1" applyAlignment="1">
      <alignment horizontal="center" vertical="top"/>
    </xf>
    <xf numFmtId="2" fontId="4" fillId="0" borderId="1" xfId="0" applyNumberFormat="1" applyFont="1" applyBorder="1" applyAlignment="1">
      <alignment horizontal="center" vertical="top"/>
    </xf>
    <xf numFmtId="2" fontId="3" fillId="0" borderId="1" xfId="0" applyNumberFormat="1" applyFont="1" applyBorder="1" applyAlignment="1">
      <alignment vertical="top"/>
    </xf>
    <xf numFmtId="2" fontId="3" fillId="0" borderId="1" xfId="0" applyNumberFormat="1" applyFont="1" applyBorder="1" applyAlignment="1">
      <alignment horizontal="center"/>
    </xf>
    <xf numFmtId="2" fontId="3" fillId="0" borderId="1" xfId="0" applyNumberFormat="1" applyFont="1" applyFill="1" applyBorder="1" applyAlignment="1">
      <alignment horizontal="center" vertical="top"/>
    </xf>
    <xf numFmtId="2" fontId="4" fillId="0" borderId="1" xfId="0" applyNumberFormat="1" applyFont="1" applyFill="1" applyBorder="1" applyAlignment="1">
      <alignment horizontal="center" vertical="top"/>
    </xf>
    <xf numFmtId="2" fontId="1" fillId="0" borderId="0" xfId="0" applyNumberFormat="1" applyFont="1" applyBorder="1"/>
    <xf numFmtId="2" fontId="4" fillId="0" borderId="1" xfId="0" applyNumberFormat="1" applyFont="1" applyBorder="1" applyAlignment="1">
      <alignment horizontal="center"/>
    </xf>
    <xf numFmtId="0" fontId="3" fillId="0" borderId="1" xfId="2" applyFont="1" applyBorder="1"/>
    <xf numFmtId="0" fontId="3" fillId="3" borderId="0" xfId="0" applyFont="1" applyFill="1" applyAlignment="1">
      <alignment horizontal="right" vertical="center"/>
    </xf>
    <xf numFmtId="0" fontId="3" fillId="3" borderId="0" xfId="0" applyFont="1" applyFill="1"/>
    <xf numFmtId="0" fontId="3" fillId="3" borderId="0" xfId="0" applyFont="1" applyFill="1" applyAlignment="1">
      <alignment horizontal="right"/>
    </xf>
    <xf numFmtId="0" fontId="3" fillId="3" borderId="0" xfId="0" applyFont="1" applyFill="1" applyBorder="1" applyAlignment="1"/>
    <xf numFmtId="0" fontId="3" fillId="3" borderId="0" xfId="0" applyFont="1" applyFill="1" applyAlignment="1"/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top"/>
    </xf>
    <xf numFmtId="0" fontId="1" fillId="3" borderId="0" xfId="0" applyNumberFormat="1" applyFont="1" applyFill="1" applyAlignment="1">
      <alignment horizontal="right" vertical="center"/>
    </xf>
    <xf numFmtId="0" fontId="1" fillId="3" borderId="0" xfId="0" applyFont="1" applyFill="1" applyBorder="1" applyAlignment="1">
      <alignment vertical="top"/>
    </xf>
    <xf numFmtId="0" fontId="26" fillId="0" borderId="0" xfId="0" applyFont="1" applyAlignment="1">
      <alignment horizontal="center"/>
    </xf>
    <xf numFmtId="0" fontId="22" fillId="0" borderId="0" xfId="0" applyFont="1" applyBorder="1" applyAlignment="1">
      <alignment wrapText="1"/>
    </xf>
    <xf numFmtId="0" fontId="22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1" fillId="0" borderId="0" xfId="2" applyFont="1" applyBorder="1" applyAlignment="1">
      <alignment wrapText="1"/>
    </xf>
    <xf numFmtId="0" fontId="1" fillId="0" borderId="0" xfId="2" applyFont="1" applyBorder="1" applyAlignment="1">
      <alignment vertical="top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8" fillId="0" borderId="0" xfId="2" applyFont="1" applyBorder="1" applyAlignment="1">
      <alignment vertical="top" wrapText="1"/>
    </xf>
    <xf numFmtId="0" fontId="18" fillId="0" borderId="0" xfId="0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8" fillId="0" borderId="0" xfId="2" applyFont="1" applyBorder="1" applyAlignment="1">
      <alignment wrapText="1"/>
    </xf>
    <xf numFmtId="0" fontId="1" fillId="0" borderId="0" xfId="2" applyFont="1" applyAlignment="1">
      <alignment vertical="top" wrapText="1"/>
    </xf>
    <xf numFmtId="0" fontId="1" fillId="0" borderId="3" xfId="2" applyFont="1" applyBorder="1" applyAlignment="1">
      <alignment vertical="top" wrapText="1"/>
    </xf>
    <xf numFmtId="0" fontId="1" fillId="0" borderId="0" xfId="2" applyFont="1" applyAlignment="1">
      <alignment wrapText="1"/>
    </xf>
    <xf numFmtId="0" fontId="1" fillId="0" borderId="3" xfId="2" applyFont="1" applyBorder="1" applyAlignment="1">
      <alignment wrapText="1"/>
    </xf>
    <xf numFmtId="0" fontId="1" fillId="0" borderId="0" xfId="0" applyFont="1" applyAlignment="1">
      <alignment wrapText="1"/>
    </xf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4" fillId="0" borderId="0" xfId="0" applyFont="1" applyAlignment="1">
      <alignment horizontal="center"/>
    </xf>
    <xf numFmtId="0" fontId="1" fillId="3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1" applyFont="1" applyAlignment="1" applyProtection="1">
      <alignment horizontal="left"/>
    </xf>
    <xf numFmtId="0" fontId="12" fillId="0" borderId="0" xfId="1" applyFont="1" applyAlignment="1" applyProtection="1">
      <alignment horizontal="left"/>
    </xf>
    <xf numFmtId="0" fontId="1" fillId="3" borderId="0" xfId="0" applyFont="1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right"/>
    </xf>
    <xf numFmtId="0" fontId="1" fillId="3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1" fillId="3" borderId="0" xfId="2" applyFont="1" applyFill="1" applyAlignment="1">
      <alignment wrapText="1"/>
    </xf>
    <xf numFmtId="0" fontId="1" fillId="3" borderId="3" xfId="2" applyFont="1" applyFill="1" applyBorder="1" applyAlignment="1">
      <alignment wrapText="1"/>
    </xf>
    <xf numFmtId="0" fontId="1" fillId="3" borderId="0" xfId="2" applyFont="1" applyFill="1" applyAlignment="1">
      <alignment vertical="top" wrapText="1"/>
    </xf>
    <xf numFmtId="0" fontId="1" fillId="3" borderId="3" xfId="2" applyFont="1" applyFill="1" applyBorder="1" applyAlignment="1">
      <alignment vertical="top" wrapText="1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externalLink" Target="externalLinks/externalLink5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externalLink" Target="externalLinks/externalLink3.xml"/><Relationship Id="rId74" Type="http://schemas.openxmlformats.org/officeDocument/2006/relationships/styles" Target="styles.xml"/><Relationship Id="rId79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externalLink" Target="externalLinks/externalLink1.xml"/><Relationship Id="rId69" Type="http://schemas.openxmlformats.org/officeDocument/2006/relationships/externalLink" Target="externalLinks/externalLink6.xml"/><Relationship Id="rId77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externalLink" Target="externalLinks/externalLink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externalLink" Target="externalLinks/externalLink7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externalLink" Target="externalLinks/externalLink2.xml"/><Relationship Id="rId73" Type="http://schemas.openxmlformats.org/officeDocument/2006/relationships/theme" Target="theme/theme1.xml"/><Relationship Id="rId78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4.g._VB_grozi\SR_pak.kalkul._2024.g._darba_12122023_12072024_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5.g.%20MPC\Izmitin._D59_202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74F07\st&#257;vvietas_202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5.g.%20MPC\st&#257;vvietas_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74F07\10.3.-10.4._transport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aLi\Desktop\VVI_transp.ESF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ESE~1.VEI\AppData\Local\Temp\7zO4A38965A\LMnotp8_042025;%20Groz&#299;jumi%20MK%2024.09.2013.noteikumos%20Nr.1002_7_transportl&#299;dzek&#316;i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74F07\Transp.l&#299;dz.vad.apm&#257;c&#299;ba_2023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74F07\10.5.1.,10.5.2._transp.vad&#299;t&#257;ju%20apm&#257;c&#299;ba%20teorij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u uzņemšana,izrakst."/>
      <sheetName val="INV_uzņemš_uztur."/>
      <sheetName val="PL_uzņemš_uztur."/>
      <sheetName val="PL_uztur_br.laiks"/>
      <sheetName val="Uzturēš.,izmitināšana2021"/>
      <sheetName val="INV_uztur_br.laiks"/>
      <sheetName val="Uzturēšanās un izmitin."/>
      <sheetName val="Uztur.,izmitin.(1)_samaz.budž"/>
      <sheetName val="Kurši"/>
      <sheetName val="Ēdināšana2021"/>
      <sheetName val="VIESNĪCA"/>
      <sheetName val="Ēdināšana"/>
      <sheetName val="Saimn.pr.ĒPN"/>
      <sheetName val="PL-INV- virtuve71"/>
      <sheetName val="EKK_uzņemš.,izmitin.,ēdin."/>
      <sheetName val="Med.uzr un diennakts apr 2021"/>
      <sheetName val="Med.preces EIS"/>
      <sheetName val="MedikamentiEIS"/>
      <sheetName val="Psihosociālais atbalsts2021"/>
      <sheetName val="Plānotie maksājumi "/>
      <sheetName val="INV_soc.darbin."/>
      <sheetName val="PL_soc.darbin."/>
      <sheetName val="Brīvais laiks 2021"/>
      <sheetName val="Brīvais laiks"/>
      <sheetName val="SIVA kult.pas.2019"/>
      <sheetName val="Muzikālie pasākumi"/>
      <sheetName val="Rīta vingrošana2021"/>
      <sheetName val="Rīta vingrošana_2022"/>
      <sheetName val="NOSLODZES"/>
      <sheetName val="inf.-izgl.nodarbības2021"/>
      <sheetName val="Inform-izgl.lekcijas"/>
      <sheetName val="Netiešo izm._sadal._tāme2021"/>
      <sheetName val="Soc.darbin.nodarb.2021"/>
      <sheetName val="Soc.darbin.nodarbības"/>
      <sheetName val="Psihologa nodarbības2021"/>
      <sheetName val="Fizioterap_nodarbības2021"/>
      <sheetName val="Slinga terapija2021"/>
      <sheetName val="PL_fizioterap."/>
      <sheetName val="Baseins2021"/>
      <sheetName val="INV_fizioterap."/>
      <sheetName val="TRX-individuāli"/>
      <sheetName val="TRX-grupā"/>
      <sheetName val="Brīvais baseins "/>
      <sheetName val="PL_INV_baseins"/>
      <sheetName val="algas 2020"/>
      <sheetName val="Ergoterap.nodarb.2021"/>
      <sheetName val="Komandasdarbs2021"/>
      <sheetName val="PL_INV_ārsti"/>
      <sheetName val="Trenažieru zāle2021"/>
      <sheetName val="Trenažieru zāle"/>
      <sheetName val="vanna (roku) 2021"/>
      <sheetName val="vanna (kāju) 2021"/>
      <sheetName val="Cirkulārā duša 2021"/>
      <sheetName val="Šarko duša 2021"/>
      <sheetName val="Dušas_apraksts"/>
      <sheetName val="Zemūdens masāža2021"/>
      <sheetName val="Aplikācijas 2021"/>
      <sheetName val="Aplikācijas"/>
      <sheetName val="INV_aplikācijas"/>
      <sheetName val="PL_aplikācijas"/>
      <sheetName val="Sāls terapija2021"/>
      <sheetName val="PL_INV_sāls istaba"/>
      <sheetName val="Fizikālā terapija2022"/>
      <sheetName val="Fizikālā_kopsavilkums"/>
      <sheetName val="Masāža_2021"/>
      <sheetName val="Masāža"/>
      <sheetName val="PL_masieri"/>
      <sheetName val="INV_masieri"/>
      <sheetName val="el-en.,apk.,ud.tarifi"/>
      <sheetName val="Soc.rehabil.nodarb."/>
      <sheetName val="Mākslas terapija"/>
      <sheetName val="Logopēds"/>
      <sheetName val="Karjeras konsult."/>
      <sheetName val="Kopā tiešās,netiešās_"/>
      <sheetName val="autotransports"/>
      <sheetName val="pārējie PL un inventārs"/>
      <sheetName val="Kopsavilkums_grozi_2019"/>
      <sheetName val="Uztura speciālists_nodarbības"/>
      <sheetName val="Sheet1"/>
      <sheetName val="14-d grozs_2023_prognoze"/>
      <sheetName val="21-d grozs_2023prognoze"/>
      <sheetName val="Ukraina_grozs"/>
      <sheetName val="Tiešās_EKK_Ukraina_grozs"/>
      <sheetName val="Ukraina_grozs-Kalkulācija"/>
      <sheetName val="Fizioterapija_nodarbības"/>
      <sheetName val="Ergoterapija_nodarbības"/>
      <sheetName val="7.tabula-pašizmaksa"/>
      <sheetName val="Zemūdens masāža"/>
      <sheetName val="Hidroterapija_Dušas"/>
      <sheetName val="Hidroterapija_Vannas"/>
      <sheetName val="proced.skaits 052024"/>
      <sheetName val="FMS"/>
      <sheetName val="fiz.proc._fakts2024"/>
      <sheetName val="proced.skaits 2023"/>
      <sheetName val="Psihologa nodabības"/>
      <sheetName val="Konsultācijas"/>
      <sheetName val="Sāls istaba"/>
      <sheetName val="NBS groza kalkul"/>
      <sheetName val="IDB groza kalkul"/>
      <sheetName val="IDB grozs"/>
      <sheetName val="Tiešās IDB grozs"/>
      <sheetName val="IDB_kopā_ekk"/>
      <sheetName val="Tiešās gada NBS - EKK"/>
      <sheetName val="NBS grozs_2023"/>
      <sheetName val="2020_SR_EKK"/>
      <sheetName val="Tiešās grozs_NBS"/>
      <sheetName val="Med.aprūpe_dienn.atbalsts"/>
      <sheetName val="Reh.kursa uzraudzība"/>
      <sheetName val="Sociālais atbalsts"/>
      <sheetName val="Algas_2024"/>
      <sheetName val="_Komunālie"/>
      <sheetName val="NBS_kopā_Ekk"/>
      <sheetName val="IEGĀDES 2024, 2025"/>
      <sheetName val="Plānotie RPN maksājumi"/>
      <sheetName val="LĪGUMI (aprēķinos)"/>
      <sheetName val="Līgumi Horizon 2022"/>
      <sheetName val="Līgumi Horizon 2021-22"/>
      <sheetName val="Tiešās SR VB grozi-EKK"/>
      <sheetName val="komunālie_INFO_"/>
      <sheetName val="Telpu uzkopšana"/>
      <sheetName val="Sheet2"/>
      <sheetName val="NI pocent.sadal.pa KK"/>
      <sheetName val="IEGĀDES 20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7">
          <cell r="C27">
            <v>5.0299401197604787</v>
          </cell>
        </row>
        <row r="29">
          <cell r="C29">
            <v>0.17624999999999999</v>
          </cell>
        </row>
        <row r="30">
          <cell r="C30">
            <v>3.5714285714285712E-2</v>
          </cell>
        </row>
        <row r="32">
          <cell r="C32">
            <v>0.86840080160320643</v>
          </cell>
        </row>
        <row r="33">
          <cell r="C33">
            <v>0</v>
          </cell>
        </row>
        <row r="34">
          <cell r="C34">
            <v>0.16242311289245162</v>
          </cell>
        </row>
        <row r="35">
          <cell r="C35">
            <v>1.0540581162324651E-2</v>
          </cell>
        </row>
        <row r="36">
          <cell r="C36">
            <v>2.6267535070140283E-3</v>
          </cell>
        </row>
        <row r="38">
          <cell r="C38">
            <v>0.2485</v>
          </cell>
        </row>
        <row r="39">
          <cell r="C39">
            <v>0.4401075093799785</v>
          </cell>
        </row>
        <row r="48">
          <cell r="C48">
            <v>2.7544910179640718</v>
          </cell>
        </row>
        <row r="49">
          <cell r="C49">
            <v>0.64978443113772455</v>
          </cell>
        </row>
        <row r="50">
          <cell r="C50">
            <v>0.11749999999999999</v>
          </cell>
        </row>
        <row r="51">
          <cell r="C51">
            <v>4.7619047619047616E-2</v>
          </cell>
        </row>
        <row r="53">
          <cell r="C53">
            <v>1.3026012024048097</v>
          </cell>
        </row>
        <row r="54">
          <cell r="C54">
            <v>0.65130060120240485</v>
          </cell>
        </row>
        <row r="58">
          <cell r="C58">
            <v>0.02</v>
          </cell>
        </row>
        <row r="59">
          <cell r="C59">
            <v>0.2485</v>
          </cell>
        </row>
        <row r="60">
          <cell r="C60">
            <v>0.4401075093799785</v>
          </cell>
        </row>
        <row r="70">
          <cell r="C70">
            <v>2.7544910179640718</v>
          </cell>
        </row>
        <row r="71">
          <cell r="C71">
            <v>0.64978443113772455</v>
          </cell>
        </row>
        <row r="72">
          <cell r="C72">
            <v>0.23499999999999999</v>
          </cell>
        </row>
        <row r="73">
          <cell r="C73">
            <v>4.7619047619047616E-2</v>
          </cell>
        </row>
        <row r="75">
          <cell r="C75">
            <v>1.3026012024048097</v>
          </cell>
        </row>
        <row r="76">
          <cell r="C76">
            <v>0.65130060120240485</v>
          </cell>
        </row>
        <row r="79">
          <cell r="C79">
            <v>0.02</v>
          </cell>
        </row>
        <row r="80">
          <cell r="C80">
            <v>0.2485</v>
          </cell>
        </row>
        <row r="81">
          <cell r="C81">
            <v>0.4401075093799785</v>
          </cell>
        </row>
        <row r="82">
          <cell r="C82">
            <v>6.3494038097080363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raksts"/>
      <sheetName val="DV_aprēķins 2024_izglītojamie"/>
      <sheetName val="MK_viesu izmitin._Sl68"/>
      <sheetName val="4.4.-.4.5.-4.6."/>
      <sheetName val="nojumes vieta"/>
      <sheetName val="mpc"/>
      <sheetName val="d59 mājiņas"/>
      <sheetName val="mājiņas_PL un INV"/>
      <sheetName val="Sheet3"/>
      <sheetName val="d59 (2012.g.)"/>
      <sheetName val="mīkstais inv."/>
      <sheetName val="Veļas mazg."/>
      <sheetName val="Komunālie_info_Horizon"/>
      <sheetName val="Telpu uzkopšana2022"/>
      <sheetName val="2244"/>
      <sheetName val="2210"/>
      <sheetName val="Algas2024"/>
      <sheetName val="Zemes noma"/>
      <sheetName val="Ēku platības"/>
      <sheetName val="Telpu uzkopšana"/>
      <sheetName val="Ūdens"/>
      <sheetName val="VM_info"/>
      <sheetName val="Sheet2"/>
    </sheetNames>
    <sheetDataSet>
      <sheetData sheetId="0" refreshError="1"/>
      <sheetData sheetId="1" refreshError="1"/>
      <sheetData sheetId="2" refreshError="1"/>
      <sheetData sheetId="3" refreshError="1">
        <row r="15">
          <cell r="S15">
            <v>3.2059868902820183E-3</v>
          </cell>
          <cell r="X15">
            <v>0.22441908231974128</v>
          </cell>
          <cell r="Y15">
            <v>9.6179606708460555E-2</v>
          </cell>
          <cell r="AA15">
            <v>4.3681571380092495E-2</v>
          </cell>
        </row>
        <row r="16">
          <cell r="S16">
            <v>8.8767436460733318E-2</v>
          </cell>
        </row>
        <row r="17">
          <cell r="N17">
            <v>0.60629520202020204</v>
          </cell>
          <cell r="X17">
            <v>7.7024160995909856</v>
          </cell>
          <cell r="Y17">
            <v>3.3010354712532797</v>
          </cell>
          <cell r="AA17">
            <v>1.4992202765275309</v>
          </cell>
        </row>
        <row r="18">
          <cell r="S18">
            <v>8.0773008983907549E-3</v>
          </cell>
          <cell r="X18">
            <v>0.56541106288735288</v>
          </cell>
          <cell r="Y18">
            <v>0.24231902695172264</v>
          </cell>
          <cell r="AA18">
            <v>0.11005322474057402</v>
          </cell>
        </row>
        <row r="19">
          <cell r="N19">
            <v>0.31095860981290846</v>
          </cell>
          <cell r="X19">
            <v>3.7778342620871963</v>
          </cell>
          <cell r="Y19">
            <v>1.6190718266087984</v>
          </cell>
          <cell r="AA19">
            <v>0.73532845458482921</v>
          </cell>
        </row>
        <row r="23">
          <cell r="X23">
            <v>2.2075688639732811</v>
          </cell>
          <cell r="Y23">
            <v>0.94610094170283476</v>
          </cell>
          <cell r="AA23">
            <v>0.42968751102337077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</sheetNames>
    <sheetDataSet>
      <sheetData sheetId="0" refreshError="1">
        <row r="8">
          <cell r="E8">
            <v>3.6853918650793651</v>
          </cell>
        </row>
        <row r="10">
          <cell r="E10">
            <v>26.920460222222225</v>
          </cell>
        </row>
        <row r="12">
          <cell r="E12">
            <v>1.8605</v>
          </cell>
        </row>
        <row r="19">
          <cell r="E19">
            <v>0.75</v>
          </cell>
        </row>
        <row r="20">
          <cell r="E20">
            <v>0.6958333333333333</v>
          </cell>
        </row>
        <row r="21">
          <cell r="E21">
            <v>0.16583333333333333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4"/>
    </sheetNames>
    <sheetDataSet>
      <sheetData sheetId="0" refreshError="1"/>
      <sheetData sheetId="1" refreshError="1"/>
      <sheetData sheetId="2">
        <row r="24">
          <cell r="G24">
            <v>0.87906483606447372</v>
          </cell>
          <cell r="K24">
            <v>2.6371945081934212</v>
          </cell>
        </row>
        <row r="30">
          <cell r="G30">
            <v>1.4618958904109589</v>
          </cell>
          <cell r="K30">
            <v>43.85687671232877</v>
          </cell>
        </row>
        <row r="36">
          <cell r="G36">
            <v>2.0449200407554907E-2</v>
          </cell>
        </row>
        <row r="38">
          <cell r="G38">
            <v>5.129135147912033E-4</v>
          </cell>
          <cell r="K38">
            <v>1.53874054437361E-2</v>
          </cell>
        </row>
        <row r="42">
          <cell r="G42">
            <v>0.83511159426124992</v>
          </cell>
          <cell r="K42">
            <v>2.5053347827837498</v>
          </cell>
        </row>
        <row r="44">
          <cell r="G44">
            <v>2.9294717862030036E-3</v>
          </cell>
        </row>
        <row r="45">
          <cell r="G45">
            <v>4.5956843795854994E-3</v>
          </cell>
        </row>
        <row r="46">
          <cell r="G46">
            <v>5.3724197676844557E-3</v>
          </cell>
        </row>
        <row r="47">
          <cell r="G47">
            <v>1.3974301848387494E-3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rasnports noma_10.3."/>
      <sheetName val="teorija_10.5."/>
      <sheetName val="braukšana_10.6."/>
    </sheetNames>
    <sheetDataSet>
      <sheetData sheetId="0" refreshError="1"/>
      <sheetData sheetId="1" refreshError="1">
        <row r="7">
          <cell r="D7">
            <v>5.5443948412698418</v>
          </cell>
        </row>
        <row r="9">
          <cell r="D9">
            <v>6.0197500000000002</v>
          </cell>
        </row>
        <row r="11">
          <cell r="D11">
            <v>1.6551587301587301</v>
          </cell>
        </row>
        <row r="12">
          <cell r="D12">
            <v>1.1759999999999999</v>
          </cell>
        </row>
        <row r="22">
          <cell r="D22">
            <v>135.28323412698415</v>
          </cell>
        </row>
        <row r="24">
          <cell r="D24">
            <v>24.079000000000001</v>
          </cell>
        </row>
        <row r="25">
          <cell r="D25">
            <v>19.861904761904761</v>
          </cell>
        </row>
        <row r="26">
          <cell r="D26">
            <v>1.1759999999999999</v>
          </cell>
        </row>
      </sheetData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šizmaksa"/>
      <sheetName val="VVI"/>
      <sheetName val="10.3."/>
      <sheetName val="10.3.1."/>
      <sheetName val="10.3.2."/>
    </sheetNames>
    <sheetDataSet>
      <sheetData sheetId="0" refreshError="1"/>
      <sheetData sheetId="1" refreshError="1">
        <row r="15">
          <cell r="E15">
            <v>0.10912698412698411</v>
          </cell>
        </row>
        <row r="16">
          <cell r="E16">
            <v>1.3194444444444444E-2</v>
          </cell>
        </row>
        <row r="17">
          <cell r="E17">
            <v>7.8373015873015872E-2</v>
          </cell>
        </row>
        <row r="18">
          <cell r="E18">
            <v>0.05</v>
          </cell>
        </row>
        <row r="21">
          <cell r="E21">
            <v>1.184292328042328E-2</v>
          </cell>
        </row>
        <row r="22">
          <cell r="E22">
            <v>9.5734126984126991E-5</v>
          </cell>
        </row>
        <row r="23">
          <cell r="E23">
            <v>5.5171957671957678E-3</v>
          </cell>
        </row>
        <row r="32">
          <cell r="E32">
            <v>0.25012261904761907</v>
          </cell>
        </row>
        <row r="33">
          <cell r="E33">
            <v>6.6207797619047631E-2</v>
          </cell>
        </row>
        <row r="34">
          <cell r="E34">
            <v>0.20710000000000001</v>
          </cell>
        </row>
        <row r="37">
          <cell r="E37">
            <v>0.10720942063492062</v>
          </cell>
        </row>
        <row r="38">
          <cell r="E38">
            <v>3.2666666666666663E-2</v>
          </cell>
        </row>
        <row r="39">
          <cell r="E39">
            <v>7.0714285714285705E-3</v>
          </cell>
        </row>
        <row r="40">
          <cell r="E40">
            <v>6.7857142857142864E-3</v>
          </cell>
        </row>
        <row r="41">
          <cell r="E41">
            <v>9.4285714285714285E-3</v>
          </cell>
        </row>
        <row r="42">
          <cell r="E42">
            <v>4.3650793650793643E-3</v>
          </cell>
        </row>
        <row r="43">
          <cell r="E43">
            <v>5.2777777777777773E-4</v>
          </cell>
        </row>
        <row r="44">
          <cell r="E44">
            <v>3.134920634920635E-3</v>
          </cell>
        </row>
        <row r="45">
          <cell r="E45">
            <v>2E-3</v>
          </cell>
        </row>
        <row r="46">
          <cell r="E46">
            <v>2E-3</v>
          </cell>
        </row>
        <row r="48">
          <cell r="E48">
            <v>4.7371693121693121E-4</v>
          </cell>
        </row>
        <row r="49">
          <cell r="E49">
            <v>3.8293650793650799E-6</v>
          </cell>
        </row>
        <row r="50">
          <cell r="E50">
            <v>2.2068783068783071E-4</v>
          </cell>
        </row>
        <row r="67">
          <cell r="E67">
            <v>1.3571428571428572</v>
          </cell>
        </row>
        <row r="68">
          <cell r="E68">
            <v>1.8857142857142857</v>
          </cell>
        </row>
        <row r="69">
          <cell r="E69">
            <v>0.96491228070175428</v>
          </cell>
        </row>
        <row r="70">
          <cell r="E70">
            <v>0.11666666666666667</v>
          </cell>
        </row>
        <row r="71">
          <cell r="E71">
            <v>0.69298245614035081</v>
          </cell>
        </row>
        <row r="72">
          <cell r="E72">
            <v>0.5</v>
          </cell>
        </row>
        <row r="73">
          <cell r="E73">
            <v>6.9309999999999992</v>
          </cell>
        </row>
        <row r="75">
          <cell r="E75">
            <v>7.105753968253968E-2</v>
          </cell>
        </row>
        <row r="77">
          <cell r="E77">
            <v>0.13241269841269843</v>
          </cell>
        </row>
        <row r="78">
          <cell r="E78">
            <v>0.37894736842105264</v>
          </cell>
        </row>
        <row r="79">
          <cell r="E79">
            <v>0.36299999999999999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urs"/>
      <sheetName val="7.1."/>
      <sheetName val="7.2."/>
      <sheetName val="7.3."/>
      <sheetName val="7.3.1."/>
      <sheetName val="7.3.2."/>
      <sheetName val="10.4.1.__"/>
      <sheetName val="7.4."/>
      <sheetName val="7.4.1."/>
      <sheetName val="10.4.2._"/>
      <sheetName val="7.4.2."/>
      <sheetName val="10.4.3."/>
      <sheetName val="7.5.1."/>
      <sheetName val="7.5.2."/>
      <sheetName val="10.5.2._"/>
      <sheetName val="7.5.3."/>
      <sheetName val="7.6.1."/>
      <sheetName val="7.6.2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8">
          <cell r="D18">
            <v>152.24</v>
          </cell>
        </row>
        <row r="21">
          <cell r="D21">
            <v>44.96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b 2023"/>
      <sheetName val="MPC"/>
      <sheetName val="Sheet3"/>
    </sheetNames>
    <sheetDataSet>
      <sheetData sheetId="0" refreshError="1"/>
      <sheetData sheetId="1" refreshError="1">
        <row r="4">
          <cell r="D4">
            <v>3.154970760233919</v>
          </cell>
        </row>
        <row r="5">
          <cell r="D5">
            <v>0.74425760233918148</v>
          </cell>
        </row>
        <row r="6">
          <cell r="D6">
            <v>7.3974320282847866E-2</v>
          </cell>
        </row>
        <row r="7">
          <cell r="D7">
            <v>7.8122413008988839E-2</v>
          </cell>
        </row>
        <row r="8">
          <cell r="D8">
            <v>4.3421052631578954E-3</v>
          </cell>
        </row>
        <row r="9">
          <cell r="D9">
            <v>5.474248378819109E-2</v>
          </cell>
        </row>
        <row r="10">
          <cell r="D10">
            <v>0.11175438596491229</v>
          </cell>
        </row>
        <row r="11">
          <cell r="D11">
            <v>4.3136985736750712E-2</v>
          </cell>
        </row>
        <row r="12">
          <cell r="D12">
            <v>4.2653010566179486</v>
          </cell>
        </row>
        <row r="14">
          <cell r="D14">
            <v>0.95112943966962393</v>
          </cell>
        </row>
        <row r="15">
          <cell r="D15">
            <v>0.22437143481806429</v>
          </cell>
        </row>
        <row r="16">
          <cell r="D16">
            <v>1.4976960461360719E-3</v>
          </cell>
        </row>
        <row r="17">
          <cell r="D17">
            <v>1.4792059714924168E-2</v>
          </cell>
        </row>
        <row r="18">
          <cell r="D18">
            <v>8.2095931417829147E-3</v>
          </cell>
        </row>
        <row r="19">
          <cell r="D19">
            <v>0.10158447009224172</v>
          </cell>
        </row>
        <row r="20">
          <cell r="D20">
            <v>5.7134330648894597E-3</v>
          </cell>
        </row>
        <row r="21">
          <cell r="D21">
            <v>2.7735111965482818E-3</v>
          </cell>
        </row>
        <row r="22">
          <cell r="D22">
            <v>4.6410087355574581E-3</v>
          </cell>
        </row>
        <row r="23">
          <cell r="D23">
            <v>3.3097233612142825E-3</v>
          </cell>
        </row>
        <row r="24">
          <cell r="D24">
            <v>3.0508623162031099E-2</v>
          </cell>
        </row>
        <row r="25">
          <cell r="D25">
            <v>1.5716563447106928E-3</v>
          </cell>
        </row>
        <row r="26">
          <cell r="D26">
            <v>7.3960298574620841E-4</v>
          </cell>
        </row>
        <row r="27">
          <cell r="D27">
            <v>0.12586193809936103</v>
          </cell>
        </row>
        <row r="28">
          <cell r="D28">
            <v>4.0678164216041463E-4</v>
          </cell>
        </row>
        <row r="29">
          <cell r="D29">
            <v>4.6225186609138026E-4</v>
          </cell>
        </row>
        <row r="30">
          <cell r="D30">
            <v>5.25118119879808E-2</v>
          </cell>
        </row>
        <row r="31">
          <cell r="D31">
            <v>2.1023214869835972E-2</v>
          </cell>
        </row>
        <row r="32">
          <cell r="D32">
            <v>8.468454186794086E-2</v>
          </cell>
        </row>
        <row r="33">
          <cell r="D33">
            <v>4.4376179144772505E-4</v>
          </cell>
        </row>
        <row r="34">
          <cell r="D34">
            <v>1.31279529969952E-3</v>
          </cell>
        </row>
        <row r="35">
          <cell r="D35">
            <v>8.5054343360813967E-4</v>
          </cell>
        </row>
        <row r="36">
          <cell r="D36">
            <v>0.11134722950409168</v>
          </cell>
        </row>
        <row r="37">
          <cell r="D37">
            <v>3.8829156751675939E-3</v>
          </cell>
        </row>
        <row r="38">
          <cell r="D38">
            <v>0</v>
          </cell>
        </row>
        <row r="39">
          <cell r="D39">
            <v>1.1648747025502784E-3</v>
          </cell>
        </row>
        <row r="40">
          <cell r="D40">
            <v>5.0847705270051823E-3</v>
          </cell>
        </row>
        <row r="41">
          <cell r="D41">
            <v>2.7920012711919366E-3</v>
          </cell>
        </row>
        <row r="42">
          <cell r="D42">
            <v>1.9599479122274523E-2</v>
          </cell>
        </row>
        <row r="43">
          <cell r="D43">
            <v>3.0508623162031098E-3</v>
          </cell>
        </row>
        <row r="44">
          <cell r="D44">
            <v>3.6055645555127656E-2</v>
          </cell>
        </row>
        <row r="45">
          <cell r="D45">
            <v>2.7735111965482815E-2</v>
          </cell>
        </row>
      </sheetData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b 2023"/>
      <sheetName val="MPC"/>
      <sheetName val="Sheet3"/>
    </sheetNames>
    <sheetDataSet>
      <sheetData sheetId="0" refreshError="1"/>
      <sheetData sheetId="1" refreshError="1">
        <row r="4">
          <cell r="H4">
            <v>54.350857555555571</v>
          </cell>
        </row>
        <row r="5">
          <cell r="H5">
            <v>12.821367297355559</v>
          </cell>
        </row>
        <row r="6">
          <cell r="H6">
            <v>1.0681891848843232</v>
          </cell>
        </row>
        <row r="7">
          <cell r="H7">
            <v>1.1280876438497986</v>
          </cell>
        </row>
        <row r="8">
          <cell r="H8">
            <v>3.1350000000000003E-2</v>
          </cell>
        </row>
        <row r="9">
          <cell r="H9">
            <v>1.8012814659014793</v>
          </cell>
        </row>
        <row r="10">
          <cell r="H10">
            <v>1.4279999999999999</v>
          </cell>
        </row>
        <row r="11">
          <cell r="H11">
            <v>0.62289807403868025</v>
          </cell>
        </row>
        <row r="14">
          <cell r="H14">
            <v>6.6814561544146853</v>
          </cell>
        </row>
        <row r="16">
          <cell r="H16">
            <v>1.0520955453102439E-2</v>
          </cell>
        </row>
        <row r="17">
          <cell r="H17">
            <v>0.10391067114175251</v>
          </cell>
        </row>
        <row r="18">
          <cell r="H18">
            <v>5.7670422483672643E-2</v>
          </cell>
        </row>
        <row r="19">
          <cell r="H19">
            <v>0.71360653406598529</v>
          </cell>
        </row>
        <row r="20">
          <cell r="H20">
            <v>4.0135496728501904E-2</v>
          </cell>
        </row>
        <row r="21">
          <cell r="H21">
            <v>1.9483250839078595E-2</v>
          </cell>
        </row>
        <row r="22">
          <cell r="H22">
            <v>3.2601973070724849E-2</v>
          </cell>
        </row>
        <row r="23">
          <cell r="H23">
            <v>2.3250012667967123E-2</v>
          </cell>
        </row>
        <row r="24">
          <cell r="H24">
            <v>0.21431575922986454</v>
          </cell>
        </row>
        <row r="25">
          <cell r="H25">
            <v>1.1040508808811203E-2</v>
          </cell>
        </row>
        <row r="26">
          <cell r="H26">
            <v>5.1955335570876256E-3</v>
          </cell>
        </row>
        <row r="27">
          <cell r="H27">
            <v>0.88414992307738671</v>
          </cell>
        </row>
        <row r="28">
          <cell r="H28">
            <v>2.8575434563981937E-3</v>
          </cell>
        </row>
        <row r="29">
          <cell r="H29">
            <v>3.2472084731797659E-3</v>
          </cell>
        </row>
        <row r="30">
          <cell r="H30">
            <v>0.36888288255322138</v>
          </cell>
        </row>
        <row r="31">
          <cell r="H31">
            <v>0.14768304136021573</v>
          </cell>
        </row>
        <row r="32">
          <cell r="H32">
            <v>0.59488859228653312</v>
          </cell>
        </row>
        <row r="33">
          <cell r="H33">
            <v>3.117320134252575E-3</v>
          </cell>
        </row>
        <row r="34">
          <cell r="H34">
            <v>9.2220720638305342E-3</v>
          </cell>
        </row>
        <row r="35">
          <cell r="H35">
            <v>5.9748635906507691E-3</v>
          </cell>
        </row>
        <row r="36">
          <cell r="H36">
            <v>0.782187577019542</v>
          </cell>
        </row>
        <row r="37">
          <cell r="H37">
            <v>2.7276551174710031E-2</v>
          </cell>
        </row>
        <row r="38">
          <cell r="H38">
            <v>0</v>
          </cell>
        </row>
        <row r="39">
          <cell r="H39">
            <v>8.1829653524130106E-3</v>
          </cell>
        </row>
        <row r="40">
          <cell r="H40">
            <v>3.5719293204977423E-2</v>
          </cell>
        </row>
        <row r="41">
          <cell r="H41">
            <v>1.9613139178005785E-2</v>
          </cell>
        </row>
        <row r="42">
          <cell r="H42">
            <v>0.13768163926282206</v>
          </cell>
        </row>
        <row r="43">
          <cell r="H43">
            <v>2.1431575922986452E-2</v>
          </cell>
        </row>
        <row r="44">
          <cell r="H44">
            <v>0.25328226090802175</v>
          </cell>
        </row>
        <row r="45">
          <cell r="H45">
            <v>0.19483250839078595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mailto:Inese.Kise@lm.gov.lv,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mailto:Inese.Kise@lm.gov.lv,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mailto:Inese.Kise@lm.gov.lv,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mailto:Inese.Kise@lm.gov.lv,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mailto:Inese.Kise@lm.gov.lv,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mailto:Inese.Kise@lm.gov.lv,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mailto:Inese.Kise@lm.gov.lv,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9"/>
  <sheetViews>
    <sheetView view="pageLayout" topLeftCell="A10" zoomScale="80" zoomScaleNormal="100" zoomScalePageLayoutView="80" workbookViewId="0">
      <selection activeCell="B27" sqref="B27:B39"/>
    </sheetView>
  </sheetViews>
  <sheetFormatPr defaultColWidth="9.1796875" defaultRowHeight="13" x14ac:dyDescent="0.3"/>
  <cols>
    <col min="1" max="1" width="10.54296875" style="293" customWidth="1"/>
    <col min="2" max="10" width="9.1796875" style="294" customWidth="1"/>
    <col min="11" max="11" width="25.81640625" style="294" customWidth="1"/>
    <col min="12" max="16384" width="9.1796875" style="295"/>
  </cols>
  <sheetData>
    <row r="1" spans="1:13" ht="15.75" customHeight="1" x14ac:dyDescent="0.3">
      <c r="A1" s="291"/>
      <c r="B1" s="292"/>
      <c r="C1" s="292"/>
      <c r="D1" s="292"/>
      <c r="E1" s="292"/>
      <c r="F1" s="292"/>
      <c r="G1" s="293"/>
      <c r="I1" s="292"/>
      <c r="J1" s="292"/>
      <c r="K1" s="292"/>
      <c r="M1" s="292" t="s">
        <v>165</v>
      </c>
    </row>
    <row r="2" spans="1:13" ht="15.75" customHeight="1" x14ac:dyDescent="0.35">
      <c r="A2" s="291"/>
      <c r="B2" s="292"/>
      <c r="C2" s="292"/>
      <c r="D2" s="292"/>
      <c r="F2" s="292"/>
      <c r="G2" s="292"/>
      <c r="H2" s="292"/>
      <c r="I2" s="292"/>
      <c r="J2" s="292"/>
      <c r="K2" s="292"/>
      <c r="L2" s="296"/>
      <c r="M2" s="291" t="s">
        <v>60</v>
      </c>
    </row>
    <row r="3" spans="1:13" ht="15.75" customHeight="1" x14ac:dyDescent="0.3">
      <c r="A3" s="291"/>
      <c r="B3" s="292"/>
      <c r="C3" s="292"/>
      <c r="E3" s="292"/>
      <c r="F3" s="292"/>
      <c r="G3" s="292"/>
      <c r="H3" s="292"/>
      <c r="I3" s="292"/>
      <c r="J3" s="292"/>
      <c r="K3" s="292"/>
      <c r="M3" s="291" t="s">
        <v>61</v>
      </c>
    </row>
    <row r="4" spans="1:13" ht="15.75" customHeight="1" x14ac:dyDescent="0.3">
      <c r="A4" s="291"/>
      <c r="B4" s="292"/>
      <c r="D4" s="292"/>
      <c r="E4" s="292"/>
      <c r="F4" s="292"/>
      <c r="G4" s="292"/>
      <c r="H4" s="292"/>
      <c r="I4" s="292"/>
      <c r="J4" s="292"/>
      <c r="K4" s="292"/>
      <c r="M4" s="291" t="s">
        <v>62</v>
      </c>
    </row>
    <row r="5" spans="1:13" x14ac:dyDescent="0.3">
      <c r="E5" s="292"/>
      <c r="F5" s="292"/>
      <c r="G5" s="292"/>
      <c r="H5" s="292"/>
      <c r="I5" s="292"/>
      <c r="J5" s="292"/>
      <c r="K5" s="292"/>
      <c r="M5" s="291" t="s">
        <v>35</v>
      </c>
    </row>
    <row r="13" spans="1:13" ht="14" x14ac:dyDescent="0.3">
      <c r="A13" s="413" t="s">
        <v>36</v>
      </c>
      <c r="B13" s="413"/>
      <c r="C13" s="413"/>
      <c r="D13" s="413"/>
      <c r="E13" s="413"/>
      <c r="F13" s="413"/>
      <c r="G13" s="413"/>
      <c r="H13" s="413"/>
      <c r="I13" s="413"/>
      <c r="J13" s="413"/>
      <c r="K13" s="413"/>
    </row>
    <row r="14" spans="1:13" ht="14" x14ac:dyDescent="0.3">
      <c r="A14" s="297"/>
      <c r="B14" s="298"/>
      <c r="C14" s="298"/>
      <c r="D14" s="298"/>
      <c r="E14" s="298"/>
      <c r="F14" s="298"/>
      <c r="G14" s="298"/>
      <c r="H14" s="298"/>
      <c r="I14" s="298"/>
      <c r="J14" s="298"/>
      <c r="K14" s="298"/>
    </row>
    <row r="15" spans="1:13" ht="17.25" hidden="1" customHeight="1" x14ac:dyDescent="0.3">
      <c r="A15" s="297" t="s">
        <v>105</v>
      </c>
      <c r="B15" s="414" t="s">
        <v>104</v>
      </c>
      <c r="C15" s="415"/>
      <c r="D15" s="415"/>
      <c r="E15" s="415"/>
      <c r="F15" s="415"/>
      <c r="G15" s="415"/>
      <c r="H15" s="415"/>
      <c r="I15" s="415"/>
      <c r="J15" s="415"/>
      <c r="K15" s="415"/>
    </row>
    <row r="16" spans="1:13" ht="18" customHeight="1" x14ac:dyDescent="0.3">
      <c r="A16" s="297" t="s">
        <v>182</v>
      </c>
      <c r="B16" s="299" t="s">
        <v>189</v>
      </c>
      <c r="C16" s="299"/>
      <c r="D16" s="300"/>
      <c r="E16" s="300"/>
      <c r="F16" s="300"/>
      <c r="G16" s="300"/>
      <c r="H16" s="300"/>
      <c r="I16" s="300"/>
      <c r="J16" s="300"/>
      <c r="K16" s="300"/>
    </row>
    <row r="17" spans="1:11" ht="18" customHeight="1" x14ac:dyDescent="0.3">
      <c r="A17" s="297" t="s">
        <v>183</v>
      </c>
      <c r="B17" s="299" t="s">
        <v>190</v>
      </c>
      <c r="C17" s="299"/>
      <c r="D17" s="300"/>
      <c r="E17" s="300"/>
      <c r="F17" s="300"/>
      <c r="G17" s="300"/>
      <c r="H17" s="300"/>
      <c r="I17" s="300"/>
      <c r="J17" s="300"/>
      <c r="K17" s="300"/>
    </row>
    <row r="18" spans="1:11" ht="18" customHeight="1" x14ac:dyDescent="0.3">
      <c r="A18" s="297" t="s">
        <v>184</v>
      </c>
      <c r="B18" s="299" t="s">
        <v>191</v>
      </c>
      <c r="C18" s="299"/>
      <c r="D18" s="299"/>
      <c r="E18" s="299"/>
      <c r="F18" s="299"/>
      <c r="G18" s="299"/>
      <c r="H18" s="299"/>
      <c r="I18" s="299"/>
      <c r="J18" s="299"/>
      <c r="K18" s="299"/>
    </row>
    <row r="19" spans="1:11" ht="18" customHeight="1" x14ac:dyDescent="0.3">
      <c r="A19" s="297" t="s">
        <v>185</v>
      </c>
      <c r="B19" s="299" t="s">
        <v>192</v>
      </c>
      <c r="C19" s="299"/>
      <c r="D19" s="299"/>
      <c r="E19" s="299"/>
      <c r="F19" s="299"/>
      <c r="G19" s="299"/>
      <c r="H19" s="299"/>
      <c r="I19" s="299"/>
      <c r="J19" s="299"/>
      <c r="K19" s="299"/>
    </row>
    <row r="20" spans="1:11" ht="18" customHeight="1" x14ac:dyDescent="0.3">
      <c r="A20" s="297" t="s">
        <v>186</v>
      </c>
      <c r="B20" s="299" t="s">
        <v>223</v>
      </c>
      <c r="C20" s="299"/>
      <c r="D20" s="299"/>
      <c r="E20" s="299"/>
      <c r="F20" s="299"/>
      <c r="G20" s="299"/>
      <c r="H20" s="299"/>
      <c r="I20" s="299"/>
      <c r="J20" s="299"/>
      <c r="K20" s="299"/>
    </row>
    <row r="21" spans="1:11" ht="18" customHeight="1" x14ac:dyDescent="0.3">
      <c r="A21" s="297" t="s">
        <v>187</v>
      </c>
      <c r="B21" s="299" t="s">
        <v>224</v>
      </c>
      <c r="C21" s="299"/>
      <c r="D21" s="299"/>
      <c r="E21" s="299"/>
      <c r="F21" s="299"/>
      <c r="G21" s="299"/>
      <c r="H21" s="299"/>
      <c r="I21" s="299"/>
      <c r="J21" s="299"/>
      <c r="K21" s="299"/>
    </row>
    <row r="22" spans="1:11" ht="18" customHeight="1" x14ac:dyDescent="0.3">
      <c r="A22" s="297" t="s">
        <v>193</v>
      </c>
      <c r="B22" s="299" t="s">
        <v>76</v>
      </c>
      <c r="C22" s="299"/>
      <c r="D22" s="299"/>
      <c r="E22" s="299"/>
      <c r="F22" s="299"/>
      <c r="G22" s="299"/>
      <c r="H22" s="299"/>
      <c r="I22" s="299"/>
      <c r="J22" s="299"/>
      <c r="K22" s="299"/>
    </row>
    <row r="23" spans="1:11" ht="18" customHeight="1" x14ac:dyDescent="0.3">
      <c r="A23" s="297" t="s">
        <v>194</v>
      </c>
      <c r="B23" s="299" t="s">
        <v>87</v>
      </c>
      <c r="C23" s="299"/>
      <c r="D23" s="299"/>
      <c r="E23" s="299"/>
      <c r="F23" s="299"/>
      <c r="G23" s="299"/>
      <c r="H23" s="299"/>
      <c r="I23" s="299"/>
      <c r="J23" s="299"/>
      <c r="K23" s="299"/>
    </row>
    <row r="24" spans="1:11" ht="18" customHeight="1" x14ac:dyDescent="0.3">
      <c r="A24" s="297" t="s">
        <v>195</v>
      </c>
      <c r="B24" s="299" t="s">
        <v>88</v>
      </c>
      <c r="C24" s="299"/>
      <c r="D24" s="299"/>
      <c r="E24" s="299"/>
      <c r="F24" s="299"/>
      <c r="G24" s="299"/>
      <c r="H24" s="299"/>
      <c r="I24" s="299"/>
      <c r="J24" s="299"/>
      <c r="K24" s="299"/>
    </row>
    <row r="25" spans="1:11" ht="18" customHeight="1" x14ac:dyDescent="0.3">
      <c r="A25" s="297" t="s">
        <v>196</v>
      </c>
      <c r="B25" s="299" t="s">
        <v>91</v>
      </c>
      <c r="C25" s="299"/>
      <c r="D25" s="299"/>
      <c r="E25" s="299"/>
      <c r="F25" s="299"/>
      <c r="G25" s="299"/>
      <c r="H25" s="299"/>
      <c r="I25" s="299"/>
      <c r="J25" s="299"/>
      <c r="K25" s="299"/>
    </row>
    <row r="26" spans="1:11" ht="18" customHeight="1" x14ac:dyDescent="0.3">
      <c r="A26" s="297" t="s">
        <v>197</v>
      </c>
      <c r="B26" s="299" t="s">
        <v>92</v>
      </c>
      <c r="C26" s="299"/>
      <c r="D26" s="299"/>
      <c r="E26" s="299"/>
      <c r="F26" s="299"/>
      <c r="G26" s="299"/>
      <c r="H26" s="299"/>
      <c r="I26" s="299"/>
      <c r="J26" s="299"/>
      <c r="K26" s="299"/>
    </row>
    <row r="27" spans="1:11" ht="18" customHeight="1" x14ac:dyDescent="0.3">
      <c r="A27" s="297" t="s">
        <v>210</v>
      </c>
      <c r="B27" s="299" t="s">
        <v>109</v>
      </c>
      <c r="C27" s="299"/>
      <c r="D27" s="299"/>
      <c r="E27" s="299"/>
      <c r="F27" s="299"/>
      <c r="G27" s="299"/>
      <c r="H27" s="299"/>
      <c r="I27" s="299"/>
      <c r="J27" s="299"/>
      <c r="K27" s="299"/>
    </row>
    <row r="28" spans="1:11" ht="18" customHeight="1" x14ac:dyDescent="0.3">
      <c r="A28" s="297" t="s">
        <v>211</v>
      </c>
      <c r="B28" s="299" t="s">
        <v>111</v>
      </c>
      <c r="C28" s="299"/>
      <c r="D28" s="299"/>
      <c r="E28" s="299"/>
      <c r="F28" s="299"/>
      <c r="G28" s="299"/>
      <c r="H28" s="299"/>
      <c r="I28" s="299"/>
      <c r="J28" s="299"/>
      <c r="K28" s="299"/>
    </row>
    <row r="29" spans="1:11" ht="18" customHeight="1" x14ac:dyDescent="0.3">
      <c r="A29" s="297" t="s">
        <v>212</v>
      </c>
      <c r="B29" s="299" t="s">
        <v>110</v>
      </c>
      <c r="C29" s="299"/>
      <c r="D29" s="299"/>
      <c r="E29" s="299"/>
      <c r="F29" s="299"/>
      <c r="G29" s="299"/>
      <c r="H29" s="299"/>
      <c r="I29" s="299"/>
      <c r="J29" s="299"/>
      <c r="K29" s="299"/>
    </row>
    <row r="30" spans="1:11" ht="18" customHeight="1" x14ac:dyDescent="0.3">
      <c r="A30" s="297" t="s">
        <v>213</v>
      </c>
      <c r="B30" s="299" t="s">
        <v>112</v>
      </c>
      <c r="C30" s="299"/>
      <c r="D30" s="299"/>
      <c r="E30" s="299"/>
      <c r="F30" s="299"/>
      <c r="G30" s="299"/>
      <c r="H30" s="299"/>
      <c r="I30" s="299"/>
      <c r="J30" s="299"/>
      <c r="K30" s="299"/>
    </row>
    <row r="31" spans="1:11" ht="18" customHeight="1" x14ac:dyDescent="0.3">
      <c r="A31" s="297" t="s">
        <v>214</v>
      </c>
      <c r="B31" s="299" t="s">
        <v>113</v>
      </c>
      <c r="C31" s="299"/>
      <c r="D31" s="299"/>
      <c r="E31" s="299"/>
      <c r="F31" s="299"/>
      <c r="G31" s="299"/>
      <c r="H31" s="299"/>
      <c r="I31" s="299"/>
      <c r="J31" s="299"/>
      <c r="K31" s="299"/>
    </row>
    <row r="32" spans="1:11" ht="18" customHeight="1" x14ac:dyDescent="0.3">
      <c r="A32" s="297" t="s">
        <v>188</v>
      </c>
      <c r="B32" s="299" t="s">
        <v>114</v>
      </c>
      <c r="C32" s="299"/>
      <c r="D32" s="299"/>
      <c r="E32" s="299"/>
      <c r="F32" s="299"/>
      <c r="G32" s="299"/>
      <c r="H32" s="299"/>
      <c r="I32" s="299"/>
      <c r="J32" s="299"/>
      <c r="K32" s="299"/>
    </row>
    <row r="33" spans="1:11" ht="18" customHeight="1" x14ac:dyDescent="0.3">
      <c r="A33" s="297" t="s">
        <v>215</v>
      </c>
      <c r="B33" s="299" t="s">
        <v>100</v>
      </c>
      <c r="C33" s="299"/>
      <c r="D33" s="299"/>
      <c r="E33" s="299"/>
      <c r="F33" s="299"/>
      <c r="G33" s="299"/>
      <c r="H33" s="299"/>
      <c r="I33" s="299"/>
      <c r="J33" s="299"/>
      <c r="K33" s="299"/>
    </row>
    <row r="34" spans="1:11" ht="18" customHeight="1" x14ac:dyDescent="0.3">
      <c r="A34" s="297" t="s">
        <v>216</v>
      </c>
      <c r="B34" s="299" t="s">
        <v>240</v>
      </c>
      <c r="C34" s="301"/>
      <c r="D34" s="301"/>
      <c r="E34" s="301"/>
      <c r="F34" s="301"/>
      <c r="G34" s="301"/>
      <c r="H34" s="301"/>
      <c r="I34" s="301"/>
      <c r="J34" s="301"/>
      <c r="K34" s="301"/>
    </row>
    <row r="35" spans="1:11" ht="18" customHeight="1" x14ac:dyDescent="0.3">
      <c r="A35" s="297" t="s">
        <v>217</v>
      </c>
      <c r="B35" s="299" t="s">
        <v>241</v>
      </c>
      <c r="C35" s="301"/>
      <c r="D35" s="301"/>
      <c r="E35" s="301"/>
      <c r="F35" s="301"/>
      <c r="G35" s="301"/>
      <c r="H35" s="301"/>
      <c r="I35" s="301"/>
      <c r="J35" s="301"/>
      <c r="K35" s="301"/>
    </row>
    <row r="36" spans="1:11" ht="18" customHeight="1" x14ac:dyDescent="0.3">
      <c r="A36" s="297" t="s">
        <v>218</v>
      </c>
      <c r="B36" s="299" t="s">
        <v>102</v>
      </c>
      <c r="C36" s="299"/>
      <c r="D36" s="299"/>
      <c r="E36" s="299"/>
      <c r="F36" s="299"/>
      <c r="G36" s="299"/>
      <c r="H36" s="299"/>
      <c r="I36" s="299"/>
      <c r="J36" s="299"/>
      <c r="K36" s="299"/>
    </row>
    <row r="37" spans="1:11" ht="18" customHeight="1" x14ac:dyDescent="0.3">
      <c r="A37" s="297" t="s">
        <v>219</v>
      </c>
      <c r="B37" s="299" t="s">
        <v>101</v>
      </c>
      <c r="C37" s="299"/>
      <c r="D37" s="300"/>
      <c r="E37" s="300"/>
      <c r="F37" s="300"/>
      <c r="G37" s="300"/>
      <c r="H37" s="300"/>
      <c r="I37" s="300"/>
      <c r="J37" s="300"/>
      <c r="K37" s="300"/>
    </row>
    <row r="38" spans="1:11" ht="18" customHeight="1" x14ac:dyDescent="0.3">
      <c r="A38" s="297" t="s">
        <v>220</v>
      </c>
      <c r="B38" s="301" t="s">
        <v>242</v>
      </c>
      <c r="C38" s="301"/>
      <c r="D38" s="298"/>
      <c r="E38" s="298"/>
      <c r="F38" s="298"/>
      <c r="G38" s="298"/>
      <c r="H38" s="298"/>
      <c r="I38" s="298"/>
      <c r="J38" s="298"/>
      <c r="K38" s="298"/>
    </row>
    <row r="39" spans="1:11" ht="18" customHeight="1" x14ac:dyDescent="0.3">
      <c r="A39" s="297" t="s">
        <v>221</v>
      </c>
      <c r="B39" s="299" t="s">
        <v>225</v>
      </c>
      <c r="C39" s="299"/>
      <c r="D39" s="300"/>
      <c r="E39" s="300"/>
      <c r="F39" s="300"/>
      <c r="G39" s="300"/>
      <c r="H39" s="300"/>
      <c r="I39" s="300"/>
      <c r="J39" s="300"/>
      <c r="K39" s="300"/>
    </row>
  </sheetData>
  <mergeCells count="2">
    <mergeCell ref="A13:K13"/>
    <mergeCell ref="B15:K15"/>
  </mergeCells>
  <pageMargins left="0.88749999999999996" right="1.33671875" top="0.74803149606299213" bottom="0.74803149606299213" header="0.31496062992125984" footer="0.31496062992125984"/>
  <pageSetup paperSize="9" scale="57" fitToHeight="0" orientation="portrait" r:id="rId1"/>
  <headerFooter>
    <oddFooter>&amp;C&amp;"Times New Roman,Regular"&amp;F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7"/>
  <sheetViews>
    <sheetView view="pageLayout" topLeftCell="A46" zoomScale="80" zoomScaleNormal="100" zoomScalePageLayoutView="80" workbookViewId="0">
      <selection activeCell="E18" sqref="E18:E36"/>
    </sheetView>
  </sheetViews>
  <sheetFormatPr defaultColWidth="9.1796875" defaultRowHeight="15.5" x14ac:dyDescent="0.35"/>
  <cols>
    <col min="1" max="1" width="18.453125" style="13" customWidth="1"/>
    <col min="2" max="2" width="86.1796875" style="13" customWidth="1"/>
    <col min="3" max="4" width="8.81640625" style="69" hidden="1" customWidth="1"/>
    <col min="5" max="5" width="26.453125" style="13" customWidth="1"/>
    <col min="6" max="16384" width="9.1796875" style="13"/>
  </cols>
  <sheetData>
    <row r="1" spans="1:5" ht="15.75" customHeight="1" x14ac:dyDescent="0.35">
      <c r="B1" s="14"/>
      <c r="C1" s="72"/>
      <c r="D1" s="72"/>
      <c r="E1" s="17" t="s">
        <v>10</v>
      </c>
    </row>
    <row r="2" spans="1:5" x14ac:dyDescent="0.35">
      <c r="C2" s="192"/>
      <c r="D2" s="192"/>
      <c r="E2" s="14" t="s">
        <v>32</v>
      </c>
    </row>
    <row r="3" spans="1:5" x14ac:dyDescent="0.35">
      <c r="B3" s="60"/>
      <c r="C3" s="76"/>
      <c r="D3" s="76"/>
      <c r="E3" s="77" t="s">
        <v>66</v>
      </c>
    </row>
    <row r="4" spans="1:5" x14ac:dyDescent="0.35">
      <c r="B4" s="14"/>
      <c r="C4" s="72"/>
      <c r="D4" s="72"/>
      <c r="E4" s="15"/>
    </row>
    <row r="5" spans="1:5" x14ac:dyDescent="0.35">
      <c r="B5" s="71"/>
      <c r="C5" s="192"/>
      <c r="D5" s="192"/>
      <c r="E5" s="15" t="s">
        <v>226</v>
      </c>
    </row>
    <row r="6" spans="1:5" x14ac:dyDescent="0.35">
      <c r="E6" s="25"/>
    </row>
    <row r="7" spans="1:5" x14ac:dyDescent="0.35">
      <c r="A7" s="416" t="s">
        <v>9</v>
      </c>
      <c r="B7" s="416"/>
      <c r="C7" s="416"/>
      <c r="D7" s="193"/>
    </row>
    <row r="8" spans="1:5" x14ac:dyDescent="0.35">
      <c r="B8" s="18"/>
      <c r="C8" s="194"/>
      <c r="D8" s="194"/>
      <c r="E8" s="25"/>
    </row>
    <row r="9" spans="1:5" x14ac:dyDescent="0.35">
      <c r="A9" s="419" t="s">
        <v>1</v>
      </c>
      <c r="B9" s="419"/>
      <c r="C9" s="195"/>
      <c r="D9" s="195"/>
      <c r="E9" s="25"/>
    </row>
    <row r="10" spans="1:5" x14ac:dyDescent="0.35">
      <c r="A10" s="419" t="s">
        <v>0</v>
      </c>
      <c r="B10" s="419"/>
      <c r="C10" s="195"/>
      <c r="D10" s="195"/>
      <c r="E10" s="25"/>
    </row>
    <row r="11" spans="1:5" x14ac:dyDescent="0.35">
      <c r="A11" s="11"/>
      <c r="B11" s="11" t="s">
        <v>179</v>
      </c>
      <c r="C11" s="195"/>
      <c r="D11" s="195"/>
      <c r="E11" s="25"/>
    </row>
    <row r="12" spans="1:5" x14ac:dyDescent="0.35">
      <c r="A12" s="11"/>
      <c r="B12" s="43" t="s">
        <v>180</v>
      </c>
      <c r="C12" s="196"/>
      <c r="D12" s="196"/>
      <c r="E12" s="25"/>
    </row>
    <row r="13" spans="1:5" x14ac:dyDescent="0.35">
      <c r="A13" s="11"/>
      <c r="B13" s="84" t="s">
        <v>181</v>
      </c>
      <c r="C13" s="197"/>
      <c r="D13" s="197"/>
      <c r="E13" s="25"/>
    </row>
    <row r="14" spans="1:5" x14ac:dyDescent="0.35">
      <c r="A14" s="11" t="s">
        <v>2</v>
      </c>
      <c r="B14" s="11" t="s">
        <v>169</v>
      </c>
      <c r="C14" s="195"/>
      <c r="D14" s="195"/>
      <c r="E14" s="25"/>
    </row>
    <row r="15" spans="1:5" ht="69.75" customHeight="1" x14ac:dyDescent="0.35">
      <c r="A15" s="51" t="s">
        <v>3</v>
      </c>
      <c r="B15" s="51" t="s">
        <v>4</v>
      </c>
      <c r="C15" s="198"/>
      <c r="D15" s="198"/>
      <c r="E15" s="51" t="s">
        <v>134</v>
      </c>
    </row>
    <row r="16" spans="1:5" x14ac:dyDescent="0.35">
      <c r="A16" s="20">
        <v>1</v>
      </c>
      <c r="B16" s="21">
        <v>2</v>
      </c>
      <c r="C16" s="199"/>
      <c r="D16" s="199"/>
      <c r="E16" s="21">
        <v>3</v>
      </c>
    </row>
    <row r="17" spans="1:11" x14ac:dyDescent="0.35">
      <c r="A17" s="20"/>
      <c r="B17" s="22" t="s">
        <v>5</v>
      </c>
      <c r="C17" s="200"/>
      <c r="D17" s="200"/>
      <c r="E17" s="61"/>
    </row>
    <row r="18" spans="1:11" x14ac:dyDescent="0.35">
      <c r="A18" s="31">
        <v>1100</v>
      </c>
      <c r="B18" s="31" t="s">
        <v>132</v>
      </c>
      <c r="C18" s="201"/>
      <c r="D18" s="202">
        <v>11.803999999999998</v>
      </c>
      <c r="E18" s="33">
        <v>266.77</v>
      </c>
      <c r="K18" s="140"/>
    </row>
    <row r="19" spans="1:11" x14ac:dyDescent="0.35">
      <c r="A19" s="31">
        <v>1200</v>
      </c>
      <c r="B19" s="61" t="s">
        <v>133</v>
      </c>
      <c r="C19" s="203"/>
      <c r="D19" s="204">
        <f>D18*0.2359</f>
        <v>2.7845635999999998</v>
      </c>
      <c r="E19" s="33">
        <v>62.93</v>
      </c>
    </row>
    <row r="20" spans="1:11" x14ac:dyDescent="0.35">
      <c r="A20" s="31">
        <v>2210</v>
      </c>
      <c r="B20" s="62" t="s">
        <v>120</v>
      </c>
      <c r="C20" s="203"/>
      <c r="D20" s="204"/>
      <c r="E20" s="33"/>
    </row>
    <row r="21" spans="1:11" x14ac:dyDescent="0.35">
      <c r="A21" s="31">
        <v>2222</v>
      </c>
      <c r="B21" s="62" t="s">
        <v>135</v>
      </c>
      <c r="C21" s="203"/>
      <c r="D21" s="204">
        <v>0.53</v>
      </c>
      <c r="E21" s="33">
        <v>10.6</v>
      </c>
    </row>
    <row r="22" spans="1:11" x14ac:dyDescent="0.35">
      <c r="A22" s="31">
        <v>2223</v>
      </c>
      <c r="B22" s="62" t="s">
        <v>136</v>
      </c>
      <c r="C22" s="203"/>
      <c r="D22" s="204">
        <v>1.59</v>
      </c>
      <c r="E22" s="33">
        <v>31.8</v>
      </c>
    </row>
    <row r="23" spans="1:11" x14ac:dyDescent="0.35">
      <c r="A23" s="31">
        <v>2243</v>
      </c>
      <c r="B23" s="22" t="s">
        <v>137</v>
      </c>
      <c r="C23" s="203"/>
      <c r="D23" s="204">
        <v>7.0000000000000007E-2</v>
      </c>
      <c r="E23" s="33">
        <v>1.4</v>
      </c>
    </row>
    <row r="24" spans="1:11" x14ac:dyDescent="0.35">
      <c r="A24" s="31">
        <v>2244</v>
      </c>
      <c r="B24" s="22" t="s">
        <v>138</v>
      </c>
      <c r="C24" s="203"/>
      <c r="D24" s="204">
        <v>1.8900000000000001</v>
      </c>
      <c r="E24" s="33">
        <v>37.799999999999997</v>
      </c>
    </row>
    <row r="25" spans="1:11" x14ac:dyDescent="0.35">
      <c r="A25" s="31">
        <v>2250</v>
      </c>
      <c r="B25" s="22" t="s">
        <v>124</v>
      </c>
      <c r="C25" s="203"/>
      <c r="D25" s="204">
        <v>0.19</v>
      </c>
      <c r="E25" s="33">
        <v>3.8</v>
      </c>
    </row>
    <row r="26" spans="1:11" x14ac:dyDescent="0.35">
      <c r="A26" s="31">
        <v>2263</v>
      </c>
      <c r="B26" s="32" t="s">
        <v>149</v>
      </c>
      <c r="C26" s="203"/>
      <c r="D26" s="204"/>
      <c r="E26" s="33"/>
    </row>
    <row r="27" spans="1:11" x14ac:dyDescent="0.35">
      <c r="A27" s="31">
        <v>2311</v>
      </c>
      <c r="B27" s="62" t="s">
        <v>151</v>
      </c>
      <c r="C27" s="203"/>
      <c r="D27" s="204">
        <v>2.4699999999999998</v>
      </c>
      <c r="E27" s="33">
        <v>49.4</v>
      </c>
    </row>
    <row r="28" spans="1:11" x14ac:dyDescent="0.35">
      <c r="A28" s="31">
        <v>2312</v>
      </c>
      <c r="B28" s="22" t="s">
        <v>116</v>
      </c>
      <c r="C28" s="203"/>
      <c r="D28" s="204">
        <v>0.79999999999999993</v>
      </c>
      <c r="E28" s="33">
        <v>16</v>
      </c>
    </row>
    <row r="29" spans="1:11" x14ac:dyDescent="0.35">
      <c r="A29" s="31">
        <v>2321</v>
      </c>
      <c r="B29" s="62" t="s">
        <v>139</v>
      </c>
      <c r="C29" s="203"/>
      <c r="D29" s="204">
        <v>1.0900000000000001</v>
      </c>
      <c r="E29" s="33">
        <v>21.8</v>
      </c>
    </row>
    <row r="30" spans="1:11" x14ac:dyDescent="0.35">
      <c r="A30" s="31">
        <v>2350</v>
      </c>
      <c r="B30" s="61" t="s">
        <v>125</v>
      </c>
      <c r="C30" s="203"/>
      <c r="D30" s="204">
        <v>0.36</v>
      </c>
      <c r="E30" s="33">
        <v>7.2</v>
      </c>
    </row>
    <row r="31" spans="1:11" x14ac:dyDescent="0.35">
      <c r="A31" s="31">
        <v>2361</v>
      </c>
      <c r="B31" s="62" t="s">
        <v>141</v>
      </c>
      <c r="C31" s="203"/>
      <c r="D31" s="204">
        <v>0.18</v>
      </c>
      <c r="E31" s="33">
        <v>3.6</v>
      </c>
    </row>
    <row r="32" spans="1:11" x14ac:dyDescent="0.35">
      <c r="A32" s="31">
        <v>2362</v>
      </c>
      <c r="B32" s="83" t="s">
        <v>156</v>
      </c>
      <c r="C32" s="203"/>
      <c r="D32" s="204">
        <v>0.02</v>
      </c>
      <c r="E32" s="33">
        <v>0.4</v>
      </c>
    </row>
    <row r="33" spans="1:10" x14ac:dyDescent="0.35">
      <c r="A33" s="31">
        <v>2363</v>
      </c>
      <c r="B33" s="62" t="s">
        <v>142</v>
      </c>
      <c r="C33" s="203"/>
      <c r="D33" s="204">
        <v>3.87</v>
      </c>
      <c r="E33" s="33">
        <v>77.400000000000006</v>
      </c>
    </row>
    <row r="34" spans="1:10" x14ac:dyDescent="0.35">
      <c r="A34" s="31">
        <v>2513</v>
      </c>
      <c r="B34" s="61" t="s">
        <v>121</v>
      </c>
      <c r="C34" s="203"/>
      <c r="D34" s="204"/>
      <c r="E34" s="33"/>
    </row>
    <row r="35" spans="1:10" x14ac:dyDescent="0.35">
      <c r="A35" s="31">
        <v>2519</v>
      </c>
      <c r="B35" s="32" t="s">
        <v>122</v>
      </c>
      <c r="C35" s="203"/>
      <c r="D35" s="204"/>
      <c r="E35" s="33"/>
    </row>
    <row r="36" spans="1:10" x14ac:dyDescent="0.35">
      <c r="A36" s="31">
        <v>5239</v>
      </c>
      <c r="B36" s="61" t="s">
        <v>130</v>
      </c>
      <c r="C36" s="203"/>
      <c r="D36" s="204">
        <v>1.27</v>
      </c>
      <c r="E36" s="33">
        <v>25.4</v>
      </c>
    </row>
    <row r="37" spans="1:10" x14ac:dyDescent="0.35">
      <c r="A37" s="31"/>
      <c r="B37" s="78" t="s">
        <v>6</v>
      </c>
      <c r="C37" s="205"/>
      <c r="D37" s="206">
        <f>SUM(D18:D36)</f>
        <v>28.918563599999999</v>
      </c>
      <c r="E37" s="37">
        <f>SUM(E18:E36)</f>
        <v>616.29999999999995</v>
      </c>
      <c r="F37" s="58"/>
    </row>
    <row r="38" spans="1:10" x14ac:dyDescent="0.35">
      <c r="A38" s="38"/>
      <c r="B38" s="78" t="s">
        <v>7</v>
      </c>
      <c r="C38" s="205"/>
      <c r="D38" s="205"/>
      <c r="E38" s="33"/>
    </row>
    <row r="39" spans="1:10" x14ac:dyDescent="0.35">
      <c r="A39" s="31">
        <v>1100</v>
      </c>
      <c r="B39" s="22" t="s">
        <v>132</v>
      </c>
      <c r="C39" s="203">
        <v>0.48549999999999999</v>
      </c>
      <c r="D39" s="203"/>
      <c r="E39" s="33">
        <v>285.05</v>
      </c>
      <c r="F39" s="58"/>
      <c r="J39" s="140"/>
    </row>
    <row r="40" spans="1:10" ht="16.5" customHeight="1" x14ac:dyDescent="0.35">
      <c r="A40" s="31">
        <v>1200</v>
      </c>
      <c r="B40" s="22" t="s">
        <v>133</v>
      </c>
      <c r="C40" s="203">
        <f>C39*0.2359</f>
        <v>0.11452944999999999</v>
      </c>
      <c r="D40" s="203"/>
      <c r="E40" s="33">
        <v>67.239999999999995</v>
      </c>
    </row>
    <row r="41" spans="1:10" ht="16.5" customHeight="1" x14ac:dyDescent="0.35">
      <c r="A41" s="31">
        <v>2100</v>
      </c>
      <c r="B41" s="24" t="s">
        <v>45</v>
      </c>
      <c r="C41" s="203">
        <v>1.1659999999999999E-3</v>
      </c>
      <c r="D41" s="203"/>
      <c r="E41" s="33">
        <v>0.76</v>
      </c>
    </row>
    <row r="42" spans="1:10" x14ac:dyDescent="0.35">
      <c r="A42" s="34">
        <v>2210</v>
      </c>
      <c r="B42" s="62" t="s">
        <v>120</v>
      </c>
      <c r="C42" s="203">
        <v>7.6E-3</v>
      </c>
      <c r="D42" s="203"/>
      <c r="E42" s="33">
        <v>4.95</v>
      </c>
    </row>
    <row r="43" spans="1:10" x14ac:dyDescent="0.35">
      <c r="A43" s="31">
        <v>2222</v>
      </c>
      <c r="B43" s="62" t="s">
        <v>135</v>
      </c>
      <c r="C43" s="203">
        <f>0.0095*1.15</f>
        <v>1.0924999999999999E-2</v>
      </c>
      <c r="D43" s="203"/>
      <c r="E43" s="33">
        <v>7.11</v>
      </c>
    </row>
    <row r="44" spans="1:10" x14ac:dyDescent="0.35">
      <c r="A44" s="31">
        <v>2223</v>
      </c>
      <c r="B44" s="62" t="s">
        <v>136</v>
      </c>
      <c r="C44" s="203">
        <f>0.01902*2.13</f>
        <v>4.0512599999999996E-2</v>
      </c>
      <c r="D44" s="203"/>
      <c r="E44" s="33">
        <v>26.37</v>
      </c>
    </row>
    <row r="45" spans="1:10" ht="31" x14ac:dyDescent="0.35">
      <c r="A45" s="31">
        <v>2224</v>
      </c>
      <c r="B45" s="62" t="s">
        <v>143</v>
      </c>
      <c r="C45" s="203">
        <f>0.00495*1.15</f>
        <v>5.6924999999999996E-3</v>
      </c>
      <c r="D45" s="203"/>
      <c r="E45" s="33">
        <v>3.7</v>
      </c>
    </row>
    <row r="46" spans="1:10" ht="15.75" customHeight="1" x14ac:dyDescent="0.35">
      <c r="A46" s="31">
        <v>2231</v>
      </c>
      <c r="B46" s="22" t="s">
        <v>126</v>
      </c>
      <c r="C46" s="203">
        <v>1.5499999999999999E-3</v>
      </c>
      <c r="D46" s="203"/>
      <c r="E46" s="33">
        <v>1.01</v>
      </c>
    </row>
    <row r="47" spans="1:10" ht="15.75" customHeight="1" x14ac:dyDescent="0.35">
      <c r="A47" s="31">
        <v>2235</v>
      </c>
      <c r="B47" s="75" t="s">
        <v>127</v>
      </c>
      <c r="C47" s="203">
        <v>1.65E-3</v>
      </c>
      <c r="D47" s="203"/>
      <c r="E47" s="33">
        <v>1.07</v>
      </c>
    </row>
    <row r="48" spans="1:10" x14ac:dyDescent="0.35">
      <c r="A48" s="31">
        <v>2239</v>
      </c>
      <c r="B48" s="22" t="s">
        <v>144</v>
      </c>
      <c r="C48" s="203">
        <v>4.4099999999999999E-3</v>
      </c>
      <c r="D48" s="203"/>
      <c r="E48" s="33">
        <v>2.87</v>
      </c>
    </row>
    <row r="49" spans="1:5" x14ac:dyDescent="0.35">
      <c r="A49" s="31">
        <v>2241</v>
      </c>
      <c r="B49" s="22" t="s">
        <v>123</v>
      </c>
      <c r="C49" s="203">
        <v>1.6500000000000001E-2</v>
      </c>
      <c r="D49" s="203"/>
      <c r="E49" s="33">
        <v>10.74</v>
      </c>
    </row>
    <row r="50" spans="1:5" x14ac:dyDescent="0.35">
      <c r="A50" s="31">
        <v>2242</v>
      </c>
      <c r="B50" s="62" t="s">
        <v>145</v>
      </c>
      <c r="C50" s="203">
        <v>2.2599999999999999E-3</v>
      </c>
      <c r="D50" s="203"/>
      <c r="E50" s="33">
        <v>1.47</v>
      </c>
    </row>
    <row r="51" spans="1:5" ht="15.75" customHeight="1" x14ac:dyDescent="0.35">
      <c r="A51" s="31">
        <v>2243</v>
      </c>
      <c r="B51" s="22" t="s">
        <v>137</v>
      </c>
      <c r="C51" s="203">
        <v>3.2599999999999997E-2</v>
      </c>
      <c r="D51" s="203"/>
      <c r="E51" s="33">
        <v>21.22</v>
      </c>
    </row>
    <row r="52" spans="1:5" x14ac:dyDescent="0.35">
      <c r="A52" s="31">
        <v>2244</v>
      </c>
      <c r="B52" s="22" t="s">
        <v>138</v>
      </c>
      <c r="C52" s="203">
        <f>0.20397-0.09084</f>
        <v>0.11313000000000001</v>
      </c>
      <c r="D52" s="203"/>
      <c r="E52" s="33">
        <v>73.63</v>
      </c>
    </row>
    <row r="53" spans="1:5" x14ac:dyDescent="0.35">
      <c r="A53" s="106">
        <v>2247</v>
      </c>
      <c r="B53" s="104" t="s">
        <v>146</v>
      </c>
      <c r="C53" s="203">
        <v>7.1900000000000002E-4</v>
      </c>
      <c r="D53" s="203"/>
      <c r="E53" s="33">
        <v>0.47</v>
      </c>
    </row>
    <row r="54" spans="1:5" x14ac:dyDescent="0.35">
      <c r="A54" s="31">
        <v>2249</v>
      </c>
      <c r="B54" s="22" t="s">
        <v>171</v>
      </c>
      <c r="C54" s="203">
        <v>2.32E-4</v>
      </c>
      <c r="D54" s="203"/>
      <c r="E54" s="33">
        <v>0.15</v>
      </c>
    </row>
    <row r="55" spans="1:5" x14ac:dyDescent="0.35">
      <c r="A55" s="31">
        <v>2250</v>
      </c>
      <c r="B55" s="22" t="s">
        <v>124</v>
      </c>
      <c r="C55" s="203">
        <f>0.024026-0.005</f>
        <v>1.9025999999999998E-2</v>
      </c>
      <c r="D55" s="203"/>
      <c r="E55" s="33">
        <v>12.38</v>
      </c>
    </row>
    <row r="56" spans="1:5" x14ac:dyDescent="0.35">
      <c r="A56" s="31">
        <v>2262</v>
      </c>
      <c r="B56" s="62" t="s">
        <v>148</v>
      </c>
      <c r="C56" s="203">
        <v>6.2599999999999999E-3</v>
      </c>
      <c r="D56" s="203"/>
      <c r="E56" s="33">
        <v>4.07</v>
      </c>
    </row>
    <row r="57" spans="1:5" x14ac:dyDescent="0.35">
      <c r="A57" s="31">
        <v>2263</v>
      </c>
      <c r="B57" s="62" t="s">
        <v>149</v>
      </c>
      <c r="C57" s="203">
        <v>4.58E-2</v>
      </c>
      <c r="D57" s="203"/>
      <c r="E57" s="33">
        <v>29.81</v>
      </c>
    </row>
    <row r="58" spans="1:5" x14ac:dyDescent="0.35">
      <c r="A58" s="31">
        <v>2264</v>
      </c>
      <c r="B58" s="22" t="s">
        <v>150</v>
      </c>
      <c r="C58" s="203">
        <v>1.49E-3</v>
      </c>
      <c r="D58" s="203"/>
      <c r="E58" s="33">
        <v>0.97</v>
      </c>
    </row>
    <row r="59" spans="1:5" x14ac:dyDescent="0.35">
      <c r="A59" s="31">
        <v>2311</v>
      </c>
      <c r="B59" s="62" t="s">
        <v>151</v>
      </c>
      <c r="C59" s="203">
        <v>4.7699999999999999E-3</v>
      </c>
      <c r="D59" s="203"/>
      <c r="E59" s="33">
        <v>3.1</v>
      </c>
    </row>
    <row r="60" spans="1:5" x14ac:dyDescent="0.35">
      <c r="A60" s="31">
        <v>2312</v>
      </c>
      <c r="B60" s="62" t="s">
        <v>116</v>
      </c>
      <c r="C60" s="203">
        <v>5.79E-3</v>
      </c>
      <c r="D60" s="203"/>
      <c r="E60" s="33">
        <v>3.77</v>
      </c>
    </row>
    <row r="61" spans="1:5" x14ac:dyDescent="0.35">
      <c r="A61" s="31">
        <v>2314</v>
      </c>
      <c r="B61" s="75" t="s">
        <v>152</v>
      </c>
      <c r="C61" s="203">
        <v>2.2200000000000002E-3</v>
      </c>
      <c r="D61" s="203"/>
      <c r="E61" s="33">
        <v>1.44</v>
      </c>
    </row>
    <row r="62" spans="1:5" x14ac:dyDescent="0.35">
      <c r="A62" s="31">
        <v>2321</v>
      </c>
      <c r="B62" s="62" t="s">
        <v>139</v>
      </c>
      <c r="C62" s="203">
        <f>0.0198*1.2+0.005</f>
        <v>2.8760000000000001E-2</v>
      </c>
      <c r="D62" s="203"/>
      <c r="E62" s="33">
        <v>18.72</v>
      </c>
    </row>
    <row r="63" spans="1:5" x14ac:dyDescent="0.35">
      <c r="A63" s="31">
        <v>2322</v>
      </c>
      <c r="B63" s="62" t="s">
        <v>153</v>
      </c>
      <c r="C63" s="203">
        <f>0.0035*1.2</f>
        <v>4.1999999999999997E-3</v>
      </c>
      <c r="D63" s="203"/>
      <c r="E63" s="33">
        <v>2.73</v>
      </c>
    </row>
    <row r="64" spans="1:5" x14ac:dyDescent="0.35">
      <c r="A64" s="31">
        <v>2341</v>
      </c>
      <c r="B64" s="62" t="s">
        <v>140</v>
      </c>
      <c r="C64" s="203"/>
      <c r="D64" s="203"/>
      <c r="E64" s="33"/>
    </row>
    <row r="65" spans="1:6" x14ac:dyDescent="0.35">
      <c r="A65" s="31">
        <v>2350</v>
      </c>
      <c r="B65" s="61" t="s">
        <v>125</v>
      </c>
      <c r="C65" s="203">
        <v>8.5000000000000006E-3</v>
      </c>
      <c r="D65" s="203"/>
      <c r="E65" s="33">
        <v>5.53</v>
      </c>
    </row>
    <row r="66" spans="1:6" ht="15.75" customHeight="1" x14ac:dyDescent="0.35">
      <c r="A66" s="31">
        <v>2513</v>
      </c>
      <c r="B66" s="61" t="s">
        <v>121</v>
      </c>
      <c r="C66" s="203">
        <v>1.4599999999999999E-3</v>
      </c>
      <c r="D66" s="203"/>
      <c r="E66" s="33">
        <v>0.95</v>
      </c>
    </row>
    <row r="67" spans="1:6" x14ac:dyDescent="0.35">
      <c r="A67" s="31">
        <v>2515</v>
      </c>
      <c r="B67" s="62" t="s">
        <v>155</v>
      </c>
      <c r="C67" s="203">
        <v>1.9E-3</v>
      </c>
      <c r="D67" s="203"/>
      <c r="E67" s="33">
        <v>1.24</v>
      </c>
    </row>
    <row r="68" spans="1:6" x14ac:dyDescent="0.35">
      <c r="A68" s="31">
        <v>2519</v>
      </c>
      <c r="B68" s="62" t="s">
        <v>122</v>
      </c>
      <c r="C68" s="203">
        <v>2E-3</v>
      </c>
      <c r="D68" s="203"/>
      <c r="E68" s="33">
        <v>1.3</v>
      </c>
    </row>
    <row r="69" spans="1:6" x14ac:dyDescent="0.35">
      <c r="A69" s="31">
        <v>5220</v>
      </c>
      <c r="B69" s="62" t="s">
        <v>128</v>
      </c>
      <c r="C69" s="203">
        <v>1.06E-2</v>
      </c>
      <c r="D69" s="203"/>
      <c r="E69" s="33">
        <v>6.9</v>
      </c>
    </row>
    <row r="70" spans="1:6" x14ac:dyDescent="0.35">
      <c r="A70" s="31">
        <v>5238</v>
      </c>
      <c r="B70" s="61" t="s">
        <v>129</v>
      </c>
      <c r="C70" s="203">
        <v>1.65E-3</v>
      </c>
      <c r="D70" s="203"/>
      <c r="E70" s="33">
        <v>1.07</v>
      </c>
      <c r="F70" s="58"/>
    </row>
    <row r="71" spans="1:6" x14ac:dyDescent="0.35">
      <c r="A71" s="31">
        <v>5239</v>
      </c>
      <c r="B71" s="61" t="s">
        <v>130</v>
      </c>
      <c r="C71" s="203">
        <v>9.5399999999999999E-3</v>
      </c>
      <c r="D71" s="203"/>
      <c r="E71" s="33">
        <v>6.4</v>
      </c>
    </row>
    <row r="72" spans="1:6" x14ac:dyDescent="0.35">
      <c r="A72" s="31">
        <v>5250</v>
      </c>
      <c r="B72" s="62" t="s">
        <v>131</v>
      </c>
      <c r="C72" s="203">
        <v>7.0600000000000003E-3</v>
      </c>
      <c r="D72" s="203"/>
      <c r="E72" s="33">
        <v>4.51</v>
      </c>
    </row>
    <row r="73" spans="1:6" x14ac:dyDescent="0.35">
      <c r="A73" s="38"/>
      <c r="B73" s="79" t="s">
        <v>97</v>
      </c>
      <c r="C73" s="203">
        <f>SUM(C39:C72)</f>
        <v>1.00000255</v>
      </c>
      <c r="D73" s="203"/>
      <c r="E73" s="37">
        <f>SUM(E39:E72)</f>
        <v>612.70000000000016</v>
      </c>
    </row>
    <row r="74" spans="1:6" x14ac:dyDescent="0.35">
      <c r="A74" s="38"/>
      <c r="B74" s="79" t="s">
        <v>98</v>
      </c>
      <c r="C74" s="207"/>
      <c r="D74" s="207"/>
      <c r="E74" s="37">
        <f>E37+E73</f>
        <v>1229</v>
      </c>
    </row>
    <row r="75" spans="1:6" ht="12.75" customHeight="1" x14ac:dyDescent="0.35">
      <c r="A75" s="15"/>
      <c r="B75" s="25"/>
      <c r="C75" s="208"/>
      <c r="D75" s="208"/>
      <c r="E75" s="59"/>
    </row>
    <row r="76" spans="1:6" x14ac:dyDescent="0.35">
      <c r="A76" s="417" t="s">
        <v>106</v>
      </c>
      <c r="B76" s="417"/>
      <c r="C76" s="209"/>
      <c r="D76" s="209"/>
      <c r="E76" s="67">
        <v>20</v>
      </c>
    </row>
    <row r="77" spans="1:6" x14ac:dyDescent="0.35">
      <c r="A77" s="417" t="s">
        <v>58</v>
      </c>
      <c r="B77" s="417"/>
      <c r="C77" s="209"/>
      <c r="D77" s="209"/>
      <c r="E77" s="68">
        <f>E74/E76</f>
        <v>61.45</v>
      </c>
    </row>
    <row r="78" spans="1:6" x14ac:dyDescent="0.35">
      <c r="A78" s="43"/>
      <c r="B78" s="49"/>
      <c r="C78" s="210"/>
      <c r="D78" s="210"/>
    </row>
    <row r="79" spans="1:6" ht="15.75" customHeight="1" x14ac:dyDescent="0.35">
      <c r="A79" s="418" t="s">
        <v>33</v>
      </c>
      <c r="B79" s="418"/>
      <c r="C79" s="211"/>
      <c r="D79" s="211"/>
      <c r="E79" s="27"/>
    </row>
    <row r="80" spans="1:6" ht="15.75" customHeight="1" x14ac:dyDescent="0.35">
      <c r="A80" s="418" t="s">
        <v>64</v>
      </c>
      <c r="B80" s="418"/>
      <c r="C80" s="211"/>
      <c r="D80" s="211"/>
      <c r="E80" s="27"/>
    </row>
    <row r="81" spans="1:5" ht="12.75" customHeight="1" x14ac:dyDescent="0.35">
      <c r="A81" s="28"/>
      <c r="B81" s="28"/>
      <c r="C81" s="212"/>
      <c r="D81" s="212"/>
      <c r="E81" s="81"/>
    </row>
    <row r="82" spans="1:5" x14ac:dyDescent="0.35">
      <c r="A82" s="28" t="s">
        <v>34</v>
      </c>
      <c r="B82" s="28"/>
      <c r="C82" s="212"/>
      <c r="D82" s="212"/>
      <c r="E82" s="81"/>
    </row>
    <row r="83" spans="1:5" x14ac:dyDescent="0.35">
      <c r="A83" s="28"/>
      <c r="B83" s="28"/>
      <c r="C83" s="212"/>
      <c r="D83" s="212"/>
      <c r="E83" s="81"/>
    </row>
    <row r="84" spans="1:5" x14ac:dyDescent="0.35">
      <c r="A84" s="28" t="s">
        <v>177</v>
      </c>
      <c r="B84" s="29"/>
      <c r="C84" s="213"/>
      <c r="D84" s="213"/>
      <c r="E84" s="28"/>
    </row>
    <row r="85" spans="1:5" x14ac:dyDescent="0.35">
      <c r="B85" s="73"/>
      <c r="C85" s="163"/>
      <c r="D85" s="163"/>
      <c r="E85" s="82"/>
    </row>
    <row r="87" spans="1:5" x14ac:dyDescent="0.35">
      <c r="E87" s="58"/>
    </row>
  </sheetData>
  <mergeCells count="7">
    <mergeCell ref="A7:C7"/>
    <mergeCell ref="A76:B76"/>
    <mergeCell ref="A77:B77"/>
    <mergeCell ref="A79:B79"/>
    <mergeCell ref="A80:B80"/>
    <mergeCell ref="A9:B9"/>
    <mergeCell ref="A10:B10"/>
  </mergeCells>
  <pageMargins left="1.1100000000000001" right="0.62343749999999998" top="0.4" bottom="0.74803149606299213" header="0.31496062992125984" footer="0.31496062992125984"/>
  <pageSetup paperSize="9" scale="56" firstPageNumber="2" orientation="portrait" useFirstPageNumber="1" r:id="rId1"/>
  <headerFooter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7"/>
  <sheetViews>
    <sheetView view="pageLayout" topLeftCell="A13" zoomScale="80" zoomScaleNormal="100" zoomScalePageLayoutView="80" workbookViewId="0">
      <selection activeCell="E18" sqref="E18:E36"/>
    </sheetView>
  </sheetViews>
  <sheetFormatPr defaultColWidth="9.1796875" defaultRowHeight="15.5" x14ac:dyDescent="0.35"/>
  <cols>
    <col min="1" max="1" width="16.7265625" style="13" customWidth="1"/>
    <col min="2" max="2" width="90.26953125" style="13" customWidth="1"/>
    <col min="3" max="4" width="8" style="217" hidden="1" customWidth="1"/>
    <col min="5" max="5" width="29.1796875" style="13" customWidth="1"/>
    <col min="6" max="16384" width="9.1796875" style="13"/>
  </cols>
  <sheetData>
    <row r="1" spans="1:5" ht="15.75" customHeight="1" x14ac:dyDescent="0.35">
      <c r="B1" s="14"/>
      <c r="C1" s="214"/>
      <c r="D1" s="214"/>
      <c r="E1" s="17" t="s">
        <v>10</v>
      </c>
    </row>
    <row r="2" spans="1:5" x14ac:dyDescent="0.35">
      <c r="C2" s="215"/>
      <c r="D2" s="215"/>
      <c r="E2" s="14" t="s">
        <v>32</v>
      </c>
    </row>
    <row r="3" spans="1:5" x14ac:dyDescent="0.35">
      <c r="B3" s="60"/>
      <c r="C3" s="216"/>
      <c r="D3" s="216"/>
      <c r="E3" s="77" t="s">
        <v>66</v>
      </c>
    </row>
    <row r="4" spans="1:5" x14ac:dyDescent="0.35">
      <c r="B4" s="14"/>
      <c r="C4" s="214"/>
      <c r="D4" s="214"/>
      <c r="E4" s="15"/>
    </row>
    <row r="5" spans="1:5" x14ac:dyDescent="0.35">
      <c r="B5" s="71"/>
      <c r="C5" s="215"/>
      <c r="D5" s="215"/>
      <c r="E5" s="15" t="s">
        <v>226</v>
      </c>
    </row>
    <row r="6" spans="1:5" x14ac:dyDescent="0.35">
      <c r="E6" s="25"/>
    </row>
    <row r="7" spans="1:5" x14ac:dyDescent="0.35">
      <c r="A7" s="416" t="s">
        <v>9</v>
      </c>
      <c r="B7" s="416"/>
      <c r="C7" s="416"/>
      <c r="D7" s="218"/>
    </row>
    <row r="8" spans="1:5" x14ac:dyDescent="0.35">
      <c r="B8" s="18"/>
      <c r="C8" s="219"/>
      <c r="D8" s="219"/>
      <c r="E8" s="25"/>
    </row>
    <row r="9" spans="1:5" x14ac:dyDescent="0.35">
      <c r="A9" s="419" t="s">
        <v>1</v>
      </c>
      <c r="B9" s="419"/>
      <c r="C9" s="220"/>
      <c r="D9" s="220"/>
      <c r="E9" s="25"/>
    </row>
    <row r="10" spans="1:5" x14ac:dyDescent="0.35">
      <c r="A10" s="419" t="s">
        <v>0</v>
      </c>
      <c r="B10" s="419"/>
      <c r="C10" s="220"/>
      <c r="D10" s="220"/>
      <c r="E10" s="25"/>
    </row>
    <row r="11" spans="1:5" x14ac:dyDescent="0.35">
      <c r="A11" s="11"/>
      <c r="B11" s="11" t="s">
        <v>179</v>
      </c>
      <c r="C11" s="220"/>
      <c r="D11" s="220"/>
      <c r="E11" s="25"/>
    </row>
    <row r="12" spans="1:5" x14ac:dyDescent="0.35">
      <c r="A12" s="11"/>
      <c r="B12" s="43" t="s">
        <v>180</v>
      </c>
      <c r="C12" s="221"/>
      <c r="D12" s="221"/>
      <c r="E12" s="25"/>
    </row>
    <row r="13" spans="1:5" x14ac:dyDescent="0.35">
      <c r="A13" s="11"/>
      <c r="B13" s="84" t="s">
        <v>198</v>
      </c>
      <c r="C13" s="222"/>
      <c r="D13" s="222"/>
      <c r="E13" s="25"/>
    </row>
    <row r="14" spans="1:5" x14ac:dyDescent="0.35">
      <c r="A14" s="11" t="s">
        <v>2</v>
      </c>
      <c r="B14" s="11" t="s">
        <v>169</v>
      </c>
      <c r="C14" s="220"/>
      <c r="D14" s="220"/>
      <c r="E14" s="25"/>
    </row>
    <row r="15" spans="1:5" ht="69.75" customHeight="1" x14ac:dyDescent="0.35">
      <c r="A15" s="51" t="s">
        <v>3</v>
      </c>
      <c r="B15" s="51" t="s">
        <v>4</v>
      </c>
      <c r="C15" s="223"/>
      <c r="D15" s="223"/>
      <c r="E15" s="51" t="s">
        <v>134</v>
      </c>
    </row>
    <row r="16" spans="1:5" x14ac:dyDescent="0.35">
      <c r="A16" s="20">
        <v>1</v>
      </c>
      <c r="B16" s="21">
        <v>2</v>
      </c>
      <c r="C16" s="224"/>
      <c r="D16" s="224"/>
      <c r="E16" s="21">
        <v>3</v>
      </c>
    </row>
    <row r="17" spans="1:5" x14ac:dyDescent="0.35">
      <c r="A17" s="20"/>
      <c r="B17" s="22" t="s">
        <v>5</v>
      </c>
      <c r="C17" s="225"/>
      <c r="D17" s="225"/>
      <c r="E17" s="61"/>
    </row>
    <row r="18" spans="1:5" x14ac:dyDescent="0.35">
      <c r="A18" s="31">
        <v>1100</v>
      </c>
      <c r="B18" s="31" t="s">
        <v>132</v>
      </c>
      <c r="C18" s="226"/>
      <c r="D18" s="227">
        <v>15.693999999999999</v>
      </c>
      <c r="E18" s="33">
        <v>354.68</v>
      </c>
    </row>
    <row r="19" spans="1:5" x14ac:dyDescent="0.35">
      <c r="A19" s="31">
        <v>1200</v>
      </c>
      <c r="B19" s="61" t="s">
        <v>133</v>
      </c>
      <c r="C19" s="228"/>
      <c r="D19" s="228">
        <f>D18*0.2359</f>
        <v>3.7022145999999996</v>
      </c>
      <c r="E19" s="33">
        <v>83.67</v>
      </c>
    </row>
    <row r="20" spans="1:5" x14ac:dyDescent="0.35">
      <c r="A20" s="31">
        <v>2210</v>
      </c>
      <c r="B20" s="62" t="s">
        <v>120</v>
      </c>
      <c r="C20" s="228"/>
      <c r="D20" s="228"/>
      <c r="E20" s="33"/>
    </row>
    <row r="21" spans="1:5" x14ac:dyDescent="0.35">
      <c r="A21" s="31">
        <v>2222</v>
      </c>
      <c r="B21" s="62" t="s">
        <v>135</v>
      </c>
      <c r="C21" s="228"/>
      <c r="D21" s="229">
        <v>0.6</v>
      </c>
      <c r="E21" s="33">
        <v>12</v>
      </c>
    </row>
    <row r="22" spans="1:5" x14ac:dyDescent="0.35">
      <c r="A22" s="31">
        <v>2223</v>
      </c>
      <c r="B22" s="62" t="s">
        <v>136</v>
      </c>
      <c r="C22" s="228"/>
      <c r="D22" s="229">
        <v>1.6600000000000001</v>
      </c>
      <c r="E22" s="33">
        <v>33.200000000000003</v>
      </c>
    </row>
    <row r="23" spans="1:5" x14ac:dyDescent="0.35">
      <c r="A23" s="31">
        <v>2243</v>
      </c>
      <c r="B23" s="22" t="s">
        <v>137</v>
      </c>
      <c r="C23" s="228"/>
      <c r="D23" s="229">
        <v>8.2990839332847399E-2</v>
      </c>
      <c r="E23" s="33">
        <v>1.66</v>
      </c>
    </row>
    <row r="24" spans="1:5" x14ac:dyDescent="0.35">
      <c r="A24" s="31">
        <v>2244</v>
      </c>
      <c r="B24" s="22" t="s">
        <v>138</v>
      </c>
      <c r="C24" s="228"/>
      <c r="D24" s="229">
        <v>1.9878511199593216</v>
      </c>
      <c r="E24" s="33">
        <v>39.770000000000003</v>
      </c>
    </row>
    <row r="25" spans="1:5" x14ac:dyDescent="0.35">
      <c r="A25" s="31">
        <v>2250</v>
      </c>
      <c r="B25" s="22" t="s">
        <v>124</v>
      </c>
      <c r="C25" s="228"/>
      <c r="D25" s="229">
        <v>0.19</v>
      </c>
      <c r="E25" s="33">
        <v>3.8</v>
      </c>
    </row>
    <row r="26" spans="1:5" x14ac:dyDescent="0.35">
      <c r="A26" s="31">
        <v>2263</v>
      </c>
      <c r="B26" s="62" t="s">
        <v>149</v>
      </c>
      <c r="C26" s="228"/>
      <c r="D26" s="229"/>
      <c r="E26" s="33"/>
    </row>
    <row r="27" spans="1:5" x14ac:dyDescent="0.35">
      <c r="A27" s="31">
        <v>2311</v>
      </c>
      <c r="B27" s="62" t="s">
        <v>151</v>
      </c>
      <c r="C27" s="228"/>
      <c r="D27" s="229">
        <v>2.4699999999999998</v>
      </c>
      <c r="E27" s="33">
        <v>49.4</v>
      </c>
    </row>
    <row r="28" spans="1:5" x14ac:dyDescent="0.35">
      <c r="A28" s="31">
        <v>2312</v>
      </c>
      <c r="B28" s="22" t="s">
        <v>116</v>
      </c>
      <c r="C28" s="228"/>
      <c r="D28" s="229">
        <v>0.9193918807861664</v>
      </c>
      <c r="E28" s="33">
        <v>18.41</v>
      </c>
    </row>
    <row r="29" spans="1:5" x14ac:dyDescent="0.35">
      <c r="A29" s="31">
        <v>2321</v>
      </c>
      <c r="B29" s="62" t="s">
        <v>139</v>
      </c>
      <c r="C29" s="228"/>
      <c r="D29" s="229">
        <v>1.1514593952990406</v>
      </c>
      <c r="E29" s="33">
        <v>23.04</v>
      </c>
    </row>
    <row r="30" spans="1:5" x14ac:dyDescent="0.35">
      <c r="A30" s="31">
        <v>2350</v>
      </c>
      <c r="B30" s="61" t="s">
        <v>125</v>
      </c>
      <c r="C30" s="228"/>
      <c r="D30" s="229">
        <v>0.41019891782727091</v>
      </c>
      <c r="E30" s="33">
        <v>8.2100000000000009</v>
      </c>
    </row>
    <row r="31" spans="1:5" x14ac:dyDescent="0.35">
      <c r="A31" s="31">
        <v>2361</v>
      </c>
      <c r="B31" s="62" t="s">
        <v>141</v>
      </c>
      <c r="C31" s="228"/>
      <c r="D31" s="229">
        <v>0.18</v>
      </c>
      <c r="E31" s="33">
        <v>3.6</v>
      </c>
    </row>
    <row r="32" spans="1:5" x14ac:dyDescent="0.35">
      <c r="A32" s="31">
        <v>2362</v>
      </c>
      <c r="B32" s="83" t="s">
        <v>156</v>
      </c>
      <c r="C32" s="228"/>
      <c r="D32" s="229">
        <v>4.8496533819285675E-2</v>
      </c>
      <c r="E32" s="33">
        <v>0.97</v>
      </c>
    </row>
    <row r="33" spans="1:6" x14ac:dyDescent="0.35">
      <c r="A33" s="31">
        <v>2363</v>
      </c>
      <c r="B33" s="62" t="s">
        <v>142</v>
      </c>
      <c r="C33" s="228"/>
      <c r="D33" s="228">
        <v>9.75</v>
      </c>
      <c r="E33" s="33">
        <v>195</v>
      </c>
    </row>
    <row r="34" spans="1:6" x14ac:dyDescent="0.35">
      <c r="A34" s="31">
        <v>2513</v>
      </c>
      <c r="B34" s="61" t="s">
        <v>121</v>
      </c>
      <c r="C34" s="228"/>
      <c r="D34" s="228"/>
      <c r="E34" s="33"/>
    </row>
    <row r="35" spans="1:6" x14ac:dyDescent="0.35">
      <c r="A35" s="31">
        <v>2519</v>
      </c>
      <c r="B35" s="62" t="s">
        <v>122</v>
      </c>
      <c r="C35" s="228"/>
      <c r="D35" s="228"/>
      <c r="E35" s="33"/>
    </row>
    <row r="36" spans="1:6" x14ac:dyDescent="0.35">
      <c r="A36" s="31">
        <v>5239</v>
      </c>
      <c r="B36" s="61" t="s">
        <v>130</v>
      </c>
      <c r="C36" s="228"/>
      <c r="D36" s="229">
        <v>1.3731893746979051</v>
      </c>
      <c r="E36" s="33">
        <v>27.48</v>
      </c>
    </row>
    <row r="37" spans="1:6" x14ac:dyDescent="0.35">
      <c r="A37" s="31"/>
      <c r="B37" s="78" t="s">
        <v>6</v>
      </c>
      <c r="C37" s="230"/>
      <c r="D37" s="231">
        <f>SUM(D18:D36)</f>
        <v>40.21979266172184</v>
      </c>
      <c r="E37" s="37">
        <f>SUM(E18:E36)</f>
        <v>854.89</v>
      </c>
      <c r="F37" s="58"/>
    </row>
    <row r="38" spans="1:6" x14ac:dyDescent="0.35">
      <c r="A38" s="38"/>
      <c r="B38" s="78" t="s">
        <v>7</v>
      </c>
      <c r="C38" s="230"/>
      <c r="D38" s="230"/>
      <c r="E38" s="33"/>
    </row>
    <row r="39" spans="1:6" x14ac:dyDescent="0.35">
      <c r="A39" s="31">
        <v>1100</v>
      </c>
      <c r="B39" s="22" t="s">
        <v>132</v>
      </c>
      <c r="C39" s="228">
        <v>0.48549999999999999</v>
      </c>
      <c r="D39" s="228"/>
      <c r="E39" s="33">
        <v>314.44</v>
      </c>
    </row>
    <row r="40" spans="1:6" ht="16.5" customHeight="1" x14ac:dyDescent="0.35">
      <c r="A40" s="31">
        <v>1200</v>
      </c>
      <c r="B40" s="22" t="s">
        <v>133</v>
      </c>
      <c r="C40" s="228">
        <f>C39*0.2359</f>
        <v>0.11452944999999999</v>
      </c>
      <c r="D40" s="228"/>
      <c r="E40" s="33">
        <v>74.180000000000007</v>
      </c>
    </row>
    <row r="41" spans="1:6" ht="16.5" customHeight="1" x14ac:dyDescent="0.35">
      <c r="A41" s="31">
        <v>2100</v>
      </c>
      <c r="B41" s="24" t="s">
        <v>45</v>
      </c>
      <c r="C41" s="228">
        <v>1.1659999999999999E-3</v>
      </c>
      <c r="D41" s="228"/>
      <c r="E41" s="33">
        <v>0.85</v>
      </c>
    </row>
    <row r="42" spans="1:6" x14ac:dyDescent="0.35">
      <c r="A42" s="34">
        <v>2210</v>
      </c>
      <c r="B42" s="62" t="s">
        <v>120</v>
      </c>
      <c r="C42" s="228">
        <v>7.6E-3</v>
      </c>
      <c r="D42" s="228"/>
      <c r="E42" s="33">
        <v>5.56</v>
      </c>
    </row>
    <row r="43" spans="1:6" x14ac:dyDescent="0.35">
      <c r="A43" s="31">
        <v>2222</v>
      </c>
      <c r="B43" s="62" t="s">
        <v>135</v>
      </c>
      <c r="C43" s="228">
        <f>0.0095*1.15</f>
        <v>1.0924999999999999E-2</v>
      </c>
      <c r="D43" s="228"/>
      <c r="E43" s="33">
        <v>8</v>
      </c>
    </row>
    <row r="44" spans="1:6" x14ac:dyDescent="0.35">
      <c r="A44" s="31">
        <v>2223</v>
      </c>
      <c r="B44" s="62" t="s">
        <v>136</v>
      </c>
      <c r="C44" s="228">
        <f>0.01902*2.13</f>
        <v>4.0512599999999996E-2</v>
      </c>
      <c r="D44" s="228"/>
      <c r="E44" s="33">
        <v>29.66</v>
      </c>
    </row>
    <row r="45" spans="1:6" ht="31" x14ac:dyDescent="0.35">
      <c r="A45" s="31">
        <v>2224</v>
      </c>
      <c r="B45" s="62" t="s">
        <v>143</v>
      </c>
      <c r="C45" s="228">
        <f>0.00495*1.15</f>
        <v>5.6924999999999996E-3</v>
      </c>
      <c r="D45" s="228"/>
      <c r="E45" s="33">
        <v>4.17</v>
      </c>
    </row>
    <row r="46" spans="1:6" ht="15.75" customHeight="1" x14ac:dyDescent="0.35">
      <c r="A46" s="31">
        <v>2231</v>
      </c>
      <c r="B46" s="22" t="s">
        <v>126</v>
      </c>
      <c r="C46" s="228">
        <v>1.5499999999999999E-3</v>
      </c>
      <c r="D46" s="228"/>
      <c r="E46" s="33">
        <v>1.1299999999999999</v>
      </c>
    </row>
    <row r="47" spans="1:6" ht="15.75" customHeight="1" x14ac:dyDescent="0.35">
      <c r="A47" s="31">
        <v>2235</v>
      </c>
      <c r="B47" s="75" t="s">
        <v>127</v>
      </c>
      <c r="C47" s="228">
        <v>1.65E-3</v>
      </c>
      <c r="D47" s="228"/>
      <c r="E47" s="33">
        <v>1.21</v>
      </c>
    </row>
    <row r="48" spans="1:6" x14ac:dyDescent="0.35">
      <c r="A48" s="31">
        <v>2239</v>
      </c>
      <c r="B48" s="22" t="s">
        <v>144</v>
      </c>
      <c r="C48" s="228">
        <v>4.4099999999999999E-3</v>
      </c>
      <c r="D48" s="228"/>
      <c r="E48" s="33">
        <v>3.23</v>
      </c>
    </row>
    <row r="49" spans="1:5" x14ac:dyDescent="0.35">
      <c r="A49" s="31">
        <v>2241</v>
      </c>
      <c r="B49" s="22" t="s">
        <v>123</v>
      </c>
      <c r="C49" s="228">
        <v>1.6500000000000001E-2</v>
      </c>
      <c r="D49" s="228"/>
      <c r="E49" s="33">
        <v>12.08</v>
      </c>
    </row>
    <row r="50" spans="1:5" x14ac:dyDescent="0.35">
      <c r="A50" s="31">
        <v>2242</v>
      </c>
      <c r="B50" s="62" t="s">
        <v>145</v>
      </c>
      <c r="C50" s="228">
        <v>2.2599999999999999E-3</v>
      </c>
      <c r="D50" s="228"/>
      <c r="E50" s="33">
        <v>1.65</v>
      </c>
    </row>
    <row r="51" spans="1:5" ht="15.75" customHeight="1" x14ac:dyDescent="0.35">
      <c r="A51" s="31">
        <v>2243</v>
      </c>
      <c r="B51" s="22" t="s">
        <v>137</v>
      </c>
      <c r="C51" s="228">
        <v>3.2599999999999997E-2</v>
      </c>
      <c r="D51" s="228"/>
      <c r="E51" s="33">
        <v>23.87</v>
      </c>
    </row>
    <row r="52" spans="1:5" x14ac:dyDescent="0.35">
      <c r="A52" s="31">
        <v>2244</v>
      </c>
      <c r="B52" s="22" t="s">
        <v>138</v>
      </c>
      <c r="C52" s="228">
        <f>0.20397-0.09084</f>
        <v>0.11313000000000001</v>
      </c>
      <c r="D52" s="228"/>
      <c r="E52" s="33">
        <v>82.83</v>
      </c>
    </row>
    <row r="53" spans="1:5" x14ac:dyDescent="0.35">
      <c r="A53" s="106">
        <v>2247</v>
      </c>
      <c r="B53" s="104" t="s">
        <v>146</v>
      </c>
      <c r="C53" s="228">
        <v>7.1900000000000002E-4</v>
      </c>
      <c r="D53" s="228"/>
      <c r="E53" s="33">
        <v>0.53</v>
      </c>
    </row>
    <row r="54" spans="1:5" x14ac:dyDescent="0.35">
      <c r="A54" s="31">
        <v>2249</v>
      </c>
      <c r="B54" s="22" t="s">
        <v>171</v>
      </c>
      <c r="C54" s="228">
        <v>2.32E-4</v>
      </c>
      <c r="D54" s="228"/>
      <c r="E54" s="33">
        <v>0.17</v>
      </c>
    </row>
    <row r="55" spans="1:5" x14ac:dyDescent="0.35">
      <c r="A55" s="31">
        <v>2250</v>
      </c>
      <c r="B55" s="22" t="s">
        <v>124</v>
      </c>
      <c r="C55" s="228">
        <f>0.024026-0.005</f>
        <v>1.9025999999999998E-2</v>
      </c>
      <c r="D55" s="228"/>
      <c r="E55" s="33">
        <v>14.01</v>
      </c>
    </row>
    <row r="56" spans="1:5" x14ac:dyDescent="0.35">
      <c r="A56" s="31">
        <v>2262</v>
      </c>
      <c r="B56" s="62" t="s">
        <v>148</v>
      </c>
      <c r="C56" s="228">
        <v>6.2599999999999999E-3</v>
      </c>
      <c r="D56" s="228"/>
      <c r="E56" s="33">
        <v>4.58</v>
      </c>
    </row>
    <row r="57" spans="1:5" x14ac:dyDescent="0.35">
      <c r="A57" s="31">
        <v>2263</v>
      </c>
      <c r="B57" s="62" t="s">
        <v>149</v>
      </c>
      <c r="C57" s="228">
        <v>4.58E-2</v>
      </c>
      <c r="D57" s="228"/>
      <c r="E57" s="33">
        <v>33.53</v>
      </c>
    </row>
    <row r="58" spans="1:5" x14ac:dyDescent="0.35">
      <c r="A58" s="31">
        <v>2264</v>
      </c>
      <c r="B58" s="22" t="s">
        <v>150</v>
      </c>
      <c r="C58" s="228">
        <v>1.49E-3</v>
      </c>
      <c r="D58" s="228"/>
      <c r="E58" s="33">
        <v>1.0900000000000001</v>
      </c>
    </row>
    <row r="59" spans="1:5" x14ac:dyDescent="0.35">
      <c r="A59" s="31">
        <v>2311</v>
      </c>
      <c r="B59" s="62" t="s">
        <v>151</v>
      </c>
      <c r="C59" s="228">
        <v>4.7699999999999999E-3</v>
      </c>
      <c r="D59" s="228"/>
      <c r="E59" s="33">
        <v>3.49</v>
      </c>
    </row>
    <row r="60" spans="1:5" x14ac:dyDescent="0.35">
      <c r="A60" s="31">
        <v>2312</v>
      </c>
      <c r="B60" s="62" t="s">
        <v>116</v>
      </c>
      <c r="C60" s="228">
        <v>5.79E-3</v>
      </c>
      <c r="D60" s="228"/>
      <c r="E60" s="33">
        <v>4.24</v>
      </c>
    </row>
    <row r="61" spans="1:5" x14ac:dyDescent="0.35">
      <c r="A61" s="31">
        <v>2314</v>
      </c>
      <c r="B61" s="75" t="s">
        <v>152</v>
      </c>
      <c r="C61" s="228">
        <v>2.2200000000000002E-3</v>
      </c>
      <c r="D61" s="228"/>
      <c r="E61" s="33">
        <v>1.63</v>
      </c>
    </row>
    <row r="62" spans="1:5" x14ac:dyDescent="0.35">
      <c r="A62" s="31">
        <v>2321</v>
      </c>
      <c r="B62" s="62" t="s">
        <v>139</v>
      </c>
      <c r="C62" s="228">
        <f>0.0198*1.2+0.005</f>
        <v>2.8760000000000001E-2</v>
      </c>
      <c r="D62" s="228"/>
      <c r="E62" s="33">
        <v>21.06</v>
      </c>
    </row>
    <row r="63" spans="1:5" x14ac:dyDescent="0.35">
      <c r="A63" s="31">
        <v>2322</v>
      </c>
      <c r="B63" s="62" t="s">
        <v>153</v>
      </c>
      <c r="C63" s="228">
        <f>0.0035*1.2</f>
        <v>4.1999999999999997E-3</v>
      </c>
      <c r="D63" s="228"/>
      <c r="E63" s="33">
        <v>3.07</v>
      </c>
    </row>
    <row r="64" spans="1:5" x14ac:dyDescent="0.35">
      <c r="A64" s="31">
        <v>2341</v>
      </c>
      <c r="B64" s="62" t="s">
        <v>140</v>
      </c>
      <c r="C64" s="228"/>
      <c r="D64" s="228"/>
      <c r="E64" s="33"/>
    </row>
    <row r="65" spans="1:5" x14ac:dyDescent="0.35">
      <c r="A65" s="31">
        <v>2350</v>
      </c>
      <c r="B65" s="61" t="s">
        <v>125</v>
      </c>
      <c r="C65" s="228">
        <v>8.5000000000000006E-3</v>
      </c>
      <c r="D65" s="228"/>
      <c r="E65" s="33">
        <v>6.22</v>
      </c>
    </row>
    <row r="66" spans="1:5" ht="15.75" customHeight="1" x14ac:dyDescent="0.35">
      <c r="A66" s="31">
        <v>2513</v>
      </c>
      <c r="B66" s="61" t="s">
        <v>121</v>
      </c>
      <c r="C66" s="228">
        <v>1.4599999999999999E-3</v>
      </c>
      <c r="D66" s="228"/>
      <c r="E66" s="33">
        <v>1.07</v>
      </c>
    </row>
    <row r="67" spans="1:5" x14ac:dyDescent="0.35">
      <c r="A67" s="31">
        <v>2515</v>
      </c>
      <c r="B67" s="62" t="s">
        <v>155</v>
      </c>
      <c r="C67" s="228">
        <v>1.9E-3</v>
      </c>
      <c r="D67" s="228"/>
      <c r="E67" s="33">
        <v>1.39</v>
      </c>
    </row>
    <row r="68" spans="1:5" x14ac:dyDescent="0.35">
      <c r="A68" s="31">
        <v>2519</v>
      </c>
      <c r="B68" s="62" t="s">
        <v>122</v>
      </c>
      <c r="C68" s="228">
        <v>2E-3</v>
      </c>
      <c r="D68" s="228"/>
      <c r="E68" s="33">
        <v>1.46</v>
      </c>
    </row>
    <row r="69" spans="1:5" x14ac:dyDescent="0.35">
      <c r="A69" s="31">
        <v>5220</v>
      </c>
      <c r="B69" s="62" t="s">
        <v>128</v>
      </c>
      <c r="C69" s="228">
        <v>1.06E-2</v>
      </c>
      <c r="D69" s="228"/>
      <c r="E69" s="33">
        <v>7.76</v>
      </c>
    </row>
    <row r="70" spans="1:5" x14ac:dyDescent="0.35">
      <c r="A70" s="31">
        <v>5238</v>
      </c>
      <c r="B70" s="61" t="s">
        <v>129</v>
      </c>
      <c r="C70" s="228">
        <v>1.65E-3</v>
      </c>
      <c r="D70" s="228"/>
      <c r="E70" s="33">
        <v>1.21</v>
      </c>
    </row>
    <row r="71" spans="1:5" x14ac:dyDescent="0.35">
      <c r="A71" s="31">
        <v>5239</v>
      </c>
      <c r="B71" s="61" t="s">
        <v>130</v>
      </c>
      <c r="C71" s="228">
        <v>9.5399999999999999E-3</v>
      </c>
      <c r="D71" s="228"/>
      <c r="E71" s="33">
        <v>6.97</v>
      </c>
    </row>
    <row r="72" spans="1:5" x14ac:dyDescent="0.35">
      <c r="A72" s="31">
        <v>5250</v>
      </c>
      <c r="B72" s="62" t="s">
        <v>131</v>
      </c>
      <c r="C72" s="228">
        <v>7.0600000000000003E-3</v>
      </c>
      <c r="D72" s="228"/>
      <c r="E72" s="33">
        <v>5.17</v>
      </c>
    </row>
    <row r="73" spans="1:5" x14ac:dyDescent="0.35">
      <c r="A73" s="38"/>
      <c r="B73" s="79" t="s">
        <v>97</v>
      </c>
      <c r="C73" s="228">
        <f>SUM(C39:C72)</f>
        <v>1.00000255</v>
      </c>
      <c r="D73" s="228"/>
      <c r="E73" s="37">
        <f>SUM(E39:E72)</f>
        <v>681.5100000000001</v>
      </c>
    </row>
    <row r="74" spans="1:5" x14ac:dyDescent="0.35">
      <c r="A74" s="38"/>
      <c r="B74" s="79" t="s">
        <v>98</v>
      </c>
      <c r="C74" s="232"/>
      <c r="D74" s="232"/>
      <c r="E74" s="37">
        <f>E37+E73</f>
        <v>1536.4</v>
      </c>
    </row>
    <row r="75" spans="1:5" ht="12.75" customHeight="1" x14ac:dyDescent="0.35">
      <c r="A75" s="15"/>
      <c r="B75" s="25"/>
      <c r="C75" s="233"/>
      <c r="D75" s="233"/>
      <c r="E75" s="59"/>
    </row>
    <row r="76" spans="1:5" ht="15.75" customHeight="1" x14ac:dyDescent="0.35">
      <c r="A76" s="417" t="s">
        <v>106</v>
      </c>
      <c r="B76" s="417"/>
      <c r="C76" s="234"/>
      <c r="D76" s="234"/>
      <c r="E76" s="67">
        <v>20</v>
      </c>
    </row>
    <row r="77" spans="1:5" ht="15.75" customHeight="1" x14ac:dyDescent="0.35">
      <c r="A77" s="417" t="s">
        <v>58</v>
      </c>
      <c r="B77" s="417"/>
      <c r="C77" s="234"/>
      <c r="D77" s="234"/>
      <c r="E77" s="68">
        <f>E74/E76</f>
        <v>76.820000000000007</v>
      </c>
    </row>
    <row r="78" spans="1:5" ht="9.75" customHeight="1" x14ac:dyDescent="0.35">
      <c r="A78" s="43"/>
      <c r="B78" s="49"/>
      <c r="C78" s="235"/>
      <c r="D78" s="235"/>
    </row>
    <row r="79" spans="1:5" ht="15.75" customHeight="1" x14ac:dyDescent="0.35">
      <c r="A79" s="418" t="s">
        <v>33</v>
      </c>
      <c r="B79" s="418"/>
      <c r="C79" s="236"/>
      <c r="D79" s="236"/>
      <c r="E79" s="27"/>
    </row>
    <row r="80" spans="1:5" ht="15.75" customHeight="1" x14ac:dyDescent="0.35">
      <c r="A80" s="418" t="s">
        <v>64</v>
      </c>
      <c r="B80" s="418"/>
      <c r="C80" s="236"/>
      <c r="D80" s="236"/>
      <c r="E80" s="85"/>
    </row>
    <row r="81" spans="1:5" ht="8.25" customHeight="1" x14ac:dyDescent="0.35">
      <c r="A81" s="28"/>
      <c r="B81" s="28"/>
      <c r="C81" s="237"/>
      <c r="D81" s="237"/>
      <c r="E81" s="28"/>
    </row>
    <row r="82" spans="1:5" x14ac:dyDescent="0.35">
      <c r="A82" s="28" t="s">
        <v>34</v>
      </c>
      <c r="B82" s="28"/>
      <c r="C82" s="237"/>
      <c r="D82" s="237"/>
      <c r="E82" s="81"/>
    </row>
    <row r="83" spans="1:5" x14ac:dyDescent="0.35">
      <c r="A83" s="28"/>
      <c r="B83" s="28"/>
      <c r="C83" s="237"/>
      <c r="D83" s="237"/>
      <c r="E83" s="81"/>
    </row>
    <row r="84" spans="1:5" x14ac:dyDescent="0.35">
      <c r="A84" s="28" t="s">
        <v>177</v>
      </c>
      <c r="B84" s="29"/>
      <c r="C84" s="238"/>
      <c r="D84" s="238"/>
      <c r="E84" s="81"/>
    </row>
    <row r="85" spans="1:5" x14ac:dyDescent="0.35">
      <c r="B85" s="73"/>
      <c r="C85" s="239"/>
      <c r="D85" s="239"/>
      <c r="E85" s="82"/>
    </row>
    <row r="87" spans="1:5" x14ac:dyDescent="0.35">
      <c r="E87" s="58"/>
    </row>
  </sheetData>
  <mergeCells count="7">
    <mergeCell ref="A7:C7"/>
    <mergeCell ref="A76:B76"/>
    <mergeCell ref="A77:B77"/>
    <mergeCell ref="A79:B79"/>
    <mergeCell ref="A80:B80"/>
    <mergeCell ref="A9:B9"/>
    <mergeCell ref="A10:B10"/>
  </mergeCells>
  <pageMargins left="0.94488188976377963" right="0.55118110236220474" top="0.39370078740157483" bottom="0.55118110236220474" header="0.31496062992125984" footer="0.31496062992125984"/>
  <pageSetup paperSize="9" scale="57" firstPageNumber="3" orientation="portrait" useFirstPageNumber="1" r:id="rId1"/>
  <headerFoot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87"/>
  <sheetViews>
    <sheetView view="pageLayout" topLeftCell="A8" zoomScale="80" zoomScaleNormal="100" zoomScalePageLayoutView="80" workbookViewId="0">
      <selection activeCell="F18" sqref="F18:F36"/>
    </sheetView>
  </sheetViews>
  <sheetFormatPr defaultColWidth="9.1796875" defaultRowHeight="15.5" x14ac:dyDescent="0.35"/>
  <cols>
    <col min="1" max="1" width="22.54296875" style="13" customWidth="1"/>
    <col min="2" max="2" width="91.81640625" style="13" customWidth="1"/>
    <col min="3" max="4" width="7.54296875" style="217" hidden="1" customWidth="1"/>
    <col min="5" max="5" width="28.7265625" style="13" hidden="1" customWidth="1"/>
    <col min="6" max="6" width="28.7265625" style="13" customWidth="1"/>
    <col min="7" max="7" width="9.1796875" style="13"/>
    <col min="8" max="8" width="19.81640625" style="13" bestFit="1" customWidth="1"/>
    <col min="9" max="16384" width="9.1796875" style="13"/>
  </cols>
  <sheetData>
    <row r="1" spans="1:6" ht="15.75" customHeight="1" x14ac:dyDescent="0.35">
      <c r="B1" s="14"/>
      <c r="C1" s="214"/>
      <c r="D1" s="214"/>
      <c r="E1" s="17" t="s">
        <v>10</v>
      </c>
      <c r="F1" s="17" t="s">
        <v>10</v>
      </c>
    </row>
    <row r="2" spans="1:6" x14ac:dyDescent="0.35">
      <c r="B2" s="71"/>
      <c r="C2" s="71"/>
      <c r="D2" s="71"/>
      <c r="E2" s="71"/>
      <c r="F2" s="14" t="s">
        <v>32</v>
      </c>
    </row>
    <row r="3" spans="1:6" x14ac:dyDescent="0.35">
      <c r="B3" s="60"/>
      <c r="C3" s="216"/>
      <c r="D3" s="216"/>
      <c r="E3" s="77" t="s">
        <v>66</v>
      </c>
      <c r="F3" s="77" t="s">
        <v>66</v>
      </c>
    </row>
    <row r="4" spans="1:6" x14ac:dyDescent="0.35">
      <c r="B4" s="14"/>
      <c r="C4" s="214"/>
      <c r="D4" s="214"/>
      <c r="E4" s="15"/>
      <c r="F4" s="15"/>
    </row>
    <row r="5" spans="1:6" x14ac:dyDescent="0.35">
      <c r="B5" s="71"/>
      <c r="C5" s="215"/>
      <c r="D5" s="215"/>
      <c r="E5" s="15" t="s">
        <v>178</v>
      </c>
      <c r="F5" s="15" t="s">
        <v>226</v>
      </c>
    </row>
    <row r="6" spans="1:6" x14ac:dyDescent="0.35">
      <c r="E6" s="25"/>
      <c r="F6" s="25"/>
    </row>
    <row r="7" spans="1:6" x14ac:dyDescent="0.35">
      <c r="A7" s="416" t="s">
        <v>9</v>
      </c>
      <c r="B7" s="416"/>
      <c r="C7" s="416"/>
      <c r="D7" s="416"/>
      <c r="E7" s="416"/>
      <c r="F7" s="70"/>
    </row>
    <row r="8" spans="1:6" x14ac:dyDescent="0.35">
      <c r="B8" s="18"/>
      <c r="C8" s="219"/>
      <c r="D8" s="219"/>
      <c r="E8" s="25"/>
      <c r="F8" s="25"/>
    </row>
    <row r="9" spans="1:6" x14ac:dyDescent="0.35">
      <c r="A9" s="419" t="s">
        <v>1</v>
      </c>
      <c r="B9" s="419"/>
      <c r="C9" s="220"/>
      <c r="D9" s="220"/>
      <c r="E9" s="25"/>
      <c r="F9" s="25"/>
    </row>
    <row r="10" spans="1:6" x14ac:dyDescent="0.35">
      <c r="A10" s="419" t="s">
        <v>0</v>
      </c>
      <c r="B10" s="419"/>
      <c r="C10" s="220"/>
      <c r="D10" s="220"/>
      <c r="E10" s="25"/>
      <c r="F10" s="25"/>
    </row>
    <row r="11" spans="1:6" x14ac:dyDescent="0.35">
      <c r="A11" s="11"/>
      <c r="B11" s="11" t="s">
        <v>179</v>
      </c>
      <c r="C11" s="220"/>
      <c r="D11" s="220"/>
      <c r="E11" s="25"/>
      <c r="F11" s="25"/>
    </row>
    <row r="12" spans="1:6" x14ac:dyDescent="0.35">
      <c r="A12" s="11"/>
      <c r="B12" s="43" t="s">
        <v>199</v>
      </c>
      <c r="C12" s="221"/>
      <c r="D12" s="221"/>
      <c r="E12" s="25"/>
      <c r="F12" s="25"/>
    </row>
    <row r="13" spans="1:6" x14ac:dyDescent="0.35">
      <c r="A13" s="11"/>
      <c r="B13" s="84" t="s">
        <v>200</v>
      </c>
      <c r="C13" s="222"/>
      <c r="D13" s="222"/>
      <c r="E13" s="25"/>
      <c r="F13" s="25"/>
    </row>
    <row r="14" spans="1:6" x14ac:dyDescent="0.35">
      <c r="A14" s="11" t="s">
        <v>2</v>
      </c>
      <c r="B14" s="11" t="s">
        <v>169</v>
      </c>
      <c r="C14" s="220"/>
      <c r="D14" s="220"/>
      <c r="E14" s="25"/>
      <c r="F14" s="25"/>
    </row>
    <row r="15" spans="1:6" ht="69.75" customHeight="1" x14ac:dyDescent="0.35">
      <c r="A15" s="51" t="s">
        <v>3</v>
      </c>
      <c r="B15" s="51" t="s">
        <v>4</v>
      </c>
      <c r="C15" s="223"/>
      <c r="D15" s="223"/>
      <c r="E15" s="51" t="s">
        <v>134</v>
      </c>
      <c r="F15" s="51" t="s">
        <v>134</v>
      </c>
    </row>
    <row r="16" spans="1:6" x14ac:dyDescent="0.35">
      <c r="A16" s="20">
        <v>1</v>
      </c>
      <c r="B16" s="21">
        <v>2</v>
      </c>
      <c r="C16" s="224"/>
      <c r="D16" s="224"/>
      <c r="E16" s="21">
        <v>3</v>
      </c>
      <c r="F16" s="21">
        <v>3</v>
      </c>
    </row>
    <row r="17" spans="1:7" x14ac:dyDescent="0.35">
      <c r="A17" s="20"/>
      <c r="B17" s="22" t="s">
        <v>5</v>
      </c>
      <c r="C17" s="225"/>
      <c r="D17" s="225"/>
      <c r="E17" s="61"/>
      <c r="F17" s="61"/>
    </row>
    <row r="18" spans="1:7" x14ac:dyDescent="0.35">
      <c r="A18" s="31">
        <v>1100</v>
      </c>
      <c r="B18" s="31" t="s">
        <v>132</v>
      </c>
      <c r="C18" s="226"/>
      <c r="D18" s="227">
        <v>9.6161298052920614</v>
      </c>
      <c r="E18" s="33">
        <v>7606.05</v>
      </c>
      <c r="F18" s="33">
        <f>E18/700*500</f>
        <v>5432.8928571428569</v>
      </c>
      <c r="G18" s="58"/>
    </row>
    <row r="19" spans="1:7" x14ac:dyDescent="0.35">
      <c r="A19" s="31">
        <v>1200</v>
      </c>
      <c r="B19" s="61" t="s">
        <v>133</v>
      </c>
      <c r="C19" s="228"/>
      <c r="D19" s="228">
        <f>D18*0.2359</f>
        <v>2.2684450210683971</v>
      </c>
      <c r="E19" s="33">
        <v>1794.27</v>
      </c>
      <c r="F19" s="33">
        <f t="shared" ref="F19:F36" si="0">E19/700*500</f>
        <v>1281.6214285714284</v>
      </c>
    </row>
    <row r="20" spans="1:7" x14ac:dyDescent="0.35">
      <c r="A20" s="31">
        <v>2210</v>
      </c>
      <c r="B20" s="62" t="s">
        <v>120</v>
      </c>
      <c r="C20" s="228"/>
      <c r="D20" s="228"/>
      <c r="E20" s="33"/>
      <c r="F20" s="33"/>
    </row>
    <row r="21" spans="1:7" x14ac:dyDescent="0.35">
      <c r="A21" s="31">
        <v>2222</v>
      </c>
      <c r="B21" s="62" t="s">
        <v>135</v>
      </c>
      <c r="C21" s="228"/>
      <c r="D21" s="229">
        <v>0.30567648527209185</v>
      </c>
      <c r="E21" s="33">
        <v>213.95</v>
      </c>
      <c r="F21" s="33">
        <f t="shared" si="0"/>
        <v>152.82142857142856</v>
      </c>
    </row>
    <row r="22" spans="1:7" x14ac:dyDescent="0.35">
      <c r="A22" s="31">
        <v>2223</v>
      </c>
      <c r="B22" s="62" t="s">
        <v>136</v>
      </c>
      <c r="C22" s="228"/>
      <c r="D22" s="229">
        <v>0.91225661507738398</v>
      </c>
      <c r="E22" s="33">
        <v>638.5</v>
      </c>
      <c r="F22" s="33">
        <f t="shared" si="0"/>
        <v>456.07142857142856</v>
      </c>
    </row>
    <row r="23" spans="1:7" x14ac:dyDescent="0.35">
      <c r="A23" s="31">
        <v>2243</v>
      </c>
      <c r="B23" s="22" t="s">
        <v>137</v>
      </c>
      <c r="C23" s="228"/>
      <c r="D23" s="229">
        <v>4.6135796305541696E-2</v>
      </c>
      <c r="E23" s="33">
        <v>32.29</v>
      </c>
      <c r="F23" s="33">
        <f t="shared" si="0"/>
        <v>23.064285714285713</v>
      </c>
    </row>
    <row r="24" spans="1:7" x14ac:dyDescent="0.35">
      <c r="A24" s="31">
        <v>2244</v>
      </c>
      <c r="B24" s="22" t="s">
        <v>138</v>
      </c>
      <c r="C24" s="228"/>
      <c r="D24" s="229">
        <v>1.1167998002995507</v>
      </c>
      <c r="E24" s="33">
        <v>781.66</v>
      </c>
      <c r="F24" s="33">
        <f t="shared" si="0"/>
        <v>558.32857142857142</v>
      </c>
    </row>
    <row r="25" spans="1:7" x14ac:dyDescent="0.35">
      <c r="A25" s="31">
        <v>2250</v>
      </c>
      <c r="B25" s="22" t="s">
        <v>124</v>
      </c>
      <c r="C25" s="228"/>
      <c r="D25" s="229">
        <v>0.19</v>
      </c>
      <c r="E25" s="33">
        <v>133</v>
      </c>
      <c r="F25" s="33">
        <f t="shared" si="0"/>
        <v>95</v>
      </c>
    </row>
    <row r="26" spans="1:7" x14ac:dyDescent="0.35">
      <c r="A26" s="31">
        <v>2263</v>
      </c>
      <c r="B26" s="62" t="s">
        <v>149</v>
      </c>
      <c r="C26" s="228"/>
      <c r="D26" s="229"/>
      <c r="E26" s="33"/>
      <c r="F26" s="33"/>
    </row>
    <row r="27" spans="1:7" x14ac:dyDescent="0.35">
      <c r="A27" s="31">
        <v>2311</v>
      </c>
      <c r="B27" s="62" t="s">
        <v>151</v>
      </c>
      <c r="C27" s="228"/>
      <c r="D27" s="229">
        <v>1.987943085371942</v>
      </c>
      <c r="E27" s="33">
        <v>1391.5</v>
      </c>
      <c r="F27" s="33">
        <f t="shared" si="0"/>
        <v>993.92857142857133</v>
      </c>
    </row>
    <row r="28" spans="1:7" x14ac:dyDescent="0.35">
      <c r="A28" s="31">
        <v>2312</v>
      </c>
      <c r="B28" s="22" t="s">
        <v>116</v>
      </c>
      <c r="C28" s="228"/>
      <c r="D28" s="229">
        <v>0.57567648527209181</v>
      </c>
      <c r="E28" s="33">
        <v>402.95</v>
      </c>
      <c r="F28" s="33">
        <f t="shared" si="0"/>
        <v>287.82142857142856</v>
      </c>
    </row>
    <row r="29" spans="1:7" x14ac:dyDescent="0.35">
      <c r="A29" s="31">
        <v>2321</v>
      </c>
      <c r="B29" s="62" t="s">
        <v>139</v>
      </c>
      <c r="C29" s="228"/>
      <c r="D29" s="229">
        <v>0.64135297054418372</v>
      </c>
      <c r="E29" s="33">
        <v>448.89</v>
      </c>
      <c r="F29" s="33">
        <f t="shared" si="0"/>
        <v>320.6357142857143</v>
      </c>
    </row>
    <row r="30" spans="1:7" x14ac:dyDescent="0.35">
      <c r="A30" s="31">
        <v>2350</v>
      </c>
      <c r="B30" s="61" t="s">
        <v>125</v>
      </c>
      <c r="C30" s="228"/>
      <c r="D30" s="229">
        <v>0.20726909635546678</v>
      </c>
      <c r="E30" s="33">
        <v>145.07</v>
      </c>
      <c r="F30" s="33">
        <f t="shared" si="0"/>
        <v>103.62142857142857</v>
      </c>
    </row>
    <row r="31" spans="1:7" x14ac:dyDescent="0.35">
      <c r="A31" s="31">
        <v>2361</v>
      </c>
      <c r="B31" s="62" t="s">
        <v>141</v>
      </c>
      <c r="C31" s="228"/>
      <c r="D31" s="229">
        <v>9.4088866699950063E-2</v>
      </c>
      <c r="E31" s="33">
        <v>65.849999999999994</v>
      </c>
      <c r="F31" s="33">
        <f t="shared" si="0"/>
        <v>47.035714285714285</v>
      </c>
    </row>
    <row r="32" spans="1:7" x14ac:dyDescent="0.35">
      <c r="A32" s="31">
        <v>2362</v>
      </c>
      <c r="B32" s="83" t="s">
        <v>156</v>
      </c>
      <c r="C32" s="228"/>
      <c r="D32" s="229">
        <v>0.02</v>
      </c>
      <c r="E32" s="33">
        <v>14</v>
      </c>
      <c r="F32" s="33">
        <f t="shared" si="0"/>
        <v>10</v>
      </c>
    </row>
    <row r="33" spans="1:8" x14ac:dyDescent="0.35">
      <c r="A33" s="31">
        <v>2363</v>
      </c>
      <c r="B33" s="62" t="s">
        <v>142</v>
      </c>
      <c r="C33" s="228"/>
      <c r="D33" s="228">
        <v>3.87</v>
      </c>
      <c r="E33" s="33">
        <v>2709</v>
      </c>
      <c r="F33" s="33">
        <f t="shared" si="0"/>
        <v>1935</v>
      </c>
    </row>
    <row r="34" spans="1:8" x14ac:dyDescent="0.35">
      <c r="A34" s="31">
        <v>2513</v>
      </c>
      <c r="B34" s="61" t="s">
        <v>121</v>
      </c>
      <c r="C34" s="228"/>
      <c r="D34" s="228"/>
      <c r="E34" s="33"/>
      <c r="F34" s="33"/>
    </row>
    <row r="35" spans="1:8" x14ac:dyDescent="0.35">
      <c r="A35" s="31">
        <v>2519</v>
      </c>
      <c r="B35" s="62" t="s">
        <v>122</v>
      </c>
      <c r="C35" s="228"/>
      <c r="D35" s="228"/>
      <c r="E35" s="33"/>
      <c r="F35" s="33"/>
    </row>
    <row r="36" spans="1:8" x14ac:dyDescent="0.35">
      <c r="A36" s="31">
        <v>5239</v>
      </c>
      <c r="B36" s="61" t="s">
        <v>130</v>
      </c>
      <c r="C36" s="228"/>
      <c r="D36" s="229">
        <v>0.85953569645531702</v>
      </c>
      <c r="E36" s="33">
        <v>601.62</v>
      </c>
      <c r="F36" s="33">
        <f t="shared" si="0"/>
        <v>429.7285714285714</v>
      </c>
    </row>
    <row r="37" spans="1:8" x14ac:dyDescent="0.35">
      <c r="A37" s="31"/>
      <c r="B37" s="78" t="s">
        <v>6</v>
      </c>
      <c r="C37" s="230"/>
      <c r="D37" s="230">
        <f>SUM(D18:D36)</f>
        <v>22.711309724013976</v>
      </c>
      <c r="E37" s="37">
        <f>SUM(E18:E36)</f>
        <v>16978.600000000002</v>
      </c>
      <c r="F37" s="37">
        <f>SUM(F18:F36)</f>
        <v>12127.571428571428</v>
      </c>
      <c r="H37" s="58"/>
    </row>
    <row r="38" spans="1:8" x14ac:dyDescent="0.35">
      <c r="A38" s="38"/>
      <c r="B38" s="78" t="s">
        <v>7</v>
      </c>
      <c r="C38" s="230"/>
      <c r="D38" s="230"/>
      <c r="E38" s="33"/>
      <c r="F38" s="33"/>
    </row>
    <row r="39" spans="1:8" x14ac:dyDescent="0.35">
      <c r="A39" s="31">
        <v>1100</v>
      </c>
      <c r="B39" s="22" t="s">
        <v>132</v>
      </c>
      <c r="C39" s="228">
        <v>0.48549999999999999</v>
      </c>
      <c r="D39" s="240"/>
      <c r="E39" s="33">
        <v>5790.12</v>
      </c>
      <c r="F39" s="33">
        <f t="shared" ref="F39:F72" si="1">E39/700*500</f>
        <v>4135.7999999999993</v>
      </c>
      <c r="G39" s="58"/>
    </row>
    <row r="40" spans="1:8" ht="16.5" customHeight="1" x14ac:dyDescent="0.35">
      <c r="A40" s="31">
        <v>1200</v>
      </c>
      <c r="B40" s="22" t="s">
        <v>133</v>
      </c>
      <c r="C40" s="228">
        <f>C39*0.2359</f>
        <v>0.11452944999999999</v>
      </c>
      <c r="D40" s="228"/>
      <c r="E40" s="33">
        <v>1365.89</v>
      </c>
      <c r="F40" s="33">
        <f t="shared" si="1"/>
        <v>975.63571428571436</v>
      </c>
    </row>
    <row r="41" spans="1:8" ht="16.5" customHeight="1" x14ac:dyDescent="0.35">
      <c r="A41" s="31">
        <v>2100</v>
      </c>
      <c r="B41" s="24" t="s">
        <v>45</v>
      </c>
      <c r="C41" s="228">
        <v>1.1659999999999999E-3</v>
      </c>
      <c r="D41" s="228"/>
      <c r="E41" s="33">
        <v>16.010000000000002</v>
      </c>
      <c r="F41" s="33">
        <f t="shared" si="1"/>
        <v>11.435714285714287</v>
      </c>
    </row>
    <row r="42" spans="1:8" x14ac:dyDescent="0.35">
      <c r="A42" s="34">
        <v>2210</v>
      </c>
      <c r="B42" s="62" t="s">
        <v>120</v>
      </c>
      <c r="C42" s="228">
        <v>7.6E-3</v>
      </c>
      <c r="D42" s="228"/>
      <c r="E42" s="33">
        <v>104.38</v>
      </c>
      <c r="F42" s="33">
        <f t="shared" si="1"/>
        <v>74.55714285714285</v>
      </c>
    </row>
    <row r="43" spans="1:8" x14ac:dyDescent="0.35">
      <c r="A43" s="31">
        <v>2222</v>
      </c>
      <c r="B43" s="62" t="s">
        <v>135</v>
      </c>
      <c r="C43" s="228">
        <f>0.0095*1.15</f>
        <v>1.0924999999999999E-2</v>
      </c>
      <c r="D43" s="228"/>
      <c r="E43" s="33">
        <v>150.04</v>
      </c>
      <c r="F43" s="33">
        <f t="shared" si="1"/>
        <v>107.17142857142856</v>
      </c>
    </row>
    <row r="44" spans="1:8" x14ac:dyDescent="0.35">
      <c r="A44" s="31">
        <v>2223</v>
      </c>
      <c r="B44" s="62" t="s">
        <v>136</v>
      </c>
      <c r="C44" s="228">
        <f>0.01902*2.13</f>
        <v>4.0512599999999996E-2</v>
      </c>
      <c r="D44" s="228"/>
      <c r="E44" s="33">
        <v>556.39</v>
      </c>
      <c r="F44" s="33">
        <f t="shared" si="1"/>
        <v>397.42142857142852</v>
      </c>
    </row>
    <row r="45" spans="1:8" ht="31" x14ac:dyDescent="0.35">
      <c r="A45" s="31">
        <v>2224</v>
      </c>
      <c r="B45" s="62" t="s">
        <v>143</v>
      </c>
      <c r="C45" s="228">
        <f>0.00495*1.15</f>
        <v>5.6924999999999996E-3</v>
      </c>
      <c r="D45" s="228"/>
      <c r="E45" s="33">
        <v>78.180000000000007</v>
      </c>
      <c r="F45" s="33">
        <f t="shared" si="1"/>
        <v>55.842857142857149</v>
      </c>
    </row>
    <row r="46" spans="1:8" ht="15.75" customHeight="1" x14ac:dyDescent="0.35">
      <c r="A46" s="31">
        <v>2231</v>
      </c>
      <c r="B46" s="22" t="s">
        <v>126</v>
      </c>
      <c r="C46" s="228">
        <v>1.5499999999999999E-3</v>
      </c>
      <c r="D46" s="228"/>
      <c r="E46" s="33">
        <v>21.29</v>
      </c>
      <c r="F46" s="33">
        <f t="shared" si="1"/>
        <v>15.207142857142857</v>
      </c>
    </row>
    <row r="47" spans="1:8" ht="15.75" customHeight="1" x14ac:dyDescent="0.35">
      <c r="A47" s="31">
        <v>2235</v>
      </c>
      <c r="B47" s="75" t="s">
        <v>127</v>
      </c>
      <c r="C47" s="228">
        <v>1.65E-3</v>
      </c>
      <c r="D47" s="228"/>
      <c r="E47" s="33">
        <v>22.66</v>
      </c>
      <c r="F47" s="33">
        <f t="shared" si="1"/>
        <v>16.185714285714287</v>
      </c>
    </row>
    <row r="48" spans="1:8" x14ac:dyDescent="0.35">
      <c r="A48" s="31">
        <v>2239</v>
      </c>
      <c r="B48" s="22" t="s">
        <v>144</v>
      </c>
      <c r="C48" s="228">
        <v>4.4099999999999999E-3</v>
      </c>
      <c r="D48" s="228"/>
      <c r="E48" s="33">
        <v>60.57</v>
      </c>
      <c r="F48" s="33">
        <f t="shared" si="1"/>
        <v>43.264285714285712</v>
      </c>
    </row>
    <row r="49" spans="1:6" x14ac:dyDescent="0.35">
      <c r="A49" s="31">
        <v>2241</v>
      </c>
      <c r="B49" s="22" t="s">
        <v>123</v>
      </c>
      <c r="C49" s="228">
        <v>1.6500000000000001E-2</v>
      </c>
      <c r="D49" s="228"/>
      <c r="E49" s="33">
        <f>226.61+3.26</f>
        <v>229.87</v>
      </c>
      <c r="F49" s="33">
        <f t="shared" si="1"/>
        <v>164.19285714285715</v>
      </c>
    </row>
    <row r="50" spans="1:6" x14ac:dyDescent="0.35">
      <c r="A50" s="31">
        <v>2242</v>
      </c>
      <c r="B50" s="62" t="s">
        <v>145</v>
      </c>
      <c r="C50" s="228">
        <v>2.2599999999999999E-3</v>
      </c>
      <c r="D50" s="228"/>
      <c r="E50" s="33">
        <v>31.04</v>
      </c>
      <c r="F50" s="33">
        <f t="shared" si="1"/>
        <v>22.171428571428571</v>
      </c>
    </row>
    <row r="51" spans="1:6" ht="15.75" customHeight="1" x14ac:dyDescent="0.35">
      <c r="A51" s="31">
        <v>2243</v>
      </c>
      <c r="B51" s="22" t="s">
        <v>137</v>
      </c>
      <c r="C51" s="228">
        <v>3.2599999999999997E-2</v>
      </c>
      <c r="D51" s="228"/>
      <c r="E51" s="33">
        <v>447.72</v>
      </c>
      <c r="F51" s="33">
        <f t="shared" si="1"/>
        <v>319.8</v>
      </c>
    </row>
    <row r="52" spans="1:6" x14ac:dyDescent="0.35">
      <c r="A52" s="31">
        <v>2244</v>
      </c>
      <c r="B52" s="22" t="s">
        <v>138</v>
      </c>
      <c r="C52" s="228">
        <f>0.20397-0.09084</f>
        <v>0.11313000000000001</v>
      </c>
      <c r="D52" s="228"/>
      <c r="E52" s="33">
        <v>1553.71</v>
      </c>
      <c r="F52" s="33">
        <f t="shared" si="1"/>
        <v>1109.7928571428572</v>
      </c>
    </row>
    <row r="53" spans="1:6" x14ac:dyDescent="0.35">
      <c r="A53" s="106">
        <v>2247</v>
      </c>
      <c r="B53" s="104" t="s">
        <v>146</v>
      </c>
      <c r="C53" s="228">
        <v>7.1900000000000002E-4</v>
      </c>
      <c r="D53" s="228"/>
      <c r="E53" s="33">
        <v>9.8699999999999992</v>
      </c>
      <c r="F53" s="33">
        <f t="shared" si="1"/>
        <v>7.05</v>
      </c>
    </row>
    <row r="54" spans="1:6" x14ac:dyDescent="0.35">
      <c r="A54" s="31">
        <v>2249</v>
      </c>
      <c r="B54" s="22" t="s">
        <v>171</v>
      </c>
      <c r="C54" s="228">
        <v>2.32E-4</v>
      </c>
      <c r="D54" s="228"/>
      <c r="E54" s="33">
        <v>3.19</v>
      </c>
      <c r="F54" s="33">
        <f t="shared" si="1"/>
        <v>2.2785714285714285</v>
      </c>
    </row>
    <row r="55" spans="1:6" x14ac:dyDescent="0.35">
      <c r="A55" s="31">
        <v>2250</v>
      </c>
      <c r="B55" s="22" t="s">
        <v>124</v>
      </c>
      <c r="C55" s="228">
        <f>0.024026-0.005</f>
        <v>1.9025999999999998E-2</v>
      </c>
      <c r="D55" s="228"/>
      <c r="E55" s="33">
        <v>261.3</v>
      </c>
      <c r="F55" s="33">
        <f t="shared" si="1"/>
        <v>186.64285714285714</v>
      </c>
    </row>
    <row r="56" spans="1:6" x14ac:dyDescent="0.35">
      <c r="A56" s="31">
        <v>2262</v>
      </c>
      <c r="B56" s="62" t="s">
        <v>148</v>
      </c>
      <c r="C56" s="228">
        <v>6.2599999999999999E-3</v>
      </c>
      <c r="D56" s="228"/>
      <c r="E56" s="33">
        <v>85.97</v>
      </c>
      <c r="F56" s="33">
        <f t="shared" si="1"/>
        <v>61.407142857142851</v>
      </c>
    </row>
    <row r="57" spans="1:6" x14ac:dyDescent="0.35">
      <c r="A57" s="31">
        <v>2263</v>
      </c>
      <c r="B57" s="62" t="s">
        <v>149</v>
      </c>
      <c r="C57" s="228">
        <v>4.58E-2</v>
      </c>
      <c r="D57" s="228"/>
      <c r="E57" s="33">
        <v>629.01</v>
      </c>
      <c r="F57" s="33">
        <f t="shared" si="1"/>
        <v>449.29285714285714</v>
      </c>
    </row>
    <row r="58" spans="1:6" x14ac:dyDescent="0.35">
      <c r="A58" s="31">
        <v>2264</v>
      </c>
      <c r="B58" s="22" t="s">
        <v>150</v>
      </c>
      <c r="C58" s="228">
        <v>1.49E-3</v>
      </c>
      <c r="D58" s="228"/>
      <c r="E58" s="33">
        <v>20.46</v>
      </c>
      <c r="F58" s="33">
        <f t="shared" si="1"/>
        <v>14.614285714285716</v>
      </c>
    </row>
    <row r="59" spans="1:6" x14ac:dyDescent="0.35">
      <c r="A59" s="31">
        <v>2311</v>
      </c>
      <c r="B59" s="62" t="s">
        <v>151</v>
      </c>
      <c r="C59" s="228">
        <v>4.7699999999999999E-3</v>
      </c>
      <c r="D59" s="228"/>
      <c r="E59" s="33">
        <v>65.510000000000005</v>
      </c>
      <c r="F59" s="33">
        <f t="shared" si="1"/>
        <v>46.792857142857152</v>
      </c>
    </row>
    <row r="60" spans="1:6" x14ac:dyDescent="0.35">
      <c r="A60" s="31">
        <v>2312</v>
      </c>
      <c r="B60" s="62" t="s">
        <v>116</v>
      </c>
      <c r="C60" s="228">
        <v>5.79E-3</v>
      </c>
      <c r="D60" s="228"/>
      <c r="E60" s="33">
        <v>79.52</v>
      </c>
      <c r="F60" s="33">
        <f t="shared" si="1"/>
        <v>56.8</v>
      </c>
    </row>
    <row r="61" spans="1:6" x14ac:dyDescent="0.35">
      <c r="A61" s="31">
        <v>2314</v>
      </c>
      <c r="B61" s="75" t="s">
        <v>152</v>
      </c>
      <c r="C61" s="228">
        <v>2.2200000000000002E-3</v>
      </c>
      <c r="D61" s="228"/>
      <c r="E61" s="33">
        <v>30.49</v>
      </c>
      <c r="F61" s="33">
        <f t="shared" si="1"/>
        <v>21.778571428571428</v>
      </c>
    </row>
    <row r="62" spans="1:6" x14ac:dyDescent="0.35">
      <c r="A62" s="31">
        <v>2321</v>
      </c>
      <c r="B62" s="62" t="s">
        <v>139</v>
      </c>
      <c r="C62" s="228">
        <f>0.0198*1.2+0.005</f>
        <v>2.8760000000000001E-2</v>
      </c>
      <c r="D62" s="228"/>
      <c r="E62" s="33">
        <v>394.99</v>
      </c>
      <c r="F62" s="33">
        <f t="shared" si="1"/>
        <v>282.13571428571424</v>
      </c>
    </row>
    <row r="63" spans="1:6" x14ac:dyDescent="0.35">
      <c r="A63" s="31">
        <v>2322</v>
      </c>
      <c r="B63" s="62" t="s">
        <v>153</v>
      </c>
      <c r="C63" s="228">
        <f>0.0035*1.2</f>
        <v>4.1999999999999997E-3</v>
      </c>
      <c r="D63" s="228"/>
      <c r="E63" s="33">
        <v>57.68</v>
      </c>
      <c r="F63" s="33">
        <f t="shared" si="1"/>
        <v>41.2</v>
      </c>
    </row>
    <row r="64" spans="1:6" x14ac:dyDescent="0.35">
      <c r="A64" s="31">
        <v>2341</v>
      </c>
      <c r="B64" s="62" t="s">
        <v>140</v>
      </c>
      <c r="C64" s="228"/>
      <c r="D64" s="228"/>
      <c r="E64" s="33"/>
      <c r="F64" s="33"/>
    </row>
    <row r="65" spans="1:8" x14ac:dyDescent="0.35">
      <c r="A65" s="31">
        <v>2350</v>
      </c>
      <c r="B65" s="61" t="s">
        <v>125</v>
      </c>
      <c r="C65" s="228">
        <v>8.5000000000000006E-3</v>
      </c>
      <c r="D65" s="228"/>
      <c r="E65" s="33">
        <v>116.74</v>
      </c>
      <c r="F65" s="33">
        <f t="shared" si="1"/>
        <v>83.385714285714286</v>
      </c>
    </row>
    <row r="66" spans="1:8" ht="15.75" customHeight="1" x14ac:dyDescent="0.35">
      <c r="A66" s="31">
        <v>2513</v>
      </c>
      <c r="B66" s="61" t="s">
        <v>121</v>
      </c>
      <c r="C66" s="228">
        <v>1.4599999999999999E-3</v>
      </c>
      <c r="D66" s="228"/>
      <c r="E66" s="33">
        <v>20.05</v>
      </c>
      <c r="F66" s="33">
        <f t="shared" si="1"/>
        <v>14.321428571428571</v>
      </c>
    </row>
    <row r="67" spans="1:8" x14ac:dyDescent="0.35">
      <c r="A67" s="31">
        <v>2515</v>
      </c>
      <c r="B67" s="62" t="s">
        <v>155</v>
      </c>
      <c r="C67" s="228">
        <v>1.9E-3</v>
      </c>
      <c r="D67" s="228"/>
      <c r="E67" s="33">
        <v>26.09</v>
      </c>
      <c r="F67" s="33">
        <f t="shared" si="1"/>
        <v>18.635714285714286</v>
      </c>
    </row>
    <row r="68" spans="1:8" x14ac:dyDescent="0.35">
      <c r="A68" s="31">
        <v>2519</v>
      </c>
      <c r="B68" s="62" t="s">
        <v>122</v>
      </c>
      <c r="C68" s="228">
        <v>2E-3</v>
      </c>
      <c r="D68" s="228"/>
      <c r="E68" s="33">
        <v>27.47</v>
      </c>
      <c r="F68" s="33">
        <f t="shared" si="1"/>
        <v>19.62142857142857</v>
      </c>
    </row>
    <row r="69" spans="1:8" x14ac:dyDescent="0.35">
      <c r="A69" s="31">
        <v>5220</v>
      </c>
      <c r="B69" s="62" t="s">
        <v>128</v>
      </c>
      <c r="C69" s="228">
        <v>1.06E-2</v>
      </c>
      <c r="D69" s="228"/>
      <c r="E69" s="33">
        <v>145.58000000000001</v>
      </c>
      <c r="F69" s="33">
        <f t="shared" si="1"/>
        <v>103.98571428571429</v>
      </c>
    </row>
    <row r="70" spans="1:8" x14ac:dyDescent="0.35">
      <c r="A70" s="31">
        <v>5238</v>
      </c>
      <c r="B70" s="61" t="s">
        <v>129</v>
      </c>
      <c r="C70" s="228">
        <v>1.65E-3</v>
      </c>
      <c r="D70" s="228"/>
      <c r="E70" s="33">
        <v>22.66</v>
      </c>
      <c r="F70" s="33">
        <f t="shared" si="1"/>
        <v>16.185714285714287</v>
      </c>
    </row>
    <row r="71" spans="1:8" x14ac:dyDescent="0.35">
      <c r="A71" s="31">
        <v>5239</v>
      </c>
      <c r="B71" s="61" t="s">
        <v>130</v>
      </c>
      <c r="C71" s="228">
        <v>9.5399999999999999E-3</v>
      </c>
      <c r="D71" s="228"/>
      <c r="E71" s="33">
        <v>131.02000000000001</v>
      </c>
      <c r="F71" s="33">
        <f t="shared" si="1"/>
        <v>93.585714285714303</v>
      </c>
    </row>
    <row r="72" spans="1:8" x14ac:dyDescent="0.35">
      <c r="A72" s="31">
        <v>5250</v>
      </c>
      <c r="B72" s="62" t="s">
        <v>131</v>
      </c>
      <c r="C72" s="228">
        <v>7.0600000000000003E-3</v>
      </c>
      <c r="D72" s="228"/>
      <c r="E72" s="33">
        <v>96.93</v>
      </c>
      <c r="F72" s="33">
        <f t="shared" si="1"/>
        <v>69.235714285714295</v>
      </c>
    </row>
    <row r="73" spans="1:8" x14ac:dyDescent="0.35">
      <c r="A73" s="38"/>
      <c r="B73" s="79" t="s">
        <v>97</v>
      </c>
      <c r="C73" s="228">
        <f>SUM(C39:C72)</f>
        <v>1.00000255</v>
      </c>
      <c r="D73" s="228"/>
      <c r="E73" s="37">
        <f>SUM(E39:E72)</f>
        <v>12652.400000000001</v>
      </c>
      <c r="F73" s="37">
        <f>SUM(F39:F72)</f>
        <v>9037.4285714285706</v>
      </c>
    </row>
    <row r="74" spans="1:8" x14ac:dyDescent="0.35">
      <c r="A74" s="38"/>
      <c r="B74" s="79" t="s">
        <v>98</v>
      </c>
      <c r="C74" s="232"/>
      <c r="D74" s="232"/>
      <c r="E74" s="37">
        <f>E37+E73</f>
        <v>29631.000000000004</v>
      </c>
      <c r="F74" s="37">
        <f>F37+F73</f>
        <v>21165</v>
      </c>
    </row>
    <row r="75" spans="1:8" ht="12.75" customHeight="1" x14ac:dyDescent="0.35">
      <c r="A75" s="15"/>
      <c r="B75" s="25"/>
      <c r="C75" s="233"/>
      <c r="D75" s="233"/>
      <c r="E75" s="59"/>
      <c r="F75" s="59"/>
    </row>
    <row r="76" spans="1:8" ht="15.75" customHeight="1" x14ac:dyDescent="0.35">
      <c r="A76" s="417" t="s">
        <v>106</v>
      </c>
      <c r="B76" s="417"/>
      <c r="C76" s="234"/>
      <c r="D76" s="234"/>
      <c r="E76" s="67">
        <v>700</v>
      </c>
      <c r="F76" s="67">
        <v>500</v>
      </c>
    </row>
    <row r="77" spans="1:8" ht="15.75" customHeight="1" x14ac:dyDescent="0.35">
      <c r="A77" s="417" t="s">
        <v>58</v>
      </c>
      <c r="B77" s="417"/>
      <c r="C77" s="234"/>
      <c r="D77" s="234"/>
      <c r="E77" s="68">
        <f>E74/E76</f>
        <v>42.330000000000005</v>
      </c>
      <c r="F77" s="68">
        <f>F74/F76</f>
        <v>42.33</v>
      </c>
      <c r="G77" s="58"/>
      <c r="H77" s="144"/>
    </row>
    <row r="78" spans="1:8" x14ac:dyDescent="0.35">
      <c r="A78" s="43"/>
      <c r="B78" s="49"/>
      <c r="C78" s="235"/>
      <c r="D78" s="235"/>
      <c r="E78" s="82"/>
      <c r="F78" s="82"/>
    </row>
    <row r="79" spans="1:8" ht="15.75" customHeight="1" x14ac:dyDescent="0.35">
      <c r="A79" s="418" t="s">
        <v>33</v>
      </c>
      <c r="B79" s="418"/>
      <c r="C79" s="236"/>
      <c r="D79" s="236"/>
      <c r="E79" s="27"/>
      <c r="F79" s="27"/>
    </row>
    <row r="80" spans="1:8" ht="15.75" customHeight="1" x14ac:dyDescent="0.35">
      <c r="A80" s="418" t="s">
        <v>64</v>
      </c>
      <c r="B80" s="418"/>
      <c r="C80" s="236"/>
      <c r="D80" s="236"/>
      <c r="E80" s="85"/>
      <c r="F80" s="85"/>
    </row>
    <row r="81" spans="1:6" x14ac:dyDescent="0.35">
      <c r="A81" s="28"/>
      <c r="B81" s="28"/>
      <c r="C81" s="237"/>
      <c r="D81" s="237"/>
      <c r="E81" s="28"/>
      <c r="F81" s="28"/>
    </row>
    <row r="82" spans="1:6" x14ac:dyDescent="0.35">
      <c r="A82" s="28" t="s">
        <v>34</v>
      </c>
      <c r="B82" s="28"/>
      <c r="C82" s="237"/>
      <c r="D82" s="237"/>
      <c r="E82" s="81"/>
      <c r="F82" s="81"/>
    </row>
    <row r="83" spans="1:6" x14ac:dyDescent="0.35">
      <c r="A83" s="28"/>
      <c r="B83" s="28"/>
      <c r="C83" s="237"/>
      <c r="D83" s="237"/>
      <c r="E83" s="81"/>
      <c r="F83" s="81"/>
    </row>
    <row r="84" spans="1:6" x14ac:dyDescent="0.35">
      <c r="A84" s="28" t="s">
        <v>177</v>
      </c>
      <c r="B84" s="29"/>
      <c r="C84" s="238"/>
      <c r="D84" s="238"/>
      <c r="E84" s="81"/>
      <c r="F84" s="81"/>
    </row>
    <row r="85" spans="1:6" x14ac:dyDescent="0.35">
      <c r="B85" s="73"/>
      <c r="C85" s="239"/>
      <c r="D85" s="239"/>
      <c r="E85" s="82"/>
      <c r="F85" s="82"/>
    </row>
    <row r="87" spans="1:6" x14ac:dyDescent="0.35">
      <c r="E87" s="58"/>
      <c r="F87" s="58"/>
    </row>
  </sheetData>
  <mergeCells count="7">
    <mergeCell ref="A7:E7"/>
    <mergeCell ref="A9:B9"/>
    <mergeCell ref="A80:B80"/>
    <mergeCell ref="A76:B76"/>
    <mergeCell ref="A77:B77"/>
    <mergeCell ref="A79:B79"/>
    <mergeCell ref="A10:B10"/>
  </mergeCells>
  <pageMargins left="0.72499999999999998" right="0.55118110236220474" top="0.39370078740157483" bottom="0.45718750000000002" header="0.31496062992125984" footer="0.16"/>
  <pageSetup paperSize="9" scale="57" firstPageNumber="4" orientation="portrait" useFirstPageNumber="1" r:id="rId1"/>
  <headerFooter>
    <oddFooter>&amp;C&amp;"Times New Roman,Regular"&amp;F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87"/>
  <sheetViews>
    <sheetView view="pageLayout" topLeftCell="A7" zoomScale="80" zoomScaleNormal="100" zoomScalePageLayoutView="80" workbookViewId="0">
      <selection activeCell="F18" sqref="F18:F36"/>
    </sheetView>
  </sheetViews>
  <sheetFormatPr defaultColWidth="9.1796875" defaultRowHeight="15.5" x14ac:dyDescent="0.35"/>
  <cols>
    <col min="1" max="1" width="16.1796875" style="13" customWidth="1"/>
    <col min="2" max="2" width="92" style="13" customWidth="1"/>
    <col min="3" max="4" width="7.81640625" style="217" hidden="1" customWidth="1"/>
    <col min="5" max="5" width="31.54296875" style="13" hidden="1" customWidth="1"/>
    <col min="6" max="6" width="31.54296875" style="13" customWidth="1"/>
    <col min="7" max="7" width="10.453125" style="13" customWidth="1"/>
    <col min="8" max="8" width="16.26953125" style="13" customWidth="1"/>
    <col min="9" max="16384" width="9.1796875" style="13"/>
  </cols>
  <sheetData>
    <row r="1" spans="1:7" ht="15.75" customHeight="1" x14ac:dyDescent="0.35">
      <c r="B1" s="14"/>
      <c r="C1" s="214"/>
      <c r="D1" s="214"/>
      <c r="E1" s="17" t="s">
        <v>10</v>
      </c>
      <c r="F1" s="17" t="s">
        <v>10</v>
      </c>
    </row>
    <row r="2" spans="1:7" ht="15.75" customHeight="1" x14ac:dyDescent="0.35">
      <c r="E2" s="14" t="s">
        <v>32</v>
      </c>
      <c r="F2" s="14" t="s">
        <v>32</v>
      </c>
      <c r="G2" s="14"/>
    </row>
    <row r="3" spans="1:7" x14ac:dyDescent="0.35">
      <c r="B3" s="60"/>
      <c r="C3" s="216"/>
      <c r="D3" s="216"/>
      <c r="E3" s="77" t="s">
        <v>66</v>
      </c>
      <c r="F3" s="77" t="s">
        <v>66</v>
      </c>
    </row>
    <row r="4" spans="1:7" x14ac:dyDescent="0.35">
      <c r="B4" s="14"/>
      <c r="C4" s="214"/>
      <c r="D4" s="214"/>
      <c r="E4" s="15"/>
      <c r="F4" s="15"/>
    </row>
    <row r="5" spans="1:7" x14ac:dyDescent="0.35">
      <c r="B5" s="71"/>
      <c r="C5" s="215"/>
      <c r="D5" s="215"/>
      <c r="E5" s="15"/>
      <c r="F5" s="15"/>
    </row>
    <row r="6" spans="1:7" x14ac:dyDescent="0.35">
      <c r="E6" s="15" t="s">
        <v>178</v>
      </c>
      <c r="F6" s="15" t="s">
        <v>226</v>
      </c>
    </row>
    <row r="7" spans="1:7" x14ac:dyDescent="0.35">
      <c r="A7" s="416" t="s">
        <v>9</v>
      </c>
      <c r="B7" s="416"/>
      <c r="C7" s="416"/>
      <c r="D7" s="218"/>
      <c r="E7" s="70"/>
      <c r="F7" s="70"/>
    </row>
    <row r="8" spans="1:7" x14ac:dyDescent="0.35">
      <c r="B8" s="18"/>
      <c r="C8" s="219"/>
      <c r="D8" s="219"/>
      <c r="E8" s="25"/>
      <c r="F8" s="25"/>
    </row>
    <row r="9" spans="1:7" x14ac:dyDescent="0.35">
      <c r="A9" s="419" t="s">
        <v>1</v>
      </c>
      <c r="B9" s="419"/>
      <c r="C9" s="220"/>
      <c r="D9" s="220"/>
      <c r="E9" s="25"/>
      <c r="F9" s="25"/>
    </row>
    <row r="10" spans="1:7" x14ac:dyDescent="0.35">
      <c r="A10" s="419" t="s">
        <v>0</v>
      </c>
      <c r="B10" s="419"/>
      <c r="C10" s="220"/>
      <c r="D10" s="220"/>
      <c r="E10" s="25"/>
      <c r="F10" s="25"/>
    </row>
    <row r="11" spans="1:7" x14ac:dyDescent="0.35">
      <c r="A11" s="11"/>
      <c r="B11" s="11" t="s">
        <v>179</v>
      </c>
      <c r="C11" s="220"/>
      <c r="D11" s="220"/>
      <c r="E11" s="25"/>
      <c r="F11" s="25"/>
    </row>
    <row r="12" spans="1:7" x14ac:dyDescent="0.35">
      <c r="A12" s="11"/>
      <c r="B12" s="43" t="s">
        <v>199</v>
      </c>
      <c r="C12" s="221"/>
      <c r="D12" s="221"/>
      <c r="E12" s="25"/>
      <c r="F12" s="25"/>
    </row>
    <row r="13" spans="1:7" x14ac:dyDescent="0.35">
      <c r="A13" s="11"/>
      <c r="B13" s="84" t="s">
        <v>201</v>
      </c>
      <c r="C13" s="222"/>
      <c r="D13" s="222"/>
      <c r="E13" s="25"/>
      <c r="F13" s="25"/>
    </row>
    <row r="14" spans="1:7" x14ac:dyDescent="0.35">
      <c r="A14" s="11" t="s">
        <v>2</v>
      </c>
      <c r="B14" s="11" t="s">
        <v>169</v>
      </c>
      <c r="C14" s="220"/>
      <c r="D14" s="220"/>
      <c r="E14" s="25"/>
      <c r="F14" s="25"/>
    </row>
    <row r="15" spans="1:7" ht="61.5" customHeight="1" x14ac:dyDescent="0.35">
      <c r="A15" s="51" t="s">
        <v>3</v>
      </c>
      <c r="B15" s="51" t="s">
        <v>4</v>
      </c>
      <c r="C15" s="223"/>
      <c r="D15" s="223"/>
      <c r="E15" s="51" t="s">
        <v>134</v>
      </c>
      <c r="F15" s="51" t="s">
        <v>134</v>
      </c>
    </row>
    <row r="16" spans="1:7" x14ac:dyDescent="0.35">
      <c r="A16" s="20">
        <v>1</v>
      </c>
      <c r="B16" s="21">
        <v>2</v>
      </c>
      <c r="C16" s="224"/>
      <c r="D16" s="224"/>
      <c r="E16" s="21">
        <v>3</v>
      </c>
      <c r="F16" s="21">
        <v>3</v>
      </c>
    </row>
    <row r="17" spans="1:7" x14ac:dyDescent="0.35">
      <c r="A17" s="20"/>
      <c r="B17" s="22" t="s">
        <v>5</v>
      </c>
      <c r="C17" s="225"/>
      <c r="D17" s="225"/>
      <c r="E17" s="61"/>
      <c r="F17" s="61"/>
    </row>
    <row r="18" spans="1:7" x14ac:dyDescent="0.35">
      <c r="A18" s="31">
        <v>1100</v>
      </c>
      <c r="B18" s="31" t="s">
        <v>132</v>
      </c>
      <c r="C18" s="226"/>
      <c r="D18" s="227">
        <v>13.506129805292062</v>
      </c>
      <c r="E18" s="33">
        <v>13735.54</v>
      </c>
      <c r="F18" s="33">
        <f>E18/900*700</f>
        <v>10683.197777777777</v>
      </c>
      <c r="G18" s="58"/>
    </row>
    <row r="19" spans="1:7" x14ac:dyDescent="0.35">
      <c r="A19" s="31">
        <v>1200</v>
      </c>
      <c r="B19" s="61" t="s">
        <v>133</v>
      </c>
      <c r="C19" s="228"/>
      <c r="D19" s="228">
        <f>D18*0.2359</f>
        <v>3.1860960210683973</v>
      </c>
      <c r="E19" s="33">
        <v>3240.21</v>
      </c>
      <c r="F19" s="33">
        <f t="shared" ref="F19:F36" si="0">E19/900*700</f>
        <v>2520.1633333333334</v>
      </c>
      <c r="G19" s="58"/>
    </row>
    <row r="20" spans="1:7" x14ac:dyDescent="0.35">
      <c r="A20" s="31">
        <v>2210</v>
      </c>
      <c r="B20" s="62" t="s">
        <v>120</v>
      </c>
      <c r="C20" s="228"/>
      <c r="D20" s="228"/>
      <c r="E20" s="33"/>
      <c r="F20" s="33"/>
      <c r="G20" s="58"/>
    </row>
    <row r="21" spans="1:7" x14ac:dyDescent="0.35">
      <c r="A21" s="31">
        <v>2222</v>
      </c>
      <c r="B21" s="62" t="s">
        <v>135</v>
      </c>
      <c r="C21" s="228"/>
      <c r="D21" s="229">
        <v>0.37567648527209185</v>
      </c>
      <c r="E21" s="33">
        <v>338.07</v>
      </c>
      <c r="F21" s="33">
        <f t="shared" si="0"/>
        <v>262.94333333333333</v>
      </c>
      <c r="G21" s="58"/>
    </row>
    <row r="22" spans="1:7" x14ac:dyDescent="0.35">
      <c r="A22" s="31">
        <v>2223</v>
      </c>
      <c r="B22" s="62" t="s">
        <v>136</v>
      </c>
      <c r="C22" s="228"/>
      <c r="D22" s="229">
        <v>0.98225661507738393</v>
      </c>
      <c r="E22" s="33">
        <v>883.92</v>
      </c>
      <c r="F22" s="33">
        <f t="shared" si="0"/>
        <v>687.49333333333334</v>
      </c>
      <c r="G22" s="58"/>
    </row>
    <row r="23" spans="1:7" x14ac:dyDescent="0.35">
      <c r="A23" s="31">
        <v>2243</v>
      </c>
      <c r="B23" s="22" t="s">
        <v>137</v>
      </c>
      <c r="C23" s="228"/>
      <c r="D23" s="229">
        <v>5.9126635638389081E-2</v>
      </c>
      <c r="E23" s="33">
        <v>53.34</v>
      </c>
      <c r="F23" s="33">
        <f t="shared" si="0"/>
        <v>41.486666666666672</v>
      </c>
      <c r="G23" s="58"/>
    </row>
    <row r="24" spans="1:7" x14ac:dyDescent="0.35">
      <c r="A24" s="31">
        <v>2244</v>
      </c>
      <c r="B24" s="22" t="s">
        <v>138</v>
      </c>
      <c r="C24" s="228"/>
      <c r="D24" s="229">
        <v>1.2146509202588722</v>
      </c>
      <c r="E24" s="33">
        <v>1093.72</v>
      </c>
      <c r="F24" s="33">
        <f t="shared" si="0"/>
        <v>850.67111111111114</v>
      </c>
      <c r="G24" s="58"/>
    </row>
    <row r="25" spans="1:7" x14ac:dyDescent="0.35">
      <c r="A25" s="31">
        <v>2250</v>
      </c>
      <c r="B25" s="22" t="s">
        <v>124</v>
      </c>
      <c r="C25" s="228"/>
      <c r="D25" s="229">
        <v>0.19</v>
      </c>
      <c r="E25" s="33">
        <v>171</v>
      </c>
      <c r="F25" s="33">
        <f t="shared" si="0"/>
        <v>133</v>
      </c>
      <c r="G25" s="58"/>
    </row>
    <row r="26" spans="1:7" x14ac:dyDescent="0.35">
      <c r="A26" s="31">
        <v>2263</v>
      </c>
      <c r="B26" s="62" t="s">
        <v>149</v>
      </c>
      <c r="C26" s="228"/>
      <c r="D26" s="229"/>
      <c r="E26" s="33"/>
      <c r="F26" s="33"/>
      <c r="G26" s="58"/>
    </row>
    <row r="27" spans="1:7" x14ac:dyDescent="0.35">
      <c r="A27" s="31">
        <v>2311</v>
      </c>
      <c r="B27" s="62" t="s">
        <v>151</v>
      </c>
      <c r="C27" s="228"/>
      <c r="D27" s="229">
        <v>1.987943085371942</v>
      </c>
      <c r="E27" s="33">
        <v>1789.07</v>
      </c>
      <c r="F27" s="33">
        <f t="shared" si="0"/>
        <v>1391.4988888888888</v>
      </c>
      <c r="G27" s="58"/>
    </row>
    <row r="28" spans="1:7" x14ac:dyDescent="0.35">
      <c r="A28" s="31">
        <v>2312</v>
      </c>
      <c r="B28" s="22" t="s">
        <v>116</v>
      </c>
      <c r="C28" s="228"/>
      <c r="D28" s="229">
        <v>0.69506836605825828</v>
      </c>
      <c r="E28" s="33">
        <v>626.38</v>
      </c>
      <c r="F28" s="33">
        <f t="shared" si="0"/>
        <v>487.18444444444447</v>
      </c>
      <c r="G28" s="58"/>
    </row>
    <row r="29" spans="1:7" x14ac:dyDescent="0.35">
      <c r="A29" s="31">
        <v>2321</v>
      </c>
      <c r="B29" s="62" t="s">
        <v>139</v>
      </c>
      <c r="C29" s="228"/>
      <c r="D29" s="229">
        <v>0.70281236584322426</v>
      </c>
      <c r="E29" s="33">
        <v>632.86</v>
      </c>
      <c r="F29" s="33">
        <f t="shared" si="0"/>
        <v>492.22444444444443</v>
      </c>
      <c r="G29" s="58"/>
    </row>
    <row r="30" spans="1:7" x14ac:dyDescent="0.35">
      <c r="A30" s="31">
        <v>2350</v>
      </c>
      <c r="B30" s="61" t="s">
        <v>125</v>
      </c>
      <c r="C30" s="228"/>
      <c r="D30" s="229">
        <v>0.25746801418273768</v>
      </c>
      <c r="E30" s="33">
        <v>232.05</v>
      </c>
      <c r="F30" s="33">
        <f t="shared" si="0"/>
        <v>180.48333333333335</v>
      </c>
      <c r="G30" s="58"/>
    </row>
    <row r="31" spans="1:7" x14ac:dyDescent="0.35">
      <c r="A31" s="31">
        <v>2361</v>
      </c>
      <c r="B31" s="62" t="s">
        <v>141</v>
      </c>
      <c r="C31" s="228"/>
      <c r="D31" s="229">
        <v>9.4088866699950063E-2</v>
      </c>
      <c r="E31" s="33">
        <v>84.67</v>
      </c>
      <c r="F31" s="33">
        <f t="shared" si="0"/>
        <v>65.854444444444439</v>
      </c>
      <c r="G31" s="58"/>
    </row>
    <row r="32" spans="1:7" x14ac:dyDescent="0.35">
      <c r="A32" s="31">
        <v>2362</v>
      </c>
      <c r="B32" s="83" t="s">
        <v>156</v>
      </c>
      <c r="C32" s="228"/>
      <c r="D32" s="229">
        <v>4.8496533819285675E-2</v>
      </c>
      <c r="E32" s="33">
        <v>43.84</v>
      </c>
      <c r="F32" s="33">
        <f t="shared" si="0"/>
        <v>34.097777777777779</v>
      </c>
      <c r="G32" s="58"/>
    </row>
    <row r="33" spans="1:8" x14ac:dyDescent="0.35">
      <c r="A33" s="31">
        <v>2363</v>
      </c>
      <c r="B33" s="62" t="s">
        <v>142</v>
      </c>
      <c r="C33" s="228"/>
      <c r="D33" s="228">
        <v>9.75</v>
      </c>
      <c r="E33" s="33">
        <f>D33*900</f>
        <v>8775</v>
      </c>
      <c r="F33" s="33">
        <f t="shared" si="0"/>
        <v>6825</v>
      </c>
      <c r="G33" s="58"/>
    </row>
    <row r="34" spans="1:8" x14ac:dyDescent="0.35">
      <c r="A34" s="31">
        <v>2513</v>
      </c>
      <c r="B34" s="61" t="s">
        <v>121</v>
      </c>
      <c r="C34" s="228"/>
      <c r="D34" s="228"/>
      <c r="E34" s="33"/>
      <c r="F34" s="33"/>
      <c r="G34" s="58"/>
    </row>
    <row r="35" spans="1:8" x14ac:dyDescent="0.35">
      <c r="A35" s="31">
        <v>2519</v>
      </c>
      <c r="B35" s="62" t="s">
        <v>122</v>
      </c>
      <c r="C35" s="228"/>
      <c r="D35" s="228"/>
      <c r="E35" s="33"/>
      <c r="F35" s="33"/>
      <c r="G35" s="58"/>
    </row>
    <row r="36" spans="1:8" x14ac:dyDescent="0.35">
      <c r="A36" s="31">
        <v>5239</v>
      </c>
      <c r="B36" s="61" t="s">
        <v>130</v>
      </c>
      <c r="C36" s="228"/>
      <c r="D36" s="229">
        <v>0.96272507115322226</v>
      </c>
      <c r="E36" s="33">
        <v>867.14</v>
      </c>
      <c r="F36" s="33">
        <f t="shared" si="0"/>
        <v>674.4422222222222</v>
      </c>
      <c r="G36" s="58"/>
    </row>
    <row r="37" spans="1:8" x14ac:dyDescent="0.35">
      <c r="A37" s="31"/>
      <c r="B37" s="78" t="s">
        <v>6</v>
      </c>
      <c r="C37" s="230"/>
      <c r="D37" s="230">
        <f>SUM(D18:D36)</f>
        <v>34.012538785735821</v>
      </c>
      <c r="E37" s="37">
        <f>SUM(E18:E36)</f>
        <v>32566.809999999998</v>
      </c>
      <c r="F37" s="37">
        <f>SUM(F18:F36)</f>
        <v>25329.741111111111</v>
      </c>
      <c r="H37" s="58"/>
    </row>
    <row r="38" spans="1:8" x14ac:dyDescent="0.35">
      <c r="A38" s="38"/>
      <c r="B38" s="78" t="s">
        <v>7</v>
      </c>
      <c r="C38" s="230"/>
      <c r="D38" s="230"/>
      <c r="E38" s="33"/>
      <c r="F38" s="33"/>
    </row>
    <row r="39" spans="1:8" x14ac:dyDescent="0.35">
      <c r="A39" s="31">
        <v>1100</v>
      </c>
      <c r="B39" s="22" t="s">
        <v>132</v>
      </c>
      <c r="C39" s="228">
        <v>0.48549999999999999</v>
      </c>
      <c r="D39" s="228"/>
      <c r="E39" s="33">
        <v>8767.06</v>
      </c>
      <c r="F39" s="33">
        <f t="shared" ref="F39:F72" si="1">E39/900*700</f>
        <v>6818.8244444444435</v>
      </c>
      <c r="G39" s="58"/>
    </row>
    <row r="40" spans="1:8" ht="16.5" customHeight="1" x14ac:dyDescent="0.35">
      <c r="A40" s="31">
        <v>1200</v>
      </c>
      <c r="B40" s="22" t="s">
        <v>133</v>
      </c>
      <c r="C40" s="228">
        <f>C39*0.2359</f>
        <v>0.11452944999999999</v>
      </c>
      <c r="D40" s="228"/>
      <c r="E40" s="33">
        <v>2068.15</v>
      </c>
      <c r="F40" s="33">
        <f t="shared" si="1"/>
        <v>1608.5611111111111</v>
      </c>
    </row>
    <row r="41" spans="1:8" ht="16.5" customHeight="1" x14ac:dyDescent="0.35">
      <c r="A41" s="31">
        <v>2100</v>
      </c>
      <c r="B41" s="24" t="s">
        <v>45</v>
      </c>
      <c r="C41" s="228">
        <v>1.1659999999999999E-3</v>
      </c>
      <c r="D41" s="228"/>
      <c r="E41" s="33">
        <v>24.85</v>
      </c>
      <c r="F41" s="33">
        <f t="shared" si="1"/>
        <v>19.327777777777779</v>
      </c>
    </row>
    <row r="42" spans="1:8" x14ac:dyDescent="0.35">
      <c r="A42" s="34">
        <v>2210</v>
      </c>
      <c r="B42" s="62" t="s">
        <v>120</v>
      </c>
      <c r="C42" s="228">
        <v>7.6E-3</v>
      </c>
      <c r="D42" s="228"/>
      <c r="E42" s="33">
        <v>162</v>
      </c>
      <c r="F42" s="33">
        <f t="shared" si="1"/>
        <v>126</v>
      </c>
    </row>
    <row r="43" spans="1:8" x14ac:dyDescent="0.35">
      <c r="A43" s="31">
        <v>2222</v>
      </c>
      <c r="B43" s="62" t="s">
        <v>135</v>
      </c>
      <c r="C43" s="228">
        <f>0.0095*1.15</f>
        <v>1.0924999999999999E-2</v>
      </c>
      <c r="D43" s="228"/>
      <c r="E43" s="33">
        <v>232.88</v>
      </c>
      <c r="F43" s="33">
        <f t="shared" si="1"/>
        <v>181.12888888888889</v>
      </c>
    </row>
    <row r="44" spans="1:8" x14ac:dyDescent="0.35">
      <c r="A44" s="31">
        <v>2223</v>
      </c>
      <c r="B44" s="62" t="s">
        <v>136</v>
      </c>
      <c r="C44" s="228">
        <f>0.01902*2.13</f>
        <v>4.0512599999999996E-2</v>
      </c>
      <c r="D44" s="228"/>
      <c r="E44" s="33">
        <v>863.58</v>
      </c>
      <c r="F44" s="33">
        <f t="shared" si="1"/>
        <v>671.67333333333329</v>
      </c>
    </row>
    <row r="45" spans="1:8" ht="31" x14ac:dyDescent="0.35">
      <c r="A45" s="31">
        <v>2224</v>
      </c>
      <c r="B45" s="62" t="s">
        <v>143</v>
      </c>
      <c r="C45" s="228">
        <f>0.00495*1.15</f>
        <v>5.6924999999999996E-3</v>
      </c>
      <c r="D45" s="228"/>
      <c r="E45" s="33">
        <v>121.34</v>
      </c>
      <c r="F45" s="33">
        <f t="shared" si="1"/>
        <v>94.375555555555565</v>
      </c>
    </row>
    <row r="46" spans="1:8" ht="15.75" customHeight="1" x14ac:dyDescent="0.35">
      <c r="A46" s="31">
        <v>2231</v>
      </c>
      <c r="B46" s="22" t="s">
        <v>126</v>
      </c>
      <c r="C46" s="228">
        <v>1.5499999999999999E-3</v>
      </c>
      <c r="D46" s="228"/>
      <c r="E46" s="33">
        <v>33.04</v>
      </c>
      <c r="F46" s="33">
        <f t="shared" si="1"/>
        <v>25.697777777777777</v>
      </c>
    </row>
    <row r="47" spans="1:8" ht="15.75" customHeight="1" x14ac:dyDescent="0.35">
      <c r="A47" s="31">
        <v>2235</v>
      </c>
      <c r="B47" s="75" t="s">
        <v>127</v>
      </c>
      <c r="C47" s="228">
        <v>1.65E-3</v>
      </c>
      <c r="D47" s="228"/>
      <c r="E47" s="33">
        <v>35.17</v>
      </c>
      <c r="F47" s="33">
        <f t="shared" si="1"/>
        <v>27.354444444444447</v>
      </c>
    </row>
    <row r="48" spans="1:8" x14ac:dyDescent="0.35">
      <c r="A48" s="31">
        <v>2239</v>
      </c>
      <c r="B48" s="22" t="s">
        <v>144</v>
      </c>
      <c r="C48" s="228">
        <v>4.4099999999999999E-3</v>
      </c>
      <c r="D48" s="228"/>
      <c r="E48" s="33">
        <v>94.01</v>
      </c>
      <c r="F48" s="33">
        <f t="shared" si="1"/>
        <v>73.11888888888889</v>
      </c>
    </row>
    <row r="49" spans="1:6" x14ac:dyDescent="0.35">
      <c r="A49" s="31">
        <v>2241</v>
      </c>
      <c r="B49" s="22" t="s">
        <v>123</v>
      </c>
      <c r="C49" s="228">
        <v>1.6500000000000001E-2</v>
      </c>
      <c r="D49" s="228"/>
      <c r="E49" s="33">
        <f>351.72+2.03</f>
        <v>353.75</v>
      </c>
      <c r="F49" s="33">
        <f t="shared" si="1"/>
        <v>275.13888888888886</v>
      </c>
    </row>
    <row r="50" spans="1:6" x14ac:dyDescent="0.35">
      <c r="A50" s="31">
        <v>2242</v>
      </c>
      <c r="B50" s="62" t="s">
        <v>145</v>
      </c>
      <c r="C50" s="228">
        <v>2.2599999999999999E-3</v>
      </c>
      <c r="D50" s="228"/>
      <c r="E50" s="33">
        <v>48.17</v>
      </c>
      <c r="F50" s="33">
        <f t="shared" si="1"/>
        <v>37.465555555555554</v>
      </c>
    </row>
    <row r="51" spans="1:6" ht="15.75" customHeight="1" x14ac:dyDescent="0.35">
      <c r="A51" s="31">
        <v>2243</v>
      </c>
      <c r="B51" s="22" t="s">
        <v>137</v>
      </c>
      <c r="C51" s="228">
        <v>3.2599999999999997E-2</v>
      </c>
      <c r="D51" s="228"/>
      <c r="E51" s="33">
        <v>694.91</v>
      </c>
      <c r="F51" s="33">
        <f t="shared" si="1"/>
        <v>540.48555555555549</v>
      </c>
    </row>
    <row r="52" spans="1:6" x14ac:dyDescent="0.35">
      <c r="A52" s="31">
        <v>2244</v>
      </c>
      <c r="B52" s="22" t="s">
        <v>138</v>
      </c>
      <c r="C52" s="228">
        <f>0.20397-0.09084</f>
        <v>0.11313000000000001</v>
      </c>
      <c r="D52" s="228"/>
      <c r="E52" s="33">
        <v>2411.52</v>
      </c>
      <c r="F52" s="33">
        <f t="shared" si="1"/>
        <v>1875.6266666666666</v>
      </c>
    </row>
    <row r="53" spans="1:6" x14ac:dyDescent="0.35">
      <c r="A53" s="106">
        <v>2247</v>
      </c>
      <c r="B53" s="104" t="s">
        <v>146</v>
      </c>
      <c r="C53" s="228">
        <v>7.1900000000000002E-4</v>
      </c>
      <c r="D53" s="228"/>
      <c r="E53" s="33">
        <v>15.33</v>
      </c>
      <c r="F53" s="33">
        <f t="shared" si="1"/>
        <v>11.923333333333334</v>
      </c>
    </row>
    <row r="54" spans="1:6" x14ac:dyDescent="0.35">
      <c r="A54" s="31">
        <v>2249</v>
      </c>
      <c r="B54" s="22" t="s">
        <v>171</v>
      </c>
      <c r="C54" s="228">
        <v>2.32E-4</v>
      </c>
      <c r="D54" s="228"/>
      <c r="E54" s="33">
        <v>4.95</v>
      </c>
      <c r="F54" s="33">
        <f t="shared" si="1"/>
        <v>3.8500000000000005</v>
      </c>
    </row>
    <row r="55" spans="1:6" x14ac:dyDescent="0.35">
      <c r="A55" s="31">
        <v>2250</v>
      </c>
      <c r="B55" s="22" t="s">
        <v>124</v>
      </c>
      <c r="C55" s="228">
        <f>0.024026-0.005</f>
        <v>1.9025999999999998E-2</v>
      </c>
      <c r="D55" s="228"/>
      <c r="E55" s="33">
        <v>405.57</v>
      </c>
      <c r="F55" s="33">
        <f t="shared" si="1"/>
        <v>315.44333333333333</v>
      </c>
    </row>
    <row r="56" spans="1:6" x14ac:dyDescent="0.35">
      <c r="A56" s="31">
        <v>2262</v>
      </c>
      <c r="B56" s="62" t="s">
        <v>148</v>
      </c>
      <c r="C56" s="228">
        <v>6.2599999999999999E-3</v>
      </c>
      <c r="D56" s="228"/>
      <c r="E56" s="33">
        <v>133.44</v>
      </c>
      <c r="F56" s="33">
        <f t="shared" si="1"/>
        <v>103.78666666666666</v>
      </c>
    </row>
    <row r="57" spans="1:6" x14ac:dyDescent="0.35">
      <c r="A57" s="31">
        <v>2263</v>
      </c>
      <c r="B57" s="62" t="s">
        <v>149</v>
      </c>
      <c r="C57" s="228">
        <v>4.58E-2</v>
      </c>
      <c r="D57" s="228"/>
      <c r="E57" s="33">
        <v>976.29</v>
      </c>
      <c r="F57" s="33">
        <f t="shared" si="1"/>
        <v>759.3366666666667</v>
      </c>
    </row>
    <row r="58" spans="1:6" x14ac:dyDescent="0.35">
      <c r="A58" s="31">
        <v>2264</v>
      </c>
      <c r="B58" s="22" t="s">
        <v>150</v>
      </c>
      <c r="C58" s="228">
        <v>1.49E-3</v>
      </c>
      <c r="D58" s="228"/>
      <c r="E58" s="33">
        <v>31.76</v>
      </c>
      <c r="F58" s="33">
        <f t="shared" si="1"/>
        <v>24.702222222222222</v>
      </c>
    </row>
    <row r="59" spans="1:6" x14ac:dyDescent="0.35">
      <c r="A59" s="31">
        <v>2311</v>
      </c>
      <c r="B59" s="62" t="s">
        <v>151</v>
      </c>
      <c r="C59" s="228">
        <v>4.7699999999999999E-3</v>
      </c>
      <c r="D59" s="228"/>
      <c r="E59" s="33">
        <v>101.68</v>
      </c>
      <c r="F59" s="33">
        <f t="shared" si="1"/>
        <v>79.084444444444458</v>
      </c>
    </row>
    <row r="60" spans="1:6" x14ac:dyDescent="0.35">
      <c r="A60" s="31">
        <v>2312</v>
      </c>
      <c r="B60" s="62" t="s">
        <v>116</v>
      </c>
      <c r="C60" s="228">
        <v>5.79E-3</v>
      </c>
      <c r="D60" s="228"/>
      <c r="E60" s="33">
        <v>123.42</v>
      </c>
      <c r="F60" s="33">
        <f t="shared" si="1"/>
        <v>95.993333333333325</v>
      </c>
    </row>
    <row r="61" spans="1:6" x14ac:dyDescent="0.35">
      <c r="A61" s="31">
        <v>2314</v>
      </c>
      <c r="B61" s="75" t="s">
        <v>152</v>
      </c>
      <c r="C61" s="228">
        <v>2.2200000000000002E-3</v>
      </c>
      <c r="D61" s="228"/>
      <c r="E61" s="33">
        <v>47.32</v>
      </c>
      <c r="F61" s="33">
        <f t="shared" si="1"/>
        <v>36.804444444444442</v>
      </c>
    </row>
    <row r="62" spans="1:6" x14ac:dyDescent="0.35">
      <c r="A62" s="31">
        <v>2321</v>
      </c>
      <c r="B62" s="62" t="s">
        <v>139</v>
      </c>
      <c r="C62" s="228">
        <f>0.0198*1.2+0.005</f>
        <v>2.8760000000000001E-2</v>
      </c>
      <c r="D62" s="228"/>
      <c r="E62" s="33">
        <v>613.05999999999995</v>
      </c>
      <c r="F62" s="33">
        <f t="shared" si="1"/>
        <v>476.82444444444445</v>
      </c>
    </row>
    <row r="63" spans="1:6" x14ac:dyDescent="0.35">
      <c r="A63" s="31">
        <v>2322</v>
      </c>
      <c r="B63" s="62" t="s">
        <v>153</v>
      </c>
      <c r="C63" s="228">
        <f>0.0035*1.2</f>
        <v>4.1999999999999997E-3</v>
      </c>
      <c r="D63" s="228"/>
      <c r="E63" s="33">
        <v>89.53</v>
      </c>
      <c r="F63" s="33">
        <f t="shared" si="1"/>
        <v>69.634444444444441</v>
      </c>
    </row>
    <row r="64" spans="1:6" x14ac:dyDescent="0.35">
      <c r="A64" s="31">
        <v>2341</v>
      </c>
      <c r="B64" s="62" t="s">
        <v>140</v>
      </c>
      <c r="C64" s="228"/>
      <c r="D64" s="228"/>
      <c r="E64" s="33"/>
      <c r="F64" s="33"/>
    </row>
    <row r="65" spans="1:8" x14ac:dyDescent="0.35">
      <c r="A65" s="31">
        <v>2350</v>
      </c>
      <c r="B65" s="61" t="s">
        <v>125</v>
      </c>
      <c r="C65" s="228">
        <v>8.5000000000000006E-3</v>
      </c>
      <c r="D65" s="228"/>
      <c r="E65" s="33">
        <v>181.19</v>
      </c>
      <c r="F65" s="33">
        <f t="shared" si="1"/>
        <v>140.92555555555555</v>
      </c>
    </row>
    <row r="66" spans="1:8" ht="15.75" customHeight="1" x14ac:dyDescent="0.35">
      <c r="A66" s="31">
        <v>2513</v>
      </c>
      <c r="B66" s="61" t="s">
        <v>121</v>
      </c>
      <c r="C66" s="228">
        <v>1.4599999999999999E-3</v>
      </c>
      <c r="D66" s="228"/>
      <c r="E66" s="33">
        <v>31.12</v>
      </c>
      <c r="F66" s="33">
        <f t="shared" si="1"/>
        <v>24.204444444444444</v>
      </c>
    </row>
    <row r="67" spans="1:8" x14ac:dyDescent="0.35">
      <c r="A67" s="31">
        <v>2515</v>
      </c>
      <c r="B67" s="62" t="s">
        <v>155</v>
      </c>
      <c r="C67" s="228">
        <v>1.9E-3</v>
      </c>
      <c r="D67" s="228"/>
      <c r="E67" s="33">
        <v>40.5</v>
      </c>
      <c r="F67" s="33">
        <f t="shared" si="1"/>
        <v>31.5</v>
      </c>
    </row>
    <row r="68" spans="1:8" x14ac:dyDescent="0.35">
      <c r="A68" s="31">
        <v>2519</v>
      </c>
      <c r="B68" s="62" t="s">
        <v>122</v>
      </c>
      <c r="C68" s="228">
        <v>2E-3</v>
      </c>
      <c r="D68" s="228"/>
      <c r="E68" s="33">
        <v>42.63</v>
      </c>
      <c r="F68" s="33">
        <f t="shared" si="1"/>
        <v>33.156666666666666</v>
      </c>
    </row>
    <row r="69" spans="1:8" x14ac:dyDescent="0.35">
      <c r="A69" s="31">
        <v>5220</v>
      </c>
      <c r="B69" s="62" t="s">
        <v>128</v>
      </c>
      <c r="C69" s="228">
        <v>1.06E-2</v>
      </c>
      <c r="D69" s="228"/>
      <c r="E69" s="33">
        <v>225.95</v>
      </c>
      <c r="F69" s="33">
        <f t="shared" si="1"/>
        <v>175.73888888888888</v>
      </c>
    </row>
    <row r="70" spans="1:8" x14ac:dyDescent="0.35">
      <c r="A70" s="31">
        <v>5238</v>
      </c>
      <c r="B70" s="61" t="s">
        <v>129</v>
      </c>
      <c r="C70" s="228">
        <v>1.65E-3</v>
      </c>
      <c r="D70" s="228"/>
      <c r="E70" s="33">
        <v>35.17</v>
      </c>
      <c r="F70" s="33">
        <f t="shared" si="1"/>
        <v>27.354444444444447</v>
      </c>
    </row>
    <row r="71" spans="1:8" x14ac:dyDescent="0.35">
      <c r="A71" s="31">
        <v>5239</v>
      </c>
      <c r="B71" s="61" t="s">
        <v>130</v>
      </c>
      <c r="C71" s="228">
        <v>9.5399999999999999E-3</v>
      </c>
      <c r="D71" s="228"/>
      <c r="E71" s="33">
        <v>203.36</v>
      </c>
      <c r="F71" s="33">
        <f t="shared" si="1"/>
        <v>158.16888888888892</v>
      </c>
    </row>
    <row r="72" spans="1:8" x14ac:dyDescent="0.35">
      <c r="A72" s="31">
        <v>5250</v>
      </c>
      <c r="B72" s="62" t="s">
        <v>131</v>
      </c>
      <c r="C72" s="228">
        <v>7.0600000000000003E-3</v>
      </c>
      <c r="D72" s="228"/>
      <c r="E72" s="33">
        <v>150.49</v>
      </c>
      <c r="F72" s="33">
        <f t="shared" si="1"/>
        <v>117.04777777777778</v>
      </c>
    </row>
    <row r="73" spans="1:8" x14ac:dyDescent="0.35">
      <c r="A73" s="38"/>
      <c r="B73" s="79" t="s">
        <v>97</v>
      </c>
      <c r="C73" s="228">
        <f>SUM(C39:C72)</f>
        <v>1.00000255</v>
      </c>
      <c r="D73" s="228"/>
      <c r="E73" s="37">
        <f>SUM(E39:E72)</f>
        <v>19363.189999999999</v>
      </c>
      <c r="F73" s="37">
        <f>SUM(F39:F72)</f>
        <v>15060.258888888889</v>
      </c>
      <c r="G73" s="58"/>
    </row>
    <row r="74" spans="1:8" x14ac:dyDescent="0.35">
      <c r="A74" s="38"/>
      <c r="B74" s="79" t="s">
        <v>98</v>
      </c>
      <c r="C74" s="232"/>
      <c r="D74" s="232"/>
      <c r="E74" s="37">
        <f>E37+E73</f>
        <v>51930</v>
      </c>
      <c r="F74" s="37">
        <f>F37+F73</f>
        <v>40390</v>
      </c>
    </row>
    <row r="75" spans="1:8" ht="12.75" customHeight="1" x14ac:dyDescent="0.35">
      <c r="A75" s="15"/>
      <c r="B75" s="25"/>
      <c r="C75" s="233"/>
      <c r="D75" s="233"/>
      <c r="E75" s="59"/>
      <c r="F75" s="59"/>
    </row>
    <row r="76" spans="1:8" ht="15.75" customHeight="1" x14ac:dyDescent="0.35">
      <c r="A76" s="417" t="s">
        <v>106</v>
      </c>
      <c r="B76" s="417"/>
      <c r="C76" s="234"/>
      <c r="D76" s="234"/>
      <c r="E76" s="67">
        <v>900</v>
      </c>
      <c r="F76" s="67">
        <v>700</v>
      </c>
    </row>
    <row r="77" spans="1:8" ht="15.75" customHeight="1" x14ac:dyDescent="0.35">
      <c r="A77" s="417" t="s">
        <v>58</v>
      </c>
      <c r="B77" s="417"/>
      <c r="C77" s="234"/>
      <c r="D77" s="234"/>
      <c r="E77" s="68">
        <f>E74/E76</f>
        <v>57.7</v>
      </c>
      <c r="F77" s="68">
        <f>F74/F76</f>
        <v>57.7</v>
      </c>
      <c r="G77" s="58"/>
      <c r="H77" s="144"/>
    </row>
    <row r="78" spans="1:8" ht="9.75" customHeight="1" x14ac:dyDescent="0.35">
      <c r="A78" s="43"/>
      <c r="B78" s="49"/>
      <c r="C78" s="235"/>
      <c r="D78" s="235"/>
    </row>
    <row r="79" spans="1:8" ht="15.75" customHeight="1" x14ac:dyDescent="0.35">
      <c r="A79" s="418" t="s">
        <v>33</v>
      </c>
      <c r="B79" s="418"/>
      <c r="C79" s="236"/>
      <c r="D79" s="236"/>
      <c r="E79" s="85"/>
      <c r="F79" s="85"/>
    </row>
    <row r="80" spans="1:8" ht="15.75" customHeight="1" x14ac:dyDescent="0.35">
      <c r="A80" s="418" t="s">
        <v>64</v>
      </c>
      <c r="B80" s="418"/>
      <c r="C80" s="236"/>
      <c r="D80" s="236"/>
      <c r="E80" s="85"/>
      <c r="F80" s="85"/>
    </row>
    <row r="81" spans="1:6" ht="8.25" customHeight="1" x14ac:dyDescent="0.35">
      <c r="A81" s="28"/>
      <c r="B81" s="28"/>
      <c r="C81" s="237"/>
      <c r="D81" s="237"/>
      <c r="E81" s="28"/>
      <c r="F81" s="28"/>
    </row>
    <row r="82" spans="1:6" x14ac:dyDescent="0.35">
      <c r="A82" s="28" t="s">
        <v>34</v>
      </c>
      <c r="B82" s="28"/>
      <c r="C82" s="237"/>
      <c r="D82" s="237"/>
      <c r="E82" s="81"/>
      <c r="F82" s="81"/>
    </row>
    <row r="83" spans="1:6" x14ac:dyDescent="0.35">
      <c r="A83" s="28"/>
      <c r="B83" s="28"/>
      <c r="C83" s="237"/>
      <c r="D83" s="237"/>
      <c r="E83" s="81"/>
      <c r="F83" s="81"/>
    </row>
    <row r="84" spans="1:6" x14ac:dyDescent="0.35">
      <c r="A84" s="28" t="s">
        <v>177</v>
      </c>
      <c r="B84" s="29"/>
      <c r="C84" s="238"/>
      <c r="D84" s="238"/>
      <c r="E84" s="28"/>
      <c r="F84" s="28"/>
    </row>
    <row r="85" spans="1:6" x14ac:dyDescent="0.35">
      <c r="B85" s="73"/>
      <c r="C85" s="239"/>
      <c r="D85" s="239"/>
      <c r="E85" s="82"/>
      <c r="F85" s="82"/>
    </row>
    <row r="87" spans="1:6" x14ac:dyDescent="0.35">
      <c r="E87" s="58"/>
      <c r="F87" s="58"/>
    </row>
  </sheetData>
  <mergeCells count="7">
    <mergeCell ref="A80:B80"/>
    <mergeCell ref="A10:B10"/>
    <mergeCell ref="A7:C7"/>
    <mergeCell ref="A9:B9"/>
    <mergeCell ref="A76:B76"/>
    <mergeCell ref="A77:B77"/>
    <mergeCell ref="A79:B79"/>
  </mergeCells>
  <pageMargins left="0.70866141732283472" right="0.81739583333333332" top="0.51181102362204722" bottom="0.56000000000000005" header="0.31496062992125984" footer="0.28000000000000003"/>
  <pageSetup paperSize="9" scale="57" firstPageNumber="5" orientation="portrait" useFirstPageNumber="1" r:id="rId1"/>
  <headerFooter>
    <oddFooter>&amp;C&amp;"Times New Roman,Regular"&amp;F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85"/>
  <sheetViews>
    <sheetView view="pageLayout" topLeftCell="A10" zoomScale="80" zoomScaleNormal="100" zoomScalePageLayoutView="80" workbookViewId="0">
      <selection activeCell="E18" sqref="E18:E36"/>
    </sheetView>
  </sheetViews>
  <sheetFormatPr defaultColWidth="9.1796875" defaultRowHeight="15.5" x14ac:dyDescent="0.35"/>
  <cols>
    <col min="1" max="1" width="19.26953125" style="13" customWidth="1"/>
    <col min="2" max="2" width="91.453125" style="13" customWidth="1"/>
    <col min="3" max="4" width="8.453125" style="217" hidden="1" customWidth="1"/>
    <col min="5" max="5" width="30.26953125" style="13" customWidth="1"/>
    <col min="6" max="16384" width="9.1796875" style="13"/>
  </cols>
  <sheetData>
    <row r="1" spans="1:5" ht="15.75" customHeight="1" x14ac:dyDescent="0.35">
      <c r="B1" s="14"/>
      <c r="C1" s="214"/>
      <c r="D1" s="214"/>
      <c r="E1" s="14" t="s">
        <v>10</v>
      </c>
    </row>
    <row r="2" spans="1:5" x14ac:dyDescent="0.35">
      <c r="B2" s="60"/>
      <c r="C2" s="216"/>
      <c r="D2" s="241"/>
      <c r="E2" s="145" t="s">
        <v>32</v>
      </c>
    </row>
    <row r="3" spans="1:5" x14ac:dyDescent="0.35">
      <c r="B3" s="60"/>
      <c r="C3" s="216"/>
      <c r="D3" s="216"/>
      <c r="E3" s="14" t="s">
        <v>66</v>
      </c>
    </row>
    <row r="4" spans="1:5" x14ac:dyDescent="0.35">
      <c r="B4" s="14"/>
      <c r="C4" s="214"/>
      <c r="D4" s="214"/>
    </row>
    <row r="5" spans="1:5" x14ac:dyDescent="0.35">
      <c r="B5" s="71"/>
      <c r="C5" s="215"/>
      <c r="D5" s="215"/>
      <c r="E5" s="15" t="s">
        <v>226</v>
      </c>
    </row>
    <row r="7" spans="1:5" x14ac:dyDescent="0.35">
      <c r="A7" s="416" t="s">
        <v>9</v>
      </c>
      <c r="B7" s="416"/>
      <c r="C7" s="416"/>
      <c r="D7" s="218"/>
    </row>
    <row r="8" spans="1:5" x14ac:dyDescent="0.35">
      <c r="B8" s="18"/>
      <c r="C8" s="219"/>
      <c r="D8" s="219"/>
    </row>
    <row r="9" spans="1:5" x14ac:dyDescent="0.35">
      <c r="A9" s="419" t="s">
        <v>1</v>
      </c>
      <c r="B9" s="419"/>
      <c r="C9" s="220"/>
      <c r="D9" s="220"/>
    </row>
    <row r="10" spans="1:5" x14ac:dyDescent="0.35">
      <c r="A10" s="419" t="s">
        <v>0</v>
      </c>
      <c r="B10" s="419"/>
      <c r="C10" s="220"/>
      <c r="D10" s="220"/>
    </row>
    <row r="11" spans="1:5" x14ac:dyDescent="0.35">
      <c r="A11" s="11"/>
      <c r="B11" s="11" t="s">
        <v>179</v>
      </c>
      <c r="C11" s="220"/>
      <c r="D11" s="220"/>
    </row>
    <row r="12" spans="1:5" x14ac:dyDescent="0.35">
      <c r="A12" s="11"/>
      <c r="B12" s="43" t="s">
        <v>199</v>
      </c>
      <c r="C12" s="221"/>
      <c r="D12" s="221"/>
    </row>
    <row r="13" spans="1:5" x14ac:dyDescent="0.35">
      <c r="A13" s="11"/>
      <c r="B13" s="84" t="s">
        <v>202</v>
      </c>
      <c r="C13" s="222"/>
      <c r="D13" s="222"/>
    </row>
    <row r="14" spans="1:5" x14ac:dyDescent="0.35">
      <c r="A14" s="11" t="s">
        <v>2</v>
      </c>
      <c r="B14" s="11" t="s">
        <v>169</v>
      </c>
      <c r="C14" s="220"/>
      <c r="D14" s="220"/>
    </row>
    <row r="15" spans="1:5" ht="69.75" customHeight="1" x14ac:dyDescent="0.35">
      <c r="A15" s="51" t="s">
        <v>3</v>
      </c>
      <c r="B15" s="51" t="s">
        <v>4</v>
      </c>
      <c r="C15" s="223"/>
      <c r="D15" s="223"/>
      <c r="E15" s="51" t="s">
        <v>134</v>
      </c>
    </row>
    <row r="16" spans="1:5" x14ac:dyDescent="0.35">
      <c r="A16" s="20">
        <v>1</v>
      </c>
      <c r="B16" s="21">
        <v>2</v>
      </c>
      <c r="C16" s="224"/>
      <c r="D16" s="224"/>
      <c r="E16" s="21">
        <v>4</v>
      </c>
    </row>
    <row r="17" spans="1:5" x14ac:dyDescent="0.35">
      <c r="A17" s="20"/>
      <c r="B17" s="22" t="s">
        <v>5</v>
      </c>
      <c r="C17" s="225"/>
      <c r="D17" s="225"/>
      <c r="E17" s="61"/>
    </row>
    <row r="18" spans="1:5" x14ac:dyDescent="0.35">
      <c r="A18" s="31">
        <v>1100</v>
      </c>
      <c r="B18" s="31" t="s">
        <v>132</v>
      </c>
      <c r="C18" s="226"/>
      <c r="D18" s="227">
        <v>9.8060808786819766</v>
      </c>
      <c r="E18" s="133">
        <v>221.63</v>
      </c>
    </row>
    <row r="19" spans="1:5" x14ac:dyDescent="0.35">
      <c r="A19" s="31">
        <v>1200</v>
      </c>
      <c r="B19" s="61" t="s">
        <v>133</v>
      </c>
      <c r="C19" s="228"/>
      <c r="D19" s="228">
        <f>D18*0.2359</f>
        <v>2.3132544792810781</v>
      </c>
      <c r="E19" s="133">
        <v>52.28</v>
      </c>
    </row>
    <row r="20" spans="1:5" x14ac:dyDescent="0.35">
      <c r="A20" s="31">
        <v>2210</v>
      </c>
      <c r="B20" s="62" t="s">
        <v>120</v>
      </c>
      <c r="C20" s="228"/>
      <c r="D20" s="228"/>
      <c r="E20" s="133"/>
    </row>
    <row r="21" spans="1:5" x14ac:dyDescent="0.35">
      <c r="A21" s="31">
        <v>2222</v>
      </c>
      <c r="B21" s="62" t="s">
        <v>135</v>
      </c>
      <c r="C21" s="228"/>
      <c r="D21" s="229">
        <v>0.32515227159261106</v>
      </c>
      <c r="E21" s="133">
        <v>6.5</v>
      </c>
    </row>
    <row r="22" spans="1:5" x14ac:dyDescent="0.35">
      <c r="A22" s="31">
        <v>2223</v>
      </c>
      <c r="B22" s="62" t="s">
        <v>136</v>
      </c>
      <c r="C22" s="228"/>
      <c r="D22" s="229">
        <v>0.97109835247129317</v>
      </c>
      <c r="E22" s="133">
        <v>19.43</v>
      </c>
    </row>
    <row r="23" spans="1:5" x14ac:dyDescent="0.35">
      <c r="A23" s="31">
        <v>2243</v>
      </c>
      <c r="B23" s="22" t="s">
        <v>137</v>
      </c>
      <c r="C23" s="228"/>
      <c r="D23" s="229">
        <v>4.8207688467299059E-2</v>
      </c>
      <c r="E23" s="133">
        <v>0.96</v>
      </c>
    </row>
    <row r="24" spans="1:5" x14ac:dyDescent="0.35">
      <c r="A24" s="31">
        <v>2244</v>
      </c>
      <c r="B24" s="22" t="s">
        <v>138</v>
      </c>
      <c r="C24" s="228"/>
      <c r="D24" s="229">
        <v>1.1839291063404893</v>
      </c>
      <c r="E24" s="133">
        <v>23.68</v>
      </c>
    </row>
    <row r="25" spans="1:5" x14ac:dyDescent="0.35">
      <c r="A25" s="31">
        <v>2250</v>
      </c>
      <c r="B25" s="22" t="s">
        <v>124</v>
      </c>
      <c r="C25" s="228"/>
      <c r="D25" s="229">
        <v>0.19</v>
      </c>
      <c r="E25" s="133">
        <v>3.8</v>
      </c>
    </row>
    <row r="26" spans="1:5" x14ac:dyDescent="0.35">
      <c r="A26" s="31">
        <v>2263</v>
      </c>
      <c r="B26" s="62" t="s">
        <v>149</v>
      </c>
      <c r="C26" s="228"/>
      <c r="D26" s="229"/>
      <c r="E26" s="133"/>
    </row>
    <row r="27" spans="1:5" x14ac:dyDescent="0.35">
      <c r="A27" s="31">
        <v>2311</v>
      </c>
      <c r="B27" s="62" t="s">
        <v>151</v>
      </c>
      <c r="C27" s="228"/>
      <c r="D27" s="229">
        <v>2.029795307039441</v>
      </c>
      <c r="E27" s="133">
        <v>40.6</v>
      </c>
    </row>
    <row r="28" spans="1:5" x14ac:dyDescent="0.35">
      <c r="A28" s="31">
        <v>2312</v>
      </c>
      <c r="B28" s="22" t="s">
        <v>116</v>
      </c>
      <c r="C28" s="228"/>
      <c r="D28" s="229">
        <v>0.59515227159261108</v>
      </c>
      <c r="E28" s="133">
        <v>11.9</v>
      </c>
    </row>
    <row r="29" spans="1:5" x14ac:dyDescent="0.35">
      <c r="A29" s="31">
        <v>2321</v>
      </c>
      <c r="B29" s="62" t="s">
        <v>139</v>
      </c>
      <c r="C29" s="228"/>
      <c r="D29" s="229">
        <v>0.68030454318522215</v>
      </c>
      <c r="E29" s="133">
        <v>13.61</v>
      </c>
    </row>
    <row r="30" spans="1:5" x14ac:dyDescent="0.35">
      <c r="A30" s="31">
        <v>2350</v>
      </c>
      <c r="B30" s="61" t="s">
        <v>125</v>
      </c>
      <c r="C30" s="228"/>
      <c r="D30" s="229">
        <v>0.22052920619071392</v>
      </c>
      <c r="E30" s="133">
        <v>4.41</v>
      </c>
    </row>
    <row r="31" spans="1:5" x14ac:dyDescent="0.35">
      <c r="A31" s="31">
        <v>2361</v>
      </c>
      <c r="B31" s="62" t="s">
        <v>141</v>
      </c>
      <c r="C31" s="228"/>
      <c r="D31" s="229">
        <v>0.10154767848227658</v>
      </c>
      <c r="E31" s="133">
        <v>2.0299999999999998</v>
      </c>
    </row>
    <row r="32" spans="1:5" x14ac:dyDescent="0.35">
      <c r="A32" s="31">
        <v>2362</v>
      </c>
      <c r="B32" s="83" t="s">
        <v>156</v>
      </c>
      <c r="C32" s="228"/>
      <c r="D32" s="229">
        <v>0.02</v>
      </c>
      <c r="E32" s="133">
        <v>0.4</v>
      </c>
    </row>
    <row r="33" spans="1:5" x14ac:dyDescent="0.35">
      <c r="A33" s="31">
        <v>2363</v>
      </c>
      <c r="B33" s="62" t="s">
        <v>142</v>
      </c>
      <c r="C33" s="228"/>
      <c r="D33" s="228">
        <v>3.87</v>
      </c>
      <c r="E33" s="133">
        <f>D33*20</f>
        <v>77.400000000000006</v>
      </c>
    </row>
    <row r="34" spans="1:5" x14ac:dyDescent="0.35">
      <c r="A34" s="31">
        <v>2513</v>
      </c>
      <c r="B34" s="61" t="s">
        <v>121</v>
      </c>
      <c r="C34" s="228"/>
      <c r="D34" s="228"/>
      <c r="E34" s="133"/>
    </row>
    <row r="35" spans="1:5" x14ac:dyDescent="0.35">
      <c r="A35" s="31">
        <v>2519</v>
      </c>
      <c r="B35" s="62" t="s">
        <v>122</v>
      </c>
      <c r="C35" s="228"/>
      <c r="D35" s="228"/>
      <c r="E35" s="133"/>
    </row>
    <row r="36" spans="1:5" x14ac:dyDescent="0.35">
      <c r="A36" s="31">
        <v>5239</v>
      </c>
      <c r="B36" s="61" t="s">
        <v>130</v>
      </c>
      <c r="C36" s="228"/>
      <c r="D36" s="229">
        <v>0.89517224163754372</v>
      </c>
      <c r="E36" s="133">
        <v>17.91</v>
      </c>
    </row>
    <row r="37" spans="1:5" x14ac:dyDescent="0.35">
      <c r="A37" s="31"/>
      <c r="B37" s="78" t="s">
        <v>6</v>
      </c>
      <c r="C37" s="230"/>
      <c r="D37" s="230">
        <f>SUM(D18:D36)</f>
        <v>23.250224024962556</v>
      </c>
      <c r="E37" s="37">
        <f>SUM(E18:E36)</f>
        <v>496.54</v>
      </c>
    </row>
    <row r="38" spans="1:5" x14ac:dyDescent="0.35">
      <c r="A38" s="38"/>
      <c r="B38" s="78" t="s">
        <v>7</v>
      </c>
      <c r="C38" s="230"/>
      <c r="D38" s="230"/>
      <c r="E38" s="33"/>
    </row>
    <row r="39" spans="1:5" x14ac:dyDescent="0.35">
      <c r="A39" s="31">
        <v>1100</v>
      </c>
      <c r="B39" s="22" t="s">
        <v>132</v>
      </c>
      <c r="C39" s="228">
        <v>0.48549999999999999</v>
      </c>
      <c r="D39" s="228"/>
      <c r="E39" s="133">
        <v>175.88</v>
      </c>
    </row>
    <row r="40" spans="1:5" ht="16.5" customHeight="1" x14ac:dyDescent="0.35">
      <c r="A40" s="31">
        <v>1200</v>
      </c>
      <c r="B40" s="22" t="s">
        <v>133</v>
      </c>
      <c r="C40" s="228">
        <f>C39*0.2359</f>
        <v>0.11452944999999999</v>
      </c>
      <c r="D40" s="228"/>
      <c r="E40" s="133">
        <v>41.49</v>
      </c>
    </row>
    <row r="41" spans="1:5" ht="16.5" customHeight="1" x14ac:dyDescent="0.35">
      <c r="A41" s="31">
        <v>2100</v>
      </c>
      <c r="B41" s="24" t="s">
        <v>45</v>
      </c>
      <c r="C41" s="228">
        <v>1.1659999999999999E-3</v>
      </c>
      <c r="D41" s="228"/>
      <c r="E41" s="133">
        <v>0.48</v>
      </c>
    </row>
    <row r="42" spans="1:5" x14ac:dyDescent="0.35">
      <c r="A42" s="34">
        <v>2210</v>
      </c>
      <c r="B42" s="62" t="s">
        <v>120</v>
      </c>
      <c r="C42" s="228">
        <v>7.6E-3</v>
      </c>
      <c r="D42" s="228"/>
      <c r="E42" s="133">
        <v>3.15</v>
      </c>
    </row>
    <row r="43" spans="1:5" x14ac:dyDescent="0.35">
      <c r="A43" s="31">
        <v>2222</v>
      </c>
      <c r="B43" s="62" t="s">
        <v>135</v>
      </c>
      <c r="C43" s="228">
        <f>0.0095*1.15</f>
        <v>1.0924999999999999E-2</v>
      </c>
      <c r="D43" s="228"/>
      <c r="E43" s="133">
        <v>4.53</v>
      </c>
    </row>
    <row r="44" spans="1:5" x14ac:dyDescent="0.35">
      <c r="A44" s="31">
        <v>2223</v>
      </c>
      <c r="B44" s="62" t="s">
        <v>136</v>
      </c>
      <c r="C44" s="228">
        <f>0.01902*2.13</f>
        <v>4.0512599999999996E-2</v>
      </c>
      <c r="D44" s="228"/>
      <c r="E44" s="133">
        <v>16.809999999999999</v>
      </c>
    </row>
    <row r="45" spans="1:5" ht="31" x14ac:dyDescent="0.35">
      <c r="A45" s="31">
        <v>2224</v>
      </c>
      <c r="B45" s="62" t="s">
        <v>143</v>
      </c>
      <c r="C45" s="228">
        <f>0.00495*1.15</f>
        <v>5.6924999999999996E-3</v>
      </c>
      <c r="D45" s="228"/>
      <c r="E45" s="133">
        <v>2.36</v>
      </c>
    </row>
    <row r="46" spans="1:5" ht="15.75" customHeight="1" x14ac:dyDescent="0.35">
      <c r="A46" s="31">
        <v>2231</v>
      </c>
      <c r="B46" s="22" t="s">
        <v>126</v>
      </c>
      <c r="C46" s="228">
        <v>1.5499999999999999E-3</v>
      </c>
      <c r="D46" s="228"/>
      <c r="E46" s="133">
        <v>0.64</v>
      </c>
    </row>
    <row r="47" spans="1:5" ht="15.75" customHeight="1" x14ac:dyDescent="0.35">
      <c r="A47" s="31">
        <v>2235</v>
      </c>
      <c r="B47" s="75" t="s">
        <v>127</v>
      </c>
      <c r="C47" s="228">
        <v>1.65E-3</v>
      </c>
      <c r="D47" s="228"/>
      <c r="E47" s="133">
        <v>0.68</v>
      </c>
    </row>
    <row r="48" spans="1:5" x14ac:dyDescent="0.35">
      <c r="A48" s="31">
        <v>2239</v>
      </c>
      <c r="B48" s="22" t="s">
        <v>144</v>
      </c>
      <c r="C48" s="228">
        <v>4.4099999999999999E-3</v>
      </c>
      <c r="D48" s="228"/>
      <c r="E48" s="133">
        <v>1.83</v>
      </c>
    </row>
    <row r="49" spans="1:5" x14ac:dyDescent="0.35">
      <c r="A49" s="31">
        <v>2241</v>
      </c>
      <c r="B49" s="22" t="s">
        <v>123</v>
      </c>
      <c r="C49" s="228">
        <v>1.6500000000000001E-2</v>
      </c>
      <c r="D49" s="228"/>
      <c r="E49" s="133">
        <v>6.85</v>
      </c>
    </row>
    <row r="50" spans="1:5" x14ac:dyDescent="0.35">
      <c r="A50" s="31">
        <v>2242</v>
      </c>
      <c r="B50" s="62" t="s">
        <v>145</v>
      </c>
      <c r="C50" s="228">
        <v>2.2599999999999999E-3</v>
      </c>
      <c r="D50" s="228"/>
      <c r="E50" s="133">
        <v>0.94</v>
      </c>
    </row>
    <row r="51" spans="1:5" ht="15.75" customHeight="1" x14ac:dyDescent="0.35">
      <c r="A51" s="31">
        <v>2243</v>
      </c>
      <c r="B51" s="22" t="s">
        <v>137</v>
      </c>
      <c r="C51" s="228">
        <v>3.2599999999999997E-2</v>
      </c>
      <c r="D51" s="228"/>
      <c r="E51" s="133">
        <v>13.53</v>
      </c>
    </row>
    <row r="52" spans="1:5" x14ac:dyDescent="0.35">
      <c r="A52" s="31">
        <v>2244</v>
      </c>
      <c r="B52" s="22" t="s">
        <v>138</v>
      </c>
      <c r="C52" s="228">
        <f>0.20397-0.09084</f>
        <v>0.11313000000000001</v>
      </c>
      <c r="D52" s="228"/>
      <c r="E52" s="133">
        <v>46.94</v>
      </c>
    </row>
    <row r="53" spans="1:5" x14ac:dyDescent="0.35">
      <c r="A53" s="106">
        <v>2247</v>
      </c>
      <c r="B53" s="104" t="s">
        <v>146</v>
      </c>
      <c r="C53" s="228">
        <v>7.1900000000000002E-4</v>
      </c>
      <c r="D53" s="228"/>
      <c r="E53" s="133">
        <v>0.3</v>
      </c>
    </row>
    <row r="54" spans="1:5" x14ac:dyDescent="0.35">
      <c r="A54" s="31">
        <v>2249</v>
      </c>
      <c r="B54" s="22" t="s">
        <v>171</v>
      </c>
      <c r="C54" s="228">
        <v>2.32E-4</v>
      </c>
      <c r="D54" s="228"/>
      <c r="E54" s="133">
        <v>0.1</v>
      </c>
    </row>
    <row r="55" spans="1:5" x14ac:dyDescent="0.35">
      <c r="A55" s="31">
        <v>2250</v>
      </c>
      <c r="B55" s="22" t="s">
        <v>124</v>
      </c>
      <c r="C55" s="228">
        <f>0.024026-0.005</f>
        <v>1.9025999999999998E-2</v>
      </c>
      <c r="D55" s="228"/>
      <c r="E55" s="133">
        <v>7.9</v>
      </c>
    </row>
    <row r="56" spans="1:5" x14ac:dyDescent="0.35">
      <c r="A56" s="31">
        <v>2262</v>
      </c>
      <c r="B56" s="62" t="s">
        <v>148</v>
      </c>
      <c r="C56" s="228">
        <v>6.2599999999999999E-3</v>
      </c>
      <c r="D56" s="228"/>
      <c r="E56" s="133">
        <v>2.6</v>
      </c>
    </row>
    <row r="57" spans="1:5" x14ac:dyDescent="0.35">
      <c r="A57" s="31">
        <v>2263</v>
      </c>
      <c r="B57" s="62" t="s">
        <v>149</v>
      </c>
      <c r="C57" s="228">
        <v>4.58E-2</v>
      </c>
      <c r="D57" s="228"/>
      <c r="E57" s="133">
        <v>19.010000000000002</v>
      </c>
    </row>
    <row r="58" spans="1:5" x14ac:dyDescent="0.35">
      <c r="A58" s="31">
        <v>2264</v>
      </c>
      <c r="B58" s="22" t="s">
        <v>150</v>
      </c>
      <c r="C58" s="228">
        <v>1.49E-3</v>
      </c>
      <c r="D58" s="228"/>
      <c r="E58" s="133">
        <v>0.62</v>
      </c>
    </row>
    <row r="59" spans="1:5" x14ac:dyDescent="0.35">
      <c r="A59" s="31">
        <v>2311</v>
      </c>
      <c r="B59" s="62" t="s">
        <v>151</v>
      </c>
      <c r="C59" s="228">
        <v>4.7699999999999999E-3</v>
      </c>
      <c r="D59" s="228"/>
      <c r="E59" s="133">
        <v>1.98</v>
      </c>
    </row>
    <row r="60" spans="1:5" x14ac:dyDescent="0.35">
      <c r="A60" s="31">
        <v>2312</v>
      </c>
      <c r="B60" s="62" t="s">
        <v>116</v>
      </c>
      <c r="C60" s="228">
        <v>5.79E-3</v>
      </c>
      <c r="D60" s="228"/>
      <c r="E60" s="133">
        <v>2.4</v>
      </c>
    </row>
    <row r="61" spans="1:5" x14ac:dyDescent="0.35">
      <c r="A61" s="31">
        <v>2314</v>
      </c>
      <c r="B61" s="75" t="s">
        <v>152</v>
      </c>
      <c r="C61" s="228">
        <v>2.2200000000000002E-3</v>
      </c>
      <c r="D61" s="228"/>
      <c r="E61" s="133">
        <v>0.92</v>
      </c>
    </row>
    <row r="62" spans="1:5" x14ac:dyDescent="0.35">
      <c r="A62" s="31">
        <v>2321</v>
      </c>
      <c r="B62" s="62" t="s">
        <v>139</v>
      </c>
      <c r="C62" s="228">
        <f>0.0198*1.2+0.005</f>
        <v>2.8760000000000001E-2</v>
      </c>
      <c r="D62" s="228"/>
      <c r="E62" s="133">
        <v>11.93</v>
      </c>
    </row>
    <row r="63" spans="1:5" x14ac:dyDescent="0.35">
      <c r="A63" s="31">
        <v>2322</v>
      </c>
      <c r="B63" s="62" t="s">
        <v>153</v>
      </c>
      <c r="C63" s="228">
        <f>0.0035*1.2</f>
        <v>4.1999999999999997E-3</v>
      </c>
      <c r="D63" s="228"/>
      <c r="E63" s="133">
        <v>1.74</v>
      </c>
    </row>
    <row r="64" spans="1:5" x14ac:dyDescent="0.35">
      <c r="A64" s="31">
        <v>2341</v>
      </c>
      <c r="B64" s="62" t="s">
        <v>140</v>
      </c>
      <c r="C64" s="228"/>
      <c r="D64" s="228"/>
      <c r="E64" s="133"/>
    </row>
    <row r="65" spans="1:5" x14ac:dyDescent="0.35">
      <c r="A65" s="31">
        <v>2350</v>
      </c>
      <c r="B65" s="61" t="s">
        <v>125</v>
      </c>
      <c r="C65" s="228">
        <v>8.5000000000000006E-3</v>
      </c>
      <c r="D65" s="228"/>
      <c r="E65" s="133">
        <v>3.53</v>
      </c>
    </row>
    <row r="66" spans="1:5" ht="15.75" customHeight="1" x14ac:dyDescent="0.35">
      <c r="A66" s="31">
        <v>2513</v>
      </c>
      <c r="B66" s="61" t="s">
        <v>121</v>
      </c>
      <c r="C66" s="228">
        <v>1.4599999999999999E-3</v>
      </c>
      <c r="D66" s="228"/>
      <c r="E66" s="133">
        <v>0.61</v>
      </c>
    </row>
    <row r="67" spans="1:5" x14ac:dyDescent="0.35">
      <c r="A67" s="31">
        <v>2515</v>
      </c>
      <c r="B67" s="62" t="s">
        <v>155</v>
      </c>
      <c r="C67" s="228">
        <v>1.9E-3</v>
      </c>
      <c r="D67" s="228"/>
      <c r="E67" s="133">
        <v>0.79</v>
      </c>
    </row>
    <row r="68" spans="1:5" x14ac:dyDescent="0.35">
      <c r="A68" s="31">
        <v>2519</v>
      </c>
      <c r="B68" s="62" t="s">
        <v>122</v>
      </c>
      <c r="C68" s="228">
        <v>2E-3</v>
      </c>
      <c r="D68" s="228"/>
      <c r="E68" s="133">
        <v>0.83</v>
      </c>
    </row>
    <row r="69" spans="1:5" x14ac:dyDescent="0.35">
      <c r="A69" s="31">
        <v>5220</v>
      </c>
      <c r="B69" s="62" t="s">
        <v>128</v>
      </c>
      <c r="C69" s="228">
        <v>1.06E-2</v>
      </c>
      <c r="D69" s="228"/>
      <c r="E69" s="133">
        <v>4.33</v>
      </c>
    </row>
    <row r="70" spans="1:5" x14ac:dyDescent="0.35">
      <c r="A70" s="31">
        <v>5238</v>
      </c>
      <c r="B70" s="61" t="s">
        <v>129</v>
      </c>
      <c r="C70" s="228">
        <v>1.65E-3</v>
      </c>
      <c r="D70" s="228"/>
      <c r="E70" s="133">
        <v>0.68</v>
      </c>
    </row>
    <row r="71" spans="1:5" x14ac:dyDescent="0.35">
      <c r="A71" s="31">
        <v>5239</v>
      </c>
      <c r="B71" s="61" t="s">
        <v>130</v>
      </c>
      <c r="C71" s="228">
        <v>9.5399999999999999E-3</v>
      </c>
      <c r="D71" s="228"/>
      <c r="E71" s="133">
        <v>3.95</v>
      </c>
    </row>
    <row r="72" spans="1:5" x14ac:dyDescent="0.35">
      <c r="A72" s="31">
        <v>5250</v>
      </c>
      <c r="B72" s="62" t="s">
        <v>131</v>
      </c>
      <c r="C72" s="228">
        <v>7.0600000000000003E-3</v>
      </c>
      <c r="D72" s="228"/>
      <c r="E72" s="133">
        <v>2.93</v>
      </c>
    </row>
    <row r="73" spans="1:5" x14ac:dyDescent="0.35">
      <c r="A73" s="38"/>
      <c r="B73" s="79" t="s">
        <v>97</v>
      </c>
      <c r="C73" s="228">
        <f>SUM(C39:C72)</f>
        <v>1.00000255</v>
      </c>
      <c r="D73" s="228"/>
      <c r="E73" s="37">
        <f>SUM(E39:E72)</f>
        <v>383.26000000000005</v>
      </c>
    </row>
    <row r="74" spans="1:5" x14ac:dyDescent="0.35">
      <c r="A74" s="38"/>
      <c r="B74" s="79" t="s">
        <v>98</v>
      </c>
      <c r="C74" s="232"/>
      <c r="D74" s="232"/>
      <c r="E74" s="37">
        <f>E37+E73</f>
        <v>879.80000000000007</v>
      </c>
    </row>
    <row r="75" spans="1:5" ht="12.75" customHeight="1" x14ac:dyDescent="0.35">
      <c r="A75" s="15"/>
      <c r="B75" s="25"/>
      <c r="C75" s="233"/>
      <c r="D75" s="233"/>
    </row>
    <row r="76" spans="1:5" ht="15.75" customHeight="1" x14ac:dyDescent="0.35">
      <c r="A76" s="417" t="s">
        <v>106</v>
      </c>
      <c r="B76" s="417"/>
      <c r="C76" s="234"/>
      <c r="D76" s="234"/>
      <c r="E76" s="67">
        <v>20</v>
      </c>
    </row>
    <row r="77" spans="1:5" ht="15.75" customHeight="1" x14ac:dyDescent="0.35">
      <c r="A77" s="417" t="s">
        <v>58</v>
      </c>
      <c r="B77" s="417"/>
      <c r="C77" s="234"/>
      <c r="D77" s="234"/>
      <c r="E77" s="68">
        <f>E74/E76</f>
        <v>43.99</v>
      </c>
    </row>
    <row r="78" spans="1:5" ht="9.75" customHeight="1" x14ac:dyDescent="0.35">
      <c r="A78" s="43"/>
      <c r="B78" s="49"/>
      <c r="C78" s="235"/>
      <c r="D78" s="235"/>
    </row>
    <row r="79" spans="1:5" ht="15.75" customHeight="1" x14ac:dyDescent="0.35">
      <c r="A79" s="418" t="s">
        <v>33</v>
      </c>
      <c r="B79" s="418"/>
      <c r="C79" s="236"/>
      <c r="D79" s="236"/>
      <c r="E79" s="27"/>
    </row>
    <row r="80" spans="1:5" ht="15.75" customHeight="1" x14ac:dyDescent="0.35">
      <c r="A80" s="418" t="s">
        <v>64</v>
      </c>
      <c r="B80" s="418"/>
      <c r="C80" s="236"/>
      <c r="D80" s="236"/>
      <c r="E80" s="85"/>
    </row>
    <row r="81" spans="1:4" ht="8.25" customHeight="1" x14ac:dyDescent="0.35">
      <c r="A81" s="28"/>
      <c r="B81" s="28"/>
      <c r="C81" s="237"/>
      <c r="D81" s="237"/>
    </row>
    <row r="82" spans="1:4" x14ac:dyDescent="0.35">
      <c r="A82" s="28" t="s">
        <v>34</v>
      </c>
      <c r="B82" s="28"/>
      <c r="C82" s="237"/>
      <c r="D82" s="237"/>
    </row>
    <row r="83" spans="1:4" x14ac:dyDescent="0.35">
      <c r="A83" s="28"/>
      <c r="B83" s="28"/>
      <c r="C83" s="237"/>
      <c r="D83" s="237"/>
    </row>
    <row r="84" spans="1:4" x14ac:dyDescent="0.35">
      <c r="A84" s="28" t="s">
        <v>177</v>
      </c>
      <c r="B84" s="29"/>
      <c r="C84" s="238"/>
      <c r="D84" s="238"/>
    </row>
    <row r="85" spans="1:4" x14ac:dyDescent="0.35">
      <c r="B85" s="73"/>
      <c r="C85" s="239"/>
      <c r="D85" s="239"/>
    </row>
  </sheetData>
  <mergeCells count="7">
    <mergeCell ref="A7:C7"/>
    <mergeCell ref="A76:B76"/>
    <mergeCell ref="A77:B77"/>
    <mergeCell ref="A79:B79"/>
    <mergeCell ref="A80:B80"/>
    <mergeCell ref="A9:B9"/>
    <mergeCell ref="A10:B10"/>
  </mergeCells>
  <pageMargins left="0.70866141732283472" right="0.70866141732283472" top="0.43" bottom="0.55118110236220474" header="0.31496062992125984" footer="0.31496062992125984"/>
  <pageSetup paperSize="9" scale="57" orientation="portrait" r:id="rId1"/>
  <headerFooter>
    <oddFooter>&amp;C&amp;"Times New Roman,Regular"&amp;F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87"/>
  <sheetViews>
    <sheetView view="pageLayout" topLeftCell="A13" zoomScale="80" zoomScaleNormal="100" zoomScalePageLayoutView="80" workbookViewId="0">
      <selection activeCell="E18" sqref="E18:E35"/>
    </sheetView>
  </sheetViews>
  <sheetFormatPr defaultColWidth="9.1796875" defaultRowHeight="15.5" x14ac:dyDescent="0.35"/>
  <cols>
    <col min="1" max="1" width="17.26953125" style="13" customWidth="1"/>
    <col min="2" max="2" width="92.1796875" style="13" customWidth="1"/>
    <col min="3" max="4" width="7" style="217" hidden="1" customWidth="1"/>
    <col min="5" max="5" width="31.54296875" style="13" customWidth="1"/>
    <col min="6" max="6" width="12.7265625" style="13" customWidth="1"/>
    <col min="7" max="16384" width="9.1796875" style="13"/>
  </cols>
  <sheetData>
    <row r="1" spans="1:5" ht="15.75" customHeight="1" x14ac:dyDescent="0.35">
      <c r="B1" s="14"/>
      <c r="C1" s="214"/>
      <c r="D1" s="214"/>
      <c r="E1" s="17" t="s">
        <v>10</v>
      </c>
    </row>
    <row r="2" spans="1:5" ht="15.75" customHeight="1" x14ac:dyDescent="0.35">
      <c r="E2" s="14" t="s">
        <v>32</v>
      </c>
    </row>
    <row r="3" spans="1:5" x14ac:dyDescent="0.35">
      <c r="B3" s="60"/>
      <c r="C3" s="216"/>
      <c r="D3" s="216"/>
      <c r="E3" s="77" t="s">
        <v>66</v>
      </c>
    </row>
    <row r="4" spans="1:5" x14ac:dyDescent="0.35">
      <c r="B4" s="14"/>
      <c r="C4" s="214"/>
      <c r="D4" s="214"/>
      <c r="E4" s="15"/>
    </row>
    <row r="5" spans="1:5" x14ac:dyDescent="0.35">
      <c r="E5" s="15" t="s">
        <v>226</v>
      </c>
    </row>
    <row r="6" spans="1:5" x14ac:dyDescent="0.35">
      <c r="A6" s="416" t="s">
        <v>9</v>
      </c>
      <c r="B6" s="416"/>
      <c r="C6" s="416"/>
      <c r="D6" s="218"/>
      <c r="E6" s="70"/>
    </row>
    <row r="7" spans="1:5" x14ac:dyDescent="0.35">
      <c r="B7" s="18"/>
      <c r="C7" s="219"/>
      <c r="D7" s="219"/>
      <c r="E7" s="25"/>
    </row>
    <row r="8" spans="1:5" x14ac:dyDescent="0.35">
      <c r="A8" s="419" t="s">
        <v>1</v>
      </c>
      <c r="B8" s="419"/>
      <c r="C8" s="220"/>
      <c r="D8" s="220"/>
      <c r="E8" s="25"/>
    </row>
    <row r="9" spans="1:5" x14ac:dyDescent="0.35">
      <c r="A9" s="419" t="s">
        <v>0</v>
      </c>
      <c r="B9" s="419"/>
      <c r="C9" s="220"/>
      <c r="D9" s="220"/>
      <c r="E9" s="25"/>
    </row>
    <row r="10" spans="1:5" x14ac:dyDescent="0.35">
      <c r="A10" s="11"/>
      <c r="B10" s="11" t="s">
        <v>179</v>
      </c>
      <c r="C10" s="220"/>
      <c r="D10" s="220"/>
      <c r="E10" s="25"/>
    </row>
    <row r="11" spans="1:5" x14ac:dyDescent="0.35">
      <c r="A11" s="11"/>
      <c r="B11" s="43" t="s">
        <v>199</v>
      </c>
      <c r="C11" s="221"/>
      <c r="D11" s="221"/>
      <c r="E11" s="25"/>
    </row>
    <row r="12" spans="1:5" x14ac:dyDescent="0.35">
      <c r="A12" s="11"/>
      <c r="B12" s="84" t="s">
        <v>203</v>
      </c>
      <c r="C12" s="222"/>
      <c r="D12" s="222"/>
      <c r="E12" s="25"/>
    </row>
    <row r="13" spans="1:5" x14ac:dyDescent="0.35">
      <c r="A13" s="11"/>
      <c r="B13" s="84"/>
      <c r="C13" s="222"/>
      <c r="D13" s="222"/>
      <c r="E13" s="25"/>
    </row>
    <row r="14" spans="1:5" x14ac:dyDescent="0.35">
      <c r="A14" s="11" t="s">
        <v>2</v>
      </c>
      <c r="B14" s="11" t="s">
        <v>169</v>
      </c>
      <c r="C14" s="220"/>
      <c r="D14" s="220"/>
      <c r="E14" s="25"/>
    </row>
    <row r="15" spans="1:5" ht="69.75" customHeight="1" x14ac:dyDescent="0.35">
      <c r="A15" s="51" t="s">
        <v>3</v>
      </c>
      <c r="B15" s="51" t="s">
        <v>4</v>
      </c>
      <c r="C15" s="223"/>
      <c r="D15" s="223"/>
      <c r="E15" s="51" t="s">
        <v>134</v>
      </c>
    </row>
    <row r="16" spans="1:5" x14ac:dyDescent="0.35">
      <c r="A16" s="20">
        <v>1</v>
      </c>
      <c r="B16" s="21">
        <v>2</v>
      </c>
      <c r="C16" s="224"/>
      <c r="D16" s="224"/>
      <c r="E16" s="21">
        <v>3</v>
      </c>
    </row>
    <row r="17" spans="1:5" x14ac:dyDescent="0.35">
      <c r="A17" s="20"/>
      <c r="B17" s="22" t="s">
        <v>5</v>
      </c>
      <c r="C17" s="225"/>
      <c r="D17" s="225"/>
      <c r="E17" s="61"/>
    </row>
    <row r="18" spans="1:5" x14ac:dyDescent="0.35">
      <c r="A18" s="31">
        <v>1100</v>
      </c>
      <c r="B18" s="31" t="s">
        <v>132</v>
      </c>
      <c r="C18" s="226"/>
      <c r="D18" s="227">
        <v>13.696080878681975</v>
      </c>
      <c r="E18" s="33">
        <v>309.54000000000002</v>
      </c>
    </row>
    <row r="19" spans="1:5" x14ac:dyDescent="0.35">
      <c r="A19" s="31">
        <v>1200</v>
      </c>
      <c r="B19" s="61" t="s">
        <v>133</v>
      </c>
      <c r="C19" s="228"/>
      <c r="D19" s="228">
        <f>D18*0.2359</f>
        <v>3.2309054792810779</v>
      </c>
      <c r="E19" s="33">
        <v>73.02</v>
      </c>
    </row>
    <row r="20" spans="1:5" x14ac:dyDescent="0.35">
      <c r="A20" s="31">
        <v>2210</v>
      </c>
      <c r="B20" s="61"/>
      <c r="C20" s="228"/>
      <c r="D20" s="228"/>
      <c r="E20" s="33"/>
    </row>
    <row r="21" spans="1:5" x14ac:dyDescent="0.35">
      <c r="A21" s="31">
        <v>2222</v>
      </c>
      <c r="B21" s="62" t="s">
        <v>135</v>
      </c>
      <c r="C21" s="228"/>
      <c r="D21" s="229">
        <v>0.39515227159261107</v>
      </c>
      <c r="E21" s="33">
        <v>7.9</v>
      </c>
    </row>
    <row r="22" spans="1:5" x14ac:dyDescent="0.35">
      <c r="A22" s="31">
        <v>2223</v>
      </c>
      <c r="B22" s="62" t="s">
        <v>136</v>
      </c>
      <c r="C22" s="228"/>
      <c r="D22" s="229">
        <v>1.0410983524712931</v>
      </c>
      <c r="E22" s="33">
        <v>20.83</v>
      </c>
    </row>
    <row r="23" spans="1:5" x14ac:dyDescent="0.35">
      <c r="A23" s="31">
        <v>2243</v>
      </c>
      <c r="B23" s="22" t="s">
        <v>137</v>
      </c>
      <c r="C23" s="228"/>
      <c r="D23" s="229">
        <v>6.1198527800146445E-2</v>
      </c>
      <c r="E23" s="33">
        <v>1.23</v>
      </c>
    </row>
    <row r="24" spans="1:5" x14ac:dyDescent="0.35">
      <c r="A24" s="31">
        <v>2244</v>
      </c>
      <c r="B24" s="22" t="s">
        <v>138</v>
      </c>
      <c r="C24" s="228"/>
      <c r="D24" s="229">
        <v>1.2817802262998108</v>
      </c>
      <c r="E24" s="33">
        <v>25.65</v>
      </c>
    </row>
    <row r="25" spans="1:5" x14ac:dyDescent="0.35">
      <c r="A25" s="31">
        <v>2250</v>
      </c>
      <c r="B25" s="22" t="s">
        <v>124</v>
      </c>
      <c r="C25" s="228"/>
      <c r="D25" s="229">
        <v>0.19</v>
      </c>
      <c r="E25" s="33">
        <v>3.8</v>
      </c>
    </row>
    <row r="26" spans="1:5" x14ac:dyDescent="0.35">
      <c r="A26" s="31">
        <v>2263</v>
      </c>
      <c r="B26" s="62" t="s">
        <v>149</v>
      </c>
      <c r="C26" s="228"/>
      <c r="D26" s="229"/>
      <c r="E26" s="33"/>
    </row>
    <row r="27" spans="1:5" x14ac:dyDescent="0.35">
      <c r="A27" s="31">
        <v>2311</v>
      </c>
      <c r="B27" s="62" t="s">
        <v>151</v>
      </c>
      <c r="C27" s="228"/>
      <c r="D27" s="229">
        <v>2.029795307039441</v>
      </c>
      <c r="E27" s="33">
        <v>40.6</v>
      </c>
    </row>
    <row r="28" spans="1:5" x14ac:dyDescent="0.35">
      <c r="A28" s="31">
        <v>2312</v>
      </c>
      <c r="B28" s="22" t="s">
        <v>116</v>
      </c>
      <c r="C28" s="228"/>
      <c r="D28" s="229">
        <v>0.71454415237877755</v>
      </c>
      <c r="E28" s="33">
        <v>14.31</v>
      </c>
    </row>
    <row r="29" spans="1:5" x14ac:dyDescent="0.35">
      <c r="A29" s="31">
        <v>2321</v>
      </c>
      <c r="B29" s="62" t="s">
        <v>139</v>
      </c>
      <c r="C29" s="228"/>
      <c r="D29" s="229">
        <v>0.7417639384842627</v>
      </c>
      <c r="E29" s="33">
        <v>14.85</v>
      </c>
    </row>
    <row r="30" spans="1:5" x14ac:dyDescent="0.35">
      <c r="A30" s="31">
        <v>2350</v>
      </c>
      <c r="B30" s="61" t="s">
        <v>125</v>
      </c>
      <c r="C30" s="228"/>
      <c r="D30" s="229">
        <v>0.27072812401798485</v>
      </c>
      <c r="E30" s="33">
        <v>5.42</v>
      </c>
    </row>
    <row r="31" spans="1:5" x14ac:dyDescent="0.35">
      <c r="A31" s="31">
        <v>2361</v>
      </c>
      <c r="B31" s="62" t="s">
        <v>141</v>
      </c>
      <c r="C31" s="228"/>
      <c r="D31" s="229">
        <v>0.10154767848227658</v>
      </c>
      <c r="E31" s="33">
        <v>2.0299999999999998</v>
      </c>
    </row>
    <row r="32" spans="1:5" x14ac:dyDescent="0.35">
      <c r="A32" s="31">
        <v>2362</v>
      </c>
      <c r="B32" s="83" t="s">
        <v>156</v>
      </c>
      <c r="C32" s="228"/>
      <c r="D32" s="229">
        <v>4.8496533819285675E-2</v>
      </c>
      <c r="E32" s="33">
        <v>0.97</v>
      </c>
    </row>
    <row r="33" spans="1:6" x14ac:dyDescent="0.35">
      <c r="A33" s="31">
        <v>2363</v>
      </c>
      <c r="B33" s="62" t="s">
        <v>142</v>
      </c>
      <c r="C33" s="228"/>
      <c r="D33" s="228">
        <v>9.75</v>
      </c>
      <c r="E33" s="33">
        <f>D33*20</f>
        <v>195</v>
      </c>
    </row>
    <row r="34" spans="1:6" x14ac:dyDescent="0.35">
      <c r="A34" s="31">
        <v>2513</v>
      </c>
      <c r="B34" s="61" t="s">
        <v>121</v>
      </c>
      <c r="C34" s="228"/>
      <c r="D34" s="228"/>
      <c r="E34" s="33"/>
    </row>
    <row r="35" spans="1:6" x14ac:dyDescent="0.35">
      <c r="A35" s="31">
        <v>2519</v>
      </c>
      <c r="B35" s="62" t="s">
        <v>122</v>
      </c>
      <c r="C35" s="228"/>
      <c r="D35" s="228"/>
      <c r="E35" s="33"/>
    </row>
    <row r="36" spans="1:6" x14ac:dyDescent="0.35">
      <c r="A36" s="31">
        <v>5239</v>
      </c>
      <c r="B36" s="61" t="s">
        <v>130</v>
      </c>
      <c r="C36" s="228"/>
      <c r="D36" s="229">
        <v>0.99836161633544895</v>
      </c>
      <c r="E36" s="33">
        <v>19.989999999999998</v>
      </c>
    </row>
    <row r="37" spans="1:6" x14ac:dyDescent="0.35">
      <c r="A37" s="31"/>
      <c r="B37" s="78" t="s">
        <v>6</v>
      </c>
      <c r="C37" s="230"/>
      <c r="D37" s="230">
        <f>SUM(D18:D36)</f>
        <v>34.551453086684397</v>
      </c>
      <c r="E37" s="37">
        <f>SUM(E18:E36)</f>
        <v>735.14</v>
      </c>
      <c r="F37" s="58"/>
    </row>
    <row r="38" spans="1:6" x14ac:dyDescent="0.35">
      <c r="A38" s="38"/>
      <c r="B38" s="78" t="s">
        <v>7</v>
      </c>
      <c r="C38" s="230"/>
      <c r="D38" s="230"/>
      <c r="E38" s="33"/>
    </row>
    <row r="39" spans="1:6" x14ac:dyDescent="0.35">
      <c r="A39" s="31">
        <v>1100</v>
      </c>
      <c r="B39" s="22" t="s">
        <v>132</v>
      </c>
      <c r="C39" s="228">
        <v>0.48549999999999999</v>
      </c>
      <c r="D39" s="228"/>
      <c r="E39" s="33">
        <v>205.1</v>
      </c>
    </row>
    <row r="40" spans="1:6" ht="16.5" customHeight="1" x14ac:dyDescent="0.35">
      <c r="A40" s="31">
        <v>1200</v>
      </c>
      <c r="B40" s="22" t="s">
        <v>133</v>
      </c>
      <c r="C40" s="228">
        <f>C39*0.2359</f>
        <v>0.11452944999999999</v>
      </c>
      <c r="D40" s="228"/>
      <c r="E40" s="33">
        <v>48.38</v>
      </c>
    </row>
    <row r="41" spans="1:6" ht="16.5" customHeight="1" x14ac:dyDescent="0.35">
      <c r="A41" s="31">
        <v>2100</v>
      </c>
      <c r="B41" s="24" t="s">
        <v>45</v>
      </c>
      <c r="C41" s="228">
        <v>1.1659999999999999E-3</v>
      </c>
      <c r="D41" s="228"/>
      <c r="E41" s="33">
        <v>0.57999999999999996</v>
      </c>
    </row>
    <row r="42" spans="1:6" x14ac:dyDescent="0.35">
      <c r="A42" s="34">
        <v>2210</v>
      </c>
      <c r="B42" s="62" t="s">
        <v>120</v>
      </c>
      <c r="C42" s="228">
        <v>7.6E-3</v>
      </c>
      <c r="D42" s="228"/>
      <c r="E42" s="33">
        <v>3.77</v>
      </c>
    </row>
    <row r="43" spans="1:6" x14ac:dyDescent="0.35">
      <c r="A43" s="31">
        <v>2222</v>
      </c>
      <c r="B43" s="62" t="s">
        <v>135</v>
      </c>
      <c r="C43" s="228">
        <f>0.0095*1.15</f>
        <v>1.0924999999999999E-2</v>
      </c>
      <c r="D43" s="228"/>
      <c r="E43" s="33">
        <v>5.42</v>
      </c>
    </row>
    <row r="44" spans="1:6" x14ac:dyDescent="0.35">
      <c r="A44" s="31">
        <v>2223</v>
      </c>
      <c r="B44" s="62" t="s">
        <v>136</v>
      </c>
      <c r="C44" s="228">
        <f>0.01902*2.13</f>
        <v>4.0512599999999996E-2</v>
      </c>
      <c r="D44" s="228"/>
      <c r="E44" s="33">
        <v>20.11</v>
      </c>
    </row>
    <row r="45" spans="1:6" ht="31" x14ac:dyDescent="0.35">
      <c r="A45" s="31">
        <v>2224</v>
      </c>
      <c r="B45" s="62" t="s">
        <v>143</v>
      </c>
      <c r="C45" s="228">
        <f>0.00495*1.15</f>
        <v>5.6924999999999996E-3</v>
      </c>
      <c r="D45" s="228"/>
      <c r="E45" s="33">
        <v>2.82</v>
      </c>
    </row>
    <row r="46" spans="1:6" ht="15.75" customHeight="1" x14ac:dyDescent="0.35">
      <c r="A46" s="31">
        <v>2231</v>
      </c>
      <c r="B46" s="22" t="s">
        <v>126</v>
      </c>
      <c r="C46" s="228">
        <v>1.5499999999999999E-3</v>
      </c>
      <c r="D46" s="228"/>
      <c r="E46" s="33">
        <v>0.77</v>
      </c>
    </row>
    <row r="47" spans="1:6" ht="15.75" customHeight="1" x14ac:dyDescent="0.35">
      <c r="A47" s="31">
        <v>2235</v>
      </c>
      <c r="B47" s="75" t="s">
        <v>127</v>
      </c>
      <c r="C47" s="228">
        <v>1.65E-3</v>
      </c>
      <c r="D47" s="228"/>
      <c r="E47" s="33">
        <v>0.82</v>
      </c>
    </row>
    <row r="48" spans="1:6" x14ac:dyDescent="0.35">
      <c r="A48" s="31">
        <v>2239</v>
      </c>
      <c r="B48" s="22" t="s">
        <v>144</v>
      </c>
      <c r="C48" s="228">
        <v>4.4099999999999999E-3</v>
      </c>
      <c r="D48" s="228"/>
      <c r="E48" s="33">
        <v>2.19</v>
      </c>
    </row>
    <row r="49" spans="1:5" x14ac:dyDescent="0.35">
      <c r="A49" s="31">
        <v>2241</v>
      </c>
      <c r="B49" s="22" t="s">
        <v>123</v>
      </c>
      <c r="C49" s="228">
        <v>1.6500000000000001E-2</v>
      </c>
      <c r="D49" s="228"/>
      <c r="E49" s="33">
        <v>8.2799999999999994</v>
      </c>
    </row>
    <row r="50" spans="1:5" x14ac:dyDescent="0.35">
      <c r="A50" s="31">
        <v>2242</v>
      </c>
      <c r="B50" s="62" t="s">
        <v>145</v>
      </c>
      <c r="C50" s="228">
        <v>2.2599999999999999E-3</v>
      </c>
      <c r="D50" s="228"/>
      <c r="E50" s="33">
        <v>1.1200000000000001</v>
      </c>
    </row>
    <row r="51" spans="1:5" ht="15.75" customHeight="1" x14ac:dyDescent="0.35">
      <c r="A51" s="31">
        <v>2243</v>
      </c>
      <c r="B51" s="22" t="s">
        <v>137</v>
      </c>
      <c r="C51" s="228">
        <v>3.2599999999999997E-2</v>
      </c>
      <c r="D51" s="228"/>
      <c r="E51" s="33">
        <v>16.18</v>
      </c>
    </row>
    <row r="52" spans="1:5" x14ac:dyDescent="0.35">
      <c r="A52" s="31">
        <v>2244</v>
      </c>
      <c r="B52" s="22" t="s">
        <v>138</v>
      </c>
      <c r="C52" s="228">
        <f>0.20397-0.09084</f>
        <v>0.11313000000000001</v>
      </c>
      <c r="D52" s="228"/>
      <c r="E52" s="33">
        <v>56.14</v>
      </c>
    </row>
    <row r="53" spans="1:5" x14ac:dyDescent="0.35">
      <c r="A53" s="106">
        <v>2247</v>
      </c>
      <c r="B53" s="104" t="s">
        <v>146</v>
      </c>
      <c r="C53" s="228">
        <v>7.1900000000000002E-4</v>
      </c>
      <c r="D53" s="228"/>
      <c r="E53" s="33">
        <v>0.36</v>
      </c>
    </row>
    <row r="54" spans="1:5" x14ac:dyDescent="0.35">
      <c r="A54" s="31">
        <v>2249</v>
      </c>
      <c r="B54" s="22" t="s">
        <v>171</v>
      </c>
      <c r="C54" s="228">
        <v>2.32E-4</v>
      </c>
      <c r="D54" s="228"/>
      <c r="E54" s="33">
        <v>0.12</v>
      </c>
    </row>
    <row r="55" spans="1:5" x14ac:dyDescent="0.35">
      <c r="A55" s="31">
        <v>2250</v>
      </c>
      <c r="B55" s="22" t="s">
        <v>124</v>
      </c>
      <c r="C55" s="228">
        <f>0.024026-0.005</f>
        <v>1.9025999999999998E-2</v>
      </c>
      <c r="D55" s="228"/>
      <c r="E55" s="33">
        <v>9.44</v>
      </c>
    </row>
    <row r="56" spans="1:5" x14ac:dyDescent="0.35">
      <c r="A56" s="31">
        <v>2262</v>
      </c>
      <c r="B56" s="62" t="s">
        <v>148</v>
      </c>
      <c r="C56" s="228">
        <v>6.2599999999999999E-3</v>
      </c>
      <c r="D56" s="228"/>
      <c r="E56" s="33">
        <v>3.11</v>
      </c>
    </row>
    <row r="57" spans="1:5" x14ac:dyDescent="0.35">
      <c r="A57" s="31">
        <v>2263</v>
      </c>
      <c r="B57" s="62" t="s">
        <v>149</v>
      </c>
      <c r="C57" s="228">
        <v>4.58E-2</v>
      </c>
      <c r="D57" s="228"/>
      <c r="E57" s="33">
        <v>22.73</v>
      </c>
    </row>
    <row r="58" spans="1:5" x14ac:dyDescent="0.35">
      <c r="A58" s="31">
        <v>2264</v>
      </c>
      <c r="B58" s="22" t="s">
        <v>150</v>
      </c>
      <c r="C58" s="228">
        <v>1.49E-3</v>
      </c>
      <c r="D58" s="228"/>
      <c r="E58" s="33">
        <v>0.74</v>
      </c>
    </row>
    <row r="59" spans="1:5" x14ac:dyDescent="0.35">
      <c r="A59" s="31">
        <v>2311</v>
      </c>
      <c r="B59" s="62" t="s">
        <v>151</v>
      </c>
      <c r="C59" s="228">
        <v>4.7699999999999999E-3</v>
      </c>
      <c r="D59" s="228"/>
      <c r="E59" s="33">
        <v>2.37</v>
      </c>
    </row>
    <row r="60" spans="1:5" x14ac:dyDescent="0.35">
      <c r="A60" s="31">
        <v>2312</v>
      </c>
      <c r="B60" s="62" t="s">
        <v>116</v>
      </c>
      <c r="C60" s="228">
        <v>5.79E-3</v>
      </c>
      <c r="D60" s="228"/>
      <c r="E60" s="33">
        <v>2.87</v>
      </c>
    </row>
    <row r="61" spans="1:5" x14ac:dyDescent="0.35">
      <c r="A61" s="31">
        <v>2314</v>
      </c>
      <c r="B61" s="75" t="s">
        <v>152</v>
      </c>
      <c r="C61" s="228">
        <v>2.2200000000000002E-3</v>
      </c>
      <c r="D61" s="228"/>
      <c r="E61" s="33">
        <v>1.1000000000000001</v>
      </c>
    </row>
    <row r="62" spans="1:5" x14ac:dyDescent="0.35">
      <c r="A62" s="31">
        <v>2321</v>
      </c>
      <c r="B62" s="62" t="s">
        <v>139</v>
      </c>
      <c r="C62" s="228">
        <f>0.0198*1.2+0.005</f>
        <v>2.8760000000000001E-2</v>
      </c>
      <c r="D62" s="228"/>
      <c r="E62" s="33">
        <v>14.27</v>
      </c>
    </row>
    <row r="63" spans="1:5" x14ac:dyDescent="0.35">
      <c r="A63" s="31">
        <v>2322</v>
      </c>
      <c r="B63" s="62" t="s">
        <v>153</v>
      </c>
      <c r="C63" s="228">
        <f>0.0035*1.2</f>
        <v>4.1999999999999997E-3</v>
      </c>
      <c r="D63" s="228"/>
      <c r="E63" s="33">
        <v>2.08</v>
      </c>
    </row>
    <row r="64" spans="1:5" x14ac:dyDescent="0.35">
      <c r="A64" s="31">
        <v>2341</v>
      </c>
      <c r="B64" s="62" t="s">
        <v>140</v>
      </c>
      <c r="C64" s="228"/>
      <c r="D64" s="228"/>
      <c r="E64" s="33">
        <v>0</v>
      </c>
    </row>
    <row r="65" spans="1:6" x14ac:dyDescent="0.35">
      <c r="A65" s="31">
        <v>2350</v>
      </c>
      <c r="B65" s="61" t="s">
        <v>125</v>
      </c>
      <c r="C65" s="228">
        <v>8.5000000000000006E-3</v>
      </c>
      <c r="D65" s="228"/>
      <c r="E65" s="33">
        <v>4.22</v>
      </c>
    </row>
    <row r="66" spans="1:6" ht="15.75" customHeight="1" x14ac:dyDescent="0.35">
      <c r="A66" s="31">
        <v>2513</v>
      </c>
      <c r="B66" s="61" t="s">
        <v>121</v>
      </c>
      <c r="C66" s="228">
        <v>1.4599999999999999E-3</v>
      </c>
      <c r="D66" s="228"/>
      <c r="E66" s="33">
        <v>0.72</v>
      </c>
    </row>
    <row r="67" spans="1:6" x14ac:dyDescent="0.35">
      <c r="A67" s="31">
        <v>2515</v>
      </c>
      <c r="B67" s="62" t="s">
        <v>155</v>
      </c>
      <c r="C67" s="228">
        <v>1.9E-3</v>
      </c>
      <c r="D67" s="228"/>
      <c r="E67" s="33">
        <v>0.94</v>
      </c>
    </row>
    <row r="68" spans="1:6" x14ac:dyDescent="0.35">
      <c r="A68" s="31">
        <v>2519</v>
      </c>
      <c r="B68" s="62" t="s">
        <v>122</v>
      </c>
      <c r="C68" s="228">
        <v>2E-3</v>
      </c>
      <c r="D68" s="228"/>
      <c r="E68" s="33">
        <v>0.99</v>
      </c>
    </row>
    <row r="69" spans="1:6" x14ac:dyDescent="0.35">
      <c r="A69" s="31">
        <v>5220</v>
      </c>
      <c r="B69" s="62" t="s">
        <v>128</v>
      </c>
      <c r="C69" s="228">
        <v>1.06E-2</v>
      </c>
      <c r="D69" s="228"/>
      <c r="E69" s="33">
        <v>5.26</v>
      </c>
    </row>
    <row r="70" spans="1:6" x14ac:dyDescent="0.35">
      <c r="A70" s="31">
        <v>5238</v>
      </c>
      <c r="B70" s="61" t="s">
        <v>129</v>
      </c>
      <c r="C70" s="228">
        <v>1.65E-3</v>
      </c>
      <c r="D70" s="228"/>
      <c r="E70" s="33">
        <v>0.82</v>
      </c>
    </row>
    <row r="71" spans="1:6" x14ac:dyDescent="0.35">
      <c r="A71" s="31">
        <v>5239</v>
      </c>
      <c r="B71" s="61" t="s">
        <v>130</v>
      </c>
      <c r="C71" s="228">
        <v>9.5399999999999999E-3</v>
      </c>
      <c r="D71" s="228"/>
      <c r="E71" s="33">
        <v>4.7300000000000004</v>
      </c>
    </row>
    <row r="72" spans="1:6" x14ac:dyDescent="0.35">
      <c r="A72" s="31">
        <v>5250</v>
      </c>
      <c r="B72" s="62" t="s">
        <v>131</v>
      </c>
      <c r="C72" s="228">
        <v>7.0600000000000003E-3</v>
      </c>
      <c r="D72" s="228"/>
      <c r="E72" s="33">
        <v>3.51</v>
      </c>
    </row>
    <row r="73" spans="1:6" x14ac:dyDescent="0.35">
      <c r="A73" s="38"/>
      <c r="B73" s="79" t="s">
        <v>97</v>
      </c>
      <c r="C73" s="228">
        <f>SUM(C39:C72)</f>
        <v>1.00000255</v>
      </c>
      <c r="D73" s="228"/>
      <c r="E73" s="37">
        <f>SUM(E39:E72)</f>
        <v>452.06000000000006</v>
      </c>
    </row>
    <row r="74" spans="1:6" x14ac:dyDescent="0.35">
      <c r="A74" s="38"/>
      <c r="B74" s="79" t="s">
        <v>98</v>
      </c>
      <c r="C74" s="232"/>
      <c r="D74" s="232"/>
      <c r="E74" s="37">
        <f>E37+E73</f>
        <v>1187.2</v>
      </c>
    </row>
    <row r="75" spans="1:6" ht="12.75" customHeight="1" x14ac:dyDescent="0.35">
      <c r="A75" s="15"/>
      <c r="B75" s="25"/>
      <c r="C75" s="233"/>
      <c r="D75" s="233"/>
      <c r="E75" s="59"/>
    </row>
    <row r="76" spans="1:6" ht="15.75" customHeight="1" x14ac:dyDescent="0.35">
      <c r="A76" s="417" t="s">
        <v>106</v>
      </c>
      <c r="B76" s="417"/>
      <c r="C76" s="234"/>
      <c r="D76" s="234"/>
      <c r="E76" s="67">
        <v>20</v>
      </c>
    </row>
    <row r="77" spans="1:6" ht="15.75" customHeight="1" x14ac:dyDescent="0.35">
      <c r="A77" s="417" t="s">
        <v>58</v>
      </c>
      <c r="B77" s="417"/>
      <c r="C77" s="234"/>
      <c r="D77" s="234"/>
      <c r="E77" s="68">
        <f>E74/E76</f>
        <v>59.36</v>
      </c>
      <c r="F77" s="144"/>
    </row>
    <row r="78" spans="1:6" ht="9.75" customHeight="1" x14ac:dyDescent="0.35">
      <c r="A78" s="43"/>
      <c r="B78" s="49"/>
      <c r="C78" s="235"/>
      <c r="D78" s="235"/>
    </row>
    <row r="79" spans="1:6" ht="15.75" customHeight="1" x14ac:dyDescent="0.35">
      <c r="A79" s="418" t="s">
        <v>33</v>
      </c>
      <c r="B79" s="418"/>
      <c r="C79" s="236"/>
      <c r="D79" s="236"/>
      <c r="E79" s="158"/>
    </row>
    <row r="80" spans="1:6" ht="15.75" customHeight="1" x14ac:dyDescent="0.35">
      <c r="A80" s="418" t="s">
        <v>64</v>
      </c>
      <c r="B80" s="418"/>
      <c r="C80" s="236"/>
      <c r="D80" s="236"/>
      <c r="E80" s="85"/>
    </row>
    <row r="81" spans="1:5" ht="8.25" customHeight="1" x14ac:dyDescent="0.35">
      <c r="A81" s="28"/>
      <c r="B81" s="28"/>
      <c r="C81" s="237"/>
      <c r="D81" s="237"/>
      <c r="E81" s="28"/>
    </row>
    <row r="82" spans="1:5" x14ac:dyDescent="0.35">
      <c r="A82" s="28" t="s">
        <v>34</v>
      </c>
      <c r="B82" s="28"/>
      <c r="C82" s="237"/>
      <c r="D82" s="237"/>
      <c r="E82" s="81"/>
    </row>
    <row r="83" spans="1:5" x14ac:dyDescent="0.35">
      <c r="A83" s="28"/>
      <c r="B83" s="28"/>
      <c r="C83" s="237"/>
      <c r="D83" s="237"/>
      <c r="E83" s="81"/>
    </row>
    <row r="84" spans="1:5" x14ac:dyDescent="0.35">
      <c r="A84" s="28" t="s">
        <v>177</v>
      </c>
      <c r="B84" s="29"/>
      <c r="C84" s="238"/>
      <c r="D84" s="238"/>
      <c r="E84" s="81"/>
    </row>
    <row r="85" spans="1:5" x14ac:dyDescent="0.35">
      <c r="B85" s="73"/>
      <c r="C85" s="239"/>
      <c r="D85" s="239"/>
      <c r="E85" s="82"/>
    </row>
    <row r="87" spans="1:5" x14ac:dyDescent="0.35">
      <c r="E87" s="58"/>
    </row>
  </sheetData>
  <mergeCells count="7">
    <mergeCell ref="A79:B79"/>
    <mergeCell ref="A80:B80"/>
    <mergeCell ref="A6:C6"/>
    <mergeCell ref="A8:B8"/>
    <mergeCell ref="A9:B9"/>
    <mergeCell ref="A76:B76"/>
    <mergeCell ref="A77:B77"/>
  </mergeCells>
  <pageMargins left="0.95093749999999999" right="0.51343749999999999" top="0.55118110236220474" bottom="0.66" header="0.31496062992125984" footer="0.16"/>
  <pageSetup paperSize="9" scale="56" orientation="portrait" r:id="rId1"/>
  <headerFooter>
    <oddFooter>&amp;C&amp;"Times New Roman,Regular"&amp;F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86"/>
  <sheetViews>
    <sheetView view="pageLayout" topLeftCell="A10" zoomScale="80" zoomScaleNormal="100" zoomScalePageLayoutView="80" workbookViewId="0">
      <selection activeCell="E18" sqref="E18:E36"/>
    </sheetView>
  </sheetViews>
  <sheetFormatPr defaultRowHeight="14" x14ac:dyDescent="0.3"/>
  <cols>
    <col min="1" max="1" width="13" style="4" customWidth="1"/>
    <col min="2" max="2" width="94" style="4" customWidth="1"/>
    <col min="3" max="4" width="9" style="217" hidden="1" customWidth="1"/>
    <col min="5" max="5" width="28.81640625" style="4" customWidth="1"/>
  </cols>
  <sheetData>
    <row r="1" spans="1:7" ht="15.5" x14ac:dyDescent="0.35">
      <c r="B1" s="1"/>
      <c r="C1" s="214"/>
      <c r="D1" s="214"/>
      <c r="E1" s="17" t="s">
        <v>10</v>
      </c>
    </row>
    <row r="2" spans="1:7" ht="15.5" x14ac:dyDescent="0.35">
      <c r="B2" s="1"/>
      <c r="C2" s="214"/>
      <c r="D2" s="214"/>
      <c r="E2" s="14" t="s">
        <v>32</v>
      </c>
    </row>
    <row r="3" spans="1:7" ht="15.5" x14ac:dyDescent="0.35">
      <c r="B3" s="1"/>
      <c r="C3" s="214"/>
      <c r="D3" s="214"/>
      <c r="E3" s="77" t="s">
        <v>66</v>
      </c>
    </row>
    <row r="4" spans="1:7" x14ac:dyDescent="0.3">
      <c r="B4" s="1"/>
      <c r="C4" s="214"/>
      <c r="D4" s="214"/>
      <c r="E4" s="63"/>
    </row>
    <row r="5" spans="1:7" ht="15.5" x14ac:dyDescent="0.35">
      <c r="B5" s="5"/>
      <c r="C5" s="241"/>
      <c r="D5" s="241"/>
      <c r="E5" s="15" t="s">
        <v>226</v>
      </c>
    </row>
    <row r="6" spans="1:7" x14ac:dyDescent="0.3">
      <c r="E6" s="6"/>
    </row>
    <row r="7" spans="1:7" ht="17.5" x14ac:dyDescent="0.35">
      <c r="A7" s="420" t="s">
        <v>9</v>
      </c>
      <c r="B7" s="420"/>
      <c r="C7" s="420"/>
      <c r="D7" s="420"/>
      <c r="E7" s="420"/>
    </row>
    <row r="8" spans="1:7" x14ac:dyDescent="0.3">
      <c r="B8" s="3"/>
      <c r="C8" s="219"/>
      <c r="D8" s="219"/>
      <c r="E8" s="6"/>
    </row>
    <row r="9" spans="1:7" ht="15.5" x14ac:dyDescent="0.35">
      <c r="A9" s="419" t="s">
        <v>1</v>
      </c>
      <c r="B9" s="419"/>
      <c r="C9" s="220"/>
      <c r="D9" s="220"/>
      <c r="E9" s="25"/>
    </row>
    <row r="10" spans="1:7" ht="15.5" x14ac:dyDescent="0.35">
      <c r="A10" s="419" t="s">
        <v>0</v>
      </c>
      <c r="B10" s="419"/>
      <c r="C10" s="220"/>
      <c r="D10" s="220"/>
      <c r="E10" s="25"/>
    </row>
    <row r="11" spans="1:7" ht="15.5" x14ac:dyDescent="0.35">
      <c r="A11" s="11"/>
      <c r="B11" s="11" t="s">
        <v>179</v>
      </c>
      <c r="C11" s="220"/>
      <c r="D11" s="220"/>
      <c r="E11" s="25"/>
    </row>
    <row r="12" spans="1:7" ht="15.5" x14ac:dyDescent="0.25">
      <c r="A12" s="11"/>
      <c r="B12" s="423" t="s">
        <v>204</v>
      </c>
      <c r="C12" s="423"/>
      <c r="D12" s="423"/>
      <c r="E12" s="423"/>
    </row>
    <row r="13" spans="1:7" ht="15.5" x14ac:dyDescent="0.35">
      <c r="A13" s="11"/>
      <c r="B13" s="419" t="s">
        <v>227</v>
      </c>
      <c r="C13" s="419"/>
      <c r="D13" s="419"/>
      <c r="E13" s="421"/>
    </row>
    <row r="14" spans="1:7" ht="15.5" x14ac:dyDescent="0.35">
      <c r="A14" s="11" t="s">
        <v>2</v>
      </c>
      <c r="B14" s="11" t="str">
        <f>'4.2.4.'!B14</f>
        <v>2023.gadā un turpmāk</v>
      </c>
      <c r="C14" s="220"/>
      <c r="D14" s="220"/>
      <c r="E14" s="16"/>
    </row>
    <row r="15" spans="1:7" ht="67.5" customHeight="1" x14ac:dyDescent="0.25">
      <c r="A15" s="51" t="s">
        <v>3</v>
      </c>
      <c r="B15" s="51" t="s">
        <v>4</v>
      </c>
      <c r="C15" s="223">
        <v>1</v>
      </c>
      <c r="D15" s="223"/>
      <c r="E15" s="51" t="s">
        <v>63</v>
      </c>
      <c r="G15" s="56"/>
    </row>
    <row r="16" spans="1:7" x14ac:dyDescent="0.25">
      <c r="A16" s="9">
        <v>1</v>
      </c>
      <c r="B16" s="10">
        <v>2</v>
      </c>
      <c r="C16" s="224"/>
      <c r="D16" s="224"/>
      <c r="E16" s="10">
        <v>3</v>
      </c>
      <c r="G16" s="56"/>
    </row>
    <row r="17" spans="1:7" ht="15.5" x14ac:dyDescent="0.25">
      <c r="A17" s="41"/>
      <c r="B17" s="39" t="s">
        <v>5</v>
      </c>
      <c r="C17" s="242"/>
      <c r="D17" s="242"/>
      <c r="E17" s="35"/>
      <c r="G17" s="56"/>
    </row>
    <row r="18" spans="1:7" ht="15.5" x14ac:dyDescent="0.25">
      <c r="A18" s="31">
        <v>1100</v>
      </c>
      <c r="B18" s="31" t="s">
        <v>132</v>
      </c>
      <c r="C18" s="227">
        <v>2.187870194707938</v>
      </c>
      <c r="D18" s="226"/>
      <c r="E18" s="33">
        <v>568.73</v>
      </c>
    </row>
    <row r="19" spans="1:7" ht="15.75" customHeight="1" x14ac:dyDescent="0.35">
      <c r="A19" s="31">
        <v>1200</v>
      </c>
      <c r="B19" s="61" t="s">
        <v>133</v>
      </c>
      <c r="C19" s="226">
        <f>C18*0.2359</f>
        <v>0.51611857893160251</v>
      </c>
      <c r="D19" s="226"/>
      <c r="E19" s="33">
        <v>134.16</v>
      </c>
    </row>
    <row r="20" spans="1:7" ht="15.75" customHeight="1" x14ac:dyDescent="0.35">
      <c r="A20" s="31">
        <v>2210</v>
      </c>
      <c r="B20" s="62" t="s">
        <v>120</v>
      </c>
      <c r="C20" s="226"/>
      <c r="D20" s="226"/>
      <c r="E20" s="33"/>
    </row>
    <row r="21" spans="1:7" ht="15.5" x14ac:dyDescent="0.35">
      <c r="A21" s="31">
        <v>2222</v>
      </c>
      <c r="B21" s="62" t="s">
        <v>135</v>
      </c>
      <c r="C21" s="227">
        <v>0.22432351472790812</v>
      </c>
      <c r="D21" s="226"/>
      <c r="E21" s="33">
        <v>51.6</v>
      </c>
    </row>
    <row r="22" spans="1:7" ht="15.5" x14ac:dyDescent="0.25">
      <c r="A22" s="31">
        <v>2223</v>
      </c>
      <c r="B22" s="32" t="s">
        <v>136</v>
      </c>
      <c r="C22" s="227">
        <v>0.67774338492261599</v>
      </c>
      <c r="D22" s="226"/>
      <c r="E22" s="33">
        <v>155.91</v>
      </c>
    </row>
    <row r="23" spans="1:7" ht="15.5" x14ac:dyDescent="0.25">
      <c r="A23" s="31">
        <v>2243</v>
      </c>
      <c r="B23" s="32" t="s">
        <v>137</v>
      </c>
      <c r="C23" s="227">
        <v>2.3864203694458311E-2</v>
      </c>
      <c r="D23" s="226"/>
      <c r="E23" s="33">
        <v>5.49</v>
      </c>
    </row>
    <row r="24" spans="1:7" ht="15.5" x14ac:dyDescent="0.35">
      <c r="A24" s="31">
        <v>2244</v>
      </c>
      <c r="B24" s="22" t="s">
        <v>138</v>
      </c>
      <c r="C24" s="227">
        <v>0.7732001997004494</v>
      </c>
      <c r="D24" s="226"/>
      <c r="E24" s="33">
        <v>177.87</v>
      </c>
    </row>
    <row r="25" spans="1:7" ht="15.5" x14ac:dyDescent="0.35">
      <c r="A25" s="31">
        <v>2250</v>
      </c>
      <c r="B25" s="22" t="s">
        <v>124</v>
      </c>
      <c r="C25" s="227">
        <v>0</v>
      </c>
      <c r="D25" s="226"/>
      <c r="E25" s="33">
        <v>0</v>
      </c>
    </row>
    <row r="26" spans="1:7" ht="15.5" x14ac:dyDescent="0.35">
      <c r="A26" s="31">
        <v>2263</v>
      </c>
      <c r="B26" s="62" t="s">
        <v>149</v>
      </c>
      <c r="C26" s="227"/>
      <c r="D26" s="226"/>
      <c r="E26" s="33"/>
    </row>
    <row r="27" spans="1:7" ht="15.5" x14ac:dyDescent="0.35">
      <c r="A27" s="31">
        <v>2311</v>
      </c>
      <c r="B27" s="62" t="s">
        <v>151</v>
      </c>
      <c r="C27" s="227">
        <v>0.48205691462805789</v>
      </c>
      <c r="D27" s="226"/>
      <c r="E27" s="33">
        <v>110.89</v>
      </c>
    </row>
    <row r="28" spans="1:7" ht="15.5" x14ac:dyDescent="0.35">
      <c r="A28" s="31">
        <v>2312</v>
      </c>
      <c r="B28" s="22" t="s">
        <v>116</v>
      </c>
      <c r="C28" s="227">
        <v>0.22432351472790812</v>
      </c>
      <c r="D28" s="226"/>
      <c r="E28" s="33">
        <v>51.6</v>
      </c>
    </row>
    <row r="29" spans="1:7" ht="15.5" x14ac:dyDescent="0.25">
      <c r="A29" s="31">
        <v>2321</v>
      </c>
      <c r="B29" s="32" t="s">
        <v>139</v>
      </c>
      <c r="C29" s="227">
        <v>0.44864702945581625</v>
      </c>
      <c r="D29" s="226"/>
      <c r="E29" s="33">
        <v>103.21</v>
      </c>
    </row>
    <row r="30" spans="1:7" ht="15.5" x14ac:dyDescent="0.35">
      <c r="A30" s="31">
        <v>2350</v>
      </c>
      <c r="B30" s="61" t="s">
        <v>125</v>
      </c>
      <c r="C30" s="227">
        <v>0.15273090364453323</v>
      </c>
      <c r="D30" s="226"/>
      <c r="E30" s="33">
        <v>35.130000000000003</v>
      </c>
    </row>
    <row r="31" spans="1:7" ht="15.5" x14ac:dyDescent="0.25">
      <c r="A31" s="31">
        <v>2361</v>
      </c>
      <c r="B31" s="32" t="s">
        <v>141</v>
      </c>
      <c r="C31" s="227">
        <v>8.591113330004993E-2</v>
      </c>
      <c r="D31" s="226"/>
      <c r="E31" s="33">
        <v>19.760000000000002</v>
      </c>
    </row>
    <row r="32" spans="1:7" ht="15.5" x14ac:dyDescent="0.35">
      <c r="A32" s="31">
        <v>2362</v>
      </c>
      <c r="B32" s="83" t="s">
        <v>156</v>
      </c>
      <c r="C32" s="227"/>
      <c r="D32" s="226"/>
      <c r="E32" s="33"/>
    </row>
    <row r="33" spans="1:5" ht="15.5" x14ac:dyDescent="0.25">
      <c r="A33" s="31">
        <v>2363</v>
      </c>
      <c r="B33" s="32" t="s">
        <v>142</v>
      </c>
      <c r="C33" s="226">
        <v>0</v>
      </c>
      <c r="D33" s="226"/>
      <c r="E33" s="33">
        <v>0</v>
      </c>
    </row>
    <row r="34" spans="1:5" ht="15.5" x14ac:dyDescent="0.35">
      <c r="A34" s="31">
        <v>2513</v>
      </c>
      <c r="B34" s="61" t="s">
        <v>121</v>
      </c>
      <c r="C34" s="226"/>
      <c r="D34" s="226"/>
      <c r="E34" s="33"/>
    </row>
    <row r="35" spans="1:5" ht="15.5" x14ac:dyDescent="0.35">
      <c r="A35" s="31">
        <v>2519</v>
      </c>
      <c r="B35" s="62" t="s">
        <v>122</v>
      </c>
      <c r="C35" s="226"/>
      <c r="D35" s="226"/>
      <c r="E35" s="33"/>
    </row>
    <row r="36" spans="1:5" ht="15.5" x14ac:dyDescent="0.35">
      <c r="A36" s="31">
        <v>5239</v>
      </c>
      <c r="B36" s="61" t="s">
        <v>130</v>
      </c>
      <c r="C36" s="227">
        <v>0.410464303544683</v>
      </c>
      <c r="D36" s="226"/>
      <c r="E36" s="33">
        <v>94.42</v>
      </c>
    </row>
    <row r="37" spans="1:5" ht="15.5" x14ac:dyDescent="0.25">
      <c r="A37" s="31"/>
      <c r="B37" s="36" t="s">
        <v>6</v>
      </c>
      <c r="C37" s="243">
        <f>SUM(C18:C36)</f>
        <v>6.2072538759860203</v>
      </c>
      <c r="D37" s="243"/>
      <c r="E37" s="37">
        <f>SUM(E18:E36)</f>
        <v>1508.7700000000002</v>
      </c>
    </row>
    <row r="38" spans="1:5" ht="15.5" x14ac:dyDescent="0.25">
      <c r="A38" s="38"/>
      <c r="B38" s="40" t="s">
        <v>7</v>
      </c>
      <c r="C38" s="226"/>
      <c r="D38" s="226"/>
      <c r="E38" s="33"/>
    </row>
    <row r="39" spans="1:5" ht="15.5" x14ac:dyDescent="0.35">
      <c r="A39" s="31">
        <v>1100</v>
      </c>
      <c r="B39" s="22" t="s">
        <v>132</v>
      </c>
      <c r="C39" s="228"/>
      <c r="D39" s="228">
        <v>0.48549999999999999</v>
      </c>
      <c r="E39" s="33">
        <v>1376.11</v>
      </c>
    </row>
    <row r="40" spans="1:5" ht="15.75" customHeight="1" x14ac:dyDescent="0.35">
      <c r="A40" s="31">
        <v>1200</v>
      </c>
      <c r="B40" s="22" t="s">
        <v>133</v>
      </c>
      <c r="C40" s="228"/>
      <c r="D40" s="228">
        <f>D39*0.2359</f>
        <v>0.11452944999999999</v>
      </c>
      <c r="E40" s="33">
        <v>324.62</v>
      </c>
    </row>
    <row r="41" spans="1:5" ht="15.5" x14ac:dyDescent="0.25">
      <c r="A41" s="31">
        <v>2100</v>
      </c>
      <c r="B41" s="24" t="s">
        <v>45</v>
      </c>
      <c r="C41" s="228"/>
      <c r="D41" s="228">
        <v>1.1659999999999999E-3</v>
      </c>
      <c r="E41" s="33">
        <v>3.46</v>
      </c>
    </row>
    <row r="42" spans="1:5" ht="15.5" x14ac:dyDescent="0.35">
      <c r="A42" s="34">
        <v>2210</v>
      </c>
      <c r="B42" s="62" t="s">
        <v>120</v>
      </c>
      <c r="C42" s="228"/>
      <c r="D42" s="228">
        <v>7.6E-3</v>
      </c>
      <c r="E42" s="33">
        <v>22.57</v>
      </c>
    </row>
    <row r="43" spans="1:5" ht="15.5" x14ac:dyDescent="0.35">
      <c r="A43" s="31">
        <v>2222</v>
      </c>
      <c r="B43" s="62" t="s">
        <v>135</v>
      </c>
      <c r="C43" s="228"/>
      <c r="D43" s="228">
        <f>0.0095*1.15</f>
        <v>1.0924999999999999E-2</v>
      </c>
      <c r="E43" s="33">
        <v>32.44</v>
      </c>
    </row>
    <row r="44" spans="1:5" ht="15.5" x14ac:dyDescent="0.35">
      <c r="A44" s="31">
        <v>2223</v>
      </c>
      <c r="B44" s="62" t="s">
        <v>136</v>
      </c>
      <c r="C44" s="228"/>
      <c r="D44" s="228">
        <f>0.01902*2.13</f>
        <v>4.0512599999999996E-2</v>
      </c>
      <c r="E44" s="33">
        <v>120.31</v>
      </c>
    </row>
    <row r="45" spans="1:5" ht="31" x14ac:dyDescent="0.35">
      <c r="A45" s="31">
        <v>2224</v>
      </c>
      <c r="B45" s="62" t="s">
        <v>143</v>
      </c>
      <c r="C45" s="228"/>
      <c r="D45" s="228">
        <f>0.00495*1.15</f>
        <v>5.6924999999999996E-3</v>
      </c>
      <c r="E45" s="33">
        <v>16.899999999999999</v>
      </c>
    </row>
    <row r="46" spans="1:5" ht="15.5" x14ac:dyDescent="0.35">
      <c r="A46" s="31">
        <v>2231</v>
      </c>
      <c r="B46" s="22" t="s">
        <v>126</v>
      </c>
      <c r="C46" s="228"/>
      <c r="D46" s="228">
        <v>1.5499999999999999E-3</v>
      </c>
      <c r="E46" s="33">
        <v>4.5999999999999996</v>
      </c>
    </row>
    <row r="47" spans="1:5" ht="15.5" x14ac:dyDescent="0.25">
      <c r="A47" s="31">
        <v>2235</v>
      </c>
      <c r="B47" s="75" t="s">
        <v>127</v>
      </c>
      <c r="C47" s="228"/>
      <c r="D47" s="228">
        <v>1.65E-3</v>
      </c>
      <c r="E47" s="33">
        <v>4.9000000000000004</v>
      </c>
    </row>
    <row r="48" spans="1:5" ht="15.5" x14ac:dyDescent="0.35">
      <c r="A48" s="31">
        <v>2239</v>
      </c>
      <c r="B48" s="22" t="s">
        <v>144</v>
      </c>
      <c r="C48" s="228"/>
      <c r="D48" s="228">
        <v>4.4099999999999999E-3</v>
      </c>
      <c r="E48" s="33">
        <v>13.1</v>
      </c>
    </row>
    <row r="49" spans="1:5" ht="15.5" x14ac:dyDescent="0.35">
      <c r="A49" s="31">
        <v>2241</v>
      </c>
      <c r="B49" s="22" t="s">
        <v>123</v>
      </c>
      <c r="C49" s="228"/>
      <c r="D49" s="228">
        <v>1.6500000000000001E-2</v>
      </c>
      <c r="E49" s="33">
        <v>49.32</v>
      </c>
    </row>
    <row r="50" spans="1:5" ht="15.5" x14ac:dyDescent="0.35">
      <c r="A50" s="31">
        <v>2242</v>
      </c>
      <c r="B50" s="62" t="s">
        <v>145</v>
      </c>
      <c r="C50" s="228"/>
      <c r="D50" s="228">
        <v>2.2599999999999999E-3</v>
      </c>
      <c r="E50" s="33">
        <v>6.71</v>
      </c>
    </row>
    <row r="51" spans="1:5" ht="15.5" x14ac:dyDescent="0.35">
      <c r="A51" s="31">
        <v>2243</v>
      </c>
      <c r="B51" s="22" t="s">
        <v>137</v>
      </c>
      <c r="C51" s="228"/>
      <c r="D51" s="228">
        <v>3.2599999999999997E-2</v>
      </c>
      <c r="E51" s="33">
        <v>96.81</v>
      </c>
    </row>
    <row r="52" spans="1:5" ht="15.5" x14ac:dyDescent="0.35">
      <c r="A52" s="31">
        <v>2244</v>
      </c>
      <c r="B52" s="22" t="s">
        <v>138</v>
      </c>
      <c r="C52" s="228"/>
      <c r="D52" s="228">
        <f>0.20397-0.09084</f>
        <v>0.11313000000000001</v>
      </c>
      <c r="E52" s="33">
        <v>335.96</v>
      </c>
    </row>
    <row r="53" spans="1:5" ht="15.5" x14ac:dyDescent="0.35">
      <c r="A53" s="106">
        <v>2247</v>
      </c>
      <c r="B53" s="104" t="s">
        <v>146</v>
      </c>
      <c r="C53" s="228"/>
      <c r="D53" s="228">
        <v>7.1900000000000002E-4</v>
      </c>
      <c r="E53" s="33">
        <v>2.14</v>
      </c>
    </row>
    <row r="54" spans="1:5" ht="15.5" x14ac:dyDescent="0.35">
      <c r="A54" s="31">
        <v>2249</v>
      </c>
      <c r="B54" s="22" t="s">
        <v>171</v>
      </c>
      <c r="C54" s="228"/>
      <c r="D54" s="228">
        <v>2.32E-4</v>
      </c>
      <c r="E54" s="33">
        <v>0.69</v>
      </c>
    </row>
    <row r="55" spans="1:5" ht="15.5" x14ac:dyDescent="0.35">
      <c r="A55" s="31">
        <v>2250</v>
      </c>
      <c r="B55" s="22" t="s">
        <v>124</v>
      </c>
      <c r="C55" s="228"/>
      <c r="D55" s="228">
        <f>0.024026-0.005</f>
        <v>1.9025999999999998E-2</v>
      </c>
      <c r="E55" s="33">
        <v>56.5</v>
      </c>
    </row>
    <row r="56" spans="1:5" ht="15.5" x14ac:dyDescent="0.35">
      <c r="A56" s="31">
        <v>2262</v>
      </c>
      <c r="B56" s="62" t="s">
        <v>148</v>
      </c>
      <c r="C56" s="228"/>
      <c r="D56" s="228">
        <v>6.2599999999999999E-3</v>
      </c>
      <c r="E56" s="33">
        <v>18.59</v>
      </c>
    </row>
    <row r="57" spans="1:5" ht="15.5" x14ac:dyDescent="0.35">
      <c r="A57" s="31">
        <v>2263</v>
      </c>
      <c r="B57" s="62" t="s">
        <v>149</v>
      </c>
      <c r="C57" s="228"/>
      <c r="D57" s="228">
        <v>4.58E-2</v>
      </c>
      <c r="E57" s="33">
        <v>136.01</v>
      </c>
    </row>
    <row r="58" spans="1:5" ht="15.5" x14ac:dyDescent="0.35">
      <c r="A58" s="31">
        <v>2264</v>
      </c>
      <c r="B58" s="22" t="s">
        <v>150</v>
      </c>
      <c r="C58" s="228"/>
      <c r="D58" s="228">
        <v>1.49E-3</v>
      </c>
      <c r="E58" s="33">
        <v>4.42</v>
      </c>
    </row>
    <row r="59" spans="1:5" ht="15.5" x14ac:dyDescent="0.35">
      <c r="A59" s="31">
        <v>2311</v>
      </c>
      <c r="B59" s="62" t="s">
        <v>151</v>
      </c>
      <c r="C59" s="228"/>
      <c r="D59" s="228">
        <v>4.7699999999999999E-3</v>
      </c>
      <c r="E59" s="33">
        <v>14.17</v>
      </c>
    </row>
    <row r="60" spans="1:5" ht="15.5" x14ac:dyDescent="0.35">
      <c r="A60" s="31">
        <v>2312</v>
      </c>
      <c r="B60" s="62" t="s">
        <v>116</v>
      </c>
      <c r="C60" s="228"/>
      <c r="D60" s="228">
        <v>5.79E-3</v>
      </c>
      <c r="E60" s="33">
        <v>17.190000000000001</v>
      </c>
    </row>
    <row r="61" spans="1:5" ht="15.5" x14ac:dyDescent="0.25">
      <c r="A61" s="31">
        <v>2314</v>
      </c>
      <c r="B61" s="75" t="s">
        <v>152</v>
      </c>
      <c r="C61" s="228"/>
      <c r="D61" s="228">
        <v>2.2200000000000002E-3</v>
      </c>
      <c r="E61" s="33">
        <v>6.59</v>
      </c>
    </row>
    <row r="62" spans="1:5" ht="15.5" x14ac:dyDescent="0.35">
      <c r="A62" s="31">
        <v>2321</v>
      </c>
      <c r="B62" s="62" t="s">
        <v>139</v>
      </c>
      <c r="C62" s="228"/>
      <c r="D62" s="228">
        <f>0.0198*1.2+0.005</f>
        <v>2.8760000000000001E-2</v>
      </c>
      <c r="E62" s="33">
        <v>85.41</v>
      </c>
    </row>
    <row r="63" spans="1:5" ht="15.5" x14ac:dyDescent="0.35">
      <c r="A63" s="31">
        <v>2322</v>
      </c>
      <c r="B63" s="62" t="s">
        <v>153</v>
      </c>
      <c r="C63" s="228"/>
      <c r="D63" s="228">
        <f>0.0035*1.2</f>
        <v>4.1999999999999997E-3</v>
      </c>
      <c r="E63" s="33">
        <v>12.47</v>
      </c>
    </row>
    <row r="64" spans="1:5" ht="15.5" x14ac:dyDescent="0.35">
      <c r="A64" s="31">
        <v>2341</v>
      </c>
      <c r="B64" s="62" t="s">
        <v>140</v>
      </c>
      <c r="C64" s="228"/>
      <c r="D64" s="228"/>
      <c r="E64" s="33">
        <v>0</v>
      </c>
    </row>
    <row r="65" spans="1:5" ht="15.5" x14ac:dyDescent="0.35">
      <c r="A65" s="31">
        <v>2350</v>
      </c>
      <c r="B65" s="61" t="s">
        <v>125</v>
      </c>
      <c r="C65" s="228"/>
      <c r="D65" s="228">
        <v>8.5000000000000006E-3</v>
      </c>
      <c r="E65" s="33">
        <v>25.24</v>
      </c>
    </row>
    <row r="66" spans="1:5" ht="15.5" x14ac:dyDescent="0.35">
      <c r="A66" s="31">
        <v>2513</v>
      </c>
      <c r="B66" s="61" t="s">
        <v>121</v>
      </c>
      <c r="C66" s="228"/>
      <c r="D66" s="228">
        <v>1.4599999999999999E-3</v>
      </c>
      <c r="E66" s="33">
        <v>4.34</v>
      </c>
    </row>
    <row r="67" spans="1:5" ht="15.5" x14ac:dyDescent="0.35">
      <c r="A67" s="31">
        <v>2515</v>
      </c>
      <c r="B67" s="62" t="s">
        <v>155</v>
      </c>
      <c r="C67" s="228"/>
      <c r="D67" s="228">
        <v>1.9E-3</v>
      </c>
      <c r="E67" s="33">
        <v>5.64</v>
      </c>
    </row>
    <row r="68" spans="1:5" ht="15.5" x14ac:dyDescent="0.35">
      <c r="A68" s="31">
        <v>2519</v>
      </c>
      <c r="B68" s="62" t="s">
        <v>122</v>
      </c>
      <c r="C68" s="228"/>
      <c r="D68" s="228">
        <v>2E-3</v>
      </c>
      <c r="E68" s="33">
        <v>5.94</v>
      </c>
    </row>
    <row r="69" spans="1:5" ht="15.5" x14ac:dyDescent="0.35">
      <c r="A69" s="31">
        <v>5220</v>
      </c>
      <c r="B69" s="62" t="s">
        <v>128</v>
      </c>
      <c r="C69" s="228"/>
      <c r="D69" s="228">
        <v>1.06E-2</v>
      </c>
      <c r="E69" s="33">
        <v>31.48</v>
      </c>
    </row>
    <row r="70" spans="1:5" ht="15.5" x14ac:dyDescent="0.35">
      <c r="A70" s="31">
        <v>5238</v>
      </c>
      <c r="B70" s="61" t="s">
        <v>129</v>
      </c>
      <c r="C70" s="228"/>
      <c r="D70" s="228">
        <v>1.65E-3</v>
      </c>
      <c r="E70" s="33">
        <v>4.9000000000000004</v>
      </c>
    </row>
    <row r="71" spans="1:5" ht="15.5" x14ac:dyDescent="0.35">
      <c r="A71" s="31">
        <v>5239</v>
      </c>
      <c r="B71" s="61" t="s">
        <v>130</v>
      </c>
      <c r="C71" s="228"/>
      <c r="D71" s="228">
        <v>9.5399999999999999E-3</v>
      </c>
      <c r="E71" s="33">
        <v>28.33</v>
      </c>
    </row>
    <row r="72" spans="1:5" ht="15.5" x14ac:dyDescent="0.35">
      <c r="A72" s="31">
        <v>5250</v>
      </c>
      <c r="B72" s="62" t="s">
        <v>131</v>
      </c>
      <c r="C72" s="228"/>
      <c r="D72" s="228">
        <v>7.0600000000000003E-3</v>
      </c>
      <c r="E72" s="33">
        <v>20.97</v>
      </c>
    </row>
    <row r="73" spans="1:5" ht="15.5" x14ac:dyDescent="0.3">
      <c r="A73" s="38"/>
      <c r="B73" s="79" t="s">
        <v>97</v>
      </c>
      <c r="C73" s="228"/>
      <c r="D73" s="228">
        <f>SUM(D39:D72)</f>
        <v>1.00000255</v>
      </c>
      <c r="E73" s="23">
        <f>SUM(E39:E72)</f>
        <v>2888.8299999999995</v>
      </c>
    </row>
    <row r="74" spans="1:5" ht="15.5" x14ac:dyDescent="0.25">
      <c r="A74" s="38"/>
      <c r="B74" s="40" t="s">
        <v>29</v>
      </c>
      <c r="C74" s="244"/>
      <c r="D74" s="244"/>
      <c r="E74" s="37">
        <f>E37+E73</f>
        <v>4397.5999999999995</v>
      </c>
    </row>
    <row r="75" spans="1:5" ht="15.5" x14ac:dyDescent="0.25">
      <c r="A75" s="42"/>
      <c r="B75" s="43"/>
      <c r="C75" s="245"/>
      <c r="D75" s="245"/>
      <c r="E75" s="44"/>
    </row>
    <row r="76" spans="1:5" ht="15.5" x14ac:dyDescent="0.25">
      <c r="A76" s="422" t="s">
        <v>57</v>
      </c>
      <c r="B76" s="422"/>
      <c r="C76" s="246"/>
      <c r="D76" s="246"/>
      <c r="E76" s="65">
        <v>230</v>
      </c>
    </row>
    <row r="77" spans="1:5" ht="15.5" x14ac:dyDescent="0.25">
      <c r="A77" s="422" t="s">
        <v>58</v>
      </c>
      <c r="B77" s="422"/>
      <c r="C77" s="246"/>
      <c r="D77" s="246"/>
      <c r="E77" s="66">
        <f>E74/E76</f>
        <v>19.119999999999997</v>
      </c>
    </row>
    <row r="78" spans="1:5" ht="15.5" x14ac:dyDescent="0.25">
      <c r="A78" s="47"/>
      <c r="B78" s="47"/>
      <c r="C78" s="247"/>
      <c r="D78" s="247"/>
      <c r="E78" s="57"/>
    </row>
    <row r="79" spans="1:5" ht="15.5" x14ac:dyDescent="0.25">
      <c r="A79" s="418" t="s">
        <v>33</v>
      </c>
      <c r="B79" s="418"/>
      <c r="C79" s="236"/>
      <c r="D79" s="236"/>
      <c r="E79" s="282"/>
    </row>
    <row r="80" spans="1:5" ht="15.5" x14ac:dyDescent="0.25">
      <c r="A80" s="418" t="s">
        <v>64</v>
      </c>
      <c r="B80" s="418"/>
      <c r="C80" s="236"/>
      <c r="D80" s="236"/>
      <c r="E80" s="50"/>
    </row>
    <row r="81" spans="1:5" ht="15.5" x14ac:dyDescent="0.25">
      <c r="A81" s="45"/>
      <c r="B81" s="45"/>
      <c r="C81" s="248"/>
      <c r="D81" s="248"/>
      <c r="E81" s="146"/>
    </row>
    <row r="82" spans="1:5" ht="15.5" x14ac:dyDescent="0.25">
      <c r="A82" s="45" t="s">
        <v>34</v>
      </c>
      <c r="B82" s="45"/>
      <c r="C82" s="248"/>
      <c r="D82" s="248"/>
      <c r="E82" s="146"/>
    </row>
    <row r="83" spans="1:5" ht="15.5" x14ac:dyDescent="0.25">
      <c r="A83" s="45"/>
      <c r="B83" s="45"/>
      <c r="C83" s="248"/>
      <c r="D83" s="248"/>
      <c r="E83" s="45"/>
    </row>
    <row r="84" spans="1:5" ht="15.5" x14ac:dyDescent="0.35">
      <c r="A84" s="28" t="s">
        <v>177</v>
      </c>
      <c r="B84" s="46"/>
      <c r="C84" s="249"/>
      <c r="D84" s="249"/>
      <c r="E84" s="146"/>
    </row>
    <row r="85" spans="1:5" ht="15.5" x14ac:dyDescent="0.35">
      <c r="A85" s="45"/>
      <c r="B85" s="30"/>
      <c r="C85" s="250"/>
      <c r="D85" s="250"/>
      <c r="E85" s="45"/>
    </row>
    <row r="86" spans="1:5" ht="15.5" x14ac:dyDescent="0.25">
      <c r="A86" s="47"/>
      <c r="B86" s="47"/>
      <c r="C86" s="247"/>
      <c r="D86" s="247"/>
      <c r="E86" s="47"/>
    </row>
  </sheetData>
  <mergeCells count="9">
    <mergeCell ref="A79:B79"/>
    <mergeCell ref="A80:B80"/>
    <mergeCell ref="A7:E7"/>
    <mergeCell ref="A9:B9"/>
    <mergeCell ref="A10:B10"/>
    <mergeCell ref="B13:E13"/>
    <mergeCell ref="A76:B76"/>
    <mergeCell ref="A77:B77"/>
    <mergeCell ref="B12:E12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Footer>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86"/>
  <sheetViews>
    <sheetView view="pageLayout" topLeftCell="A37" zoomScale="70" zoomScaleNormal="100" zoomScalePageLayoutView="70" workbookViewId="0">
      <selection activeCell="A75" sqref="A75:B75"/>
    </sheetView>
  </sheetViews>
  <sheetFormatPr defaultColWidth="9.1796875" defaultRowHeight="15.5" x14ac:dyDescent="0.35"/>
  <cols>
    <col min="1" max="1" width="21.26953125" style="87" customWidth="1"/>
    <col min="2" max="2" width="88" style="87" customWidth="1"/>
    <col min="3" max="4" width="7.7265625" style="87" hidden="1" customWidth="1"/>
    <col min="5" max="5" width="28.1796875" style="87" customWidth="1"/>
    <col min="6" max="6" width="19.81640625" style="87" bestFit="1" customWidth="1"/>
    <col min="7" max="16384" width="9.1796875" style="87"/>
  </cols>
  <sheetData>
    <row r="1" spans="1:5" ht="15.75" customHeight="1" x14ac:dyDescent="0.35">
      <c r="B1" s="88"/>
      <c r="C1" s="88"/>
      <c r="D1" s="88"/>
      <c r="E1" s="89" t="s">
        <v>10</v>
      </c>
    </row>
    <row r="2" spans="1:5" x14ac:dyDescent="0.35">
      <c r="C2" s="90"/>
      <c r="D2" s="90"/>
      <c r="E2" s="88" t="s">
        <v>32</v>
      </c>
    </row>
    <row r="3" spans="1:5" x14ac:dyDescent="0.35">
      <c r="B3" s="91"/>
      <c r="C3" s="91"/>
      <c r="D3" s="91"/>
      <c r="E3" s="92" t="s">
        <v>66</v>
      </c>
    </row>
    <row r="4" spans="1:5" x14ac:dyDescent="0.35">
      <c r="B4" s="88"/>
      <c r="C4" s="88"/>
      <c r="D4" s="88"/>
      <c r="E4" s="93"/>
    </row>
    <row r="5" spans="1:5" x14ac:dyDescent="0.35">
      <c r="B5" s="90"/>
      <c r="C5" s="90"/>
      <c r="D5" s="90"/>
      <c r="E5" s="93" t="s">
        <v>167</v>
      </c>
    </row>
    <row r="6" spans="1:5" x14ac:dyDescent="0.35">
      <c r="E6" s="94"/>
    </row>
    <row r="7" spans="1:5" x14ac:dyDescent="0.35">
      <c r="A7" s="426" t="s">
        <v>9</v>
      </c>
      <c r="B7" s="426"/>
      <c r="C7" s="426"/>
      <c r="D7" s="95"/>
    </row>
    <row r="8" spans="1:5" x14ac:dyDescent="0.35">
      <c r="B8" s="96"/>
      <c r="C8" s="96"/>
      <c r="D8" s="96"/>
      <c r="E8" s="94"/>
    </row>
    <row r="9" spans="1:5" x14ac:dyDescent="0.35">
      <c r="A9" s="425" t="s">
        <v>1</v>
      </c>
      <c r="B9" s="425"/>
      <c r="C9" s="97"/>
      <c r="D9" s="97"/>
      <c r="E9" s="94"/>
    </row>
    <row r="10" spans="1:5" x14ac:dyDescent="0.35">
      <c r="A10" s="425" t="s">
        <v>0</v>
      </c>
      <c r="B10" s="425"/>
      <c r="C10" s="97"/>
      <c r="D10" s="97"/>
      <c r="E10" s="94"/>
    </row>
    <row r="11" spans="1:5" x14ac:dyDescent="0.35">
      <c r="A11" s="97"/>
      <c r="B11" s="97" t="s">
        <v>31</v>
      </c>
      <c r="C11" s="97"/>
      <c r="D11" s="97"/>
      <c r="E11" s="94"/>
    </row>
    <row r="12" spans="1:5" x14ac:dyDescent="0.35">
      <c r="A12" s="97"/>
      <c r="B12" s="98" t="s">
        <v>157</v>
      </c>
      <c r="C12" s="99"/>
      <c r="D12" s="99"/>
      <c r="E12" s="94"/>
    </row>
    <row r="13" spans="1:5" x14ac:dyDescent="0.35">
      <c r="A13" s="97"/>
      <c r="B13" s="100" t="s">
        <v>158</v>
      </c>
      <c r="C13" s="100"/>
      <c r="D13" s="100"/>
      <c r="E13" s="94"/>
    </row>
    <row r="14" spans="1:5" x14ac:dyDescent="0.35">
      <c r="A14" s="97" t="s">
        <v>2</v>
      </c>
      <c r="B14" s="97" t="s">
        <v>166</v>
      </c>
      <c r="C14" s="97"/>
      <c r="D14" s="97"/>
      <c r="E14" s="94"/>
    </row>
    <row r="15" spans="1:5" ht="69.75" customHeight="1" x14ac:dyDescent="0.35">
      <c r="A15" s="101" t="s">
        <v>3</v>
      </c>
      <c r="B15" s="101" t="s">
        <v>4</v>
      </c>
      <c r="C15" s="101"/>
      <c r="D15" s="101"/>
      <c r="E15" s="101" t="s">
        <v>134</v>
      </c>
    </row>
    <row r="16" spans="1:5" x14ac:dyDescent="0.35">
      <c r="A16" s="102">
        <v>1</v>
      </c>
      <c r="B16" s="103">
        <v>2</v>
      </c>
      <c r="C16" s="103"/>
      <c r="D16" s="103"/>
      <c r="E16" s="103">
        <v>3</v>
      </c>
    </row>
    <row r="17" spans="1:5" x14ac:dyDescent="0.35">
      <c r="A17" s="102"/>
      <c r="B17" s="104" t="s">
        <v>5</v>
      </c>
      <c r="C17" s="104"/>
      <c r="D17" s="104"/>
      <c r="E17" s="105"/>
    </row>
    <row r="18" spans="1:5" x14ac:dyDescent="0.35">
      <c r="A18" s="106">
        <v>1100</v>
      </c>
      <c r="B18" s="106" t="s">
        <v>132</v>
      </c>
      <c r="C18" s="105"/>
      <c r="D18" s="105">
        <f>5.91/1.2359</f>
        <v>4.7819402864309408</v>
      </c>
      <c r="E18" s="107">
        <v>717.29</v>
      </c>
    </row>
    <row r="19" spans="1:5" x14ac:dyDescent="0.35">
      <c r="A19" s="106">
        <v>1200</v>
      </c>
      <c r="B19" s="105" t="s">
        <v>133</v>
      </c>
      <c r="C19" s="105"/>
      <c r="D19" s="105">
        <f>D18*0.2359</f>
        <v>1.1280597135690589</v>
      </c>
      <c r="E19" s="107">
        <v>169.21</v>
      </c>
    </row>
    <row r="20" spans="1:5" x14ac:dyDescent="0.35">
      <c r="A20" s="106">
        <v>2210</v>
      </c>
      <c r="B20" s="108" t="s">
        <v>120</v>
      </c>
      <c r="C20" s="105"/>
      <c r="D20" s="105">
        <v>0.08</v>
      </c>
      <c r="E20" s="107">
        <f t="shared" ref="E20:E33" si="0">D20*150</f>
        <v>12</v>
      </c>
    </row>
    <row r="21" spans="1:5" x14ac:dyDescent="0.35">
      <c r="A21" s="106">
        <v>2222</v>
      </c>
      <c r="B21" s="108" t="s">
        <v>135</v>
      </c>
      <c r="C21" s="105"/>
      <c r="D21" s="105">
        <v>1.88</v>
      </c>
      <c r="E21" s="107">
        <f t="shared" si="0"/>
        <v>282</v>
      </c>
    </row>
    <row r="22" spans="1:5" x14ac:dyDescent="0.35">
      <c r="A22" s="106">
        <v>2223</v>
      </c>
      <c r="B22" s="108" t="s">
        <v>136</v>
      </c>
      <c r="C22" s="105"/>
      <c r="D22" s="105">
        <v>1.9233899999999999</v>
      </c>
      <c r="E22" s="107">
        <v>288.51</v>
      </c>
    </row>
    <row r="23" spans="1:5" x14ac:dyDescent="0.35">
      <c r="A23" s="106">
        <v>2243</v>
      </c>
      <c r="B23" s="104" t="s">
        <v>137</v>
      </c>
      <c r="C23" s="105"/>
      <c r="D23" s="105">
        <v>0.04</v>
      </c>
      <c r="E23" s="107">
        <f t="shared" si="0"/>
        <v>6</v>
      </c>
    </row>
    <row r="24" spans="1:5" x14ac:dyDescent="0.35">
      <c r="A24" s="106">
        <v>2244</v>
      </c>
      <c r="B24" s="104" t="s">
        <v>138</v>
      </c>
      <c r="C24" s="105"/>
      <c r="D24" s="105">
        <v>2.9596399999999998</v>
      </c>
      <c r="E24" s="107">
        <v>443.95</v>
      </c>
    </row>
    <row r="25" spans="1:5" x14ac:dyDescent="0.35">
      <c r="A25" s="106">
        <v>2250</v>
      </c>
      <c r="B25" s="104" t="s">
        <v>124</v>
      </c>
      <c r="C25" s="105"/>
      <c r="D25" s="105">
        <v>0.16</v>
      </c>
      <c r="E25" s="107">
        <f t="shared" si="0"/>
        <v>24</v>
      </c>
    </row>
    <row r="26" spans="1:5" x14ac:dyDescent="0.35">
      <c r="A26" s="106">
        <v>2311</v>
      </c>
      <c r="B26" s="108" t="s">
        <v>151</v>
      </c>
      <c r="C26" s="105"/>
      <c r="D26" s="105">
        <v>0.48</v>
      </c>
      <c r="E26" s="107">
        <f t="shared" si="0"/>
        <v>72</v>
      </c>
    </row>
    <row r="27" spans="1:5" x14ac:dyDescent="0.35">
      <c r="A27" s="106">
        <v>2312</v>
      </c>
      <c r="B27" s="104" t="s">
        <v>116</v>
      </c>
      <c r="C27" s="105"/>
      <c r="D27" s="105">
        <v>1.55</v>
      </c>
      <c r="E27" s="107">
        <f t="shared" si="0"/>
        <v>232.5</v>
      </c>
    </row>
    <row r="28" spans="1:5" x14ac:dyDescent="0.35">
      <c r="A28" s="106">
        <v>2321</v>
      </c>
      <c r="B28" s="108" t="s">
        <v>139</v>
      </c>
      <c r="C28" s="105"/>
      <c r="D28" s="105">
        <v>2.5048840000000001</v>
      </c>
      <c r="E28" s="107">
        <v>375.73</v>
      </c>
    </row>
    <row r="29" spans="1:5" x14ac:dyDescent="0.35">
      <c r="A29" s="106">
        <v>2350</v>
      </c>
      <c r="B29" s="105" t="s">
        <v>125</v>
      </c>
      <c r="C29" s="105"/>
      <c r="D29" s="105">
        <v>0.28000000000000003</v>
      </c>
      <c r="E29" s="107">
        <f t="shared" si="0"/>
        <v>42.000000000000007</v>
      </c>
    </row>
    <row r="30" spans="1:5" x14ac:dyDescent="0.35">
      <c r="A30" s="106">
        <v>2361</v>
      </c>
      <c r="B30" s="108" t="s">
        <v>141</v>
      </c>
      <c r="C30" s="105"/>
      <c r="D30" s="105">
        <v>0.28000000000000003</v>
      </c>
      <c r="E30" s="107">
        <f t="shared" si="0"/>
        <v>42.000000000000007</v>
      </c>
    </row>
    <row r="31" spans="1:5" x14ac:dyDescent="0.35">
      <c r="A31" s="106">
        <v>2362</v>
      </c>
      <c r="B31" s="109" t="s">
        <v>156</v>
      </c>
      <c r="C31" s="105"/>
      <c r="D31" s="105">
        <v>0.12</v>
      </c>
      <c r="E31" s="107">
        <f t="shared" si="0"/>
        <v>18</v>
      </c>
    </row>
    <row r="32" spans="1:5" x14ac:dyDescent="0.35">
      <c r="A32" s="106">
        <v>2363</v>
      </c>
      <c r="B32" s="108" t="s">
        <v>142</v>
      </c>
      <c r="C32" s="105"/>
      <c r="D32" s="105">
        <v>3.58</v>
      </c>
      <c r="E32" s="107">
        <f t="shared" si="0"/>
        <v>537</v>
      </c>
    </row>
    <row r="33" spans="1:7" x14ac:dyDescent="0.35">
      <c r="A33" s="106">
        <v>5239</v>
      </c>
      <c r="B33" s="105" t="s">
        <v>130</v>
      </c>
      <c r="C33" s="105"/>
      <c r="D33" s="105">
        <v>0.82</v>
      </c>
      <c r="E33" s="107">
        <f t="shared" si="0"/>
        <v>122.99999999999999</v>
      </c>
    </row>
    <row r="34" spans="1:7" x14ac:dyDescent="0.35">
      <c r="A34" s="106"/>
      <c r="B34" s="110" t="s">
        <v>6</v>
      </c>
      <c r="C34" s="105"/>
      <c r="D34" s="105">
        <f>SUM(D18:D33)</f>
        <v>22.567914000000002</v>
      </c>
      <c r="E34" s="111">
        <f>SUM(E18:E33)</f>
        <v>3385.19</v>
      </c>
      <c r="F34" s="112"/>
      <c r="G34" s="112"/>
    </row>
    <row r="35" spans="1:7" x14ac:dyDescent="0.35">
      <c r="A35" s="113"/>
      <c r="B35" s="110" t="s">
        <v>7</v>
      </c>
      <c r="C35" s="110"/>
      <c r="D35" s="110"/>
      <c r="E35" s="107"/>
    </row>
    <row r="36" spans="1:7" x14ac:dyDescent="0.35">
      <c r="A36" s="106">
        <v>1100</v>
      </c>
      <c r="B36" s="104" t="s">
        <v>132</v>
      </c>
      <c r="C36" s="105">
        <f>0.388+0.024</f>
        <v>0.41200000000000003</v>
      </c>
      <c r="D36" s="105"/>
      <c r="E36" s="107">
        <v>629.25</v>
      </c>
    </row>
    <row r="37" spans="1:7" ht="16.5" customHeight="1" x14ac:dyDescent="0.35">
      <c r="A37" s="106">
        <v>1200</v>
      </c>
      <c r="B37" s="104" t="s">
        <v>133</v>
      </c>
      <c r="C37" s="105">
        <f>C36*0.2359</f>
        <v>9.7190800000000008E-2</v>
      </c>
      <c r="D37" s="105"/>
      <c r="E37" s="107">
        <v>148.44</v>
      </c>
    </row>
    <row r="38" spans="1:7" ht="16.5" customHeight="1" x14ac:dyDescent="0.35">
      <c r="A38" s="106">
        <v>2100</v>
      </c>
      <c r="B38" s="114" t="s">
        <v>45</v>
      </c>
      <c r="C38" s="105">
        <v>1.1659999999999999E-3</v>
      </c>
      <c r="D38" s="105"/>
      <c r="E38" s="107">
        <v>1.78</v>
      </c>
    </row>
    <row r="39" spans="1:7" x14ac:dyDescent="0.35">
      <c r="A39" s="115">
        <v>2210</v>
      </c>
      <c r="B39" s="108" t="s">
        <v>120</v>
      </c>
      <c r="C39" s="105">
        <v>7.6E-3</v>
      </c>
      <c r="D39" s="105"/>
      <c r="E39" s="107">
        <v>11.61</v>
      </c>
    </row>
    <row r="40" spans="1:7" x14ac:dyDescent="0.35">
      <c r="A40" s="106">
        <v>2222</v>
      </c>
      <c r="B40" s="108" t="s">
        <v>135</v>
      </c>
      <c r="C40" s="105">
        <v>9.4999999999999998E-3</v>
      </c>
      <c r="D40" s="105"/>
      <c r="E40" s="107">
        <v>14.51</v>
      </c>
    </row>
    <row r="41" spans="1:7" x14ac:dyDescent="0.35">
      <c r="A41" s="106">
        <v>2223</v>
      </c>
      <c r="B41" s="108" t="s">
        <v>136</v>
      </c>
      <c r="C41" s="105">
        <v>1.9019999999999999E-2</v>
      </c>
      <c r="D41" s="105"/>
      <c r="E41" s="107">
        <v>29.05</v>
      </c>
    </row>
    <row r="42" spans="1:7" ht="31" x14ac:dyDescent="0.35">
      <c r="A42" s="106">
        <v>2224</v>
      </c>
      <c r="B42" s="108" t="s">
        <v>143</v>
      </c>
      <c r="C42" s="105">
        <v>4.9500000000000004E-3</v>
      </c>
      <c r="D42" s="105"/>
      <c r="E42" s="107">
        <v>7.56</v>
      </c>
    </row>
    <row r="43" spans="1:7" ht="15.75" customHeight="1" x14ac:dyDescent="0.35">
      <c r="A43" s="106">
        <v>2231</v>
      </c>
      <c r="B43" s="104" t="s">
        <v>126</v>
      </c>
      <c r="C43" s="105">
        <v>1.5499999999999999E-3</v>
      </c>
      <c r="D43" s="105"/>
      <c r="E43" s="107">
        <v>2.37</v>
      </c>
    </row>
    <row r="44" spans="1:7" ht="15.75" customHeight="1" x14ac:dyDescent="0.35">
      <c r="A44" s="106">
        <v>2235</v>
      </c>
      <c r="B44" s="116" t="s">
        <v>127</v>
      </c>
      <c r="C44" s="105">
        <v>1.65E-3</v>
      </c>
      <c r="D44" s="105"/>
      <c r="E44" s="107">
        <v>2.52</v>
      </c>
    </row>
    <row r="45" spans="1:7" x14ac:dyDescent="0.35">
      <c r="A45" s="106">
        <v>2239</v>
      </c>
      <c r="B45" s="104" t="s">
        <v>144</v>
      </c>
      <c r="C45" s="105">
        <v>4.4099999999999999E-3</v>
      </c>
      <c r="D45" s="105"/>
      <c r="E45" s="107">
        <v>6.74</v>
      </c>
    </row>
    <row r="46" spans="1:7" x14ac:dyDescent="0.35">
      <c r="A46" s="106">
        <v>2241</v>
      </c>
      <c r="B46" s="104" t="s">
        <v>123</v>
      </c>
      <c r="C46" s="105">
        <v>1.6500000000000001E-2</v>
      </c>
      <c r="D46" s="105"/>
      <c r="E46" s="107">
        <v>25.2</v>
      </c>
    </row>
    <row r="47" spans="1:7" x14ac:dyDescent="0.35">
      <c r="A47" s="106">
        <v>2242</v>
      </c>
      <c r="B47" s="108" t="s">
        <v>145</v>
      </c>
      <c r="C47" s="105">
        <v>2.2599999999999999E-3</v>
      </c>
      <c r="D47" s="105"/>
      <c r="E47" s="107">
        <v>3.45</v>
      </c>
    </row>
    <row r="48" spans="1:7" ht="15.75" customHeight="1" x14ac:dyDescent="0.35">
      <c r="A48" s="106">
        <v>2243</v>
      </c>
      <c r="B48" s="104" t="s">
        <v>137</v>
      </c>
      <c r="C48" s="105">
        <v>3.2599999999999997E-2</v>
      </c>
      <c r="D48" s="105"/>
      <c r="E48" s="107">
        <v>49.79</v>
      </c>
    </row>
    <row r="49" spans="1:5" x14ac:dyDescent="0.35">
      <c r="A49" s="106">
        <v>2244</v>
      </c>
      <c r="B49" s="104" t="s">
        <v>138</v>
      </c>
      <c r="C49" s="105">
        <v>0.20397000000000001</v>
      </c>
      <c r="D49" s="105"/>
      <c r="E49" s="107">
        <v>311.52999999999997</v>
      </c>
    </row>
    <row r="50" spans="1:5" x14ac:dyDescent="0.35">
      <c r="A50" s="106">
        <v>2247</v>
      </c>
      <c r="B50" s="104" t="s">
        <v>146</v>
      </c>
      <c r="C50" s="105">
        <v>7.1900000000000002E-4</v>
      </c>
      <c r="D50" s="105"/>
      <c r="E50" s="107">
        <v>1.1000000000000001</v>
      </c>
    </row>
    <row r="51" spans="1:5" x14ac:dyDescent="0.35">
      <c r="A51" s="106">
        <v>2249</v>
      </c>
      <c r="B51" s="104" t="s">
        <v>147</v>
      </c>
      <c r="C51" s="105">
        <v>2.32E-4</v>
      </c>
      <c r="D51" s="105"/>
      <c r="E51" s="107">
        <v>0.35</v>
      </c>
    </row>
    <row r="52" spans="1:5" x14ac:dyDescent="0.35">
      <c r="A52" s="106">
        <v>2250</v>
      </c>
      <c r="B52" s="104" t="s">
        <v>124</v>
      </c>
      <c r="C52" s="105">
        <v>2.4025999999999999E-2</v>
      </c>
      <c r="D52" s="105"/>
      <c r="E52" s="107">
        <v>36.700000000000003</v>
      </c>
    </row>
    <row r="53" spans="1:5" hidden="1" x14ac:dyDescent="0.35">
      <c r="A53" s="106">
        <v>2261</v>
      </c>
      <c r="B53" s="108" t="s">
        <v>99</v>
      </c>
      <c r="C53" s="105">
        <v>0</v>
      </c>
      <c r="D53" s="105"/>
      <c r="E53" s="107">
        <f>C53*1527.31</f>
        <v>0</v>
      </c>
    </row>
    <row r="54" spans="1:5" x14ac:dyDescent="0.35">
      <c r="A54" s="106">
        <v>2262</v>
      </c>
      <c r="B54" s="108" t="s">
        <v>148</v>
      </c>
      <c r="C54" s="105">
        <v>6.2599999999999999E-3</v>
      </c>
      <c r="D54" s="105"/>
      <c r="E54" s="107">
        <v>9.56</v>
      </c>
    </row>
    <row r="55" spans="1:5" x14ac:dyDescent="0.35">
      <c r="A55" s="106">
        <v>2263</v>
      </c>
      <c r="B55" s="108" t="s">
        <v>149</v>
      </c>
      <c r="C55" s="105">
        <v>4.58E-2</v>
      </c>
      <c r="D55" s="105"/>
      <c r="E55" s="107">
        <v>69.95</v>
      </c>
    </row>
    <row r="56" spans="1:5" x14ac:dyDescent="0.35">
      <c r="A56" s="106">
        <v>2264</v>
      </c>
      <c r="B56" s="104" t="s">
        <v>150</v>
      </c>
      <c r="C56" s="105">
        <v>1.49E-3</v>
      </c>
      <c r="D56" s="105"/>
      <c r="E56" s="107">
        <v>2.2799999999999998</v>
      </c>
    </row>
    <row r="57" spans="1:5" x14ac:dyDescent="0.35">
      <c r="A57" s="106">
        <v>2311</v>
      </c>
      <c r="B57" s="108" t="s">
        <v>151</v>
      </c>
      <c r="C57" s="105">
        <v>4.7699999999999999E-3</v>
      </c>
      <c r="D57" s="105"/>
      <c r="E57" s="107">
        <v>7.29</v>
      </c>
    </row>
    <row r="58" spans="1:5" x14ac:dyDescent="0.35">
      <c r="A58" s="106">
        <v>2312</v>
      </c>
      <c r="B58" s="108" t="s">
        <v>116</v>
      </c>
      <c r="C58" s="105">
        <v>5.79E-3</v>
      </c>
      <c r="D58" s="105"/>
      <c r="E58" s="107">
        <v>8.84</v>
      </c>
    </row>
    <row r="59" spans="1:5" x14ac:dyDescent="0.35">
      <c r="A59" s="106">
        <v>2314</v>
      </c>
      <c r="B59" s="116" t="s">
        <v>152</v>
      </c>
      <c r="C59" s="105">
        <v>2.2200000000000002E-3</v>
      </c>
      <c r="D59" s="105"/>
      <c r="E59" s="107">
        <v>3.39</v>
      </c>
    </row>
    <row r="60" spans="1:5" x14ac:dyDescent="0.35">
      <c r="A60" s="106">
        <v>2321</v>
      </c>
      <c r="B60" s="108" t="s">
        <v>139</v>
      </c>
      <c r="C60" s="105">
        <v>1.9800000000000002E-2</v>
      </c>
      <c r="D60" s="105"/>
      <c r="E60" s="107">
        <v>30.24</v>
      </c>
    </row>
    <row r="61" spans="1:5" x14ac:dyDescent="0.35">
      <c r="A61" s="106">
        <v>2322</v>
      </c>
      <c r="B61" s="108" t="s">
        <v>153</v>
      </c>
      <c r="C61" s="105">
        <v>3.5000000000000001E-3</v>
      </c>
      <c r="D61" s="105"/>
      <c r="E61" s="107">
        <v>5.35</v>
      </c>
    </row>
    <row r="62" spans="1:5" hidden="1" x14ac:dyDescent="0.35">
      <c r="A62" s="106">
        <v>2341</v>
      </c>
      <c r="B62" s="108" t="s">
        <v>140</v>
      </c>
      <c r="C62" s="105"/>
      <c r="D62" s="105"/>
      <c r="E62" s="107">
        <f>C62*1527.31</f>
        <v>0</v>
      </c>
    </row>
    <row r="63" spans="1:5" x14ac:dyDescent="0.35">
      <c r="A63" s="106">
        <v>2350</v>
      </c>
      <c r="B63" s="105" t="s">
        <v>125</v>
      </c>
      <c r="C63" s="105">
        <v>8.5000000000000006E-3</v>
      </c>
      <c r="D63" s="105"/>
      <c r="E63" s="107">
        <v>12.98</v>
      </c>
    </row>
    <row r="64" spans="1:5" x14ac:dyDescent="0.35">
      <c r="A64" s="106">
        <v>2512</v>
      </c>
      <c r="B64" s="108" t="s">
        <v>154</v>
      </c>
      <c r="C64" s="105">
        <v>0</v>
      </c>
      <c r="D64" s="105">
        <v>3.93</v>
      </c>
      <c r="E64" s="107">
        <v>0</v>
      </c>
    </row>
    <row r="65" spans="1:6" ht="15.75" customHeight="1" x14ac:dyDescent="0.35">
      <c r="A65" s="106">
        <v>2513</v>
      </c>
      <c r="B65" s="105" t="s">
        <v>121</v>
      </c>
      <c r="C65" s="105">
        <v>1.4599999999999999E-3</v>
      </c>
      <c r="D65" s="105"/>
      <c r="E65" s="107">
        <v>2.23</v>
      </c>
    </row>
    <row r="66" spans="1:6" x14ac:dyDescent="0.35">
      <c r="A66" s="106">
        <v>2515</v>
      </c>
      <c r="B66" s="108" t="s">
        <v>155</v>
      </c>
      <c r="C66" s="105">
        <v>1.9E-3</v>
      </c>
      <c r="D66" s="105"/>
      <c r="E66" s="107">
        <v>2.9</v>
      </c>
    </row>
    <row r="67" spans="1:6" x14ac:dyDescent="0.35">
      <c r="A67" s="106">
        <v>2519</v>
      </c>
      <c r="B67" s="108" t="s">
        <v>122</v>
      </c>
      <c r="C67" s="105">
        <v>2E-3</v>
      </c>
      <c r="D67" s="105"/>
      <c r="E67" s="107">
        <v>3.05</v>
      </c>
    </row>
    <row r="68" spans="1:6" x14ac:dyDescent="0.35">
      <c r="A68" s="106">
        <v>5220</v>
      </c>
      <c r="B68" s="108" t="s">
        <v>128</v>
      </c>
      <c r="C68" s="105">
        <v>1.06E-2</v>
      </c>
      <c r="D68" s="105"/>
      <c r="E68" s="107">
        <v>16.190000000000001</v>
      </c>
    </row>
    <row r="69" spans="1:6" x14ac:dyDescent="0.35">
      <c r="A69" s="106">
        <v>5238</v>
      </c>
      <c r="B69" s="105" t="s">
        <v>129</v>
      </c>
      <c r="C69" s="105">
        <v>1.65E-3</v>
      </c>
      <c r="D69" s="105"/>
      <c r="E69" s="107">
        <v>2.59</v>
      </c>
    </row>
    <row r="70" spans="1:6" x14ac:dyDescent="0.35">
      <c r="A70" s="106">
        <v>5239</v>
      </c>
      <c r="B70" s="105" t="s">
        <v>130</v>
      </c>
      <c r="C70" s="105">
        <v>1.9800000000000002E-2</v>
      </c>
      <c r="D70" s="105"/>
      <c r="E70" s="107">
        <v>30.24</v>
      </c>
    </row>
    <row r="71" spans="1:6" x14ac:dyDescent="0.35">
      <c r="A71" s="106">
        <v>5250</v>
      </c>
      <c r="B71" s="108" t="s">
        <v>131</v>
      </c>
      <c r="C71" s="105">
        <v>2.5000000000000001E-2</v>
      </c>
      <c r="D71" s="105"/>
      <c r="E71" s="107">
        <v>38.28</v>
      </c>
    </row>
    <row r="72" spans="1:6" x14ac:dyDescent="0.35">
      <c r="A72" s="113"/>
      <c r="B72" s="117" t="s">
        <v>97</v>
      </c>
      <c r="C72" s="105">
        <f>SUM(C36:C71)</f>
        <v>0.99988380000000032</v>
      </c>
      <c r="D72" s="105"/>
      <c r="E72" s="111">
        <f>SUM(E36:E71)</f>
        <v>1527.3099999999997</v>
      </c>
    </row>
    <row r="73" spans="1:6" x14ac:dyDescent="0.35">
      <c r="A73" s="113"/>
      <c r="B73" s="117" t="s">
        <v>98</v>
      </c>
      <c r="C73" s="117"/>
      <c r="D73" s="117"/>
      <c r="E73" s="111">
        <f>E34+E72</f>
        <v>4912.5</v>
      </c>
    </row>
    <row r="74" spans="1:6" ht="12.75" customHeight="1" x14ac:dyDescent="0.35">
      <c r="A74" s="93"/>
      <c r="B74" s="94"/>
      <c r="C74" s="94"/>
      <c r="D74" s="94"/>
      <c r="E74" s="118"/>
    </row>
    <row r="75" spans="1:6" ht="15.75" customHeight="1" x14ac:dyDescent="0.35">
      <c r="A75" s="427" t="s">
        <v>106</v>
      </c>
      <c r="B75" s="427"/>
      <c r="C75" s="119"/>
      <c r="D75" s="119"/>
      <c r="E75" s="120">
        <v>150</v>
      </c>
    </row>
    <row r="76" spans="1:6" ht="15.75" customHeight="1" x14ac:dyDescent="0.35">
      <c r="A76" s="427" t="s">
        <v>58</v>
      </c>
      <c r="B76" s="427"/>
      <c r="C76" s="119"/>
      <c r="D76" s="119"/>
      <c r="E76" s="121">
        <f>E73/E75</f>
        <v>32.75</v>
      </c>
      <c r="F76" s="130"/>
    </row>
    <row r="77" spans="1:6" ht="9.75" customHeight="1" x14ac:dyDescent="0.35">
      <c r="A77" s="98"/>
      <c r="B77" s="122"/>
      <c r="C77" s="122"/>
      <c r="D77" s="122"/>
    </row>
    <row r="78" spans="1:6" ht="15.75" customHeight="1" x14ac:dyDescent="0.35">
      <c r="A78" s="424" t="s">
        <v>33</v>
      </c>
      <c r="B78" s="424"/>
      <c r="C78" s="123"/>
      <c r="D78" s="123"/>
      <c r="E78" s="124"/>
    </row>
    <row r="79" spans="1:6" ht="15.75" customHeight="1" x14ac:dyDescent="0.35">
      <c r="A79" s="424" t="s">
        <v>64</v>
      </c>
      <c r="B79" s="424"/>
      <c r="C79" s="123"/>
      <c r="D79" s="123"/>
      <c r="E79" s="124"/>
    </row>
    <row r="80" spans="1:6" ht="8.25" customHeight="1" x14ac:dyDescent="0.35">
      <c r="A80" s="125"/>
      <c r="B80" s="125"/>
      <c r="C80" s="125"/>
      <c r="D80" s="125"/>
      <c r="E80" s="125"/>
    </row>
    <row r="81" spans="1:5" x14ac:dyDescent="0.35">
      <c r="A81" s="125" t="s">
        <v>34</v>
      </c>
      <c r="B81" s="125"/>
      <c r="C81" s="125"/>
      <c r="D81" s="125"/>
      <c r="E81" s="126"/>
    </row>
    <row r="82" spans="1:5" x14ac:dyDescent="0.35">
      <c r="A82" s="125"/>
      <c r="B82" s="125"/>
      <c r="C82" s="125"/>
      <c r="D82" s="125"/>
      <c r="E82" s="126"/>
    </row>
    <row r="83" spans="1:5" x14ac:dyDescent="0.35">
      <c r="A83" s="125" t="s">
        <v>108</v>
      </c>
      <c r="B83" s="127"/>
      <c r="C83" s="127"/>
      <c r="D83" s="127"/>
      <c r="E83" s="125"/>
    </row>
    <row r="84" spans="1:5" x14ac:dyDescent="0.35">
      <c r="B84" s="128"/>
      <c r="C84" s="128"/>
      <c r="D84" s="128"/>
      <c r="E84" s="129"/>
    </row>
    <row r="86" spans="1:5" x14ac:dyDescent="0.35">
      <c r="E86" s="112"/>
    </row>
  </sheetData>
  <mergeCells count="7">
    <mergeCell ref="A78:B78"/>
    <mergeCell ref="A79:B79"/>
    <mergeCell ref="A10:B10"/>
    <mergeCell ref="A7:C7"/>
    <mergeCell ref="A9:B9"/>
    <mergeCell ref="A75:B75"/>
    <mergeCell ref="A76:B76"/>
  </mergeCells>
  <pageMargins left="0.85312500000000002" right="0.55118110236220474" top="0.52" bottom="0.55118110236220474" header="0.49" footer="0.16"/>
  <pageSetup paperSize="9" scale="59" firstPageNumber="6" orientation="portrait" useFirstPageNumber="1" r:id="rId1"/>
  <headerFooter>
    <oddFooter>&amp;C&amp;"Times New Roman,Regular"&amp;F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86"/>
  <sheetViews>
    <sheetView view="pageLayout" topLeftCell="A51" zoomScale="70" zoomScaleNormal="100" zoomScalePageLayoutView="70" workbookViewId="0">
      <selection activeCell="A86" sqref="A86"/>
    </sheetView>
  </sheetViews>
  <sheetFormatPr defaultColWidth="9.1796875" defaultRowHeight="15.5" x14ac:dyDescent="0.35"/>
  <cols>
    <col min="1" max="1" width="23.54296875" style="87" customWidth="1"/>
    <col min="2" max="2" width="86.54296875" style="87" customWidth="1"/>
    <col min="3" max="4" width="10" style="87" hidden="1" customWidth="1"/>
    <col min="5" max="5" width="29.54296875" style="87" customWidth="1"/>
    <col min="6" max="16384" width="9.1796875" style="87"/>
  </cols>
  <sheetData>
    <row r="1" spans="1:5" ht="15.75" customHeight="1" x14ac:dyDescent="0.35">
      <c r="B1" s="88"/>
      <c r="C1" s="88"/>
      <c r="D1" s="88"/>
      <c r="E1" s="89" t="s">
        <v>10</v>
      </c>
    </row>
    <row r="2" spans="1:5" x14ac:dyDescent="0.35">
      <c r="C2" s="90"/>
      <c r="D2" s="90"/>
      <c r="E2" s="88" t="s">
        <v>32</v>
      </c>
    </row>
    <row r="3" spans="1:5" x14ac:dyDescent="0.35">
      <c r="B3" s="91"/>
      <c r="C3" s="91"/>
      <c r="D3" s="91"/>
      <c r="E3" s="92" t="s">
        <v>66</v>
      </c>
    </row>
    <row r="4" spans="1:5" x14ac:dyDescent="0.35">
      <c r="B4" s="88"/>
      <c r="C4" s="88"/>
      <c r="D4" s="88"/>
      <c r="E4" s="93"/>
    </row>
    <row r="5" spans="1:5" x14ac:dyDescent="0.35">
      <c r="B5" s="90"/>
      <c r="C5" s="90"/>
      <c r="D5" s="90"/>
      <c r="E5" s="93" t="s">
        <v>167</v>
      </c>
    </row>
    <row r="6" spans="1:5" x14ac:dyDescent="0.35">
      <c r="E6" s="94"/>
    </row>
    <row r="7" spans="1:5" x14ac:dyDescent="0.35">
      <c r="A7" s="426" t="s">
        <v>9</v>
      </c>
      <c r="B7" s="426"/>
      <c r="C7" s="426"/>
      <c r="D7" s="95"/>
    </row>
    <row r="8" spans="1:5" x14ac:dyDescent="0.35">
      <c r="B8" s="96"/>
      <c r="C8" s="96"/>
      <c r="D8" s="96"/>
      <c r="E8" s="94"/>
    </row>
    <row r="9" spans="1:5" x14ac:dyDescent="0.35">
      <c r="A9" s="425" t="s">
        <v>1</v>
      </c>
      <c r="B9" s="425"/>
      <c r="C9" s="97"/>
      <c r="D9" s="97"/>
      <c r="E9" s="94"/>
    </row>
    <row r="10" spans="1:5" x14ac:dyDescent="0.35">
      <c r="A10" s="425" t="s">
        <v>0</v>
      </c>
      <c r="B10" s="425"/>
      <c r="C10" s="97"/>
      <c r="D10" s="97"/>
      <c r="E10" s="94"/>
    </row>
    <row r="11" spans="1:5" x14ac:dyDescent="0.35">
      <c r="A11" s="97"/>
      <c r="B11" s="97" t="s">
        <v>31</v>
      </c>
      <c r="C11" s="97"/>
      <c r="D11" s="97"/>
      <c r="E11" s="94"/>
    </row>
    <row r="12" spans="1:5" x14ac:dyDescent="0.35">
      <c r="A12" s="97"/>
      <c r="B12" s="98" t="s">
        <v>159</v>
      </c>
      <c r="C12" s="99"/>
      <c r="D12" s="99"/>
      <c r="E12" s="94"/>
    </row>
    <row r="13" spans="1:5" x14ac:dyDescent="0.35">
      <c r="A13" s="97"/>
      <c r="B13" s="100" t="s">
        <v>160</v>
      </c>
      <c r="C13" s="100"/>
      <c r="D13" s="100"/>
      <c r="E13" s="94"/>
    </row>
    <row r="14" spans="1:5" x14ac:dyDescent="0.35">
      <c r="A14" s="97" t="s">
        <v>2</v>
      </c>
      <c r="B14" s="97" t="s">
        <v>166</v>
      </c>
      <c r="C14" s="97"/>
      <c r="D14" s="97"/>
      <c r="E14" s="94"/>
    </row>
    <row r="15" spans="1:5" ht="69.75" customHeight="1" x14ac:dyDescent="0.35">
      <c r="A15" s="101" t="s">
        <v>3</v>
      </c>
      <c r="B15" s="101" t="s">
        <v>4</v>
      </c>
      <c r="C15" s="101"/>
      <c r="D15" s="101"/>
      <c r="E15" s="101" t="s">
        <v>134</v>
      </c>
    </row>
    <row r="16" spans="1:5" x14ac:dyDescent="0.35">
      <c r="A16" s="102">
        <v>1</v>
      </c>
      <c r="B16" s="103">
        <v>2</v>
      </c>
      <c r="C16" s="103"/>
      <c r="D16" s="103"/>
      <c r="E16" s="103">
        <v>3</v>
      </c>
    </row>
    <row r="17" spans="1:5" x14ac:dyDescent="0.35">
      <c r="A17" s="102"/>
      <c r="B17" s="104" t="s">
        <v>5</v>
      </c>
      <c r="C17" s="104"/>
      <c r="D17" s="104"/>
      <c r="E17" s="105"/>
    </row>
    <row r="18" spans="1:5" x14ac:dyDescent="0.35">
      <c r="A18" s="106">
        <v>1100</v>
      </c>
      <c r="B18" s="106" t="s">
        <v>132</v>
      </c>
      <c r="C18" s="106"/>
      <c r="D18" s="106">
        <f>7.12/1.2359</f>
        <v>5.760983898373655</v>
      </c>
      <c r="E18" s="107">
        <v>1440.25</v>
      </c>
    </row>
    <row r="19" spans="1:5" x14ac:dyDescent="0.35">
      <c r="A19" s="106">
        <v>1200</v>
      </c>
      <c r="B19" s="105" t="s">
        <v>133</v>
      </c>
      <c r="C19" s="105"/>
      <c r="D19" s="105">
        <f>D18*0.2359</f>
        <v>1.3590161016263451</v>
      </c>
      <c r="E19" s="107">
        <v>339.75</v>
      </c>
    </row>
    <row r="20" spans="1:5" x14ac:dyDescent="0.35">
      <c r="A20" s="106">
        <v>2210</v>
      </c>
      <c r="B20" s="108" t="s">
        <v>120</v>
      </c>
      <c r="C20" s="105"/>
      <c r="D20" s="105">
        <v>0.08</v>
      </c>
      <c r="E20" s="107">
        <f t="shared" ref="E20:E32" si="0">D20*250</f>
        <v>20</v>
      </c>
    </row>
    <row r="21" spans="1:5" x14ac:dyDescent="0.35">
      <c r="A21" s="106">
        <v>2222</v>
      </c>
      <c r="B21" s="108" t="s">
        <v>135</v>
      </c>
      <c r="C21" s="105"/>
      <c r="D21" s="105">
        <v>1.9927999999999999</v>
      </c>
      <c r="E21" s="107">
        <v>498.2</v>
      </c>
    </row>
    <row r="22" spans="1:5" x14ac:dyDescent="0.35">
      <c r="A22" s="106">
        <v>2223</v>
      </c>
      <c r="B22" s="108" t="s">
        <v>136</v>
      </c>
      <c r="C22" s="105"/>
      <c r="D22" s="105">
        <v>2.0387968999999999</v>
      </c>
      <c r="E22" s="107">
        <v>509.7</v>
      </c>
    </row>
    <row r="23" spans="1:5" x14ac:dyDescent="0.35">
      <c r="A23" s="106">
        <v>2243</v>
      </c>
      <c r="B23" s="104" t="s">
        <v>137</v>
      </c>
      <c r="C23" s="105"/>
      <c r="D23" s="105">
        <v>0.06</v>
      </c>
      <c r="E23" s="107">
        <v>15</v>
      </c>
    </row>
    <row r="24" spans="1:5" x14ac:dyDescent="0.35">
      <c r="A24" s="106">
        <v>2244</v>
      </c>
      <c r="B24" s="104" t="s">
        <v>138</v>
      </c>
      <c r="C24" s="105"/>
      <c r="D24" s="105">
        <v>3.1372184999999999</v>
      </c>
      <c r="E24" s="107">
        <v>784.3</v>
      </c>
    </row>
    <row r="25" spans="1:5" x14ac:dyDescent="0.35">
      <c r="A25" s="106">
        <v>2250</v>
      </c>
      <c r="B25" s="104" t="s">
        <v>124</v>
      </c>
      <c r="C25" s="105"/>
      <c r="D25" s="105">
        <v>0.16</v>
      </c>
      <c r="E25" s="107">
        <v>40</v>
      </c>
    </row>
    <row r="26" spans="1:5" x14ac:dyDescent="0.35">
      <c r="A26" s="106">
        <v>2311</v>
      </c>
      <c r="B26" s="108" t="s">
        <v>151</v>
      </c>
      <c r="C26" s="105"/>
      <c r="D26" s="105">
        <v>0.48</v>
      </c>
      <c r="E26" s="107">
        <f t="shared" si="0"/>
        <v>120</v>
      </c>
    </row>
    <row r="27" spans="1:5" x14ac:dyDescent="0.35">
      <c r="A27" s="106">
        <v>2312</v>
      </c>
      <c r="B27" s="104" t="s">
        <v>116</v>
      </c>
      <c r="C27" s="105"/>
      <c r="D27" s="105">
        <v>1.63</v>
      </c>
      <c r="E27" s="107">
        <f t="shared" si="0"/>
        <v>407.5</v>
      </c>
    </row>
    <row r="28" spans="1:5" x14ac:dyDescent="0.35">
      <c r="A28" s="106">
        <v>2321</v>
      </c>
      <c r="B28" s="108" t="s">
        <v>139</v>
      </c>
      <c r="C28" s="105"/>
      <c r="D28" s="105">
        <v>2.6551773999999999</v>
      </c>
      <c r="E28" s="107">
        <v>663.79</v>
      </c>
    </row>
    <row r="29" spans="1:5" x14ac:dyDescent="0.35">
      <c r="A29" s="106">
        <v>2350</v>
      </c>
      <c r="B29" s="105" t="s">
        <v>125</v>
      </c>
      <c r="C29" s="105"/>
      <c r="D29" s="105">
        <v>0.33</v>
      </c>
      <c r="E29" s="107">
        <f t="shared" si="0"/>
        <v>82.5</v>
      </c>
    </row>
    <row r="30" spans="1:5" x14ac:dyDescent="0.35">
      <c r="A30" s="106">
        <v>2361</v>
      </c>
      <c r="B30" s="108" t="s">
        <v>141</v>
      </c>
      <c r="C30" s="105"/>
      <c r="D30" s="105">
        <v>0.28000000000000003</v>
      </c>
      <c r="E30" s="107">
        <f t="shared" si="0"/>
        <v>70</v>
      </c>
    </row>
    <row r="31" spans="1:5" x14ac:dyDescent="0.35">
      <c r="A31" s="106">
        <v>2362</v>
      </c>
      <c r="B31" s="109" t="s">
        <v>156</v>
      </c>
      <c r="C31" s="105"/>
      <c r="D31" s="105">
        <v>0.18</v>
      </c>
      <c r="E31" s="107">
        <f t="shared" si="0"/>
        <v>45</v>
      </c>
    </row>
    <row r="32" spans="1:5" x14ac:dyDescent="0.35">
      <c r="A32" s="106">
        <v>2363</v>
      </c>
      <c r="B32" s="108" t="s">
        <v>142</v>
      </c>
      <c r="C32" s="105"/>
      <c r="D32" s="105">
        <v>8.1199999999999992</v>
      </c>
      <c r="E32" s="107">
        <f t="shared" si="0"/>
        <v>2029.9999999999998</v>
      </c>
    </row>
    <row r="33" spans="1:6" x14ac:dyDescent="0.35">
      <c r="A33" s="106">
        <v>5239</v>
      </c>
      <c r="B33" s="105" t="s">
        <v>130</v>
      </c>
      <c r="C33" s="105"/>
      <c r="D33" s="105">
        <v>0.86925450000000004</v>
      </c>
      <c r="E33" s="107">
        <v>217.31</v>
      </c>
    </row>
    <row r="34" spans="1:6" x14ac:dyDescent="0.35">
      <c r="A34" s="106"/>
      <c r="B34" s="110" t="s">
        <v>6</v>
      </c>
      <c r="C34" s="110"/>
      <c r="D34" s="110">
        <f>SUM(D18:D33)</f>
        <v>29.133247299999997</v>
      </c>
      <c r="E34" s="111">
        <f>SUM(E18:E33)</f>
        <v>7283.3</v>
      </c>
      <c r="F34" s="112"/>
    </row>
    <row r="35" spans="1:6" x14ac:dyDescent="0.35">
      <c r="A35" s="113"/>
      <c r="B35" s="110" t="s">
        <v>7</v>
      </c>
      <c r="C35" s="110"/>
      <c r="D35" s="110"/>
      <c r="E35" s="107"/>
    </row>
    <row r="36" spans="1:6" x14ac:dyDescent="0.35">
      <c r="A36" s="106">
        <v>1100</v>
      </c>
      <c r="B36" s="104" t="s">
        <v>132</v>
      </c>
      <c r="C36" s="105">
        <f>0.388+0.024</f>
        <v>0.41200000000000003</v>
      </c>
      <c r="D36" s="105"/>
      <c r="E36" s="107">
        <v>1351.03</v>
      </c>
    </row>
    <row r="37" spans="1:6" ht="16.5" customHeight="1" x14ac:dyDescent="0.35">
      <c r="A37" s="106">
        <v>1200</v>
      </c>
      <c r="B37" s="104" t="s">
        <v>133</v>
      </c>
      <c r="C37" s="105">
        <f>C36*0.2359</f>
        <v>9.7190800000000008E-2</v>
      </c>
      <c r="D37" s="105"/>
      <c r="E37" s="107">
        <v>318.70999999999998</v>
      </c>
    </row>
    <row r="38" spans="1:6" ht="16.5" customHeight="1" x14ac:dyDescent="0.35">
      <c r="A38" s="106">
        <v>2100</v>
      </c>
      <c r="B38" s="114" t="s">
        <v>45</v>
      </c>
      <c r="C38" s="105">
        <v>1.1659999999999999E-3</v>
      </c>
      <c r="D38" s="105"/>
      <c r="E38" s="107">
        <v>3.82</v>
      </c>
    </row>
    <row r="39" spans="1:6" x14ac:dyDescent="0.35">
      <c r="A39" s="115">
        <v>2210</v>
      </c>
      <c r="B39" s="108" t="s">
        <v>120</v>
      </c>
      <c r="C39" s="105">
        <v>7.6E-3</v>
      </c>
      <c r="D39" s="105"/>
      <c r="E39" s="107">
        <v>24.92</v>
      </c>
    </row>
    <row r="40" spans="1:6" x14ac:dyDescent="0.35">
      <c r="A40" s="106">
        <v>2222</v>
      </c>
      <c r="B40" s="108" t="s">
        <v>135</v>
      </c>
      <c r="C40" s="105">
        <v>9.4999999999999998E-3</v>
      </c>
      <c r="D40" s="105"/>
      <c r="E40" s="107">
        <v>31.15</v>
      </c>
    </row>
    <row r="41" spans="1:6" x14ac:dyDescent="0.35">
      <c r="A41" s="106">
        <v>2223</v>
      </c>
      <c r="B41" s="108" t="s">
        <v>136</v>
      </c>
      <c r="C41" s="105">
        <v>1.9019999999999999E-2</v>
      </c>
      <c r="D41" s="105"/>
      <c r="E41" s="107">
        <v>62.37</v>
      </c>
    </row>
    <row r="42" spans="1:6" ht="31" x14ac:dyDescent="0.35">
      <c r="A42" s="106">
        <v>2224</v>
      </c>
      <c r="B42" s="108" t="s">
        <v>143</v>
      </c>
      <c r="C42" s="105">
        <v>4.9500000000000004E-3</v>
      </c>
      <c r="D42" s="105"/>
      <c r="E42" s="107">
        <v>16.23</v>
      </c>
    </row>
    <row r="43" spans="1:6" ht="15.75" customHeight="1" x14ac:dyDescent="0.35">
      <c r="A43" s="106">
        <v>2231</v>
      </c>
      <c r="B43" s="104" t="s">
        <v>126</v>
      </c>
      <c r="C43" s="105">
        <v>1.5499999999999999E-3</v>
      </c>
      <c r="D43" s="105"/>
      <c r="E43" s="107">
        <v>5.08</v>
      </c>
    </row>
    <row r="44" spans="1:6" ht="15.75" customHeight="1" x14ac:dyDescent="0.35">
      <c r="A44" s="106">
        <v>2235</v>
      </c>
      <c r="B44" s="116" t="s">
        <v>127</v>
      </c>
      <c r="C44" s="105">
        <v>1.65E-3</v>
      </c>
      <c r="D44" s="105"/>
      <c r="E44" s="107">
        <v>5.41</v>
      </c>
    </row>
    <row r="45" spans="1:6" x14ac:dyDescent="0.35">
      <c r="A45" s="106">
        <v>2239</v>
      </c>
      <c r="B45" s="104" t="s">
        <v>144</v>
      </c>
      <c r="C45" s="105">
        <v>4.4099999999999999E-3</v>
      </c>
      <c r="D45" s="105"/>
      <c r="E45" s="107">
        <v>14.46</v>
      </c>
    </row>
    <row r="46" spans="1:6" x14ac:dyDescent="0.35">
      <c r="A46" s="106">
        <v>2241</v>
      </c>
      <c r="B46" s="104" t="s">
        <v>123</v>
      </c>
      <c r="C46" s="105">
        <v>1.6500000000000001E-2</v>
      </c>
      <c r="D46" s="105"/>
      <c r="E46" s="107">
        <v>54.11</v>
      </c>
    </row>
    <row r="47" spans="1:6" x14ac:dyDescent="0.35">
      <c r="A47" s="106">
        <v>2242</v>
      </c>
      <c r="B47" s="108" t="s">
        <v>145</v>
      </c>
      <c r="C47" s="105">
        <v>2.2599999999999999E-3</v>
      </c>
      <c r="D47" s="105"/>
      <c r="E47" s="107">
        <v>7.41</v>
      </c>
    </row>
    <row r="48" spans="1:6" ht="15.75" customHeight="1" x14ac:dyDescent="0.35">
      <c r="A48" s="106">
        <v>2243</v>
      </c>
      <c r="B48" s="104" t="s">
        <v>137</v>
      </c>
      <c r="C48" s="105">
        <v>3.2599999999999997E-2</v>
      </c>
      <c r="D48" s="105"/>
      <c r="E48" s="107">
        <v>107.27</v>
      </c>
    </row>
    <row r="49" spans="1:5" x14ac:dyDescent="0.35">
      <c r="A49" s="106">
        <v>2244</v>
      </c>
      <c r="B49" s="104" t="s">
        <v>138</v>
      </c>
      <c r="C49" s="105">
        <v>0.20397000000000001</v>
      </c>
      <c r="D49" s="105"/>
      <c r="E49" s="107">
        <v>668.86</v>
      </c>
    </row>
    <row r="50" spans="1:5" x14ac:dyDescent="0.35">
      <c r="A50" s="106">
        <v>2247</v>
      </c>
      <c r="B50" s="104" t="s">
        <v>146</v>
      </c>
      <c r="C50" s="105">
        <v>7.1900000000000002E-4</v>
      </c>
      <c r="D50" s="105"/>
      <c r="E50" s="107">
        <v>2.36</v>
      </c>
    </row>
    <row r="51" spans="1:5" x14ac:dyDescent="0.35">
      <c r="A51" s="106">
        <v>2249</v>
      </c>
      <c r="B51" s="104" t="s">
        <v>147</v>
      </c>
      <c r="C51" s="105">
        <v>2.32E-4</v>
      </c>
      <c r="D51" s="105"/>
      <c r="E51" s="107">
        <v>0.76</v>
      </c>
    </row>
    <row r="52" spans="1:5" x14ac:dyDescent="0.35">
      <c r="A52" s="106">
        <v>2250</v>
      </c>
      <c r="B52" s="104" t="s">
        <v>124</v>
      </c>
      <c r="C52" s="105">
        <v>2.4025999999999999E-2</v>
      </c>
      <c r="D52" s="105"/>
      <c r="E52" s="107">
        <v>78.790000000000006</v>
      </c>
    </row>
    <row r="53" spans="1:5" hidden="1" x14ac:dyDescent="0.35">
      <c r="A53" s="106">
        <v>2261</v>
      </c>
      <c r="B53" s="108" t="s">
        <v>99</v>
      </c>
      <c r="C53" s="105">
        <v>0</v>
      </c>
      <c r="D53" s="105"/>
      <c r="E53" s="107">
        <v>0</v>
      </c>
    </row>
    <row r="54" spans="1:5" x14ac:dyDescent="0.35">
      <c r="A54" s="106">
        <v>2262</v>
      </c>
      <c r="B54" s="108" t="s">
        <v>148</v>
      </c>
      <c r="C54" s="105">
        <v>6.2599999999999999E-3</v>
      </c>
      <c r="D54" s="105"/>
      <c r="E54" s="107">
        <v>20.53</v>
      </c>
    </row>
    <row r="55" spans="1:5" x14ac:dyDescent="0.35">
      <c r="A55" s="106">
        <v>2263</v>
      </c>
      <c r="B55" s="108" t="s">
        <v>149</v>
      </c>
      <c r="C55" s="105">
        <v>4.58E-2</v>
      </c>
      <c r="D55" s="105"/>
      <c r="E55" s="107">
        <v>150.19</v>
      </c>
    </row>
    <row r="56" spans="1:5" x14ac:dyDescent="0.35">
      <c r="A56" s="106">
        <v>2264</v>
      </c>
      <c r="B56" s="104" t="s">
        <v>150</v>
      </c>
      <c r="C56" s="105">
        <v>1.49E-3</v>
      </c>
      <c r="D56" s="105"/>
      <c r="E56" s="107">
        <v>4.8899999999999997</v>
      </c>
    </row>
    <row r="57" spans="1:5" x14ac:dyDescent="0.35">
      <c r="A57" s="106">
        <v>2311</v>
      </c>
      <c r="B57" s="108" t="s">
        <v>151</v>
      </c>
      <c r="C57" s="105">
        <v>4.7699999999999999E-3</v>
      </c>
      <c r="D57" s="105"/>
      <c r="E57" s="107">
        <v>15.64</v>
      </c>
    </row>
    <row r="58" spans="1:5" x14ac:dyDescent="0.35">
      <c r="A58" s="106">
        <v>2312</v>
      </c>
      <c r="B58" s="108" t="s">
        <v>116</v>
      </c>
      <c r="C58" s="105">
        <v>5.79E-3</v>
      </c>
      <c r="D58" s="105"/>
      <c r="E58" s="107">
        <v>18.989999999999998</v>
      </c>
    </row>
    <row r="59" spans="1:5" x14ac:dyDescent="0.35">
      <c r="A59" s="106">
        <v>2314</v>
      </c>
      <c r="B59" s="116" t="s">
        <v>152</v>
      </c>
      <c r="C59" s="105">
        <v>2.2200000000000002E-3</v>
      </c>
      <c r="D59" s="105"/>
      <c r="E59" s="107">
        <v>7.28</v>
      </c>
    </row>
    <row r="60" spans="1:5" x14ac:dyDescent="0.35">
      <c r="A60" s="106">
        <v>2321</v>
      </c>
      <c r="B60" s="108" t="s">
        <v>139</v>
      </c>
      <c r="C60" s="105">
        <v>1.9800000000000002E-2</v>
      </c>
      <c r="D60" s="105"/>
      <c r="E60" s="107">
        <v>64.930000000000007</v>
      </c>
    </row>
    <row r="61" spans="1:5" x14ac:dyDescent="0.35">
      <c r="A61" s="106">
        <v>2322</v>
      </c>
      <c r="B61" s="108" t="s">
        <v>153</v>
      </c>
      <c r="C61" s="105">
        <v>3.5000000000000001E-3</v>
      </c>
      <c r="D61" s="105"/>
      <c r="E61" s="107">
        <v>11.48</v>
      </c>
    </row>
    <row r="62" spans="1:5" hidden="1" x14ac:dyDescent="0.35">
      <c r="A62" s="106">
        <v>2341</v>
      </c>
      <c r="B62" s="108" t="s">
        <v>140</v>
      </c>
      <c r="C62" s="105"/>
      <c r="D62" s="105"/>
      <c r="E62" s="107">
        <v>0</v>
      </c>
    </row>
    <row r="63" spans="1:5" x14ac:dyDescent="0.35">
      <c r="A63" s="106">
        <v>2350</v>
      </c>
      <c r="B63" s="105" t="s">
        <v>125</v>
      </c>
      <c r="C63" s="105">
        <v>8.5000000000000006E-3</v>
      </c>
      <c r="D63" s="105"/>
      <c r="E63" s="107">
        <v>27.87</v>
      </c>
    </row>
    <row r="64" spans="1:5" x14ac:dyDescent="0.35">
      <c r="A64" s="106">
        <v>2512</v>
      </c>
      <c r="B64" s="108" t="s">
        <v>154</v>
      </c>
      <c r="C64" s="105">
        <v>0</v>
      </c>
      <c r="D64" s="105">
        <v>5.07</v>
      </c>
      <c r="E64" s="107">
        <v>0</v>
      </c>
    </row>
    <row r="65" spans="1:5" ht="15.75" customHeight="1" x14ac:dyDescent="0.35">
      <c r="A65" s="106">
        <v>2513</v>
      </c>
      <c r="B65" s="105" t="s">
        <v>121</v>
      </c>
      <c r="C65" s="105">
        <v>1.4599999999999999E-3</v>
      </c>
      <c r="D65" s="105"/>
      <c r="E65" s="107">
        <v>4.79</v>
      </c>
    </row>
    <row r="66" spans="1:5" x14ac:dyDescent="0.35">
      <c r="A66" s="106">
        <v>2515</v>
      </c>
      <c r="B66" s="108" t="s">
        <v>155</v>
      </c>
      <c r="C66" s="105">
        <v>1.9E-3</v>
      </c>
      <c r="D66" s="105"/>
      <c r="E66" s="107">
        <v>6.23</v>
      </c>
    </row>
    <row r="67" spans="1:5" x14ac:dyDescent="0.35">
      <c r="A67" s="106">
        <v>2519</v>
      </c>
      <c r="B67" s="108" t="s">
        <v>122</v>
      </c>
      <c r="C67" s="105">
        <v>2E-3</v>
      </c>
      <c r="D67" s="105"/>
      <c r="E67" s="107">
        <v>6.56</v>
      </c>
    </row>
    <row r="68" spans="1:5" x14ac:dyDescent="0.35">
      <c r="A68" s="106">
        <v>5220</v>
      </c>
      <c r="B68" s="108" t="s">
        <v>128</v>
      </c>
      <c r="C68" s="105">
        <v>1.06E-2</v>
      </c>
      <c r="D68" s="105"/>
      <c r="E68" s="107">
        <v>34.76</v>
      </c>
    </row>
    <row r="69" spans="1:5" x14ac:dyDescent="0.35">
      <c r="A69" s="106">
        <v>5238</v>
      </c>
      <c r="B69" s="105" t="s">
        <v>129</v>
      </c>
      <c r="C69" s="105">
        <v>1.65E-3</v>
      </c>
      <c r="D69" s="105"/>
      <c r="E69" s="107">
        <v>5.41</v>
      </c>
    </row>
    <row r="70" spans="1:5" x14ac:dyDescent="0.35">
      <c r="A70" s="106">
        <v>5239</v>
      </c>
      <c r="B70" s="105" t="s">
        <v>130</v>
      </c>
      <c r="C70" s="105">
        <v>1.9800000000000002E-2</v>
      </c>
      <c r="D70" s="105"/>
      <c r="E70" s="107">
        <v>64.930000000000007</v>
      </c>
    </row>
    <row r="71" spans="1:5" x14ac:dyDescent="0.35">
      <c r="A71" s="106">
        <v>5250</v>
      </c>
      <c r="B71" s="108" t="s">
        <v>131</v>
      </c>
      <c r="C71" s="105">
        <v>2.5000000000000001E-2</v>
      </c>
      <c r="D71" s="105"/>
      <c r="E71" s="107">
        <v>81.98</v>
      </c>
    </row>
    <row r="72" spans="1:5" x14ac:dyDescent="0.35">
      <c r="A72" s="113"/>
      <c r="B72" s="117" t="s">
        <v>97</v>
      </c>
      <c r="C72" s="105">
        <f>SUM(C36:C71)</f>
        <v>0.99988380000000032</v>
      </c>
      <c r="D72" s="105"/>
      <c r="E72" s="111">
        <f>SUM(E36:E71)</f>
        <v>3279.2</v>
      </c>
    </row>
    <row r="73" spans="1:5" x14ac:dyDescent="0.35">
      <c r="A73" s="113"/>
      <c r="B73" s="117" t="s">
        <v>98</v>
      </c>
      <c r="C73" s="117"/>
      <c r="D73" s="117"/>
      <c r="E73" s="111">
        <f>E34+E72</f>
        <v>10562.5</v>
      </c>
    </row>
    <row r="74" spans="1:5" ht="12.75" customHeight="1" x14ac:dyDescent="0.35">
      <c r="A74" s="93"/>
      <c r="B74" s="94"/>
      <c r="C74" s="94"/>
      <c r="D74" s="94"/>
      <c r="E74" s="118"/>
    </row>
    <row r="75" spans="1:5" ht="15.75" customHeight="1" x14ac:dyDescent="0.35">
      <c r="A75" s="427" t="s">
        <v>106</v>
      </c>
      <c r="B75" s="427"/>
      <c r="C75" s="119"/>
      <c r="D75" s="119"/>
      <c r="E75" s="120">
        <v>250</v>
      </c>
    </row>
    <row r="76" spans="1:5" ht="15.75" customHeight="1" x14ac:dyDescent="0.35">
      <c r="A76" s="427" t="s">
        <v>58</v>
      </c>
      <c r="B76" s="427"/>
      <c r="C76" s="119"/>
      <c r="D76" s="119"/>
      <c r="E76" s="121">
        <f>E73/E75</f>
        <v>42.25</v>
      </c>
    </row>
    <row r="77" spans="1:5" ht="9.75" customHeight="1" x14ac:dyDescent="0.35">
      <c r="A77" s="98"/>
      <c r="B77" s="122"/>
      <c r="C77" s="122"/>
      <c r="D77" s="122"/>
    </row>
    <row r="78" spans="1:5" ht="15.75" customHeight="1" x14ac:dyDescent="0.35">
      <c r="A78" s="424" t="s">
        <v>33</v>
      </c>
      <c r="B78" s="424"/>
      <c r="C78" s="123"/>
      <c r="D78" s="123"/>
      <c r="E78" s="124"/>
    </row>
    <row r="79" spans="1:5" ht="15.75" customHeight="1" x14ac:dyDescent="0.35">
      <c r="A79" s="424" t="s">
        <v>64</v>
      </c>
      <c r="B79" s="424"/>
      <c r="C79" s="123"/>
      <c r="D79" s="123"/>
      <c r="E79" s="124"/>
    </row>
    <row r="80" spans="1:5" ht="8.25" customHeight="1" x14ac:dyDescent="0.35">
      <c r="A80" s="125"/>
      <c r="B80" s="125"/>
      <c r="C80" s="125"/>
      <c r="D80" s="125"/>
      <c r="E80" s="125"/>
    </row>
    <row r="81" spans="1:5" x14ac:dyDescent="0.35">
      <c r="A81" s="125" t="s">
        <v>34</v>
      </c>
      <c r="B81" s="125"/>
      <c r="C81" s="125"/>
      <c r="D81" s="125"/>
      <c r="E81" s="126"/>
    </row>
    <row r="82" spans="1:5" x14ac:dyDescent="0.35">
      <c r="A82" s="125"/>
      <c r="B82" s="125"/>
      <c r="C82" s="125"/>
      <c r="D82" s="125"/>
      <c r="E82" s="126"/>
    </row>
    <row r="83" spans="1:5" x14ac:dyDescent="0.35">
      <c r="A83" s="125" t="s">
        <v>108</v>
      </c>
      <c r="B83" s="127"/>
      <c r="C83" s="127"/>
      <c r="D83" s="127"/>
      <c r="E83" s="125"/>
    </row>
    <row r="84" spans="1:5" x14ac:dyDescent="0.35">
      <c r="B84" s="128"/>
      <c r="C84" s="128"/>
      <c r="D84" s="128"/>
      <c r="E84" s="129"/>
    </row>
    <row r="86" spans="1:5" x14ac:dyDescent="0.35">
      <c r="E86" s="112"/>
    </row>
  </sheetData>
  <mergeCells count="7">
    <mergeCell ref="A78:B78"/>
    <mergeCell ref="A79:B79"/>
    <mergeCell ref="A10:B10"/>
    <mergeCell ref="A7:C7"/>
    <mergeCell ref="A9:B9"/>
    <mergeCell ref="A75:B75"/>
    <mergeCell ref="A76:B76"/>
  </mergeCells>
  <pageMargins left="0.87343749999999998" right="0.82604166666666667" top="0.59055118110236227" bottom="0.55118110236220474" header="0.31496062992125984" footer="0.31496062992125984"/>
  <pageSetup paperSize="9" scale="58" firstPageNumber="7" orientation="portrait" useFirstPageNumber="1" r:id="rId1"/>
  <headerFooter>
    <oddFooter>&amp;C&amp;"Times New Roman,Regular"&amp;F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86"/>
  <sheetViews>
    <sheetView view="pageLayout" topLeftCell="A34" zoomScale="70" zoomScaleNormal="100" zoomScalePageLayoutView="70" workbookViewId="0">
      <selection activeCell="A69" sqref="A69"/>
    </sheetView>
  </sheetViews>
  <sheetFormatPr defaultColWidth="9.1796875" defaultRowHeight="15.5" x14ac:dyDescent="0.35"/>
  <cols>
    <col min="1" max="1" width="23.7265625" style="87" customWidth="1"/>
    <col min="2" max="2" width="86.453125" style="87" customWidth="1"/>
    <col min="3" max="4" width="7.7265625" style="87" hidden="1" customWidth="1"/>
    <col min="5" max="5" width="33" style="87" customWidth="1"/>
    <col min="6" max="6" width="19.81640625" style="87" bestFit="1" customWidth="1"/>
    <col min="7" max="16384" width="9.1796875" style="87"/>
  </cols>
  <sheetData>
    <row r="1" spans="1:5" ht="15.75" customHeight="1" x14ac:dyDescent="0.35">
      <c r="B1" s="88"/>
      <c r="C1" s="88"/>
      <c r="D1" s="88"/>
      <c r="E1" s="89" t="s">
        <v>10</v>
      </c>
    </row>
    <row r="2" spans="1:5" x14ac:dyDescent="0.35">
      <c r="C2" s="90"/>
      <c r="D2" s="90"/>
      <c r="E2" s="88" t="s">
        <v>32</v>
      </c>
    </row>
    <row r="3" spans="1:5" x14ac:dyDescent="0.35">
      <c r="B3" s="91"/>
      <c r="C3" s="91"/>
      <c r="D3" s="91"/>
      <c r="E3" s="92" t="s">
        <v>66</v>
      </c>
    </row>
    <row r="4" spans="1:5" x14ac:dyDescent="0.35">
      <c r="B4" s="88"/>
      <c r="C4" s="88"/>
      <c r="D4" s="88"/>
      <c r="E4" s="93"/>
    </row>
    <row r="5" spans="1:5" x14ac:dyDescent="0.35">
      <c r="B5" s="90"/>
      <c r="C5" s="90"/>
      <c r="D5" s="90"/>
      <c r="E5" s="93" t="s">
        <v>167</v>
      </c>
    </row>
    <row r="6" spans="1:5" x14ac:dyDescent="0.35">
      <c r="E6" s="94"/>
    </row>
    <row r="7" spans="1:5" x14ac:dyDescent="0.35">
      <c r="A7" s="426" t="s">
        <v>9</v>
      </c>
      <c r="B7" s="426"/>
      <c r="C7" s="426"/>
      <c r="D7" s="95"/>
    </row>
    <row r="8" spans="1:5" x14ac:dyDescent="0.35">
      <c r="B8" s="96"/>
      <c r="C8" s="96"/>
      <c r="D8" s="96"/>
      <c r="E8" s="94"/>
    </row>
    <row r="9" spans="1:5" x14ac:dyDescent="0.35">
      <c r="A9" s="425" t="s">
        <v>1</v>
      </c>
      <c r="B9" s="425"/>
      <c r="C9" s="97"/>
      <c r="D9" s="97"/>
      <c r="E9" s="94"/>
    </row>
    <row r="10" spans="1:5" x14ac:dyDescent="0.35">
      <c r="A10" s="425" t="s">
        <v>0</v>
      </c>
      <c r="B10" s="425"/>
      <c r="C10" s="97"/>
      <c r="D10" s="97"/>
      <c r="E10" s="94"/>
    </row>
    <row r="11" spans="1:5" x14ac:dyDescent="0.35">
      <c r="A11" s="97"/>
      <c r="B11" s="97" t="s">
        <v>31</v>
      </c>
      <c r="C11" s="97"/>
      <c r="D11" s="97"/>
      <c r="E11" s="94"/>
    </row>
    <row r="12" spans="1:5" x14ac:dyDescent="0.35">
      <c r="A12" s="97"/>
      <c r="B12" s="98" t="s">
        <v>161</v>
      </c>
      <c r="C12" s="99"/>
      <c r="D12" s="99"/>
      <c r="E12" s="94"/>
    </row>
    <row r="13" spans="1:5" x14ac:dyDescent="0.35">
      <c r="A13" s="97"/>
      <c r="B13" s="100" t="s">
        <v>162</v>
      </c>
      <c r="C13" s="100"/>
      <c r="D13" s="100"/>
      <c r="E13" s="94"/>
    </row>
    <row r="14" spans="1:5" x14ac:dyDescent="0.35">
      <c r="A14" s="97" t="s">
        <v>2</v>
      </c>
      <c r="B14" s="97" t="s">
        <v>166</v>
      </c>
      <c r="C14" s="97"/>
      <c r="D14" s="97"/>
      <c r="E14" s="94"/>
    </row>
    <row r="15" spans="1:5" ht="69.75" customHeight="1" x14ac:dyDescent="0.35">
      <c r="A15" s="101" t="s">
        <v>3</v>
      </c>
      <c r="B15" s="101" t="s">
        <v>4</v>
      </c>
      <c r="C15" s="101"/>
      <c r="D15" s="101"/>
      <c r="E15" s="101" t="s">
        <v>134</v>
      </c>
    </row>
    <row r="16" spans="1:5" x14ac:dyDescent="0.35">
      <c r="A16" s="102">
        <v>1</v>
      </c>
      <c r="B16" s="103">
        <v>2</v>
      </c>
      <c r="C16" s="103"/>
      <c r="D16" s="103"/>
      <c r="E16" s="103">
        <v>3</v>
      </c>
    </row>
    <row r="17" spans="1:5" x14ac:dyDescent="0.35">
      <c r="A17" s="102"/>
      <c r="B17" s="104" t="s">
        <v>5</v>
      </c>
      <c r="C17" s="104"/>
      <c r="D17" s="104"/>
      <c r="E17" s="105"/>
    </row>
    <row r="18" spans="1:5" x14ac:dyDescent="0.35">
      <c r="A18" s="106">
        <v>1100</v>
      </c>
      <c r="B18" s="106" t="s">
        <v>132</v>
      </c>
      <c r="C18" s="105"/>
      <c r="D18" s="105">
        <f>5.91/1.2359</f>
        <v>4.7819402864309408</v>
      </c>
      <c r="E18" s="107">
        <v>4064.65</v>
      </c>
    </row>
    <row r="19" spans="1:5" x14ac:dyDescent="0.35">
      <c r="A19" s="106">
        <v>1200</v>
      </c>
      <c r="B19" s="105" t="s">
        <v>133</v>
      </c>
      <c r="C19" s="105"/>
      <c r="D19" s="105">
        <f>D18*0.2359</f>
        <v>1.1280597135690589</v>
      </c>
      <c r="E19" s="107">
        <v>958.85</v>
      </c>
    </row>
    <row r="20" spans="1:5" x14ac:dyDescent="0.35">
      <c r="A20" s="106">
        <v>2210</v>
      </c>
      <c r="B20" s="108" t="s">
        <v>120</v>
      </c>
      <c r="C20" s="105"/>
      <c r="D20" s="105">
        <v>0.08</v>
      </c>
      <c r="E20" s="107">
        <f t="shared" ref="E20:E32" si="0">D20*850</f>
        <v>68</v>
      </c>
    </row>
    <row r="21" spans="1:5" x14ac:dyDescent="0.35">
      <c r="A21" s="106">
        <v>2222</v>
      </c>
      <c r="B21" s="108" t="s">
        <v>135</v>
      </c>
      <c r="C21" s="105"/>
      <c r="D21" s="105">
        <v>1.88</v>
      </c>
      <c r="E21" s="107">
        <f t="shared" si="0"/>
        <v>1598</v>
      </c>
    </row>
    <row r="22" spans="1:5" x14ac:dyDescent="0.35">
      <c r="A22" s="106">
        <v>2223</v>
      </c>
      <c r="B22" s="108" t="s">
        <v>136</v>
      </c>
      <c r="C22" s="105"/>
      <c r="D22" s="105">
        <v>1.1222000000000001</v>
      </c>
      <c r="E22" s="107">
        <v>953.87</v>
      </c>
    </row>
    <row r="23" spans="1:5" x14ac:dyDescent="0.35">
      <c r="A23" s="106">
        <v>2243</v>
      </c>
      <c r="B23" s="104" t="s">
        <v>137</v>
      </c>
      <c r="C23" s="105"/>
      <c r="D23" s="105">
        <v>0.04</v>
      </c>
      <c r="E23" s="107">
        <f t="shared" si="0"/>
        <v>34</v>
      </c>
    </row>
    <row r="24" spans="1:5" x14ac:dyDescent="0.35">
      <c r="A24" s="106">
        <v>2244</v>
      </c>
      <c r="B24" s="104" t="s">
        <v>138</v>
      </c>
      <c r="C24" s="105"/>
      <c r="D24" s="105">
        <v>1.7267969000000001</v>
      </c>
      <c r="E24" s="107">
        <v>1467.78</v>
      </c>
    </row>
    <row r="25" spans="1:5" x14ac:dyDescent="0.35">
      <c r="A25" s="106">
        <v>2250</v>
      </c>
      <c r="B25" s="104" t="s">
        <v>124</v>
      </c>
      <c r="C25" s="105"/>
      <c r="D25" s="105">
        <v>0.16</v>
      </c>
      <c r="E25" s="107">
        <f t="shared" si="0"/>
        <v>136</v>
      </c>
    </row>
    <row r="26" spans="1:5" x14ac:dyDescent="0.35">
      <c r="A26" s="106">
        <v>2311</v>
      </c>
      <c r="B26" s="108" t="s">
        <v>151</v>
      </c>
      <c r="C26" s="105"/>
      <c r="D26" s="105">
        <v>0.48</v>
      </c>
      <c r="E26" s="107">
        <f t="shared" si="0"/>
        <v>408</v>
      </c>
    </row>
    <row r="27" spans="1:5" x14ac:dyDescent="0.35">
      <c r="A27" s="106">
        <v>2312</v>
      </c>
      <c r="B27" s="104" t="s">
        <v>116</v>
      </c>
      <c r="C27" s="105"/>
      <c r="D27" s="105">
        <v>1.55</v>
      </c>
      <c r="E27" s="107">
        <f t="shared" si="0"/>
        <v>1317.5</v>
      </c>
    </row>
    <row r="28" spans="1:5" x14ac:dyDescent="0.35">
      <c r="A28" s="106">
        <v>2321</v>
      </c>
      <c r="B28" s="108" t="s">
        <v>139</v>
      </c>
      <c r="C28" s="105"/>
      <c r="D28" s="105">
        <v>1.46147</v>
      </c>
      <c r="E28" s="107">
        <v>1242.25</v>
      </c>
    </row>
    <row r="29" spans="1:5" x14ac:dyDescent="0.35">
      <c r="A29" s="106">
        <v>2350</v>
      </c>
      <c r="B29" s="105" t="s">
        <v>125</v>
      </c>
      <c r="C29" s="105"/>
      <c r="D29" s="105">
        <v>0.28000000000000003</v>
      </c>
      <c r="E29" s="107">
        <f t="shared" si="0"/>
        <v>238.00000000000003</v>
      </c>
    </row>
    <row r="30" spans="1:5" x14ac:dyDescent="0.35">
      <c r="A30" s="106">
        <v>2361</v>
      </c>
      <c r="B30" s="108" t="s">
        <v>141</v>
      </c>
      <c r="C30" s="105"/>
      <c r="D30" s="105">
        <v>0.28000000000000003</v>
      </c>
      <c r="E30" s="107">
        <f t="shared" si="0"/>
        <v>238.00000000000003</v>
      </c>
    </row>
    <row r="31" spans="1:5" x14ac:dyDescent="0.35">
      <c r="A31" s="106">
        <v>2362</v>
      </c>
      <c r="B31" s="109" t="s">
        <v>156</v>
      </c>
      <c r="C31" s="105"/>
      <c r="D31" s="105">
        <v>0.12</v>
      </c>
      <c r="E31" s="107">
        <f t="shared" si="0"/>
        <v>102</v>
      </c>
    </row>
    <row r="32" spans="1:5" x14ac:dyDescent="0.35">
      <c r="A32" s="106">
        <v>2363</v>
      </c>
      <c r="B32" s="108" t="s">
        <v>142</v>
      </c>
      <c r="C32" s="105"/>
      <c r="D32" s="105">
        <v>3.58</v>
      </c>
      <c r="E32" s="107">
        <f t="shared" si="0"/>
        <v>3043</v>
      </c>
    </row>
    <row r="33" spans="1:7" x14ac:dyDescent="0.35">
      <c r="A33" s="106">
        <v>5239</v>
      </c>
      <c r="B33" s="105" t="s">
        <v>130</v>
      </c>
      <c r="C33" s="105"/>
      <c r="D33" s="105">
        <v>0.47846</v>
      </c>
      <c r="E33" s="107">
        <v>406.69</v>
      </c>
    </row>
    <row r="34" spans="1:7" x14ac:dyDescent="0.35">
      <c r="A34" s="106"/>
      <c r="B34" s="110" t="s">
        <v>6</v>
      </c>
      <c r="C34" s="105"/>
      <c r="D34" s="132">
        <f>SUM(D18:D33)</f>
        <v>19.148926899999999</v>
      </c>
      <c r="E34" s="111">
        <f>SUM(E18:E33)</f>
        <v>16276.59</v>
      </c>
      <c r="F34" s="112"/>
      <c r="G34" s="112"/>
    </row>
    <row r="35" spans="1:7" x14ac:dyDescent="0.35">
      <c r="A35" s="113"/>
      <c r="B35" s="110" t="s">
        <v>7</v>
      </c>
      <c r="C35" s="110"/>
      <c r="D35" s="110"/>
      <c r="E35" s="107"/>
    </row>
    <row r="36" spans="1:7" x14ac:dyDescent="0.35">
      <c r="A36" s="106">
        <v>1100</v>
      </c>
      <c r="B36" s="104" t="s">
        <v>132</v>
      </c>
      <c r="C36" s="105">
        <f>0.388+0.024</f>
        <v>0.41200000000000003</v>
      </c>
      <c r="D36" s="105"/>
      <c r="E36" s="107">
        <v>3761.52</v>
      </c>
    </row>
    <row r="37" spans="1:7" ht="16.5" customHeight="1" x14ac:dyDescent="0.35">
      <c r="A37" s="106">
        <v>1200</v>
      </c>
      <c r="B37" s="104" t="s">
        <v>133</v>
      </c>
      <c r="C37" s="105">
        <f>C36*0.2359</f>
        <v>9.7190800000000008E-2</v>
      </c>
      <c r="D37" s="105"/>
      <c r="E37" s="107">
        <v>887.34</v>
      </c>
    </row>
    <row r="38" spans="1:7" ht="16.5" customHeight="1" x14ac:dyDescent="0.35">
      <c r="A38" s="106">
        <v>2100</v>
      </c>
      <c r="B38" s="114" t="s">
        <v>45</v>
      </c>
      <c r="C38" s="105">
        <v>1.1659999999999999E-3</v>
      </c>
      <c r="D38" s="105"/>
      <c r="E38" s="107">
        <v>10.65</v>
      </c>
    </row>
    <row r="39" spans="1:7" x14ac:dyDescent="0.35">
      <c r="A39" s="115">
        <v>2210</v>
      </c>
      <c r="B39" s="108" t="s">
        <v>120</v>
      </c>
      <c r="C39" s="105">
        <v>7.6E-3</v>
      </c>
      <c r="D39" s="105"/>
      <c r="E39" s="107">
        <v>69.39</v>
      </c>
    </row>
    <row r="40" spans="1:7" x14ac:dyDescent="0.35">
      <c r="A40" s="106">
        <v>2222</v>
      </c>
      <c r="B40" s="108" t="s">
        <v>135</v>
      </c>
      <c r="C40" s="105">
        <v>9.4999999999999998E-3</v>
      </c>
      <c r="D40" s="105"/>
      <c r="E40" s="107">
        <v>86.73</v>
      </c>
    </row>
    <row r="41" spans="1:7" x14ac:dyDescent="0.35">
      <c r="A41" s="106">
        <v>2223</v>
      </c>
      <c r="B41" s="108" t="s">
        <v>136</v>
      </c>
      <c r="C41" s="105">
        <v>1.9019999999999999E-2</v>
      </c>
      <c r="D41" s="105"/>
      <c r="E41" s="107">
        <v>173.65</v>
      </c>
    </row>
    <row r="42" spans="1:7" ht="31" x14ac:dyDescent="0.35">
      <c r="A42" s="106">
        <v>2224</v>
      </c>
      <c r="B42" s="108" t="s">
        <v>143</v>
      </c>
      <c r="C42" s="105">
        <v>4.9500000000000004E-3</v>
      </c>
      <c r="D42" s="105"/>
      <c r="E42" s="107">
        <v>45.19</v>
      </c>
    </row>
    <row r="43" spans="1:7" ht="15.75" customHeight="1" x14ac:dyDescent="0.35">
      <c r="A43" s="106">
        <v>2231</v>
      </c>
      <c r="B43" s="104" t="s">
        <v>126</v>
      </c>
      <c r="C43" s="105">
        <v>1.5499999999999999E-3</v>
      </c>
      <c r="D43" s="105"/>
      <c r="E43" s="107">
        <v>14.15</v>
      </c>
    </row>
    <row r="44" spans="1:7" ht="15.75" customHeight="1" x14ac:dyDescent="0.35">
      <c r="A44" s="106">
        <v>2235</v>
      </c>
      <c r="B44" s="116" t="s">
        <v>127</v>
      </c>
      <c r="C44" s="105">
        <v>1.65E-3</v>
      </c>
      <c r="D44" s="105"/>
      <c r="E44" s="107">
        <v>15.06</v>
      </c>
    </row>
    <row r="45" spans="1:7" x14ac:dyDescent="0.35">
      <c r="A45" s="106">
        <v>2239</v>
      </c>
      <c r="B45" s="104" t="s">
        <v>144</v>
      </c>
      <c r="C45" s="105">
        <v>4.4099999999999999E-3</v>
      </c>
      <c r="D45" s="105"/>
      <c r="E45" s="107">
        <v>40.26</v>
      </c>
    </row>
    <row r="46" spans="1:7" x14ac:dyDescent="0.35">
      <c r="A46" s="106">
        <v>2241</v>
      </c>
      <c r="B46" s="104" t="s">
        <v>123</v>
      </c>
      <c r="C46" s="105">
        <v>1.6500000000000001E-2</v>
      </c>
      <c r="D46" s="105"/>
      <c r="E46" s="107">
        <v>150.63999999999999</v>
      </c>
    </row>
    <row r="47" spans="1:7" x14ac:dyDescent="0.35">
      <c r="A47" s="106">
        <v>2242</v>
      </c>
      <c r="B47" s="108" t="s">
        <v>145</v>
      </c>
      <c r="C47" s="105">
        <v>2.2599999999999999E-3</v>
      </c>
      <c r="D47" s="105"/>
      <c r="E47" s="107">
        <v>20.63</v>
      </c>
    </row>
    <row r="48" spans="1:7" ht="15.75" customHeight="1" x14ac:dyDescent="0.35">
      <c r="A48" s="106">
        <v>2243</v>
      </c>
      <c r="B48" s="104" t="s">
        <v>137</v>
      </c>
      <c r="C48" s="105">
        <v>3.2599999999999997E-2</v>
      </c>
      <c r="D48" s="105"/>
      <c r="E48" s="107">
        <v>297.94</v>
      </c>
    </row>
    <row r="49" spans="1:5" x14ac:dyDescent="0.35">
      <c r="A49" s="106">
        <v>2244</v>
      </c>
      <c r="B49" s="104" t="s">
        <v>138</v>
      </c>
      <c r="C49" s="105">
        <v>0.20397000000000001</v>
      </c>
      <c r="D49" s="105"/>
      <c r="E49" s="107">
        <v>1862.23</v>
      </c>
    </row>
    <row r="50" spans="1:5" x14ac:dyDescent="0.35">
      <c r="A50" s="106">
        <v>2247</v>
      </c>
      <c r="B50" s="104" t="s">
        <v>146</v>
      </c>
      <c r="C50" s="105">
        <v>7.1900000000000002E-4</v>
      </c>
      <c r="D50" s="105"/>
      <c r="E50" s="107">
        <v>6.56</v>
      </c>
    </row>
    <row r="51" spans="1:5" x14ac:dyDescent="0.35">
      <c r="A51" s="106">
        <v>2249</v>
      </c>
      <c r="B51" s="104" t="s">
        <v>147</v>
      </c>
      <c r="C51" s="105">
        <v>2.32E-4</v>
      </c>
      <c r="D51" s="105"/>
      <c r="E51" s="107">
        <v>2.12</v>
      </c>
    </row>
    <row r="52" spans="1:5" x14ac:dyDescent="0.35">
      <c r="A52" s="106">
        <v>2250</v>
      </c>
      <c r="B52" s="104" t="s">
        <v>124</v>
      </c>
      <c r="C52" s="105">
        <v>2.4025999999999999E-2</v>
      </c>
      <c r="D52" s="105"/>
      <c r="E52" s="107">
        <v>219.76</v>
      </c>
    </row>
    <row r="53" spans="1:5" hidden="1" x14ac:dyDescent="0.35">
      <c r="A53" s="106">
        <v>2261</v>
      </c>
      <c r="B53" s="108" t="s">
        <v>99</v>
      </c>
      <c r="C53" s="105">
        <v>0</v>
      </c>
      <c r="D53" s="105"/>
      <c r="E53" s="107">
        <f>C53*9129.91</f>
        <v>0</v>
      </c>
    </row>
    <row r="54" spans="1:5" x14ac:dyDescent="0.35">
      <c r="A54" s="106">
        <v>2262</v>
      </c>
      <c r="B54" s="108" t="s">
        <v>148</v>
      </c>
      <c r="C54" s="105">
        <v>6.2599999999999999E-3</v>
      </c>
      <c r="D54" s="105"/>
      <c r="E54" s="107">
        <v>57.15</v>
      </c>
    </row>
    <row r="55" spans="1:5" x14ac:dyDescent="0.35">
      <c r="A55" s="106">
        <v>2263</v>
      </c>
      <c r="B55" s="108" t="s">
        <v>149</v>
      </c>
      <c r="C55" s="105">
        <v>4.58E-2</v>
      </c>
      <c r="D55" s="105"/>
      <c r="E55" s="107">
        <v>418.45</v>
      </c>
    </row>
    <row r="56" spans="1:5" x14ac:dyDescent="0.35">
      <c r="A56" s="106">
        <v>2264</v>
      </c>
      <c r="B56" s="104" t="s">
        <v>150</v>
      </c>
      <c r="C56" s="105">
        <v>1.49E-3</v>
      </c>
      <c r="D56" s="105"/>
      <c r="E56" s="107">
        <v>13.6</v>
      </c>
    </row>
    <row r="57" spans="1:5" x14ac:dyDescent="0.35">
      <c r="A57" s="106">
        <v>2311</v>
      </c>
      <c r="B57" s="108" t="s">
        <v>151</v>
      </c>
      <c r="C57" s="105">
        <v>4.7699999999999999E-3</v>
      </c>
      <c r="D57" s="105"/>
      <c r="E57" s="107">
        <v>43.55</v>
      </c>
    </row>
    <row r="58" spans="1:5" x14ac:dyDescent="0.35">
      <c r="A58" s="106">
        <v>2312</v>
      </c>
      <c r="B58" s="108" t="s">
        <v>116</v>
      </c>
      <c r="C58" s="105">
        <v>5.79E-3</v>
      </c>
      <c r="D58" s="105"/>
      <c r="E58" s="107">
        <v>52.86</v>
      </c>
    </row>
    <row r="59" spans="1:5" x14ac:dyDescent="0.35">
      <c r="A59" s="106">
        <v>2314</v>
      </c>
      <c r="B59" s="116" t="s">
        <v>152</v>
      </c>
      <c r="C59" s="105">
        <v>2.2200000000000002E-3</v>
      </c>
      <c r="D59" s="105"/>
      <c r="E59" s="107">
        <v>20.27</v>
      </c>
    </row>
    <row r="60" spans="1:5" x14ac:dyDescent="0.35">
      <c r="A60" s="106">
        <v>2321</v>
      </c>
      <c r="B60" s="108" t="s">
        <v>139</v>
      </c>
      <c r="C60" s="105">
        <v>1.9800000000000002E-2</v>
      </c>
      <c r="D60" s="105"/>
      <c r="E60" s="107">
        <v>180.77</v>
      </c>
    </row>
    <row r="61" spans="1:5" x14ac:dyDescent="0.35">
      <c r="A61" s="106">
        <v>2322</v>
      </c>
      <c r="B61" s="108" t="s">
        <v>153</v>
      </c>
      <c r="C61" s="105">
        <v>3.5000000000000001E-3</v>
      </c>
      <c r="D61" s="105"/>
      <c r="E61" s="107">
        <v>31.95</v>
      </c>
    </row>
    <row r="62" spans="1:5" hidden="1" x14ac:dyDescent="0.35">
      <c r="A62" s="106">
        <v>2341</v>
      </c>
      <c r="B62" s="108" t="s">
        <v>140</v>
      </c>
      <c r="C62" s="105"/>
      <c r="D62" s="105"/>
      <c r="E62" s="107">
        <f>C62*9129.91</f>
        <v>0</v>
      </c>
    </row>
    <row r="63" spans="1:5" x14ac:dyDescent="0.35">
      <c r="A63" s="106">
        <v>2350</v>
      </c>
      <c r="B63" s="105" t="s">
        <v>125</v>
      </c>
      <c r="C63" s="105">
        <v>8.5000000000000006E-3</v>
      </c>
      <c r="D63" s="105"/>
      <c r="E63" s="107">
        <v>77.599999999999994</v>
      </c>
    </row>
    <row r="64" spans="1:5" x14ac:dyDescent="0.35">
      <c r="A64" s="106">
        <v>2512</v>
      </c>
      <c r="B64" s="108" t="s">
        <v>154</v>
      </c>
      <c r="C64" s="105">
        <v>0</v>
      </c>
      <c r="D64" s="105">
        <v>3.59</v>
      </c>
      <c r="E64" s="107">
        <v>0</v>
      </c>
    </row>
    <row r="65" spans="1:6" ht="15.75" customHeight="1" x14ac:dyDescent="0.35">
      <c r="A65" s="106">
        <v>2513</v>
      </c>
      <c r="B65" s="105" t="s">
        <v>121</v>
      </c>
      <c r="C65" s="105">
        <v>1.4599999999999999E-3</v>
      </c>
      <c r="D65" s="105"/>
      <c r="E65" s="107">
        <v>13.33</v>
      </c>
    </row>
    <row r="66" spans="1:6" x14ac:dyDescent="0.35">
      <c r="A66" s="106">
        <v>2515</v>
      </c>
      <c r="B66" s="108" t="s">
        <v>155</v>
      </c>
      <c r="C66" s="105">
        <v>1.9E-3</v>
      </c>
      <c r="D66" s="105"/>
      <c r="E66" s="107">
        <v>17.350000000000001</v>
      </c>
    </row>
    <row r="67" spans="1:6" x14ac:dyDescent="0.35">
      <c r="A67" s="106">
        <v>2519</v>
      </c>
      <c r="B67" s="108" t="s">
        <v>122</v>
      </c>
      <c r="C67" s="105">
        <v>2E-3</v>
      </c>
      <c r="D67" s="105"/>
      <c r="E67" s="107">
        <v>18.260000000000002</v>
      </c>
    </row>
    <row r="68" spans="1:6" x14ac:dyDescent="0.35">
      <c r="A68" s="106">
        <v>5220</v>
      </c>
      <c r="B68" s="108" t="s">
        <v>128</v>
      </c>
      <c r="C68" s="105">
        <v>1.06E-2</v>
      </c>
      <c r="D68" s="105"/>
      <c r="E68" s="107">
        <v>96.78</v>
      </c>
    </row>
    <row r="69" spans="1:6" x14ac:dyDescent="0.35">
      <c r="A69" s="106">
        <v>5238</v>
      </c>
      <c r="B69" s="105" t="s">
        <v>129</v>
      </c>
      <c r="C69" s="105">
        <v>1.65E-3</v>
      </c>
      <c r="D69" s="105"/>
      <c r="E69" s="107">
        <v>15.15</v>
      </c>
    </row>
    <row r="70" spans="1:6" x14ac:dyDescent="0.35">
      <c r="A70" s="106">
        <v>5239</v>
      </c>
      <c r="B70" s="105" t="s">
        <v>130</v>
      </c>
      <c r="C70" s="105">
        <v>1.9800000000000002E-2</v>
      </c>
      <c r="D70" s="105"/>
      <c r="E70" s="107">
        <v>180.77</v>
      </c>
    </row>
    <row r="71" spans="1:6" x14ac:dyDescent="0.35">
      <c r="A71" s="106">
        <v>5250</v>
      </c>
      <c r="B71" s="108" t="s">
        <v>131</v>
      </c>
      <c r="C71" s="105">
        <v>2.5000000000000001E-2</v>
      </c>
      <c r="D71" s="105"/>
      <c r="E71" s="107">
        <v>228.25</v>
      </c>
    </row>
    <row r="72" spans="1:6" x14ac:dyDescent="0.35">
      <c r="A72" s="113"/>
      <c r="B72" s="117" t="s">
        <v>97</v>
      </c>
      <c r="C72" s="105">
        <f>SUM(C36:C71)</f>
        <v>0.99988380000000032</v>
      </c>
      <c r="D72" s="105"/>
      <c r="E72" s="111">
        <f>SUM(E36:E71)</f>
        <v>9129.9100000000035</v>
      </c>
    </row>
    <row r="73" spans="1:6" x14ac:dyDescent="0.35">
      <c r="A73" s="113"/>
      <c r="B73" s="117" t="s">
        <v>98</v>
      </c>
      <c r="C73" s="117"/>
      <c r="D73" s="117"/>
      <c r="E73" s="111">
        <f>E34+E72</f>
        <v>25406.500000000004</v>
      </c>
    </row>
    <row r="74" spans="1:6" ht="12.75" customHeight="1" x14ac:dyDescent="0.35">
      <c r="A74" s="93"/>
      <c r="B74" s="94"/>
      <c r="C74" s="94"/>
      <c r="D74" s="94"/>
      <c r="E74" s="118"/>
    </row>
    <row r="75" spans="1:6" ht="15.75" customHeight="1" x14ac:dyDescent="0.35">
      <c r="A75" s="427" t="s">
        <v>106</v>
      </c>
      <c r="B75" s="427"/>
      <c r="C75" s="119"/>
      <c r="D75" s="119"/>
      <c r="E75" s="120">
        <v>850</v>
      </c>
    </row>
    <row r="76" spans="1:6" ht="15.75" customHeight="1" x14ac:dyDescent="0.35">
      <c r="A76" s="427" t="s">
        <v>58</v>
      </c>
      <c r="B76" s="427"/>
      <c r="C76" s="119"/>
      <c r="D76" s="119"/>
      <c r="E76" s="121">
        <f>E73/E75</f>
        <v>29.890000000000004</v>
      </c>
      <c r="F76" s="130"/>
    </row>
    <row r="77" spans="1:6" ht="9.75" customHeight="1" x14ac:dyDescent="0.35">
      <c r="A77" s="98"/>
      <c r="B77" s="122"/>
      <c r="C77" s="122"/>
      <c r="D77" s="122"/>
    </row>
    <row r="78" spans="1:6" ht="15.75" customHeight="1" x14ac:dyDescent="0.35">
      <c r="A78" s="424" t="s">
        <v>33</v>
      </c>
      <c r="B78" s="424"/>
      <c r="C78" s="123"/>
      <c r="D78" s="123"/>
      <c r="E78" s="124"/>
    </row>
    <row r="79" spans="1:6" ht="15.75" customHeight="1" x14ac:dyDescent="0.35">
      <c r="A79" s="424" t="s">
        <v>64</v>
      </c>
      <c r="B79" s="424"/>
      <c r="C79" s="123"/>
      <c r="D79" s="123"/>
      <c r="E79" s="131"/>
    </row>
    <row r="80" spans="1:6" ht="8.25" customHeight="1" x14ac:dyDescent="0.35">
      <c r="A80" s="125"/>
      <c r="B80" s="125"/>
      <c r="C80" s="125"/>
      <c r="D80" s="125"/>
      <c r="E80" s="125"/>
    </row>
    <row r="81" spans="1:5" x14ac:dyDescent="0.35">
      <c r="A81" s="125" t="s">
        <v>34</v>
      </c>
      <c r="B81" s="125"/>
      <c r="C81" s="125"/>
      <c r="D81" s="125"/>
      <c r="E81" s="126"/>
    </row>
    <row r="82" spans="1:5" x14ac:dyDescent="0.35">
      <c r="A82" s="125"/>
      <c r="B82" s="125"/>
      <c r="C82" s="125"/>
      <c r="D82" s="125"/>
      <c r="E82" s="126"/>
    </row>
    <row r="83" spans="1:5" x14ac:dyDescent="0.35">
      <c r="A83" s="125" t="s">
        <v>108</v>
      </c>
      <c r="B83" s="127"/>
      <c r="C83" s="127"/>
      <c r="D83" s="127"/>
      <c r="E83" s="125"/>
    </row>
    <row r="84" spans="1:5" x14ac:dyDescent="0.35">
      <c r="B84" s="128"/>
      <c r="C84" s="128"/>
      <c r="D84" s="128"/>
      <c r="E84" s="129"/>
    </row>
    <row r="86" spans="1:5" x14ac:dyDescent="0.35">
      <c r="E86" s="112"/>
    </row>
  </sheetData>
  <mergeCells count="7">
    <mergeCell ref="A7:C7"/>
    <mergeCell ref="A75:B75"/>
    <mergeCell ref="A76:B76"/>
    <mergeCell ref="A78:B78"/>
    <mergeCell ref="A79:B79"/>
    <mergeCell ref="A9:B9"/>
    <mergeCell ref="A10:B10"/>
  </mergeCells>
  <pageMargins left="0.94488188976377963" right="0.55118110236220474" top="0.39370078740157483" bottom="0.74803149606299213" header="0.31496062992125984" footer="0.16"/>
  <pageSetup paperSize="9" scale="58" firstPageNumber="8" orientation="portrait" useFirstPageNumber="1" r:id="rId1"/>
  <headerFooter>
    <oddFooter>&amp;C&amp;"Times New Roman,Regular"&amp;F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F86"/>
  <sheetViews>
    <sheetView view="pageLayout" topLeftCell="A52" zoomScale="90" zoomScaleNormal="100" zoomScalePageLayoutView="90" workbookViewId="0">
      <selection activeCell="E64" sqref="E64"/>
    </sheetView>
  </sheetViews>
  <sheetFormatPr defaultColWidth="9.1796875" defaultRowHeight="15.5" x14ac:dyDescent="0.35"/>
  <cols>
    <col min="1" max="1" width="19.453125" style="13" customWidth="1"/>
    <col min="2" max="2" width="86.54296875" style="13" customWidth="1"/>
    <col min="3" max="4" width="10" style="13" hidden="1" customWidth="1"/>
    <col min="5" max="5" width="32" style="13" customWidth="1"/>
    <col min="6" max="16384" width="9.1796875" style="13"/>
  </cols>
  <sheetData>
    <row r="1" spans="1:5" ht="15.75" customHeight="1" x14ac:dyDescent="0.35">
      <c r="B1" s="14"/>
      <c r="C1" s="14"/>
      <c r="D1" s="14"/>
      <c r="E1" s="17" t="s">
        <v>10</v>
      </c>
    </row>
    <row r="2" spans="1:5" x14ac:dyDescent="0.35">
      <c r="C2" s="71"/>
      <c r="D2" s="71"/>
      <c r="E2" s="14" t="s">
        <v>32</v>
      </c>
    </row>
    <row r="3" spans="1:5" x14ac:dyDescent="0.35">
      <c r="B3" s="60"/>
      <c r="C3" s="60"/>
      <c r="D3" s="60"/>
      <c r="E3" s="77" t="s">
        <v>66</v>
      </c>
    </row>
    <row r="4" spans="1:5" x14ac:dyDescent="0.35">
      <c r="B4" s="14"/>
      <c r="C4" s="14"/>
      <c r="D4" s="14"/>
      <c r="E4" s="15"/>
    </row>
    <row r="5" spans="1:5" x14ac:dyDescent="0.35">
      <c r="B5" s="71"/>
      <c r="C5" s="71"/>
      <c r="D5" s="71"/>
      <c r="E5" s="15" t="s">
        <v>167</v>
      </c>
    </row>
    <row r="6" spans="1:5" x14ac:dyDescent="0.35">
      <c r="E6" s="25"/>
    </row>
    <row r="7" spans="1:5" x14ac:dyDescent="0.35">
      <c r="A7" s="416" t="s">
        <v>9</v>
      </c>
      <c r="B7" s="416"/>
      <c r="C7" s="416"/>
      <c r="D7" s="70"/>
    </row>
    <row r="8" spans="1:5" x14ac:dyDescent="0.35">
      <c r="B8" s="18"/>
      <c r="C8" s="18"/>
      <c r="D8" s="18"/>
      <c r="E8" s="25"/>
    </row>
    <row r="9" spans="1:5" x14ac:dyDescent="0.35">
      <c r="A9" s="419" t="s">
        <v>1</v>
      </c>
      <c r="B9" s="419"/>
      <c r="C9" s="11"/>
      <c r="D9" s="11"/>
      <c r="E9" s="25"/>
    </row>
    <row r="10" spans="1:5" x14ac:dyDescent="0.35">
      <c r="A10" s="419" t="s">
        <v>0</v>
      </c>
      <c r="B10" s="419"/>
      <c r="C10" s="11"/>
      <c r="D10" s="11"/>
      <c r="E10" s="25"/>
    </row>
    <row r="11" spans="1:5" x14ac:dyDescent="0.35">
      <c r="A11" s="11"/>
      <c r="B11" s="11" t="s">
        <v>31</v>
      </c>
      <c r="C11" s="11"/>
      <c r="D11" s="11"/>
      <c r="E11" s="25"/>
    </row>
    <row r="12" spans="1:5" x14ac:dyDescent="0.35">
      <c r="A12" s="11"/>
      <c r="B12" s="43" t="s">
        <v>163</v>
      </c>
      <c r="C12" s="52"/>
      <c r="D12" s="52"/>
      <c r="E12" s="25"/>
    </row>
    <row r="13" spans="1:5" x14ac:dyDescent="0.35">
      <c r="A13" s="11"/>
      <c r="B13" s="84" t="s">
        <v>164</v>
      </c>
      <c r="C13" s="84"/>
      <c r="D13" s="84"/>
      <c r="E13" s="25"/>
    </row>
    <row r="14" spans="1:5" x14ac:dyDescent="0.35">
      <c r="A14" s="11" t="s">
        <v>2</v>
      </c>
      <c r="B14" s="11" t="s">
        <v>166</v>
      </c>
      <c r="C14" s="11"/>
      <c r="D14" s="11"/>
      <c r="E14" s="25"/>
    </row>
    <row r="15" spans="1:5" ht="69.75" customHeight="1" x14ac:dyDescent="0.35">
      <c r="A15" s="51" t="s">
        <v>3</v>
      </c>
      <c r="B15" s="51" t="s">
        <v>4</v>
      </c>
      <c r="C15" s="51"/>
      <c r="D15" s="51"/>
      <c r="E15" s="51" t="s">
        <v>134</v>
      </c>
    </row>
    <row r="16" spans="1:5" x14ac:dyDescent="0.35">
      <c r="A16" s="20">
        <v>1</v>
      </c>
      <c r="B16" s="21">
        <v>2</v>
      </c>
      <c r="C16" s="21"/>
      <c r="D16" s="21"/>
      <c r="E16" s="21">
        <v>3</v>
      </c>
    </row>
    <row r="17" spans="1:5" x14ac:dyDescent="0.35">
      <c r="A17" s="20"/>
      <c r="B17" s="22" t="s">
        <v>5</v>
      </c>
      <c r="C17" s="22"/>
      <c r="D17" s="22"/>
      <c r="E17" s="61"/>
    </row>
    <row r="18" spans="1:5" x14ac:dyDescent="0.35">
      <c r="A18" s="31">
        <v>1100</v>
      </c>
      <c r="B18" s="31" t="s">
        <v>132</v>
      </c>
      <c r="C18" s="31"/>
      <c r="D18" s="31">
        <f>7.12/1.2359</f>
        <v>5.760983898373655</v>
      </c>
      <c r="E18" s="33">
        <v>5472.93</v>
      </c>
    </row>
    <row r="19" spans="1:5" x14ac:dyDescent="0.35">
      <c r="A19" s="31">
        <v>1200</v>
      </c>
      <c r="B19" s="61" t="s">
        <v>133</v>
      </c>
      <c r="C19" s="61"/>
      <c r="D19" s="61">
        <f>D18*0.2359</f>
        <v>1.3590161016263451</v>
      </c>
      <c r="E19" s="33">
        <v>1291.06</v>
      </c>
    </row>
    <row r="20" spans="1:5" x14ac:dyDescent="0.35">
      <c r="A20" s="31">
        <v>2210</v>
      </c>
      <c r="B20" s="62" t="s">
        <v>120</v>
      </c>
      <c r="C20" s="61"/>
      <c r="D20" s="61">
        <v>0.08</v>
      </c>
      <c r="E20" s="33">
        <f t="shared" ref="E20:E32" si="0">D20*950</f>
        <v>76</v>
      </c>
    </row>
    <row r="21" spans="1:5" x14ac:dyDescent="0.35">
      <c r="A21" s="31">
        <v>2222</v>
      </c>
      <c r="B21" s="62" t="s">
        <v>135</v>
      </c>
      <c r="C21" s="61"/>
      <c r="D21" s="61">
        <v>1.9927999999999999</v>
      </c>
      <c r="E21" s="33">
        <v>1893.16</v>
      </c>
    </row>
    <row r="22" spans="1:5" x14ac:dyDescent="0.35">
      <c r="A22" s="31">
        <v>2223</v>
      </c>
      <c r="B22" s="62" t="s">
        <v>136</v>
      </c>
      <c r="C22" s="61"/>
      <c r="D22" s="61">
        <v>1.18953</v>
      </c>
      <c r="E22" s="33">
        <v>1130.05</v>
      </c>
    </row>
    <row r="23" spans="1:5" x14ac:dyDescent="0.35">
      <c r="A23" s="31">
        <v>2243</v>
      </c>
      <c r="B23" s="22" t="s">
        <v>137</v>
      </c>
      <c r="C23" s="61"/>
      <c r="D23" s="61">
        <v>0.06</v>
      </c>
      <c r="E23" s="33">
        <f t="shared" si="0"/>
        <v>57</v>
      </c>
    </row>
    <row r="24" spans="1:5" x14ac:dyDescent="0.35">
      <c r="A24" s="31">
        <v>2244</v>
      </c>
      <c r="B24" s="22" t="s">
        <v>138</v>
      </c>
      <c r="C24" s="61"/>
      <c r="D24" s="61">
        <v>1.8304</v>
      </c>
      <c r="E24" s="33">
        <v>1738.88</v>
      </c>
    </row>
    <row r="25" spans="1:5" x14ac:dyDescent="0.35">
      <c r="A25" s="31">
        <v>2250</v>
      </c>
      <c r="B25" s="22" t="s">
        <v>124</v>
      </c>
      <c r="C25" s="61"/>
      <c r="D25" s="61">
        <v>0.16</v>
      </c>
      <c r="E25" s="33">
        <f t="shared" si="0"/>
        <v>152</v>
      </c>
    </row>
    <row r="26" spans="1:5" x14ac:dyDescent="0.35">
      <c r="A26" s="31">
        <v>2311</v>
      </c>
      <c r="B26" s="62" t="s">
        <v>151</v>
      </c>
      <c r="C26" s="61"/>
      <c r="D26" s="61">
        <v>0.48</v>
      </c>
      <c r="E26" s="33">
        <f t="shared" si="0"/>
        <v>456</v>
      </c>
    </row>
    <row r="27" spans="1:5" x14ac:dyDescent="0.35">
      <c r="A27" s="31">
        <v>2312</v>
      </c>
      <c r="B27" s="22" t="s">
        <v>116</v>
      </c>
      <c r="C27" s="61"/>
      <c r="D27" s="61">
        <v>1.63</v>
      </c>
      <c r="E27" s="33">
        <f t="shared" si="0"/>
        <v>1548.5</v>
      </c>
    </row>
    <row r="28" spans="1:5" x14ac:dyDescent="0.35">
      <c r="A28" s="31">
        <v>2321</v>
      </c>
      <c r="B28" s="62" t="s">
        <v>139</v>
      </c>
      <c r="C28" s="61"/>
      <c r="D28" s="61">
        <v>1.5491587</v>
      </c>
      <c r="E28" s="33">
        <v>1471.7</v>
      </c>
    </row>
    <row r="29" spans="1:5" x14ac:dyDescent="0.35">
      <c r="A29" s="31">
        <v>2350</v>
      </c>
      <c r="B29" s="61" t="s">
        <v>125</v>
      </c>
      <c r="C29" s="61"/>
      <c r="D29" s="61">
        <v>0.33</v>
      </c>
      <c r="E29" s="33">
        <f t="shared" si="0"/>
        <v>313.5</v>
      </c>
    </row>
    <row r="30" spans="1:5" x14ac:dyDescent="0.35">
      <c r="A30" s="31">
        <v>2361</v>
      </c>
      <c r="B30" s="62" t="s">
        <v>141</v>
      </c>
      <c r="C30" s="61"/>
      <c r="D30" s="61">
        <v>0.28000000000000003</v>
      </c>
      <c r="E30" s="33">
        <f t="shared" si="0"/>
        <v>266</v>
      </c>
    </row>
    <row r="31" spans="1:5" x14ac:dyDescent="0.35">
      <c r="A31" s="31">
        <v>2362</v>
      </c>
      <c r="B31" s="83" t="s">
        <v>156</v>
      </c>
      <c r="C31" s="61"/>
      <c r="D31" s="61">
        <v>0.18</v>
      </c>
      <c r="E31" s="33">
        <f t="shared" si="0"/>
        <v>171</v>
      </c>
    </row>
    <row r="32" spans="1:5" x14ac:dyDescent="0.35">
      <c r="A32" s="31">
        <v>2363</v>
      </c>
      <c r="B32" s="62" t="s">
        <v>142</v>
      </c>
      <c r="C32" s="61"/>
      <c r="D32" s="61">
        <v>8.1199999999999992</v>
      </c>
      <c r="E32" s="33">
        <f t="shared" si="0"/>
        <v>7713.9999999999991</v>
      </c>
    </row>
    <row r="33" spans="1:6" x14ac:dyDescent="0.35">
      <c r="A33" s="31">
        <v>5239</v>
      </c>
      <c r="B33" s="61" t="s">
        <v>130</v>
      </c>
      <c r="C33" s="61"/>
      <c r="D33" s="61">
        <v>0.50716499999999998</v>
      </c>
      <c r="E33" s="33">
        <v>481.81</v>
      </c>
    </row>
    <row r="34" spans="1:6" x14ac:dyDescent="0.35">
      <c r="A34" s="31"/>
      <c r="B34" s="78" t="s">
        <v>6</v>
      </c>
      <c r="C34" s="78"/>
      <c r="D34" s="86">
        <f>SUM(D18:D33)</f>
        <v>25.509053699999996</v>
      </c>
      <c r="E34" s="37">
        <f>SUM(E18:E33)</f>
        <v>24233.59</v>
      </c>
      <c r="F34" s="58"/>
    </row>
    <row r="35" spans="1:6" x14ac:dyDescent="0.35">
      <c r="A35" s="38"/>
      <c r="B35" s="78" t="s">
        <v>7</v>
      </c>
      <c r="C35" s="78"/>
      <c r="D35" s="78"/>
      <c r="E35" s="33"/>
    </row>
    <row r="36" spans="1:6" x14ac:dyDescent="0.35">
      <c r="A36" s="31">
        <v>1100</v>
      </c>
      <c r="B36" s="22" t="s">
        <v>132</v>
      </c>
      <c r="C36" s="61">
        <f>0.388+0.024</f>
        <v>0.41200000000000003</v>
      </c>
      <c r="D36" s="61"/>
      <c r="E36" s="33">
        <v>5433</v>
      </c>
    </row>
    <row r="37" spans="1:6" ht="16.5" customHeight="1" x14ac:dyDescent="0.35">
      <c r="A37" s="31">
        <v>1200</v>
      </c>
      <c r="B37" s="22" t="s">
        <v>133</v>
      </c>
      <c r="C37" s="61">
        <f>C36*0.2359</f>
        <v>9.7190800000000008E-2</v>
      </c>
      <c r="D37" s="61"/>
      <c r="E37" s="33">
        <v>1281.6400000000001</v>
      </c>
    </row>
    <row r="38" spans="1:6" ht="16.5" customHeight="1" x14ac:dyDescent="0.35">
      <c r="A38" s="31">
        <v>2100</v>
      </c>
      <c r="B38" s="24" t="s">
        <v>45</v>
      </c>
      <c r="C38" s="61">
        <v>1.1659999999999999E-3</v>
      </c>
      <c r="D38" s="61"/>
      <c r="E38" s="33">
        <v>15.38</v>
      </c>
    </row>
    <row r="39" spans="1:6" x14ac:dyDescent="0.35">
      <c r="A39" s="34">
        <v>2210</v>
      </c>
      <c r="B39" s="62" t="s">
        <v>120</v>
      </c>
      <c r="C39" s="61">
        <v>7.6E-3</v>
      </c>
      <c r="D39" s="61"/>
      <c r="E39" s="33">
        <v>100.22</v>
      </c>
    </row>
    <row r="40" spans="1:6" x14ac:dyDescent="0.35">
      <c r="A40" s="31">
        <v>2222</v>
      </c>
      <c r="B40" s="62" t="s">
        <v>135</v>
      </c>
      <c r="C40" s="61">
        <v>9.4999999999999998E-3</v>
      </c>
      <c r="D40" s="61"/>
      <c r="E40" s="33">
        <v>125.28</v>
      </c>
    </row>
    <row r="41" spans="1:6" x14ac:dyDescent="0.35">
      <c r="A41" s="31">
        <v>2223</v>
      </c>
      <c r="B41" s="62" t="s">
        <v>136</v>
      </c>
      <c r="C41" s="61">
        <v>1.9019999999999999E-2</v>
      </c>
      <c r="D41" s="61"/>
      <c r="E41" s="33">
        <v>250.81</v>
      </c>
    </row>
    <row r="42" spans="1:6" ht="31" x14ac:dyDescent="0.35">
      <c r="A42" s="31">
        <v>2224</v>
      </c>
      <c r="B42" s="62" t="s">
        <v>143</v>
      </c>
      <c r="C42" s="61">
        <v>4.9500000000000004E-3</v>
      </c>
      <c r="D42" s="61"/>
      <c r="E42" s="33">
        <v>65.28</v>
      </c>
    </row>
    <row r="43" spans="1:6" ht="15.75" customHeight="1" x14ac:dyDescent="0.35">
      <c r="A43" s="31">
        <v>2231</v>
      </c>
      <c r="B43" s="22" t="s">
        <v>126</v>
      </c>
      <c r="C43" s="61">
        <v>1.5499999999999999E-3</v>
      </c>
      <c r="D43" s="61"/>
      <c r="E43" s="33">
        <v>20.440000000000001</v>
      </c>
    </row>
    <row r="44" spans="1:6" ht="15.75" customHeight="1" x14ac:dyDescent="0.35">
      <c r="A44" s="31">
        <v>2235</v>
      </c>
      <c r="B44" s="75" t="s">
        <v>127</v>
      </c>
      <c r="C44" s="61">
        <v>1.65E-3</v>
      </c>
      <c r="D44" s="61"/>
      <c r="E44" s="33">
        <v>21.76</v>
      </c>
    </row>
    <row r="45" spans="1:6" x14ac:dyDescent="0.35">
      <c r="A45" s="31">
        <v>2239</v>
      </c>
      <c r="B45" s="22" t="s">
        <v>144</v>
      </c>
      <c r="C45" s="61">
        <v>4.4099999999999999E-3</v>
      </c>
      <c r="D45" s="61"/>
      <c r="E45" s="33">
        <v>58.15</v>
      </c>
    </row>
    <row r="46" spans="1:6" x14ac:dyDescent="0.35">
      <c r="A46" s="31">
        <v>2241</v>
      </c>
      <c r="B46" s="22" t="s">
        <v>123</v>
      </c>
      <c r="C46" s="61">
        <v>1.6500000000000001E-2</v>
      </c>
      <c r="D46" s="61"/>
      <c r="E46" s="33">
        <v>217.58</v>
      </c>
    </row>
    <row r="47" spans="1:6" x14ac:dyDescent="0.35">
      <c r="A47" s="31">
        <v>2242</v>
      </c>
      <c r="B47" s="62" t="s">
        <v>145</v>
      </c>
      <c r="C47" s="61">
        <v>2.2599999999999999E-3</v>
      </c>
      <c r="D47" s="61"/>
      <c r="E47" s="33">
        <v>29.8</v>
      </c>
    </row>
    <row r="48" spans="1:6" ht="15.75" customHeight="1" x14ac:dyDescent="0.35">
      <c r="A48" s="31">
        <v>2243</v>
      </c>
      <c r="B48" s="22" t="s">
        <v>137</v>
      </c>
      <c r="C48" s="61">
        <v>3.2599999999999997E-2</v>
      </c>
      <c r="D48" s="61"/>
      <c r="E48" s="33">
        <v>429.89</v>
      </c>
    </row>
    <row r="49" spans="1:5" x14ac:dyDescent="0.35">
      <c r="A49" s="31">
        <v>2244</v>
      </c>
      <c r="B49" s="22" t="s">
        <v>138</v>
      </c>
      <c r="C49" s="61">
        <v>0.20397000000000001</v>
      </c>
      <c r="D49" s="61"/>
      <c r="E49" s="33">
        <v>2689.73</v>
      </c>
    </row>
    <row r="50" spans="1:5" x14ac:dyDescent="0.35">
      <c r="A50" s="31">
        <v>2247</v>
      </c>
      <c r="B50" s="22" t="s">
        <v>146</v>
      </c>
      <c r="C50" s="61">
        <v>7.1900000000000002E-4</v>
      </c>
      <c r="D50" s="61"/>
      <c r="E50" s="33">
        <v>9.48</v>
      </c>
    </row>
    <row r="51" spans="1:5" x14ac:dyDescent="0.35">
      <c r="A51" s="31">
        <v>2249</v>
      </c>
      <c r="B51" s="22" t="s">
        <v>147</v>
      </c>
      <c r="C51" s="61">
        <v>2.32E-4</v>
      </c>
      <c r="D51" s="61"/>
      <c r="E51" s="33">
        <v>3.06</v>
      </c>
    </row>
    <row r="52" spans="1:5" x14ac:dyDescent="0.35">
      <c r="A52" s="31">
        <v>2250</v>
      </c>
      <c r="B52" s="22" t="s">
        <v>124</v>
      </c>
      <c r="C52" s="61">
        <v>2.4025999999999999E-2</v>
      </c>
      <c r="D52" s="61"/>
      <c r="E52" s="33">
        <v>316.83</v>
      </c>
    </row>
    <row r="53" spans="1:5" hidden="1" x14ac:dyDescent="0.35">
      <c r="A53" s="31">
        <v>2261</v>
      </c>
      <c r="B53" s="62" t="s">
        <v>99</v>
      </c>
      <c r="C53" s="61">
        <v>0</v>
      </c>
      <c r="D53" s="61"/>
      <c r="E53" s="33">
        <f>C53*13186.9</f>
        <v>0</v>
      </c>
    </row>
    <row r="54" spans="1:5" x14ac:dyDescent="0.35">
      <c r="A54" s="31">
        <v>2262</v>
      </c>
      <c r="B54" s="62" t="s">
        <v>148</v>
      </c>
      <c r="C54" s="61">
        <v>6.2599999999999999E-3</v>
      </c>
      <c r="D54" s="61"/>
      <c r="E54" s="33">
        <v>82.55</v>
      </c>
    </row>
    <row r="55" spans="1:5" x14ac:dyDescent="0.35">
      <c r="A55" s="31">
        <v>2263</v>
      </c>
      <c r="B55" s="62" t="s">
        <v>149</v>
      </c>
      <c r="C55" s="61">
        <v>4.58E-2</v>
      </c>
      <c r="D55" s="61"/>
      <c r="E55" s="33">
        <v>604.53</v>
      </c>
    </row>
    <row r="56" spans="1:5" x14ac:dyDescent="0.35">
      <c r="A56" s="31">
        <v>2264</v>
      </c>
      <c r="B56" s="22" t="s">
        <v>150</v>
      </c>
      <c r="C56" s="61">
        <v>1.49E-3</v>
      </c>
      <c r="D56" s="61"/>
      <c r="E56" s="33">
        <v>19.649999999999999</v>
      </c>
    </row>
    <row r="57" spans="1:5" x14ac:dyDescent="0.35">
      <c r="A57" s="31">
        <v>2311</v>
      </c>
      <c r="B57" s="62" t="s">
        <v>151</v>
      </c>
      <c r="C57" s="61">
        <v>4.7699999999999999E-3</v>
      </c>
      <c r="D57" s="61"/>
      <c r="E57" s="33">
        <v>62.9</v>
      </c>
    </row>
    <row r="58" spans="1:5" x14ac:dyDescent="0.35">
      <c r="A58" s="31">
        <v>2312</v>
      </c>
      <c r="B58" s="62" t="s">
        <v>116</v>
      </c>
      <c r="C58" s="61">
        <v>5.79E-3</v>
      </c>
      <c r="D58" s="61"/>
      <c r="E58" s="33">
        <v>76.349999999999994</v>
      </c>
    </row>
    <row r="59" spans="1:5" x14ac:dyDescent="0.35">
      <c r="A59" s="31">
        <v>2314</v>
      </c>
      <c r="B59" s="75" t="s">
        <v>152</v>
      </c>
      <c r="C59" s="61">
        <v>2.2200000000000002E-3</v>
      </c>
      <c r="D59" s="61"/>
      <c r="E59" s="33">
        <v>29.27</v>
      </c>
    </row>
    <row r="60" spans="1:5" x14ac:dyDescent="0.35">
      <c r="A60" s="31">
        <v>2321</v>
      </c>
      <c r="B60" s="62" t="s">
        <v>139</v>
      </c>
      <c r="C60" s="61">
        <v>1.9800000000000002E-2</v>
      </c>
      <c r="D60" s="61"/>
      <c r="E60" s="33">
        <v>261.10000000000002</v>
      </c>
    </row>
    <row r="61" spans="1:5" x14ac:dyDescent="0.35">
      <c r="A61" s="31">
        <v>2322</v>
      </c>
      <c r="B61" s="62" t="s">
        <v>153</v>
      </c>
      <c r="C61" s="61">
        <v>3.5000000000000001E-3</v>
      </c>
      <c r="D61" s="61"/>
      <c r="E61" s="33">
        <v>46.15</v>
      </c>
    </row>
    <row r="62" spans="1:5" hidden="1" x14ac:dyDescent="0.35">
      <c r="A62" s="31">
        <v>2341</v>
      </c>
      <c r="B62" s="62" t="s">
        <v>140</v>
      </c>
      <c r="C62" s="61"/>
      <c r="D62" s="61"/>
      <c r="E62" s="33">
        <f>C62*13186.9</f>
        <v>0</v>
      </c>
    </row>
    <row r="63" spans="1:5" x14ac:dyDescent="0.35">
      <c r="A63" s="31">
        <v>2350</v>
      </c>
      <c r="B63" s="61" t="s">
        <v>125</v>
      </c>
      <c r="C63" s="61">
        <v>8.5000000000000006E-3</v>
      </c>
      <c r="D63" s="61"/>
      <c r="E63" s="33">
        <v>112.09</v>
      </c>
    </row>
    <row r="64" spans="1:5" x14ac:dyDescent="0.35">
      <c r="A64" s="31">
        <v>2512</v>
      </c>
      <c r="B64" s="62" t="s">
        <v>154</v>
      </c>
      <c r="C64" s="61">
        <v>0</v>
      </c>
      <c r="D64" s="61">
        <v>4.7300000000000004</v>
      </c>
      <c r="E64" s="33">
        <f>D64*950</f>
        <v>4493.5</v>
      </c>
    </row>
    <row r="65" spans="1:5" ht="15.75" customHeight="1" x14ac:dyDescent="0.35">
      <c r="A65" s="31">
        <v>2513</v>
      </c>
      <c r="B65" s="61" t="s">
        <v>121</v>
      </c>
      <c r="C65" s="61">
        <v>1.4599999999999999E-3</v>
      </c>
      <c r="D65" s="61"/>
      <c r="E65" s="33">
        <v>19.25</v>
      </c>
    </row>
    <row r="66" spans="1:5" x14ac:dyDescent="0.35">
      <c r="A66" s="31">
        <v>2515</v>
      </c>
      <c r="B66" s="62" t="s">
        <v>155</v>
      </c>
      <c r="C66" s="61">
        <v>1.9E-3</v>
      </c>
      <c r="D66" s="61"/>
      <c r="E66" s="33">
        <v>25.06</v>
      </c>
    </row>
    <row r="67" spans="1:5" x14ac:dyDescent="0.35">
      <c r="A67" s="31">
        <v>2519</v>
      </c>
      <c r="B67" s="62" t="s">
        <v>122</v>
      </c>
      <c r="C67" s="61">
        <v>2E-3</v>
      </c>
      <c r="D67" s="61"/>
      <c r="E67" s="33">
        <v>26.37</v>
      </c>
    </row>
    <row r="68" spans="1:5" x14ac:dyDescent="0.35">
      <c r="A68" s="31">
        <v>5220</v>
      </c>
      <c r="B68" s="62" t="s">
        <v>128</v>
      </c>
      <c r="C68" s="61">
        <v>1.06E-2</v>
      </c>
      <c r="D68" s="61"/>
      <c r="E68" s="33">
        <v>139.78</v>
      </c>
    </row>
    <row r="69" spans="1:5" x14ac:dyDescent="0.35">
      <c r="A69" s="31">
        <v>5238</v>
      </c>
      <c r="B69" s="61" t="s">
        <v>129</v>
      </c>
      <c r="C69" s="61">
        <v>1.65E-3</v>
      </c>
      <c r="D69" s="61"/>
      <c r="E69" s="33">
        <v>22.76</v>
      </c>
    </row>
    <row r="70" spans="1:5" x14ac:dyDescent="0.35">
      <c r="A70" s="31">
        <v>5239</v>
      </c>
      <c r="B70" s="61" t="s">
        <v>130</v>
      </c>
      <c r="C70" s="61">
        <v>1.9800000000000002E-2</v>
      </c>
      <c r="D70" s="61"/>
      <c r="E70" s="33">
        <v>261.10000000000002</v>
      </c>
    </row>
    <row r="71" spans="1:5" x14ac:dyDescent="0.35">
      <c r="A71" s="31">
        <v>5250</v>
      </c>
      <c r="B71" s="62" t="s">
        <v>131</v>
      </c>
      <c r="C71" s="61">
        <v>2.5000000000000001E-2</v>
      </c>
      <c r="D71" s="61"/>
      <c r="E71" s="33">
        <v>329.67</v>
      </c>
    </row>
    <row r="72" spans="1:5" x14ac:dyDescent="0.35">
      <c r="A72" s="38"/>
      <c r="B72" s="79" t="s">
        <v>97</v>
      </c>
      <c r="C72" s="61">
        <f>SUM(C36:C71)</f>
        <v>0.99988380000000032</v>
      </c>
      <c r="D72" s="61"/>
      <c r="E72" s="37">
        <f>SUM(E36:E71)</f>
        <v>17680.409999999993</v>
      </c>
    </row>
    <row r="73" spans="1:5" x14ac:dyDescent="0.35">
      <c r="A73" s="38"/>
      <c r="B73" s="79" t="s">
        <v>98</v>
      </c>
      <c r="C73" s="79"/>
      <c r="D73" s="79"/>
      <c r="E73" s="37">
        <f>E34+E72</f>
        <v>41913.999999999993</v>
      </c>
    </row>
    <row r="74" spans="1:5" ht="12.75" customHeight="1" x14ac:dyDescent="0.35">
      <c r="A74" s="15"/>
      <c r="B74" s="25"/>
      <c r="C74" s="25"/>
      <c r="D74" s="25"/>
      <c r="E74" s="59"/>
    </row>
    <row r="75" spans="1:5" ht="15.75" customHeight="1" x14ac:dyDescent="0.35">
      <c r="A75" s="417" t="s">
        <v>106</v>
      </c>
      <c r="B75" s="417"/>
      <c r="C75" s="80"/>
      <c r="D75" s="80"/>
      <c r="E75" s="67">
        <v>950</v>
      </c>
    </row>
    <row r="76" spans="1:5" ht="15.75" customHeight="1" x14ac:dyDescent="0.35">
      <c r="A76" s="417" t="s">
        <v>58</v>
      </c>
      <c r="B76" s="417"/>
      <c r="C76" s="80"/>
      <c r="D76" s="80"/>
      <c r="E76" s="68">
        <f>E73/E75</f>
        <v>44.11999999999999</v>
      </c>
    </row>
    <row r="77" spans="1:5" ht="9.75" customHeight="1" x14ac:dyDescent="0.35">
      <c r="A77" s="43"/>
      <c r="B77" s="49"/>
      <c r="C77" s="49"/>
      <c r="D77" s="49"/>
    </row>
    <row r="78" spans="1:5" ht="15.75" customHeight="1" x14ac:dyDescent="0.35">
      <c r="A78" s="418" t="s">
        <v>33</v>
      </c>
      <c r="B78" s="418"/>
      <c r="C78" s="74"/>
      <c r="D78" s="74"/>
      <c r="E78" s="27"/>
    </row>
    <row r="79" spans="1:5" ht="15.75" customHeight="1" x14ac:dyDescent="0.35">
      <c r="A79" s="418" t="s">
        <v>64</v>
      </c>
      <c r="B79" s="418"/>
      <c r="C79" s="74"/>
      <c r="D79" s="74"/>
      <c r="E79" s="85"/>
    </row>
    <row r="80" spans="1:5" ht="8.25" customHeight="1" x14ac:dyDescent="0.35">
      <c r="A80" s="28"/>
      <c r="B80" s="28"/>
      <c r="C80" s="28"/>
      <c r="D80" s="28"/>
      <c r="E80" s="28"/>
    </row>
    <row r="81" spans="1:5" x14ac:dyDescent="0.35">
      <c r="A81" s="28" t="s">
        <v>34</v>
      </c>
      <c r="B81" s="28"/>
      <c r="C81" s="28"/>
      <c r="D81" s="28"/>
      <c r="E81" s="81"/>
    </row>
    <row r="82" spans="1:5" x14ac:dyDescent="0.35">
      <c r="A82" s="28"/>
      <c r="B82" s="28"/>
      <c r="C82" s="28"/>
      <c r="D82" s="28"/>
      <c r="E82" s="81"/>
    </row>
    <row r="83" spans="1:5" x14ac:dyDescent="0.35">
      <c r="A83" s="28" t="s">
        <v>108</v>
      </c>
      <c r="B83" s="29"/>
      <c r="C83" s="29"/>
      <c r="D83" s="29"/>
      <c r="E83" s="28"/>
    </row>
    <row r="84" spans="1:5" x14ac:dyDescent="0.35">
      <c r="B84" s="73"/>
      <c r="C84" s="73"/>
      <c r="D84" s="73"/>
      <c r="E84" s="82"/>
    </row>
    <row r="86" spans="1:5" x14ac:dyDescent="0.35">
      <c r="E86" s="58"/>
    </row>
  </sheetData>
  <mergeCells count="7">
    <mergeCell ref="A7:C7"/>
    <mergeCell ref="A75:B75"/>
    <mergeCell ref="A76:B76"/>
    <mergeCell ref="A78:B78"/>
    <mergeCell ref="A79:B79"/>
    <mergeCell ref="A9:B9"/>
    <mergeCell ref="A10:B10"/>
  </mergeCells>
  <pageMargins left="0.94488188976377963" right="0.55118110236220474" top="0.33" bottom="0.59055118110236227" header="0.34" footer="0.23622047244094491"/>
  <pageSetup paperSize="9" scale="60" firstPageNumber="9" orientation="portrait" useFirstPageNumber="1" r:id="rId1"/>
  <headerFooter>
    <oddFooter>&amp;C&amp;"Times New Roman,Regular"&amp;F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D100"/>
  <sheetViews>
    <sheetView view="pageLayout" topLeftCell="A75" zoomScaleNormal="100" workbookViewId="0">
      <selection activeCell="A90" sqref="A90:B90"/>
    </sheetView>
  </sheetViews>
  <sheetFormatPr defaultRowHeight="14" x14ac:dyDescent="0.3"/>
  <cols>
    <col min="1" max="1" width="12.1796875" style="4" customWidth="1"/>
    <col min="2" max="2" width="93.81640625" style="4" customWidth="1"/>
    <col min="3" max="3" width="21.81640625" style="4" hidden="1" customWidth="1"/>
    <col min="4" max="4" width="26.1796875" style="4" customWidth="1"/>
  </cols>
  <sheetData>
    <row r="1" spans="1:4" ht="15.5" x14ac:dyDescent="0.35">
      <c r="B1" s="1"/>
      <c r="C1" s="1"/>
      <c r="D1" s="53" t="s">
        <v>10</v>
      </c>
    </row>
    <row r="2" spans="1:4" ht="15.5" x14ac:dyDescent="0.35">
      <c r="B2" s="1"/>
      <c r="C2" s="1"/>
      <c r="D2" s="54" t="s">
        <v>32</v>
      </c>
    </row>
    <row r="3" spans="1:4" x14ac:dyDescent="0.3">
      <c r="B3" s="1"/>
      <c r="C3" s="1"/>
      <c r="D3" s="64" t="s">
        <v>117</v>
      </c>
    </row>
    <row r="4" spans="1:4" x14ac:dyDescent="0.3">
      <c r="B4" s="1"/>
      <c r="C4" s="1"/>
      <c r="D4" s="63"/>
    </row>
    <row r="5" spans="1:4" x14ac:dyDescent="0.3">
      <c r="B5" s="5"/>
      <c r="C5" s="5"/>
      <c r="D5" s="63" t="s">
        <v>118</v>
      </c>
    </row>
    <row r="6" spans="1:4" x14ac:dyDescent="0.3">
      <c r="D6" s="6"/>
    </row>
    <row r="7" spans="1:4" ht="17.5" x14ac:dyDescent="0.35">
      <c r="A7" s="420" t="s">
        <v>9</v>
      </c>
      <c r="B7" s="420"/>
      <c r="C7" s="420"/>
      <c r="D7" s="420"/>
    </row>
    <row r="8" spans="1:4" x14ac:dyDescent="0.3">
      <c r="B8" s="3"/>
      <c r="C8" s="3"/>
      <c r="D8" s="6"/>
    </row>
    <row r="9" spans="1:4" ht="15.5" x14ac:dyDescent="0.35">
      <c r="A9" s="419" t="s">
        <v>1</v>
      </c>
      <c r="B9" s="419"/>
      <c r="C9" s="11"/>
      <c r="D9" s="25"/>
    </row>
    <row r="10" spans="1:4" ht="15.5" x14ac:dyDescent="0.35">
      <c r="A10" s="419" t="s">
        <v>0</v>
      </c>
      <c r="B10" s="419"/>
      <c r="C10" s="11"/>
      <c r="D10" s="25"/>
    </row>
    <row r="11" spans="1:4" ht="15.5" x14ac:dyDescent="0.35">
      <c r="A11" s="11"/>
      <c r="B11" s="11" t="s">
        <v>31</v>
      </c>
      <c r="C11" s="11"/>
      <c r="D11" s="25"/>
    </row>
    <row r="12" spans="1:4" ht="15.5" x14ac:dyDescent="0.35">
      <c r="A12" s="11"/>
      <c r="B12" s="419" t="s">
        <v>65</v>
      </c>
      <c r="C12" s="419"/>
      <c r="D12" s="421"/>
    </row>
    <row r="13" spans="1:4" ht="15.5" x14ac:dyDescent="0.35">
      <c r="A13" s="11"/>
      <c r="B13" s="419" t="s">
        <v>86</v>
      </c>
      <c r="C13" s="419"/>
      <c r="D13" s="421"/>
    </row>
    <row r="14" spans="1:4" ht="15.5" x14ac:dyDescent="0.35">
      <c r="A14" s="11" t="s">
        <v>2</v>
      </c>
      <c r="B14" s="11" t="str">
        <f>'7.4.2.vec'!B14</f>
        <v>2022.gadā un turpmāk</v>
      </c>
      <c r="C14" s="11"/>
      <c r="D14" s="16"/>
    </row>
    <row r="15" spans="1:4" ht="77.5" x14ac:dyDescent="0.25">
      <c r="A15" s="51" t="s">
        <v>3</v>
      </c>
      <c r="B15" s="51" t="s">
        <v>4</v>
      </c>
      <c r="C15" s="51" t="s">
        <v>63</v>
      </c>
      <c r="D15" s="51" t="s">
        <v>63</v>
      </c>
    </row>
    <row r="16" spans="1:4" x14ac:dyDescent="0.25">
      <c r="A16" s="9">
        <v>1</v>
      </c>
      <c r="B16" s="10">
        <v>2</v>
      </c>
      <c r="C16" s="10"/>
      <c r="D16" s="10">
        <v>3</v>
      </c>
    </row>
    <row r="17" spans="1:4" ht="15.5" x14ac:dyDescent="0.25">
      <c r="A17" s="41"/>
      <c r="B17" s="39" t="s">
        <v>5</v>
      </c>
      <c r="C17" s="39"/>
      <c r="D17" s="35"/>
    </row>
    <row r="18" spans="1:4" ht="15.5" x14ac:dyDescent="0.25">
      <c r="A18" s="31">
        <v>1100</v>
      </c>
      <c r="B18" s="31" t="s">
        <v>68</v>
      </c>
      <c r="C18" s="33">
        <v>31.18</v>
      </c>
      <c r="D18" s="33">
        <f>C18/30*340</f>
        <v>353.37333333333328</v>
      </c>
    </row>
    <row r="19" spans="1:4" ht="16.5" customHeight="1" x14ac:dyDescent="0.25">
      <c r="A19" s="31">
        <v>1200</v>
      </c>
      <c r="B19" s="32" t="s">
        <v>69</v>
      </c>
      <c r="C19" s="33">
        <v>7.51</v>
      </c>
      <c r="D19" s="33">
        <f t="shared" ref="D19:D37" si="0">C19/30*340</f>
        <v>85.113333333333344</v>
      </c>
    </row>
    <row r="20" spans="1:4" ht="15.5" hidden="1" x14ac:dyDescent="0.25">
      <c r="A20" s="34">
        <v>2210</v>
      </c>
      <c r="B20" s="32" t="s">
        <v>37</v>
      </c>
      <c r="C20" s="33">
        <v>0</v>
      </c>
      <c r="D20" s="33">
        <f t="shared" si="0"/>
        <v>0</v>
      </c>
    </row>
    <row r="21" spans="1:4" ht="15.5" x14ac:dyDescent="0.25">
      <c r="A21" s="31">
        <v>2222</v>
      </c>
      <c r="B21" s="32" t="s">
        <v>26</v>
      </c>
      <c r="C21" s="33">
        <v>22.55</v>
      </c>
      <c r="D21" s="33">
        <f t="shared" si="0"/>
        <v>255.56666666666669</v>
      </c>
    </row>
    <row r="22" spans="1:4" ht="15.5" x14ac:dyDescent="0.25">
      <c r="A22" s="31">
        <v>2223</v>
      </c>
      <c r="B22" s="32" t="s">
        <v>27</v>
      </c>
      <c r="C22" s="33">
        <v>28.66</v>
      </c>
      <c r="D22" s="33">
        <f t="shared" si="0"/>
        <v>324.81333333333333</v>
      </c>
    </row>
    <row r="23" spans="1:4" ht="15.5" hidden="1" x14ac:dyDescent="0.25">
      <c r="A23" s="31">
        <v>2230</v>
      </c>
      <c r="B23" s="32" t="s">
        <v>38</v>
      </c>
      <c r="C23" s="33">
        <v>0</v>
      </c>
      <c r="D23" s="33">
        <f t="shared" si="0"/>
        <v>0</v>
      </c>
    </row>
    <row r="24" spans="1:4" ht="15.5" x14ac:dyDescent="0.25">
      <c r="A24" s="31">
        <v>2243</v>
      </c>
      <c r="B24" s="32" t="s">
        <v>13</v>
      </c>
      <c r="C24" s="33">
        <v>0.44</v>
      </c>
      <c r="D24" s="33">
        <f t="shared" si="0"/>
        <v>4.9866666666666664</v>
      </c>
    </row>
    <row r="25" spans="1:4" ht="15.5" x14ac:dyDescent="0.25">
      <c r="A25" s="31">
        <v>2244</v>
      </c>
      <c r="B25" s="32" t="s">
        <v>14</v>
      </c>
      <c r="C25" s="33">
        <v>32.119999999999997</v>
      </c>
      <c r="D25" s="33">
        <v>934.21</v>
      </c>
    </row>
    <row r="26" spans="1:4" ht="15.5" hidden="1" x14ac:dyDescent="0.25">
      <c r="A26" s="31">
        <v>2249</v>
      </c>
      <c r="B26" s="32" t="s">
        <v>39</v>
      </c>
      <c r="C26" s="33">
        <v>0</v>
      </c>
      <c r="D26" s="33">
        <f t="shared" si="0"/>
        <v>0</v>
      </c>
    </row>
    <row r="27" spans="1:4" ht="15.5" hidden="1" x14ac:dyDescent="0.25">
      <c r="A27" s="31">
        <v>2251</v>
      </c>
      <c r="B27" s="32" t="s">
        <v>11</v>
      </c>
      <c r="C27" s="33">
        <v>0</v>
      </c>
      <c r="D27" s="33">
        <f t="shared" si="0"/>
        <v>0</v>
      </c>
    </row>
    <row r="28" spans="1:4" ht="15.5" x14ac:dyDescent="0.25">
      <c r="A28" s="31">
        <v>2263</v>
      </c>
      <c r="B28" s="32" t="s">
        <v>40</v>
      </c>
      <c r="C28" s="33">
        <v>8.57</v>
      </c>
      <c r="D28" s="33">
        <f t="shared" si="0"/>
        <v>97.126666666666665</v>
      </c>
    </row>
    <row r="29" spans="1:4" ht="15.5" hidden="1" x14ac:dyDescent="0.25">
      <c r="A29" s="31">
        <v>2264</v>
      </c>
      <c r="B29" s="32" t="s">
        <v>41</v>
      </c>
      <c r="C29" s="33">
        <v>0</v>
      </c>
      <c r="D29" s="33">
        <f t="shared" si="0"/>
        <v>0</v>
      </c>
    </row>
    <row r="30" spans="1:4" ht="15.5" x14ac:dyDescent="0.25">
      <c r="A30" s="31">
        <v>2279</v>
      </c>
      <c r="B30" s="32" t="s">
        <v>16</v>
      </c>
      <c r="C30" s="33">
        <v>5.21</v>
      </c>
      <c r="D30" s="33">
        <f t="shared" si="0"/>
        <v>59.046666666666667</v>
      </c>
    </row>
    <row r="31" spans="1:4" ht="15.5" x14ac:dyDescent="0.25">
      <c r="A31" s="31">
        <v>2321</v>
      </c>
      <c r="B31" s="32" t="s">
        <v>19</v>
      </c>
      <c r="C31" s="33">
        <v>34.65</v>
      </c>
      <c r="D31" s="33">
        <f t="shared" si="0"/>
        <v>392.7</v>
      </c>
    </row>
    <row r="32" spans="1:4" ht="15.5" hidden="1" x14ac:dyDescent="0.25">
      <c r="A32" s="31">
        <v>2341</v>
      </c>
      <c r="B32" s="32" t="s">
        <v>42</v>
      </c>
      <c r="C32" s="33">
        <v>0</v>
      </c>
      <c r="D32" s="33">
        <f t="shared" si="0"/>
        <v>0</v>
      </c>
    </row>
    <row r="33" spans="1:4" ht="15.5" hidden="1" x14ac:dyDescent="0.25">
      <c r="A33" s="31">
        <v>2350</v>
      </c>
      <c r="B33" s="32" t="s">
        <v>21</v>
      </c>
      <c r="C33" s="33">
        <v>0</v>
      </c>
      <c r="D33" s="33">
        <f t="shared" si="0"/>
        <v>0</v>
      </c>
    </row>
    <row r="34" spans="1:4" ht="15.5" hidden="1" x14ac:dyDescent="0.25">
      <c r="A34" s="31">
        <v>2362</v>
      </c>
      <c r="B34" s="32" t="s">
        <v>43</v>
      </c>
      <c r="C34" s="33">
        <v>0</v>
      </c>
      <c r="D34" s="33">
        <f t="shared" si="0"/>
        <v>0</v>
      </c>
    </row>
    <row r="35" spans="1:4" ht="15.5" hidden="1" x14ac:dyDescent="0.25">
      <c r="A35" s="31">
        <v>2363</v>
      </c>
      <c r="B35" s="32" t="s">
        <v>44</v>
      </c>
      <c r="C35" s="33">
        <v>0</v>
      </c>
      <c r="D35" s="33">
        <f t="shared" si="0"/>
        <v>0</v>
      </c>
    </row>
    <row r="36" spans="1:4" ht="15.5" x14ac:dyDescent="0.25">
      <c r="A36" s="31">
        <v>2513</v>
      </c>
      <c r="B36" s="32" t="s">
        <v>23</v>
      </c>
      <c r="C36" s="33">
        <v>1.21</v>
      </c>
      <c r="D36" s="33">
        <f t="shared" si="0"/>
        <v>13.713333333333333</v>
      </c>
    </row>
    <row r="37" spans="1:4" ht="15.5" x14ac:dyDescent="0.25">
      <c r="A37" s="31">
        <v>2519</v>
      </c>
      <c r="B37" s="32" t="s">
        <v>25</v>
      </c>
      <c r="C37" s="33">
        <v>0.63</v>
      </c>
      <c r="D37" s="33">
        <f t="shared" si="0"/>
        <v>7.1400000000000006</v>
      </c>
    </row>
    <row r="38" spans="1:4" ht="15.5" hidden="1" x14ac:dyDescent="0.25">
      <c r="A38" s="31">
        <v>5232</v>
      </c>
      <c r="B38" s="32" t="s">
        <v>24</v>
      </c>
      <c r="C38" s="33"/>
      <c r="D38" s="35"/>
    </row>
    <row r="39" spans="1:4" ht="15.5" x14ac:dyDescent="0.25">
      <c r="A39" s="31"/>
      <c r="B39" s="36" t="s">
        <v>6</v>
      </c>
      <c r="C39" s="37">
        <f>SUM(C18:C38)</f>
        <v>172.73</v>
      </c>
      <c r="D39" s="37">
        <f>SUM(D18:D38)</f>
        <v>2527.7899999999995</v>
      </c>
    </row>
    <row r="40" spans="1:4" ht="15.5" x14ac:dyDescent="0.25">
      <c r="A40" s="38"/>
      <c r="B40" s="31" t="s">
        <v>7</v>
      </c>
      <c r="C40" s="35"/>
      <c r="D40" s="35"/>
    </row>
    <row r="41" spans="1:4" ht="15.5" x14ac:dyDescent="0.25">
      <c r="A41" s="31">
        <v>1100</v>
      </c>
      <c r="B41" s="31" t="s">
        <v>68</v>
      </c>
      <c r="C41" s="33">
        <v>56.1</v>
      </c>
      <c r="D41" s="33">
        <f>C41/30*340</f>
        <v>635.80000000000007</v>
      </c>
    </row>
    <row r="42" spans="1:4" ht="16.5" customHeight="1" x14ac:dyDescent="0.25">
      <c r="A42" s="31">
        <v>1200</v>
      </c>
      <c r="B42" s="32" t="s">
        <v>69</v>
      </c>
      <c r="C42" s="33">
        <v>13.51</v>
      </c>
      <c r="D42" s="33">
        <f t="shared" ref="D42:D86" si="1">C42/30*340</f>
        <v>153.11333333333332</v>
      </c>
    </row>
    <row r="43" spans="1:4" ht="15.5" hidden="1" x14ac:dyDescent="0.25">
      <c r="A43" s="31">
        <v>2100</v>
      </c>
      <c r="B43" s="24" t="s">
        <v>45</v>
      </c>
      <c r="C43" s="33">
        <v>0</v>
      </c>
      <c r="D43" s="33">
        <f t="shared" si="1"/>
        <v>0</v>
      </c>
    </row>
    <row r="44" spans="1:4" ht="15.5" hidden="1" x14ac:dyDescent="0.25">
      <c r="A44" s="34">
        <v>2210</v>
      </c>
      <c r="B44" s="32" t="s">
        <v>37</v>
      </c>
      <c r="C44" s="33">
        <v>0</v>
      </c>
      <c r="D44" s="33">
        <f t="shared" si="1"/>
        <v>0</v>
      </c>
    </row>
    <row r="45" spans="1:4" ht="15.5" hidden="1" x14ac:dyDescent="0.25">
      <c r="A45" s="31">
        <v>2222</v>
      </c>
      <c r="B45" s="32" t="s">
        <v>26</v>
      </c>
      <c r="C45" s="33">
        <v>0</v>
      </c>
      <c r="D45" s="33">
        <f t="shared" si="1"/>
        <v>0</v>
      </c>
    </row>
    <row r="46" spans="1:4" ht="15.5" hidden="1" x14ac:dyDescent="0.25">
      <c r="A46" s="31">
        <v>2223</v>
      </c>
      <c r="B46" s="32" t="s">
        <v>27</v>
      </c>
      <c r="C46" s="33">
        <v>0</v>
      </c>
      <c r="D46" s="33">
        <f t="shared" si="1"/>
        <v>0</v>
      </c>
    </row>
    <row r="47" spans="1:4" ht="15.5" hidden="1" x14ac:dyDescent="0.25">
      <c r="A47" s="31">
        <v>2230</v>
      </c>
      <c r="B47" s="32" t="s">
        <v>38</v>
      </c>
      <c r="C47" s="33">
        <v>0</v>
      </c>
      <c r="D47" s="33">
        <f t="shared" si="1"/>
        <v>0</v>
      </c>
    </row>
    <row r="48" spans="1:4" ht="15.5" hidden="1" x14ac:dyDescent="0.25">
      <c r="A48" s="31">
        <v>2234</v>
      </c>
      <c r="B48" s="32" t="s">
        <v>74</v>
      </c>
      <c r="C48" s="33">
        <v>0</v>
      </c>
      <c r="D48" s="33">
        <f t="shared" si="1"/>
        <v>0</v>
      </c>
    </row>
    <row r="49" spans="1:4" ht="15.5" x14ac:dyDescent="0.25">
      <c r="A49" s="31">
        <v>2239</v>
      </c>
      <c r="B49" s="32" t="s">
        <v>75</v>
      </c>
      <c r="C49" s="33">
        <v>3.49</v>
      </c>
      <c r="D49" s="33">
        <f t="shared" si="1"/>
        <v>39.553333333333335</v>
      </c>
    </row>
    <row r="50" spans="1:4" ht="15.5" x14ac:dyDescent="0.25">
      <c r="A50" s="31">
        <v>2241</v>
      </c>
      <c r="B50" s="32" t="s">
        <v>46</v>
      </c>
      <c r="C50" s="33">
        <v>13.72</v>
      </c>
      <c r="D50" s="33">
        <f t="shared" si="1"/>
        <v>155.49333333333334</v>
      </c>
    </row>
    <row r="51" spans="1:4" ht="15.5" x14ac:dyDescent="0.25">
      <c r="A51" s="31">
        <v>2242</v>
      </c>
      <c r="B51" s="32" t="s">
        <v>12</v>
      </c>
      <c r="C51" s="33">
        <v>0.45</v>
      </c>
      <c r="D51" s="33">
        <f t="shared" si="1"/>
        <v>5.1000000000000005</v>
      </c>
    </row>
    <row r="52" spans="1:4" ht="15.5" x14ac:dyDescent="0.25">
      <c r="A52" s="31">
        <v>2243</v>
      </c>
      <c r="B52" s="32" t="s">
        <v>13</v>
      </c>
      <c r="C52" s="33">
        <v>2.39</v>
      </c>
      <c r="D52" s="33">
        <f t="shared" si="1"/>
        <v>27.08666666666667</v>
      </c>
    </row>
    <row r="53" spans="1:4" ht="15.5" x14ac:dyDescent="0.25">
      <c r="A53" s="31">
        <v>2244</v>
      </c>
      <c r="B53" s="32" t="s">
        <v>14</v>
      </c>
      <c r="C53" s="33">
        <v>0.08</v>
      </c>
      <c r="D53" s="33">
        <f t="shared" si="1"/>
        <v>0.90666666666666662</v>
      </c>
    </row>
    <row r="54" spans="1:4" ht="15.5" x14ac:dyDescent="0.25">
      <c r="A54" s="31">
        <v>2247</v>
      </c>
      <c r="B54" s="39" t="s">
        <v>71</v>
      </c>
      <c r="C54" s="33">
        <v>0.13</v>
      </c>
      <c r="D54" s="33">
        <f t="shared" si="1"/>
        <v>1.4733333333333332</v>
      </c>
    </row>
    <row r="55" spans="1:4" ht="15.5" hidden="1" x14ac:dyDescent="0.25">
      <c r="A55" s="31">
        <v>2249</v>
      </c>
      <c r="B55" s="32" t="s">
        <v>39</v>
      </c>
      <c r="C55" s="33">
        <v>0</v>
      </c>
      <c r="D55" s="33">
        <f t="shared" si="1"/>
        <v>0</v>
      </c>
    </row>
    <row r="56" spans="1:4" ht="15.5" x14ac:dyDescent="0.25">
      <c r="A56" s="31">
        <v>2251</v>
      </c>
      <c r="B56" s="32" t="s">
        <v>70</v>
      </c>
      <c r="C56" s="33">
        <v>1</v>
      </c>
      <c r="D56" s="33">
        <f t="shared" si="1"/>
        <v>11.333333333333334</v>
      </c>
    </row>
    <row r="57" spans="1:4" ht="15.5" hidden="1" x14ac:dyDescent="0.25">
      <c r="A57" s="31">
        <v>2252</v>
      </c>
      <c r="B57" s="32" t="s">
        <v>47</v>
      </c>
      <c r="C57" s="33">
        <v>0</v>
      </c>
      <c r="D57" s="33">
        <f t="shared" si="1"/>
        <v>0</v>
      </c>
    </row>
    <row r="58" spans="1:4" ht="15.5" x14ac:dyDescent="0.25">
      <c r="A58" s="31">
        <v>2259</v>
      </c>
      <c r="B58" s="32" t="s">
        <v>72</v>
      </c>
      <c r="C58" s="33">
        <v>0.01</v>
      </c>
      <c r="D58" s="33">
        <f t="shared" si="1"/>
        <v>0.11333333333333333</v>
      </c>
    </row>
    <row r="59" spans="1:4" ht="15.5" hidden="1" x14ac:dyDescent="0.25">
      <c r="A59" s="31">
        <v>2261</v>
      </c>
      <c r="B59" s="32" t="s">
        <v>48</v>
      </c>
      <c r="C59" s="33">
        <v>0</v>
      </c>
      <c r="D59" s="33">
        <f t="shared" si="1"/>
        <v>0</v>
      </c>
    </row>
    <row r="60" spans="1:4" ht="15.5" hidden="1" x14ac:dyDescent="0.25">
      <c r="A60" s="31">
        <v>2262</v>
      </c>
      <c r="B60" s="32" t="s">
        <v>15</v>
      </c>
      <c r="C60" s="33">
        <v>0</v>
      </c>
      <c r="D60" s="33">
        <f t="shared" si="1"/>
        <v>0</v>
      </c>
    </row>
    <row r="61" spans="1:4" ht="15.5" hidden="1" x14ac:dyDescent="0.25">
      <c r="A61" s="31">
        <v>2263</v>
      </c>
      <c r="B61" s="32" t="s">
        <v>40</v>
      </c>
      <c r="C61" s="33">
        <v>0</v>
      </c>
      <c r="D61" s="33">
        <f t="shared" si="1"/>
        <v>0</v>
      </c>
    </row>
    <row r="62" spans="1:4" ht="15.5" hidden="1" x14ac:dyDescent="0.25">
      <c r="A62" s="31">
        <v>2264</v>
      </c>
      <c r="B62" s="32" t="s">
        <v>41</v>
      </c>
      <c r="C62" s="33">
        <v>0</v>
      </c>
      <c r="D62" s="33">
        <f t="shared" si="1"/>
        <v>0</v>
      </c>
    </row>
    <row r="63" spans="1:4" ht="15.5" hidden="1" x14ac:dyDescent="0.25">
      <c r="A63" s="31">
        <v>2279</v>
      </c>
      <c r="B63" s="32" t="s">
        <v>16</v>
      </c>
      <c r="C63" s="33">
        <v>0</v>
      </c>
      <c r="D63" s="33">
        <f t="shared" si="1"/>
        <v>0</v>
      </c>
    </row>
    <row r="64" spans="1:4" ht="15.5" x14ac:dyDescent="0.25">
      <c r="A64" s="31">
        <v>2311</v>
      </c>
      <c r="B64" s="32" t="s">
        <v>17</v>
      </c>
      <c r="C64" s="33">
        <v>0.56999999999999995</v>
      </c>
      <c r="D64" s="33">
        <f t="shared" si="1"/>
        <v>6.46</v>
      </c>
    </row>
    <row r="65" spans="1:4" ht="15.5" x14ac:dyDescent="0.25">
      <c r="A65" s="31">
        <v>2312</v>
      </c>
      <c r="B65" s="32" t="s">
        <v>18</v>
      </c>
      <c r="C65" s="33">
        <v>1.23</v>
      </c>
      <c r="D65" s="33">
        <f t="shared" si="1"/>
        <v>13.940000000000001</v>
      </c>
    </row>
    <row r="66" spans="1:4" ht="15.5" hidden="1" x14ac:dyDescent="0.25">
      <c r="A66" s="31">
        <v>2321</v>
      </c>
      <c r="B66" s="32" t="s">
        <v>19</v>
      </c>
      <c r="C66" s="33">
        <v>0</v>
      </c>
      <c r="D66" s="33">
        <f t="shared" si="1"/>
        <v>0</v>
      </c>
    </row>
    <row r="67" spans="1:4" ht="15.5" x14ac:dyDescent="0.25">
      <c r="A67" s="31">
        <v>2322</v>
      </c>
      <c r="B67" s="32" t="s">
        <v>20</v>
      </c>
      <c r="C67" s="33">
        <v>2.44</v>
      </c>
      <c r="D67" s="33">
        <f t="shared" si="1"/>
        <v>27.653333333333332</v>
      </c>
    </row>
    <row r="68" spans="1:4" ht="15.5" hidden="1" x14ac:dyDescent="0.25">
      <c r="A68" s="31">
        <v>2341</v>
      </c>
      <c r="B68" s="32" t="s">
        <v>42</v>
      </c>
      <c r="C68" s="33">
        <v>0</v>
      </c>
      <c r="D68" s="33">
        <f t="shared" si="1"/>
        <v>0</v>
      </c>
    </row>
    <row r="69" spans="1:4" ht="15.5" hidden="1" x14ac:dyDescent="0.25">
      <c r="A69" s="31">
        <v>2344</v>
      </c>
      <c r="B69" s="32" t="s">
        <v>49</v>
      </c>
      <c r="C69" s="33">
        <v>0</v>
      </c>
      <c r="D69" s="33">
        <f t="shared" si="1"/>
        <v>0</v>
      </c>
    </row>
    <row r="70" spans="1:4" ht="15.5" x14ac:dyDescent="0.25">
      <c r="A70" s="31">
        <v>2350</v>
      </c>
      <c r="B70" s="32" t="s">
        <v>21</v>
      </c>
      <c r="C70" s="33">
        <v>3.64</v>
      </c>
      <c r="D70" s="33">
        <f t="shared" si="1"/>
        <v>41.25333333333333</v>
      </c>
    </row>
    <row r="71" spans="1:4" ht="15.5" x14ac:dyDescent="0.25">
      <c r="A71" s="31">
        <v>2361</v>
      </c>
      <c r="B71" s="32" t="s">
        <v>22</v>
      </c>
      <c r="C71" s="33">
        <v>1.2</v>
      </c>
      <c r="D71" s="33">
        <f t="shared" si="1"/>
        <v>13.6</v>
      </c>
    </row>
    <row r="72" spans="1:4" ht="15.5" x14ac:dyDescent="0.25">
      <c r="A72" s="31">
        <v>2362</v>
      </c>
      <c r="B72" s="32" t="s">
        <v>43</v>
      </c>
      <c r="C72" s="33">
        <v>2.4</v>
      </c>
      <c r="D72" s="33">
        <f t="shared" si="1"/>
        <v>27.2</v>
      </c>
    </row>
    <row r="73" spans="1:4" ht="15.5" hidden="1" x14ac:dyDescent="0.25">
      <c r="A73" s="31">
        <v>2363</v>
      </c>
      <c r="B73" s="32" t="s">
        <v>44</v>
      </c>
      <c r="C73" s="33">
        <v>0</v>
      </c>
      <c r="D73" s="33">
        <f t="shared" si="1"/>
        <v>0</v>
      </c>
    </row>
    <row r="74" spans="1:4" ht="15.5" hidden="1" x14ac:dyDescent="0.25">
      <c r="A74" s="31">
        <v>2370</v>
      </c>
      <c r="B74" s="32" t="s">
        <v>50</v>
      </c>
      <c r="C74" s="33">
        <v>0</v>
      </c>
      <c r="D74" s="33">
        <f t="shared" si="1"/>
        <v>0</v>
      </c>
    </row>
    <row r="75" spans="1:4" ht="15.5" x14ac:dyDescent="0.25">
      <c r="A75" s="31">
        <v>2400</v>
      </c>
      <c r="B75" s="32" t="s">
        <v>28</v>
      </c>
      <c r="C75" s="33">
        <v>0.15</v>
      </c>
      <c r="D75" s="33">
        <f t="shared" si="1"/>
        <v>1.7</v>
      </c>
    </row>
    <row r="76" spans="1:4" ht="15.5" x14ac:dyDescent="0.25">
      <c r="A76" s="31">
        <v>2512</v>
      </c>
      <c r="B76" s="32" t="s">
        <v>30</v>
      </c>
      <c r="C76" s="33">
        <v>46.41</v>
      </c>
      <c r="D76" s="33">
        <v>595</v>
      </c>
    </row>
    <row r="77" spans="1:4" ht="15.5" hidden="1" x14ac:dyDescent="0.25">
      <c r="A77" s="31">
        <v>2513</v>
      </c>
      <c r="B77" s="32" t="s">
        <v>23</v>
      </c>
      <c r="C77" s="33">
        <v>0</v>
      </c>
      <c r="D77" s="33">
        <f t="shared" si="1"/>
        <v>0</v>
      </c>
    </row>
    <row r="78" spans="1:4" ht="15.5" x14ac:dyDescent="0.25">
      <c r="A78" s="31">
        <v>2515</v>
      </c>
      <c r="B78" s="32" t="s">
        <v>73</v>
      </c>
      <c r="C78" s="33">
        <v>0.19</v>
      </c>
      <c r="D78" s="33">
        <f t="shared" si="1"/>
        <v>2.1533333333333333</v>
      </c>
    </row>
    <row r="79" spans="1:4" ht="15.5" x14ac:dyDescent="0.25">
      <c r="A79" s="31">
        <v>2519</v>
      </c>
      <c r="B79" s="32" t="s">
        <v>25</v>
      </c>
      <c r="C79" s="33">
        <v>0.01</v>
      </c>
      <c r="D79" s="33">
        <f t="shared" si="1"/>
        <v>0.11333333333333333</v>
      </c>
    </row>
    <row r="80" spans="1:4" ht="15.5" hidden="1" x14ac:dyDescent="0.25">
      <c r="A80" s="31">
        <v>6240</v>
      </c>
      <c r="B80" s="32" t="s">
        <v>51</v>
      </c>
      <c r="C80" s="33">
        <v>0</v>
      </c>
      <c r="D80" s="33">
        <f t="shared" si="1"/>
        <v>0</v>
      </c>
    </row>
    <row r="81" spans="1:4" ht="15.5" hidden="1" x14ac:dyDescent="0.25">
      <c r="A81" s="31">
        <v>6290</v>
      </c>
      <c r="B81" s="32" t="s">
        <v>52</v>
      </c>
      <c r="C81" s="33">
        <v>0</v>
      </c>
      <c r="D81" s="33">
        <f t="shared" si="1"/>
        <v>0</v>
      </c>
    </row>
    <row r="82" spans="1:4" ht="15.5" hidden="1" x14ac:dyDescent="0.25">
      <c r="A82" s="31">
        <v>5121</v>
      </c>
      <c r="B82" s="32" t="s">
        <v>53</v>
      </c>
      <c r="C82" s="33">
        <v>0</v>
      </c>
      <c r="D82" s="33">
        <f t="shared" si="1"/>
        <v>0</v>
      </c>
    </row>
    <row r="83" spans="1:4" ht="15.5" x14ac:dyDescent="0.25">
      <c r="A83" s="31">
        <v>5232</v>
      </c>
      <c r="B83" s="32" t="s">
        <v>24</v>
      </c>
      <c r="C83" s="33">
        <v>57.2</v>
      </c>
      <c r="D83" s="33">
        <f t="shared" si="1"/>
        <v>648.26666666666665</v>
      </c>
    </row>
    <row r="84" spans="1:4" ht="15.5" hidden="1" x14ac:dyDescent="0.25">
      <c r="A84" s="31">
        <v>5238</v>
      </c>
      <c r="B84" s="32" t="s">
        <v>54</v>
      </c>
      <c r="C84" s="33">
        <v>0</v>
      </c>
      <c r="D84" s="33">
        <f t="shared" si="1"/>
        <v>0</v>
      </c>
    </row>
    <row r="85" spans="1:4" ht="15.5" x14ac:dyDescent="0.25">
      <c r="A85" s="31">
        <v>5240</v>
      </c>
      <c r="B85" s="32" t="s">
        <v>55</v>
      </c>
      <c r="C85" s="33">
        <v>1.23</v>
      </c>
      <c r="D85" s="33">
        <f t="shared" si="1"/>
        <v>13.940000000000001</v>
      </c>
    </row>
    <row r="86" spans="1:4" ht="15.5" x14ac:dyDescent="0.25">
      <c r="A86" s="31">
        <v>5250</v>
      </c>
      <c r="B86" s="32" t="s">
        <v>56</v>
      </c>
      <c r="C86" s="33">
        <v>52.92</v>
      </c>
      <c r="D86" s="33">
        <f t="shared" si="1"/>
        <v>599.76</v>
      </c>
    </row>
    <row r="87" spans="1:4" ht="15.5" x14ac:dyDescent="0.25">
      <c r="A87" s="38"/>
      <c r="B87" s="40" t="s">
        <v>8</v>
      </c>
      <c r="C87" s="37">
        <f>SUM(C41:C86)</f>
        <v>260.46999999999997</v>
      </c>
      <c r="D87" s="37">
        <f>SUM(D41:D86)</f>
        <v>3021.0133333333333</v>
      </c>
    </row>
    <row r="88" spans="1:4" ht="15.5" x14ac:dyDescent="0.25">
      <c r="A88" s="38"/>
      <c r="B88" s="40" t="s">
        <v>29</v>
      </c>
      <c r="C88" s="37">
        <f>C87+C39</f>
        <v>433.19999999999993</v>
      </c>
      <c r="D88" s="37">
        <f>D87+D39</f>
        <v>5548.8033333333333</v>
      </c>
    </row>
    <row r="89" spans="1:4" ht="15.5" x14ac:dyDescent="0.25">
      <c r="A89" s="42"/>
      <c r="B89" s="43"/>
      <c r="C89" s="43"/>
      <c r="D89" s="49"/>
    </row>
    <row r="90" spans="1:4" ht="15.5" x14ac:dyDescent="0.25">
      <c r="A90" s="422" t="s">
        <v>57</v>
      </c>
      <c r="B90" s="422"/>
      <c r="C90" s="65">
        <v>30</v>
      </c>
      <c r="D90" s="65">
        <v>340</v>
      </c>
    </row>
    <row r="91" spans="1:4" ht="15.5" x14ac:dyDescent="0.25">
      <c r="A91" s="422" t="s">
        <v>58</v>
      </c>
      <c r="B91" s="422"/>
      <c r="C91" s="66">
        <f>C88/C90</f>
        <v>14.439999999999998</v>
      </c>
      <c r="D91" s="66">
        <f>D88/D90</f>
        <v>16.320009803921568</v>
      </c>
    </row>
    <row r="92" spans="1:4" ht="15.5" x14ac:dyDescent="0.25">
      <c r="A92" s="47"/>
      <c r="B92" s="47"/>
      <c r="C92" s="57"/>
      <c r="D92" s="57"/>
    </row>
    <row r="93" spans="1:4" ht="15.5" x14ac:dyDescent="0.25">
      <c r="A93" s="428" t="s">
        <v>33</v>
      </c>
      <c r="B93" s="429"/>
      <c r="C93" s="50"/>
      <c r="D93" s="50"/>
    </row>
    <row r="94" spans="1:4" ht="15.5" x14ac:dyDescent="0.25">
      <c r="A94" s="428" t="s">
        <v>64</v>
      </c>
      <c r="B94" s="429"/>
      <c r="C94" s="50"/>
      <c r="D94" s="50"/>
    </row>
    <row r="95" spans="1:4" ht="15.5" x14ac:dyDescent="0.25">
      <c r="A95" s="45"/>
      <c r="B95" s="45"/>
      <c r="C95" s="45"/>
      <c r="D95" s="45"/>
    </row>
    <row r="96" spans="1:4" ht="15.5" x14ac:dyDescent="0.25">
      <c r="A96" s="45" t="s">
        <v>34</v>
      </c>
      <c r="B96" s="45"/>
      <c r="C96" s="45"/>
      <c r="D96" s="45"/>
    </row>
    <row r="97" spans="1:4" ht="15.5" x14ac:dyDescent="0.25">
      <c r="A97" s="45"/>
      <c r="B97" s="45"/>
      <c r="C97" s="45"/>
      <c r="D97" s="45"/>
    </row>
    <row r="98" spans="1:4" ht="15.5" x14ac:dyDescent="0.25">
      <c r="A98" s="45" t="s">
        <v>59</v>
      </c>
      <c r="B98" s="46"/>
      <c r="C98" s="46"/>
      <c r="D98" s="45"/>
    </row>
    <row r="99" spans="1:4" ht="15.5" x14ac:dyDescent="0.35">
      <c r="A99" s="45"/>
      <c r="B99" s="30"/>
      <c r="C99" s="30"/>
      <c r="D99" s="45"/>
    </row>
    <row r="100" spans="1:4" ht="15.5" x14ac:dyDescent="0.25">
      <c r="A100" s="47"/>
      <c r="B100" s="47"/>
      <c r="C100" s="47"/>
      <c r="D100" s="47"/>
    </row>
  </sheetData>
  <mergeCells count="9">
    <mergeCell ref="A93:B93"/>
    <mergeCell ref="A94:B94"/>
    <mergeCell ref="B12:D12"/>
    <mergeCell ref="A7:D7"/>
    <mergeCell ref="A9:B9"/>
    <mergeCell ref="A10:B10"/>
    <mergeCell ref="B13:D13"/>
    <mergeCell ref="A90:B90"/>
    <mergeCell ref="A91:B91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86"/>
  <sheetViews>
    <sheetView view="pageLayout" topLeftCell="A14" zoomScale="80" zoomScaleNormal="100" zoomScalePageLayoutView="80" workbookViewId="0">
      <selection activeCell="E18" sqref="E18:E36"/>
    </sheetView>
  </sheetViews>
  <sheetFormatPr defaultColWidth="9.1796875" defaultRowHeight="14" x14ac:dyDescent="0.3"/>
  <cols>
    <col min="1" max="1" width="13.453125" style="4" customWidth="1"/>
    <col min="2" max="2" width="94.453125" style="4" customWidth="1"/>
    <col min="3" max="4" width="7.81640625" style="217" hidden="1" customWidth="1"/>
    <col min="5" max="5" width="30" style="4" customWidth="1"/>
    <col min="6" max="6" width="9.1796875" style="7" customWidth="1"/>
    <col min="7" max="16384" width="9.1796875" style="7"/>
  </cols>
  <sheetData>
    <row r="1" spans="1:9" ht="15.5" x14ac:dyDescent="0.35">
      <c r="A1" s="13"/>
      <c r="B1" s="14"/>
      <c r="C1" s="214"/>
      <c r="D1" s="214"/>
      <c r="E1" s="17" t="s">
        <v>10</v>
      </c>
    </row>
    <row r="2" spans="1:9" ht="15.5" x14ac:dyDescent="0.35">
      <c r="A2" s="13"/>
      <c r="B2" s="14"/>
      <c r="C2" s="214"/>
      <c r="D2" s="214"/>
      <c r="E2" s="14" t="s">
        <v>32</v>
      </c>
    </row>
    <row r="3" spans="1:9" ht="15.5" x14ac:dyDescent="0.35">
      <c r="A3" s="13"/>
      <c r="B3" s="14"/>
      <c r="C3" s="214"/>
      <c r="D3" s="214"/>
      <c r="E3" s="77" t="s">
        <v>66</v>
      </c>
    </row>
    <row r="4" spans="1:9" ht="15.5" x14ac:dyDescent="0.35">
      <c r="A4" s="13"/>
      <c r="B4" s="14"/>
      <c r="C4" s="214"/>
      <c r="D4" s="214"/>
      <c r="E4" s="63"/>
    </row>
    <row r="5" spans="1:9" ht="15.5" x14ac:dyDescent="0.35">
      <c r="A5" s="13"/>
      <c r="B5" s="17"/>
      <c r="C5" s="241"/>
      <c r="D5" s="241"/>
      <c r="E5" s="15" t="s">
        <v>226</v>
      </c>
    </row>
    <row r="6" spans="1:9" ht="15.5" x14ac:dyDescent="0.35">
      <c r="A6" s="13"/>
      <c r="B6" s="13"/>
      <c r="E6" s="25"/>
    </row>
    <row r="7" spans="1:9" ht="17.5" x14ac:dyDescent="0.35">
      <c r="A7" s="420" t="s">
        <v>9</v>
      </c>
      <c r="B7" s="420"/>
      <c r="C7" s="420"/>
      <c r="D7" s="420"/>
      <c r="E7" s="420"/>
    </row>
    <row r="8" spans="1:9" ht="15.5" x14ac:dyDescent="0.35">
      <c r="A8" s="13"/>
      <c r="B8" s="18"/>
      <c r="C8" s="219"/>
      <c r="D8" s="219"/>
      <c r="E8" s="25"/>
    </row>
    <row r="9" spans="1:9" ht="15.5" x14ac:dyDescent="0.35">
      <c r="A9" s="419" t="s">
        <v>1</v>
      </c>
      <c r="B9" s="419"/>
      <c r="C9" s="220"/>
      <c r="D9" s="220"/>
      <c r="E9" s="25"/>
    </row>
    <row r="10" spans="1:9" ht="15.5" x14ac:dyDescent="0.35">
      <c r="A10" s="419" t="s">
        <v>0</v>
      </c>
      <c r="B10" s="419"/>
      <c r="C10" s="220"/>
      <c r="D10" s="220"/>
      <c r="E10" s="25"/>
    </row>
    <row r="11" spans="1:9" ht="15.5" x14ac:dyDescent="0.35">
      <c r="A11" s="11"/>
      <c r="B11" s="11" t="s">
        <v>179</v>
      </c>
      <c r="C11" s="220"/>
      <c r="D11" s="220"/>
      <c r="E11" s="25"/>
    </row>
    <row r="12" spans="1:9" ht="15.5" x14ac:dyDescent="0.35">
      <c r="A12" s="11"/>
      <c r="B12" s="419" t="s">
        <v>205</v>
      </c>
      <c r="C12" s="419"/>
      <c r="D12" s="419"/>
      <c r="E12" s="432"/>
    </row>
    <row r="13" spans="1:9" ht="15.75" customHeight="1" x14ac:dyDescent="0.35">
      <c r="A13" s="11"/>
      <c r="B13" s="419" t="s">
        <v>206</v>
      </c>
      <c r="C13" s="419"/>
      <c r="D13" s="419"/>
      <c r="E13" s="432"/>
    </row>
    <row r="14" spans="1:9" ht="15.5" x14ac:dyDescent="0.25">
      <c r="A14" s="12" t="s">
        <v>2</v>
      </c>
      <c r="B14" s="11" t="s">
        <v>169</v>
      </c>
      <c r="C14" s="220"/>
      <c r="D14" s="220"/>
      <c r="E14" s="47"/>
    </row>
    <row r="15" spans="1:9" s="141" customFormat="1" ht="67.5" customHeight="1" x14ac:dyDescent="0.25">
      <c r="A15" s="51" t="s">
        <v>3</v>
      </c>
      <c r="B15" s="51" t="s">
        <v>4</v>
      </c>
      <c r="C15" s="223"/>
      <c r="D15" s="223"/>
      <c r="E15" s="51" t="s">
        <v>63</v>
      </c>
      <c r="G15" s="7"/>
      <c r="H15" s="7"/>
      <c r="I15" s="7"/>
    </row>
    <row r="16" spans="1:9" ht="15" x14ac:dyDescent="0.25">
      <c r="A16" s="41">
        <v>1</v>
      </c>
      <c r="B16" s="48">
        <v>2</v>
      </c>
      <c r="C16" s="251"/>
      <c r="D16" s="251"/>
      <c r="E16" s="48">
        <v>3</v>
      </c>
    </row>
    <row r="17" spans="1:9" s="147" customFormat="1" ht="15.5" x14ac:dyDescent="0.25">
      <c r="A17" s="41"/>
      <c r="B17" s="39" t="s">
        <v>5</v>
      </c>
      <c r="C17" s="242"/>
      <c r="D17" s="242"/>
      <c r="E17" s="31"/>
      <c r="G17" s="7"/>
      <c r="H17" s="7"/>
      <c r="I17" s="7"/>
    </row>
    <row r="18" spans="1:9" s="147" customFormat="1" ht="15.5" x14ac:dyDescent="0.25">
      <c r="A18" s="31">
        <v>1100</v>
      </c>
      <c r="B18" s="31" t="s">
        <v>132</v>
      </c>
      <c r="C18" s="227">
        <v>5.3220006906220405</v>
      </c>
      <c r="D18" s="226"/>
      <c r="E18" s="33">
        <v>180.07</v>
      </c>
      <c r="G18" s="7"/>
      <c r="H18" s="7"/>
      <c r="I18" s="7"/>
    </row>
    <row r="19" spans="1:9" s="147" customFormat="1" ht="15.5" x14ac:dyDescent="0.35">
      <c r="A19" s="31">
        <v>1200</v>
      </c>
      <c r="B19" s="61" t="s">
        <v>133</v>
      </c>
      <c r="C19" s="226">
        <f>C18*0.2359</f>
        <v>1.2554599629177394</v>
      </c>
      <c r="D19" s="228"/>
      <c r="E19" s="33">
        <v>42.48</v>
      </c>
      <c r="H19" s="7"/>
      <c r="I19" s="7"/>
    </row>
    <row r="20" spans="1:9" s="147" customFormat="1" ht="15.5" x14ac:dyDescent="0.35">
      <c r="A20" s="31">
        <v>2210</v>
      </c>
      <c r="B20" s="62" t="s">
        <v>120</v>
      </c>
      <c r="C20" s="226"/>
      <c r="D20" s="228"/>
      <c r="E20" s="33"/>
      <c r="H20" s="7"/>
      <c r="I20" s="7"/>
    </row>
    <row r="21" spans="1:9" ht="15.75" customHeight="1" x14ac:dyDescent="0.35">
      <c r="A21" s="31">
        <v>2222</v>
      </c>
      <c r="B21" s="62" t="s">
        <v>135</v>
      </c>
      <c r="C21" s="227">
        <v>0.17744429718686239</v>
      </c>
      <c r="D21" s="252"/>
      <c r="E21" s="33">
        <v>5.2</v>
      </c>
      <c r="G21" s="44"/>
      <c r="H21" s="148"/>
    </row>
    <row r="22" spans="1:9" ht="15.5" x14ac:dyDescent="0.35">
      <c r="A22" s="31">
        <v>2223</v>
      </c>
      <c r="B22" s="62" t="s">
        <v>136</v>
      </c>
      <c r="C22" s="227">
        <v>0.52153523662332557</v>
      </c>
      <c r="D22" s="253"/>
      <c r="E22" s="33">
        <v>15.26</v>
      </c>
      <c r="G22" s="149"/>
      <c r="H22" s="148"/>
    </row>
    <row r="23" spans="1:9" ht="15.5" x14ac:dyDescent="0.35">
      <c r="A23" s="31">
        <v>2243</v>
      </c>
      <c r="B23" s="22" t="s">
        <v>137</v>
      </c>
      <c r="C23" s="227">
        <v>2.4067272692588633E-2</v>
      </c>
      <c r="D23" s="225"/>
      <c r="E23" s="33">
        <v>0.71</v>
      </c>
    </row>
    <row r="24" spans="1:9" ht="15.5" x14ac:dyDescent="0.35">
      <c r="A24" s="31">
        <v>2244</v>
      </c>
      <c r="B24" s="22" t="s">
        <v>138</v>
      </c>
      <c r="C24" s="227">
        <v>0.63560964864510527</v>
      </c>
      <c r="D24" s="225"/>
      <c r="E24" s="33">
        <v>18.63</v>
      </c>
    </row>
    <row r="25" spans="1:9" ht="15.5" x14ac:dyDescent="0.35">
      <c r="A25" s="31">
        <v>2250</v>
      </c>
      <c r="B25" s="22" t="s">
        <v>124</v>
      </c>
      <c r="C25" s="227">
        <v>9.5000000000000015E-2</v>
      </c>
      <c r="D25" s="253"/>
      <c r="E25" s="33">
        <v>2.85</v>
      </c>
    </row>
    <row r="26" spans="1:9" ht="15.5" x14ac:dyDescent="0.35">
      <c r="A26" s="31">
        <v>2263</v>
      </c>
      <c r="B26" s="62" t="s">
        <v>149</v>
      </c>
      <c r="C26" s="227"/>
      <c r="D26" s="253"/>
      <c r="E26" s="33"/>
    </row>
    <row r="27" spans="1:9" ht="15.5" x14ac:dyDescent="0.35">
      <c r="A27" s="31">
        <v>2311</v>
      </c>
      <c r="B27" s="62" t="s">
        <v>151</v>
      </c>
      <c r="C27" s="227">
        <v>1.0355716425361956</v>
      </c>
      <c r="D27" s="252"/>
      <c r="E27" s="33">
        <v>30.79</v>
      </c>
    </row>
    <row r="28" spans="1:9" ht="15.5" x14ac:dyDescent="0.35">
      <c r="A28" s="31">
        <v>2312</v>
      </c>
      <c r="B28" s="22" t="s">
        <v>116</v>
      </c>
      <c r="C28" s="227">
        <v>0.31664822179830987</v>
      </c>
      <c r="D28" s="225"/>
      <c r="E28" s="33">
        <v>9.3800000000000008</v>
      </c>
    </row>
    <row r="29" spans="1:9" ht="15.5" x14ac:dyDescent="0.35">
      <c r="A29" s="31">
        <v>2321</v>
      </c>
      <c r="B29" s="62" t="s">
        <v>139</v>
      </c>
      <c r="C29" s="227">
        <v>0.36688720285589543</v>
      </c>
      <c r="D29" s="253"/>
      <c r="E29" s="33">
        <v>10.75</v>
      </c>
    </row>
    <row r="30" spans="1:9" ht="15.5" x14ac:dyDescent="0.35">
      <c r="A30" s="31">
        <v>2350</v>
      </c>
      <c r="B30" s="61" t="s">
        <v>125</v>
      </c>
      <c r="C30" s="227">
        <v>0.12125717043392543</v>
      </c>
      <c r="D30" s="252"/>
      <c r="E30" s="33">
        <v>3.55</v>
      </c>
    </row>
    <row r="31" spans="1:9" ht="15.5" x14ac:dyDescent="0.35">
      <c r="A31" s="31">
        <v>2361</v>
      </c>
      <c r="B31" s="62" t="s">
        <v>141</v>
      </c>
      <c r="C31" s="227">
        <v>5.4458312531203187E-2</v>
      </c>
      <c r="D31" s="253"/>
      <c r="E31" s="33">
        <v>1.58</v>
      </c>
    </row>
    <row r="32" spans="1:9" ht="15.5" x14ac:dyDescent="0.35">
      <c r="A32" s="31">
        <v>2362</v>
      </c>
      <c r="B32" s="83" t="s">
        <v>156</v>
      </c>
      <c r="C32" s="227">
        <v>1.3141746574530652E-2</v>
      </c>
      <c r="D32" s="253"/>
      <c r="E32" s="33">
        <v>0.4</v>
      </c>
    </row>
    <row r="33" spans="1:5" ht="15.5" x14ac:dyDescent="0.35">
      <c r="A33" s="31">
        <v>2363</v>
      </c>
      <c r="B33" s="62" t="s">
        <v>142</v>
      </c>
      <c r="C33" s="226">
        <v>2.09</v>
      </c>
      <c r="D33" s="253"/>
      <c r="E33" s="33">
        <v>62.7</v>
      </c>
    </row>
    <row r="34" spans="1:5" ht="15.5" x14ac:dyDescent="0.35">
      <c r="A34" s="31">
        <v>2513</v>
      </c>
      <c r="B34" s="61" t="s">
        <v>121</v>
      </c>
      <c r="C34" s="226"/>
      <c r="D34" s="253"/>
      <c r="E34" s="33"/>
    </row>
    <row r="35" spans="1:5" ht="15.5" x14ac:dyDescent="0.35">
      <c r="A35" s="31">
        <v>2519</v>
      </c>
      <c r="B35" s="62" t="s">
        <v>122</v>
      </c>
      <c r="C35" s="226"/>
      <c r="D35" s="253"/>
      <c r="E35" s="33"/>
    </row>
    <row r="36" spans="1:5" ht="15.5" x14ac:dyDescent="0.35">
      <c r="A36" s="31">
        <v>5239</v>
      </c>
      <c r="B36" s="61" t="s">
        <v>130</v>
      </c>
      <c r="C36" s="227">
        <v>0.47254079298288676</v>
      </c>
      <c r="D36" s="253"/>
      <c r="E36" s="33">
        <v>13.94</v>
      </c>
    </row>
    <row r="37" spans="1:5" ht="15.5" x14ac:dyDescent="0.25">
      <c r="A37" s="31"/>
      <c r="B37" s="36" t="s">
        <v>6</v>
      </c>
      <c r="C37" s="243">
        <f>SUM(C18:C36)</f>
        <v>12.501622198400609</v>
      </c>
      <c r="D37" s="243"/>
      <c r="E37" s="37">
        <f>SUM(E18:E36)</f>
        <v>398.28999999999996</v>
      </c>
    </row>
    <row r="38" spans="1:5" ht="15.75" customHeight="1" x14ac:dyDescent="0.25">
      <c r="A38" s="38"/>
      <c r="B38" s="31" t="s">
        <v>7</v>
      </c>
      <c r="C38" s="226"/>
      <c r="D38" s="226"/>
      <c r="E38" s="33"/>
    </row>
    <row r="39" spans="1:5" ht="15.5" x14ac:dyDescent="0.35">
      <c r="A39" s="31">
        <v>1100</v>
      </c>
      <c r="B39" s="22" t="s">
        <v>132</v>
      </c>
      <c r="C39" s="225"/>
      <c r="D39" s="228">
        <v>0.48549999999999999</v>
      </c>
      <c r="E39" s="33">
        <v>137.26</v>
      </c>
    </row>
    <row r="40" spans="1:5" ht="15.5" x14ac:dyDescent="0.35">
      <c r="A40" s="31">
        <v>1200</v>
      </c>
      <c r="B40" s="22" t="s">
        <v>133</v>
      </c>
      <c r="C40" s="225"/>
      <c r="D40" s="228">
        <f>D39*0.2359</f>
        <v>0.11452944999999999</v>
      </c>
      <c r="E40" s="33">
        <v>32.380000000000003</v>
      </c>
    </row>
    <row r="41" spans="1:5" ht="15.5" x14ac:dyDescent="0.25">
      <c r="A41" s="31">
        <v>2100</v>
      </c>
      <c r="B41" s="24" t="s">
        <v>45</v>
      </c>
      <c r="C41" s="254"/>
      <c r="D41" s="228">
        <v>1.1659999999999999E-3</v>
      </c>
      <c r="E41" s="33">
        <v>0.36</v>
      </c>
    </row>
    <row r="42" spans="1:5" ht="15.5" x14ac:dyDescent="0.35">
      <c r="A42" s="34">
        <v>2210</v>
      </c>
      <c r="B42" s="62" t="s">
        <v>120</v>
      </c>
      <c r="C42" s="252"/>
      <c r="D42" s="228">
        <v>7.6E-3</v>
      </c>
      <c r="E42" s="33">
        <v>2.33</v>
      </c>
    </row>
    <row r="43" spans="1:5" ht="15.5" x14ac:dyDescent="0.35">
      <c r="A43" s="31">
        <v>2222</v>
      </c>
      <c r="B43" s="62" t="s">
        <v>135</v>
      </c>
      <c r="C43" s="252"/>
      <c r="D43" s="228">
        <f>0.0095*1.15</f>
        <v>1.0924999999999999E-2</v>
      </c>
      <c r="E43" s="33">
        <v>3.35</v>
      </c>
    </row>
    <row r="44" spans="1:5" ht="15.75" customHeight="1" x14ac:dyDescent="0.35">
      <c r="A44" s="31">
        <v>2223</v>
      </c>
      <c r="B44" s="62" t="s">
        <v>136</v>
      </c>
      <c r="C44" s="252"/>
      <c r="D44" s="228">
        <f>0.01902*2.13</f>
        <v>4.0512599999999996E-2</v>
      </c>
      <c r="E44" s="33">
        <v>12.43</v>
      </c>
    </row>
    <row r="45" spans="1:5" ht="31" x14ac:dyDescent="0.35">
      <c r="A45" s="31">
        <v>2224</v>
      </c>
      <c r="B45" s="62" t="s">
        <v>143</v>
      </c>
      <c r="C45" s="252"/>
      <c r="D45" s="228">
        <f>0.00495*1.15</f>
        <v>5.6924999999999996E-3</v>
      </c>
      <c r="E45" s="33">
        <v>1.75</v>
      </c>
    </row>
    <row r="46" spans="1:5" ht="15.5" x14ac:dyDescent="0.35">
      <c r="A46" s="31">
        <v>2231</v>
      </c>
      <c r="B46" s="22" t="s">
        <v>126</v>
      </c>
      <c r="C46" s="225"/>
      <c r="D46" s="228">
        <v>1.5499999999999999E-3</v>
      </c>
      <c r="E46" s="33">
        <v>0.48</v>
      </c>
    </row>
    <row r="47" spans="1:5" ht="15.5" x14ac:dyDescent="0.25">
      <c r="A47" s="31">
        <v>2235</v>
      </c>
      <c r="B47" s="75" t="s">
        <v>127</v>
      </c>
      <c r="C47" s="255"/>
      <c r="D47" s="228">
        <v>1.65E-3</v>
      </c>
      <c r="E47" s="33">
        <v>0.51</v>
      </c>
    </row>
    <row r="48" spans="1:5" ht="15.5" x14ac:dyDescent="0.35">
      <c r="A48" s="31">
        <v>2239</v>
      </c>
      <c r="B48" s="22" t="s">
        <v>144</v>
      </c>
      <c r="C48" s="225"/>
      <c r="D48" s="228">
        <v>4.4099999999999999E-3</v>
      </c>
      <c r="E48" s="33">
        <v>1.35</v>
      </c>
    </row>
    <row r="49" spans="1:5" ht="15.5" x14ac:dyDescent="0.35">
      <c r="A49" s="31">
        <v>2241</v>
      </c>
      <c r="B49" s="22" t="s">
        <v>123</v>
      </c>
      <c r="C49" s="225"/>
      <c r="D49" s="228">
        <v>1.6500000000000001E-2</v>
      </c>
      <c r="E49" s="33">
        <v>5.0599999999999996</v>
      </c>
    </row>
    <row r="50" spans="1:5" ht="15.5" x14ac:dyDescent="0.35">
      <c r="A50" s="31">
        <v>2242</v>
      </c>
      <c r="B50" s="62" t="s">
        <v>145</v>
      </c>
      <c r="C50" s="252"/>
      <c r="D50" s="228">
        <v>2.2599999999999999E-3</v>
      </c>
      <c r="E50" s="33">
        <v>0.69</v>
      </c>
    </row>
    <row r="51" spans="1:5" ht="15.5" x14ac:dyDescent="0.35">
      <c r="A51" s="31">
        <v>2243</v>
      </c>
      <c r="B51" s="22" t="s">
        <v>137</v>
      </c>
      <c r="C51" s="225"/>
      <c r="D51" s="228">
        <v>3.2599999999999997E-2</v>
      </c>
      <c r="E51" s="33">
        <v>10</v>
      </c>
    </row>
    <row r="52" spans="1:5" ht="15.5" x14ac:dyDescent="0.35">
      <c r="A52" s="31">
        <v>2244</v>
      </c>
      <c r="B52" s="22" t="s">
        <v>138</v>
      </c>
      <c r="C52" s="225"/>
      <c r="D52" s="228">
        <f>0.20397-0.09084</f>
        <v>0.11313000000000001</v>
      </c>
      <c r="E52" s="33">
        <v>34.71</v>
      </c>
    </row>
    <row r="53" spans="1:5" ht="15.5" x14ac:dyDescent="0.35">
      <c r="A53" s="106">
        <v>2247</v>
      </c>
      <c r="B53" s="104" t="s">
        <v>146</v>
      </c>
      <c r="C53" s="225"/>
      <c r="D53" s="228">
        <v>7.1900000000000002E-4</v>
      </c>
      <c r="E53" s="33">
        <v>0.22</v>
      </c>
    </row>
    <row r="54" spans="1:5" ht="15.5" x14ac:dyDescent="0.35">
      <c r="A54" s="31">
        <v>2249</v>
      </c>
      <c r="B54" s="22" t="s">
        <v>171</v>
      </c>
      <c r="C54" s="225"/>
      <c r="D54" s="228">
        <v>2.32E-4</v>
      </c>
      <c r="E54" s="33">
        <v>7.0000000000000007E-2</v>
      </c>
    </row>
    <row r="55" spans="1:5" ht="15.5" x14ac:dyDescent="0.35">
      <c r="A55" s="31">
        <v>2250</v>
      </c>
      <c r="B55" s="22" t="s">
        <v>124</v>
      </c>
      <c r="C55" s="225"/>
      <c r="D55" s="228">
        <f>0.024026-0.005</f>
        <v>1.9025999999999998E-2</v>
      </c>
      <c r="E55" s="33">
        <v>5.84</v>
      </c>
    </row>
    <row r="56" spans="1:5" ht="15.5" x14ac:dyDescent="0.35">
      <c r="A56" s="31">
        <v>2262</v>
      </c>
      <c r="B56" s="62" t="s">
        <v>148</v>
      </c>
      <c r="C56" s="252"/>
      <c r="D56" s="228">
        <v>6.2599999999999999E-3</v>
      </c>
      <c r="E56" s="33">
        <v>1.92</v>
      </c>
    </row>
    <row r="57" spans="1:5" ht="15.5" x14ac:dyDescent="0.35">
      <c r="A57" s="31">
        <v>2263</v>
      </c>
      <c r="B57" s="62" t="s">
        <v>149</v>
      </c>
      <c r="C57" s="252"/>
      <c r="D57" s="228">
        <v>4.58E-2</v>
      </c>
      <c r="E57" s="33">
        <v>14.05</v>
      </c>
    </row>
    <row r="58" spans="1:5" ht="15.5" x14ac:dyDescent="0.35">
      <c r="A58" s="31">
        <v>2264</v>
      </c>
      <c r="B58" s="22" t="s">
        <v>150</v>
      </c>
      <c r="C58" s="225"/>
      <c r="D58" s="228">
        <v>1.49E-3</v>
      </c>
      <c r="E58" s="33">
        <v>0.46</v>
      </c>
    </row>
    <row r="59" spans="1:5" ht="15.5" x14ac:dyDescent="0.35">
      <c r="A59" s="31">
        <v>2311</v>
      </c>
      <c r="B59" s="62" t="s">
        <v>151</v>
      </c>
      <c r="C59" s="252"/>
      <c r="D59" s="228">
        <v>4.7699999999999999E-3</v>
      </c>
      <c r="E59" s="33">
        <v>1.46</v>
      </c>
    </row>
    <row r="60" spans="1:5" ht="15.5" x14ac:dyDescent="0.35">
      <c r="A60" s="31">
        <v>2312</v>
      </c>
      <c r="B60" s="62" t="s">
        <v>116</v>
      </c>
      <c r="C60" s="252"/>
      <c r="D60" s="228">
        <v>5.79E-3</v>
      </c>
      <c r="E60" s="33">
        <v>1.78</v>
      </c>
    </row>
    <row r="61" spans="1:5" ht="15.5" x14ac:dyDescent="0.25">
      <c r="A61" s="31">
        <v>2314</v>
      </c>
      <c r="B61" s="75" t="s">
        <v>152</v>
      </c>
      <c r="C61" s="255"/>
      <c r="D61" s="228">
        <v>2.2200000000000002E-3</v>
      </c>
      <c r="E61" s="33">
        <v>0.68</v>
      </c>
    </row>
    <row r="62" spans="1:5" ht="15.5" x14ac:dyDescent="0.35">
      <c r="A62" s="31">
        <v>2321</v>
      </c>
      <c r="B62" s="62" t="s">
        <v>139</v>
      </c>
      <c r="C62" s="252"/>
      <c r="D62" s="228">
        <f>0.0198*1.2+0.005</f>
        <v>2.8760000000000001E-2</v>
      </c>
      <c r="E62" s="33">
        <v>8.82</v>
      </c>
    </row>
    <row r="63" spans="1:5" ht="15.5" x14ac:dyDescent="0.35">
      <c r="A63" s="31">
        <v>2322</v>
      </c>
      <c r="B63" s="62" t="s">
        <v>153</v>
      </c>
      <c r="C63" s="252"/>
      <c r="D63" s="228">
        <f>0.0035*1.2</f>
        <v>4.1999999999999997E-3</v>
      </c>
      <c r="E63" s="33">
        <v>1.29</v>
      </c>
    </row>
    <row r="64" spans="1:5" ht="15.5" x14ac:dyDescent="0.35">
      <c r="A64" s="31">
        <v>2341</v>
      </c>
      <c r="B64" s="62" t="s">
        <v>140</v>
      </c>
      <c r="C64" s="252"/>
      <c r="D64" s="228"/>
      <c r="E64" s="33">
        <f>D64*306.82</f>
        <v>0</v>
      </c>
    </row>
    <row r="65" spans="1:9" ht="15.5" x14ac:dyDescent="0.35">
      <c r="A65" s="31">
        <v>2350</v>
      </c>
      <c r="B65" s="61" t="s">
        <v>125</v>
      </c>
      <c r="C65" s="228"/>
      <c r="D65" s="228">
        <v>8.5000000000000006E-3</v>
      </c>
      <c r="E65" s="33">
        <v>2.61</v>
      </c>
    </row>
    <row r="66" spans="1:9" ht="15.75" customHeight="1" x14ac:dyDescent="0.35">
      <c r="A66" s="31">
        <v>2513</v>
      </c>
      <c r="B66" s="61" t="s">
        <v>121</v>
      </c>
      <c r="C66" s="228"/>
      <c r="D66" s="228">
        <v>1.4599999999999999E-3</v>
      </c>
      <c r="E66" s="33">
        <v>0.45</v>
      </c>
    </row>
    <row r="67" spans="1:9" ht="15.75" customHeight="1" x14ac:dyDescent="0.35">
      <c r="A67" s="31">
        <v>2515</v>
      </c>
      <c r="B67" s="62" t="s">
        <v>155</v>
      </c>
      <c r="C67" s="252"/>
      <c r="D67" s="228">
        <v>1.9E-3</v>
      </c>
      <c r="E67" s="33">
        <v>0.57999999999999996</v>
      </c>
    </row>
    <row r="68" spans="1:9" ht="15.75" customHeight="1" x14ac:dyDescent="0.35">
      <c r="A68" s="31">
        <v>2519</v>
      </c>
      <c r="B68" s="62" t="s">
        <v>122</v>
      </c>
      <c r="C68" s="252"/>
      <c r="D68" s="228">
        <v>2E-3</v>
      </c>
      <c r="E68" s="33">
        <v>0.61</v>
      </c>
    </row>
    <row r="69" spans="1:9" ht="15.75" customHeight="1" x14ac:dyDescent="0.35">
      <c r="A69" s="31">
        <v>5220</v>
      </c>
      <c r="B69" s="62" t="s">
        <v>128</v>
      </c>
      <c r="C69" s="252"/>
      <c r="D69" s="228">
        <v>1.06E-2</v>
      </c>
      <c r="E69" s="33">
        <v>3.2</v>
      </c>
    </row>
    <row r="70" spans="1:9" ht="15.75" customHeight="1" x14ac:dyDescent="0.35">
      <c r="A70" s="31">
        <v>5238</v>
      </c>
      <c r="B70" s="61" t="s">
        <v>129</v>
      </c>
      <c r="C70" s="228"/>
      <c r="D70" s="228">
        <v>1.65E-3</v>
      </c>
      <c r="E70" s="33">
        <v>0.51</v>
      </c>
    </row>
    <row r="71" spans="1:9" ht="15.75" customHeight="1" x14ac:dyDescent="0.35">
      <c r="A71" s="31">
        <v>5239</v>
      </c>
      <c r="B71" s="61" t="s">
        <v>130</v>
      </c>
      <c r="C71" s="228"/>
      <c r="D71" s="228">
        <v>9.5399999999999999E-3</v>
      </c>
      <c r="E71" s="33">
        <v>2.93</v>
      </c>
    </row>
    <row r="72" spans="1:9" ht="15.75" customHeight="1" x14ac:dyDescent="0.35">
      <c r="A72" s="31">
        <v>5250</v>
      </c>
      <c r="B72" s="62" t="s">
        <v>131</v>
      </c>
      <c r="C72" s="252"/>
      <c r="D72" s="228">
        <v>7.0600000000000003E-3</v>
      </c>
      <c r="E72" s="33">
        <v>2.17</v>
      </c>
    </row>
    <row r="73" spans="1:9" ht="15.5" x14ac:dyDescent="0.25">
      <c r="A73" s="38"/>
      <c r="B73" s="40" t="s">
        <v>8</v>
      </c>
      <c r="C73" s="244"/>
      <c r="D73" s="244">
        <f>SUM(D39:D72)</f>
        <v>1.00000255</v>
      </c>
      <c r="E73" s="37">
        <f>SUM(E39:E72)</f>
        <v>292.30999999999995</v>
      </c>
    </row>
    <row r="74" spans="1:9" ht="15.5" x14ac:dyDescent="0.25">
      <c r="A74" s="38"/>
      <c r="B74" s="40" t="s">
        <v>29</v>
      </c>
      <c r="C74" s="244"/>
      <c r="D74" s="244"/>
      <c r="E74" s="37">
        <f>E73+E37</f>
        <v>690.59999999999991</v>
      </c>
    </row>
    <row r="75" spans="1:9" ht="15.5" x14ac:dyDescent="0.35">
      <c r="A75" s="15"/>
      <c r="B75" s="25"/>
      <c r="C75" s="233"/>
      <c r="D75" s="233"/>
      <c r="E75" s="59"/>
    </row>
    <row r="76" spans="1:9" ht="15.5" x14ac:dyDescent="0.25">
      <c r="A76" s="419" t="s">
        <v>57</v>
      </c>
      <c r="B76" s="419"/>
      <c r="C76" s="220"/>
      <c r="D76" s="220"/>
      <c r="E76" s="67">
        <v>30</v>
      </c>
    </row>
    <row r="77" spans="1:9" ht="15.5" x14ac:dyDescent="0.3">
      <c r="A77" s="419" t="s">
        <v>58</v>
      </c>
      <c r="B77" s="419"/>
      <c r="C77" s="220"/>
      <c r="D77" s="220"/>
      <c r="E77" s="68">
        <f>E74/E76</f>
        <v>23.019999999999996</v>
      </c>
    </row>
    <row r="78" spans="1:9" ht="15.5" x14ac:dyDescent="0.35">
      <c r="A78" s="25"/>
      <c r="B78" s="26"/>
      <c r="C78" s="256"/>
      <c r="D78" s="256"/>
      <c r="E78" s="58"/>
    </row>
    <row r="79" spans="1:9" s="2" customFormat="1" ht="15.5" x14ac:dyDescent="0.35">
      <c r="A79" s="430" t="s">
        <v>33</v>
      </c>
      <c r="B79" s="431"/>
      <c r="C79" s="257"/>
      <c r="D79" s="257"/>
      <c r="E79" s="258"/>
      <c r="G79" s="7"/>
      <c r="H79" s="7"/>
      <c r="I79" s="7"/>
    </row>
    <row r="80" spans="1:9" s="2" customFormat="1" ht="15.5" x14ac:dyDescent="0.35">
      <c r="A80" s="430" t="s">
        <v>64</v>
      </c>
      <c r="B80" s="431"/>
      <c r="C80" s="257"/>
      <c r="D80" s="257"/>
      <c r="E80" s="27"/>
      <c r="G80" s="7"/>
      <c r="H80" s="7"/>
      <c r="I80" s="7"/>
    </row>
    <row r="81" spans="1:9" s="2" customFormat="1" ht="15.5" x14ac:dyDescent="0.35">
      <c r="A81" s="28"/>
      <c r="B81" s="28"/>
      <c r="C81" s="237"/>
      <c r="D81" s="237"/>
      <c r="E81" s="81"/>
      <c r="G81" s="7"/>
      <c r="H81" s="7"/>
      <c r="I81" s="7"/>
    </row>
    <row r="82" spans="1:9" s="2" customFormat="1" ht="15.5" x14ac:dyDescent="0.35">
      <c r="A82" s="28" t="s">
        <v>34</v>
      </c>
      <c r="B82" s="28"/>
      <c r="C82" s="237"/>
      <c r="D82" s="237"/>
      <c r="E82" s="81"/>
      <c r="G82" s="7"/>
      <c r="H82" s="7"/>
      <c r="I82" s="7"/>
    </row>
    <row r="83" spans="1:9" s="2" customFormat="1" ht="15.5" x14ac:dyDescent="0.35">
      <c r="A83" s="28"/>
      <c r="B83" s="28"/>
      <c r="C83" s="237"/>
      <c r="D83" s="237"/>
      <c r="E83" s="28"/>
      <c r="G83" s="7"/>
      <c r="H83" s="7"/>
      <c r="I83" s="7"/>
    </row>
    <row r="84" spans="1:9" s="2" customFormat="1" ht="15.5" x14ac:dyDescent="0.35">
      <c r="A84" s="28" t="s">
        <v>177</v>
      </c>
      <c r="B84" s="29"/>
      <c r="C84" s="238"/>
      <c r="D84" s="238"/>
      <c r="E84" s="28"/>
      <c r="G84" s="7"/>
      <c r="H84" s="7"/>
      <c r="I84" s="7"/>
    </row>
    <row r="85" spans="1:9" s="2" customFormat="1" ht="13.9" customHeight="1" x14ac:dyDescent="0.35">
      <c r="A85" s="28"/>
      <c r="B85" s="30"/>
      <c r="C85" s="250"/>
      <c r="D85" s="250"/>
      <c r="E85" s="28"/>
      <c r="G85" s="7"/>
      <c r="H85" s="7"/>
      <c r="I85" s="7"/>
    </row>
    <row r="86" spans="1:9" s="4" customFormat="1" ht="15.5" x14ac:dyDescent="0.35">
      <c r="A86" s="13"/>
      <c r="B86" s="13"/>
      <c r="C86" s="217"/>
      <c r="D86" s="217"/>
      <c r="E86" s="13"/>
      <c r="G86" s="7"/>
      <c r="H86" s="7"/>
      <c r="I86" s="7"/>
    </row>
  </sheetData>
  <mergeCells count="9">
    <mergeCell ref="A80:B80"/>
    <mergeCell ref="A79:B79"/>
    <mergeCell ref="B13:E13"/>
    <mergeCell ref="A10:B10"/>
    <mergeCell ref="A7:E7"/>
    <mergeCell ref="A9:B9"/>
    <mergeCell ref="B12:E12"/>
    <mergeCell ref="A76:B76"/>
    <mergeCell ref="A77:B77"/>
  </mergeCells>
  <pageMargins left="0.94488188976377963" right="0.55118110236220474" top="0.59055118110236227" bottom="0.74803149606299213" header="0.31496062992125984" footer="0.31496062992125984"/>
  <pageSetup paperSize="9" scale="55" firstPageNumber="10" orientation="portrait" useFirstPageNumber="1" r:id="rId1"/>
  <headerFooter>
    <oddFooter>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86"/>
  <sheetViews>
    <sheetView view="pageLayout" topLeftCell="A13" zoomScale="80" zoomScaleNormal="100" zoomScalePageLayoutView="80" workbookViewId="0">
      <selection activeCell="E18" sqref="E18:E36"/>
    </sheetView>
  </sheetViews>
  <sheetFormatPr defaultColWidth="9.1796875" defaultRowHeight="14" x14ac:dyDescent="0.3"/>
  <cols>
    <col min="1" max="1" width="13.453125" style="4" customWidth="1"/>
    <col min="2" max="2" width="94.453125" style="4" customWidth="1"/>
    <col min="3" max="4" width="7" style="217" hidden="1" customWidth="1"/>
    <col min="5" max="5" width="30" style="4" customWidth="1"/>
    <col min="6" max="6" width="9.1796875" style="7" customWidth="1"/>
    <col min="7" max="16384" width="9.1796875" style="7"/>
  </cols>
  <sheetData>
    <row r="1" spans="1:9" ht="15.5" x14ac:dyDescent="0.35">
      <c r="A1" s="13"/>
      <c r="B1" s="14"/>
      <c r="C1" s="214"/>
      <c r="D1" s="214"/>
      <c r="E1" s="17" t="s">
        <v>10</v>
      </c>
    </row>
    <row r="2" spans="1:9" ht="15.5" x14ac:dyDescent="0.35">
      <c r="A2" s="13"/>
      <c r="B2" s="14"/>
      <c r="C2" s="214"/>
      <c r="D2" s="214"/>
      <c r="E2" s="14" t="s">
        <v>32</v>
      </c>
    </row>
    <row r="3" spans="1:9" ht="15.5" x14ac:dyDescent="0.35">
      <c r="A3" s="13"/>
      <c r="B3" s="14"/>
      <c r="C3" s="214"/>
      <c r="D3" s="214"/>
      <c r="E3" s="77" t="s">
        <v>66</v>
      </c>
    </row>
    <row r="4" spans="1:9" ht="15.5" x14ac:dyDescent="0.35">
      <c r="A4" s="13"/>
      <c r="B4" s="14"/>
      <c r="C4" s="214"/>
      <c r="D4" s="214"/>
      <c r="E4" s="63"/>
    </row>
    <row r="5" spans="1:9" ht="15.5" x14ac:dyDescent="0.35">
      <c r="A5" s="13"/>
      <c r="B5" s="17"/>
      <c r="C5" s="241"/>
      <c r="D5" s="241"/>
      <c r="E5" s="15" t="s">
        <v>226</v>
      </c>
    </row>
    <row r="6" spans="1:9" ht="15.5" x14ac:dyDescent="0.35">
      <c r="A6" s="13"/>
      <c r="B6" s="13"/>
      <c r="E6" s="25"/>
    </row>
    <row r="7" spans="1:9" ht="17.5" x14ac:dyDescent="0.35">
      <c r="A7" s="420" t="s">
        <v>9</v>
      </c>
      <c r="B7" s="420"/>
      <c r="C7" s="420"/>
      <c r="D7" s="420"/>
      <c r="E7" s="420"/>
    </row>
    <row r="8" spans="1:9" ht="15.5" x14ac:dyDescent="0.35">
      <c r="A8" s="13"/>
      <c r="B8" s="18"/>
      <c r="C8" s="219"/>
      <c r="D8" s="219"/>
      <c r="E8" s="25"/>
    </row>
    <row r="9" spans="1:9" ht="15.5" x14ac:dyDescent="0.35">
      <c r="A9" s="419" t="s">
        <v>1</v>
      </c>
      <c r="B9" s="419"/>
      <c r="C9" s="220"/>
      <c r="D9" s="220"/>
      <c r="E9" s="25"/>
    </row>
    <row r="10" spans="1:9" ht="15.5" x14ac:dyDescent="0.35">
      <c r="A10" s="419" t="s">
        <v>0</v>
      </c>
      <c r="B10" s="419"/>
      <c r="C10" s="220"/>
      <c r="D10" s="220"/>
      <c r="E10" s="25"/>
    </row>
    <row r="11" spans="1:9" ht="15.5" x14ac:dyDescent="0.35">
      <c r="A11" s="11"/>
      <c r="B11" s="11" t="s">
        <v>179</v>
      </c>
      <c r="C11" s="220"/>
      <c r="D11" s="220"/>
      <c r="E11" s="25"/>
    </row>
    <row r="12" spans="1:9" ht="15.5" x14ac:dyDescent="0.35">
      <c r="A12" s="11"/>
      <c r="B12" s="419" t="s">
        <v>205</v>
      </c>
      <c r="C12" s="419"/>
      <c r="D12" s="419"/>
      <c r="E12" s="432"/>
    </row>
    <row r="13" spans="1:9" ht="15.75" customHeight="1" x14ac:dyDescent="0.35">
      <c r="A13" s="11"/>
      <c r="B13" s="419" t="s">
        <v>207</v>
      </c>
      <c r="C13" s="419"/>
      <c r="D13" s="419"/>
      <c r="E13" s="432"/>
    </row>
    <row r="14" spans="1:9" ht="15.5" x14ac:dyDescent="0.25">
      <c r="A14" s="12" t="s">
        <v>2</v>
      </c>
      <c r="B14" s="11" t="s">
        <v>169</v>
      </c>
      <c r="C14" s="220"/>
      <c r="D14" s="220"/>
      <c r="E14" s="47"/>
    </row>
    <row r="15" spans="1:9" s="141" customFormat="1" ht="67.5" customHeight="1" x14ac:dyDescent="0.25">
      <c r="A15" s="51" t="s">
        <v>3</v>
      </c>
      <c r="B15" s="51" t="s">
        <v>4</v>
      </c>
      <c r="C15" s="223"/>
      <c r="D15" s="223"/>
      <c r="E15" s="51" t="s">
        <v>63</v>
      </c>
      <c r="G15" s="7"/>
      <c r="H15" s="7"/>
      <c r="I15" s="7"/>
    </row>
    <row r="16" spans="1:9" ht="15" x14ac:dyDescent="0.25">
      <c r="A16" s="41">
        <v>1</v>
      </c>
      <c r="B16" s="48">
        <v>2</v>
      </c>
      <c r="C16" s="251"/>
      <c r="D16" s="251"/>
      <c r="E16" s="48">
        <v>3</v>
      </c>
    </row>
    <row r="17" spans="1:9" s="147" customFormat="1" ht="15.5" x14ac:dyDescent="0.25">
      <c r="A17" s="41"/>
      <c r="B17" s="39" t="s">
        <v>5</v>
      </c>
      <c r="C17" s="242"/>
      <c r="D17" s="242"/>
      <c r="E17" s="31"/>
      <c r="G17" s="7"/>
      <c r="H17" s="7"/>
      <c r="I17" s="7"/>
    </row>
    <row r="18" spans="1:9" s="147" customFormat="1" ht="15.5" x14ac:dyDescent="0.25">
      <c r="A18" s="31">
        <v>1100</v>
      </c>
      <c r="B18" s="31" t="s">
        <v>132</v>
      </c>
      <c r="C18" s="227">
        <v>7.8366012721862255</v>
      </c>
      <c r="D18" s="226"/>
      <c r="E18" s="33">
        <v>266.81</v>
      </c>
      <c r="G18" s="7"/>
      <c r="H18" s="7"/>
      <c r="I18" s="7"/>
    </row>
    <row r="19" spans="1:9" s="147" customFormat="1" ht="15.5" x14ac:dyDescent="0.35">
      <c r="A19" s="31">
        <v>1200</v>
      </c>
      <c r="B19" s="61" t="s">
        <v>133</v>
      </c>
      <c r="C19" s="226">
        <f>C18*0.2359</f>
        <v>1.8486542401087305</v>
      </c>
      <c r="D19" s="228"/>
      <c r="E19" s="33">
        <v>62.94</v>
      </c>
      <c r="H19" s="7"/>
      <c r="I19" s="7"/>
    </row>
    <row r="20" spans="1:9" s="147" customFormat="1" ht="15.5" x14ac:dyDescent="0.35">
      <c r="A20" s="31">
        <v>2210</v>
      </c>
      <c r="B20" s="62" t="s">
        <v>120</v>
      </c>
      <c r="C20" s="226"/>
      <c r="D20" s="228"/>
      <c r="E20" s="33"/>
      <c r="H20" s="7"/>
      <c r="I20" s="7"/>
    </row>
    <row r="21" spans="1:9" ht="15.75" customHeight="1" x14ac:dyDescent="0.35">
      <c r="A21" s="31">
        <v>2222</v>
      </c>
      <c r="B21" s="62" t="s">
        <v>135</v>
      </c>
      <c r="C21" s="227">
        <v>0.2254808388295044</v>
      </c>
      <c r="D21" s="252"/>
      <c r="E21" s="33">
        <v>6.65</v>
      </c>
      <c r="G21" s="44"/>
      <c r="H21" s="148"/>
    </row>
    <row r="22" spans="1:9" ht="15.5" x14ac:dyDescent="0.35">
      <c r="A22" s="31">
        <v>2223</v>
      </c>
      <c r="B22" s="62" t="s">
        <v>136</v>
      </c>
      <c r="C22" s="227">
        <v>0.56503636616487274</v>
      </c>
      <c r="D22" s="253"/>
      <c r="E22" s="33">
        <v>16.57</v>
      </c>
      <c r="G22" s="149"/>
      <c r="H22" s="148"/>
    </row>
    <row r="23" spans="1:9" ht="15.5" x14ac:dyDescent="0.35">
      <c r="A23" s="31">
        <v>2243</v>
      </c>
      <c r="B23" s="22" t="s">
        <v>137</v>
      </c>
      <c r="C23" s="227">
        <v>3.6250939976182152E-2</v>
      </c>
      <c r="D23" s="225"/>
      <c r="E23" s="33">
        <v>1.08</v>
      </c>
    </row>
    <row r="24" spans="1:9" ht="15.5" x14ac:dyDescent="0.35">
      <c r="A24" s="31">
        <v>2244</v>
      </c>
      <c r="B24" s="22" t="s">
        <v>138</v>
      </c>
      <c r="C24" s="227">
        <v>0.69759783203535841</v>
      </c>
      <c r="D24" s="225"/>
      <c r="E24" s="33">
        <v>20.49</v>
      </c>
    </row>
    <row r="25" spans="1:9" ht="15.5" x14ac:dyDescent="0.35">
      <c r="A25" s="31">
        <v>2250</v>
      </c>
      <c r="B25" s="22" t="s">
        <v>124</v>
      </c>
      <c r="C25" s="227">
        <v>9.5000000000000015E-2</v>
      </c>
      <c r="D25" s="253"/>
      <c r="E25" s="33">
        <v>2.85</v>
      </c>
    </row>
    <row r="26" spans="1:9" ht="15.5" x14ac:dyDescent="0.35">
      <c r="A26" s="31">
        <v>2263</v>
      </c>
      <c r="B26" s="62" t="s">
        <v>149</v>
      </c>
      <c r="C26" s="227"/>
      <c r="D26" s="253"/>
      <c r="E26" s="33"/>
    </row>
    <row r="27" spans="1:9" ht="15.5" x14ac:dyDescent="0.35">
      <c r="A27" s="31">
        <v>2311</v>
      </c>
      <c r="B27" s="62" t="s">
        <v>151</v>
      </c>
      <c r="C27" s="227">
        <v>1.0355716425361956</v>
      </c>
      <c r="D27" s="252"/>
      <c r="E27" s="33">
        <v>30.79</v>
      </c>
    </row>
    <row r="28" spans="1:9" ht="15.5" x14ac:dyDescent="0.35">
      <c r="A28" s="31">
        <v>2312</v>
      </c>
      <c r="B28" s="22" t="s">
        <v>116</v>
      </c>
      <c r="C28" s="227">
        <v>0.39767064299991572</v>
      </c>
      <c r="D28" s="225"/>
      <c r="E28" s="33">
        <v>11.82</v>
      </c>
    </row>
    <row r="29" spans="1:9" ht="15.5" x14ac:dyDescent="0.35">
      <c r="A29" s="31">
        <v>2321</v>
      </c>
      <c r="B29" s="62" t="s">
        <v>139</v>
      </c>
      <c r="C29" s="227">
        <v>0.40435661982484566</v>
      </c>
      <c r="D29" s="253"/>
      <c r="E29" s="33">
        <v>11.88</v>
      </c>
    </row>
    <row r="30" spans="1:9" ht="15.5" x14ac:dyDescent="0.35">
      <c r="A30" s="31">
        <v>2350</v>
      </c>
      <c r="B30" s="61" t="s">
        <v>125</v>
      </c>
      <c r="C30" s="227">
        <v>0.15456804176581926</v>
      </c>
      <c r="D30" s="252"/>
      <c r="E30" s="33">
        <v>4.5599999999999996</v>
      </c>
    </row>
    <row r="31" spans="1:9" ht="15.5" x14ac:dyDescent="0.35">
      <c r="A31" s="31">
        <v>2361</v>
      </c>
      <c r="B31" s="62" t="s">
        <v>141</v>
      </c>
      <c r="C31" s="227">
        <v>5.4458312531203187E-2</v>
      </c>
      <c r="D31" s="253"/>
      <c r="E31" s="33">
        <v>1.58</v>
      </c>
    </row>
    <row r="32" spans="1:9" ht="15.5" x14ac:dyDescent="0.35">
      <c r="A32" s="31">
        <v>2362</v>
      </c>
      <c r="B32" s="83" t="s">
        <v>156</v>
      </c>
      <c r="C32" s="227">
        <v>3.1051737481413131E-2</v>
      </c>
      <c r="D32" s="253"/>
      <c r="E32" s="33">
        <v>0.94</v>
      </c>
    </row>
    <row r="33" spans="1:5" ht="15.5" x14ac:dyDescent="0.35">
      <c r="A33" s="31">
        <v>2363</v>
      </c>
      <c r="B33" s="62" t="s">
        <v>142</v>
      </c>
      <c r="C33" s="226">
        <v>5.36</v>
      </c>
      <c r="D33" s="253"/>
      <c r="E33" s="33">
        <f>5.36*30</f>
        <v>160.80000000000001</v>
      </c>
    </row>
    <row r="34" spans="1:5" ht="15.5" x14ac:dyDescent="0.35">
      <c r="A34" s="31">
        <v>2513</v>
      </c>
      <c r="B34" s="61" t="s">
        <v>121</v>
      </c>
      <c r="C34" s="226"/>
      <c r="D34" s="253"/>
      <c r="E34" s="33"/>
    </row>
    <row r="35" spans="1:5" ht="15.5" x14ac:dyDescent="0.35">
      <c r="A35" s="31">
        <v>2519</v>
      </c>
      <c r="B35" s="62" t="s">
        <v>122</v>
      </c>
      <c r="C35" s="226"/>
      <c r="D35" s="253"/>
      <c r="E35" s="33"/>
    </row>
    <row r="36" spans="1:5" ht="15.5" x14ac:dyDescent="0.35">
      <c r="A36" s="31">
        <v>5239</v>
      </c>
      <c r="B36" s="61" t="s">
        <v>130</v>
      </c>
      <c r="C36" s="227">
        <v>0.54388650929818028</v>
      </c>
      <c r="D36" s="253"/>
      <c r="E36" s="33">
        <v>16.09</v>
      </c>
    </row>
    <row r="37" spans="1:5" ht="15.5" x14ac:dyDescent="0.25">
      <c r="A37" s="31"/>
      <c r="B37" s="36" t="s">
        <v>6</v>
      </c>
      <c r="C37" s="243">
        <f>SUM(C18:C36)</f>
        <v>19.286184995738449</v>
      </c>
      <c r="D37" s="243"/>
      <c r="E37" s="37">
        <f>SUM(E18:E36)</f>
        <v>615.85</v>
      </c>
    </row>
    <row r="38" spans="1:5" ht="15.75" customHeight="1" x14ac:dyDescent="0.25">
      <c r="A38" s="38"/>
      <c r="B38" s="31" t="s">
        <v>7</v>
      </c>
      <c r="C38" s="226"/>
      <c r="D38" s="226"/>
      <c r="E38" s="33"/>
    </row>
    <row r="39" spans="1:5" ht="15.5" x14ac:dyDescent="0.35">
      <c r="A39" s="31">
        <v>1100</v>
      </c>
      <c r="B39" s="22" t="s">
        <v>132</v>
      </c>
      <c r="C39" s="225"/>
      <c r="D39" s="228">
        <v>0.48549999999999999</v>
      </c>
      <c r="E39" s="33">
        <v>148.57</v>
      </c>
    </row>
    <row r="40" spans="1:5" ht="15.5" x14ac:dyDescent="0.35">
      <c r="A40" s="31">
        <v>1200</v>
      </c>
      <c r="B40" s="22" t="s">
        <v>133</v>
      </c>
      <c r="C40" s="225"/>
      <c r="D40" s="228">
        <f>D39*0.2359</f>
        <v>0.11452944999999999</v>
      </c>
      <c r="E40" s="33">
        <v>35.049999999999997</v>
      </c>
    </row>
    <row r="41" spans="1:5" ht="15.5" x14ac:dyDescent="0.25">
      <c r="A41" s="31">
        <v>2100</v>
      </c>
      <c r="B41" s="24" t="s">
        <v>45</v>
      </c>
      <c r="C41" s="254"/>
      <c r="D41" s="228">
        <v>1.1659999999999999E-3</v>
      </c>
      <c r="E41" s="33">
        <v>0.41</v>
      </c>
    </row>
    <row r="42" spans="1:5" ht="15.5" x14ac:dyDescent="0.35">
      <c r="A42" s="34">
        <v>2210</v>
      </c>
      <c r="B42" s="62" t="s">
        <v>120</v>
      </c>
      <c r="C42" s="252"/>
      <c r="D42" s="228">
        <v>7.6E-3</v>
      </c>
      <c r="E42" s="33">
        <v>2.67</v>
      </c>
    </row>
    <row r="43" spans="1:5" ht="15.5" x14ac:dyDescent="0.35">
      <c r="A43" s="31">
        <v>2222</v>
      </c>
      <c r="B43" s="62" t="s">
        <v>135</v>
      </c>
      <c r="C43" s="252"/>
      <c r="D43" s="228">
        <f>0.0095*1.15</f>
        <v>1.0924999999999999E-2</v>
      </c>
      <c r="E43" s="33">
        <v>3.83</v>
      </c>
    </row>
    <row r="44" spans="1:5" ht="15.75" customHeight="1" x14ac:dyDescent="0.35">
      <c r="A44" s="31">
        <v>2223</v>
      </c>
      <c r="B44" s="62" t="s">
        <v>136</v>
      </c>
      <c r="C44" s="252"/>
      <c r="D44" s="228">
        <f>0.01902*2.13</f>
        <v>4.0512599999999996E-2</v>
      </c>
      <c r="E44" s="33">
        <v>14.22</v>
      </c>
    </row>
    <row r="45" spans="1:5" ht="31" x14ac:dyDescent="0.35">
      <c r="A45" s="31">
        <v>2224</v>
      </c>
      <c r="B45" s="62" t="s">
        <v>143</v>
      </c>
      <c r="C45" s="252"/>
      <c r="D45" s="228">
        <f>0.00495*1.15</f>
        <v>5.6924999999999996E-3</v>
      </c>
      <c r="E45" s="33">
        <v>2</v>
      </c>
    </row>
    <row r="46" spans="1:5" ht="15.5" x14ac:dyDescent="0.35">
      <c r="A46" s="31">
        <v>2231</v>
      </c>
      <c r="B46" s="22" t="s">
        <v>126</v>
      </c>
      <c r="C46" s="225"/>
      <c r="D46" s="228">
        <v>1.5499999999999999E-3</v>
      </c>
      <c r="E46" s="33">
        <v>0.54</v>
      </c>
    </row>
    <row r="47" spans="1:5" ht="15.5" x14ac:dyDescent="0.25">
      <c r="A47" s="31">
        <v>2235</v>
      </c>
      <c r="B47" s="75" t="s">
        <v>127</v>
      </c>
      <c r="C47" s="255"/>
      <c r="D47" s="228">
        <v>1.65E-3</v>
      </c>
      <c r="E47" s="33">
        <v>0.57999999999999996</v>
      </c>
    </row>
    <row r="48" spans="1:5" ht="15.5" x14ac:dyDescent="0.35">
      <c r="A48" s="31">
        <v>2239</v>
      </c>
      <c r="B48" s="22" t="s">
        <v>144</v>
      </c>
      <c r="C48" s="225"/>
      <c r="D48" s="228">
        <v>4.4099999999999999E-3</v>
      </c>
      <c r="E48" s="33">
        <v>1.55</v>
      </c>
    </row>
    <row r="49" spans="1:5" ht="15.5" x14ac:dyDescent="0.35">
      <c r="A49" s="31">
        <v>2241</v>
      </c>
      <c r="B49" s="22" t="s">
        <v>123</v>
      </c>
      <c r="C49" s="225"/>
      <c r="D49" s="228">
        <v>1.6500000000000001E-2</v>
      </c>
      <c r="E49" s="33">
        <v>5.87</v>
      </c>
    </row>
    <row r="50" spans="1:5" ht="15.5" x14ac:dyDescent="0.35">
      <c r="A50" s="31">
        <v>2242</v>
      </c>
      <c r="B50" s="62" t="s">
        <v>145</v>
      </c>
      <c r="C50" s="252"/>
      <c r="D50" s="228">
        <v>2.2599999999999999E-3</v>
      </c>
      <c r="E50" s="33">
        <v>0.79</v>
      </c>
    </row>
    <row r="51" spans="1:5" ht="15.5" x14ac:dyDescent="0.35">
      <c r="A51" s="31">
        <v>2243</v>
      </c>
      <c r="B51" s="22" t="s">
        <v>137</v>
      </c>
      <c r="C51" s="225"/>
      <c r="D51" s="228">
        <v>3.2599999999999997E-2</v>
      </c>
      <c r="E51" s="33">
        <v>11.44</v>
      </c>
    </row>
    <row r="52" spans="1:5" ht="15.5" x14ac:dyDescent="0.35">
      <c r="A52" s="31">
        <v>2244</v>
      </c>
      <c r="B52" s="22" t="s">
        <v>138</v>
      </c>
      <c r="C52" s="225"/>
      <c r="D52" s="228">
        <f>0.20397-0.09084</f>
        <v>0.11313000000000001</v>
      </c>
      <c r="E52" s="33">
        <v>39.700000000000003</v>
      </c>
    </row>
    <row r="53" spans="1:5" ht="15.5" x14ac:dyDescent="0.35">
      <c r="A53" s="106">
        <v>2247</v>
      </c>
      <c r="B53" s="104" t="s">
        <v>146</v>
      </c>
      <c r="C53" s="225"/>
      <c r="D53" s="228">
        <v>7.1900000000000002E-4</v>
      </c>
      <c r="E53" s="33">
        <v>0.25</v>
      </c>
    </row>
    <row r="54" spans="1:5" ht="15.5" x14ac:dyDescent="0.35">
      <c r="A54" s="31">
        <v>2249</v>
      </c>
      <c r="B54" s="22" t="s">
        <v>171</v>
      </c>
      <c r="C54" s="225"/>
      <c r="D54" s="228">
        <v>2.32E-4</v>
      </c>
      <c r="E54" s="33">
        <v>0.08</v>
      </c>
    </row>
    <row r="55" spans="1:5" ht="15.5" x14ac:dyDescent="0.35">
      <c r="A55" s="31">
        <v>2250</v>
      </c>
      <c r="B55" s="22" t="s">
        <v>124</v>
      </c>
      <c r="C55" s="225"/>
      <c r="D55" s="228">
        <f>0.024026-0.005</f>
        <v>1.9025999999999998E-2</v>
      </c>
      <c r="E55" s="33">
        <v>6.68</v>
      </c>
    </row>
    <row r="56" spans="1:5" ht="15.5" x14ac:dyDescent="0.35">
      <c r="A56" s="31">
        <v>2262</v>
      </c>
      <c r="B56" s="62" t="s">
        <v>148</v>
      </c>
      <c r="C56" s="252"/>
      <c r="D56" s="228">
        <v>6.2599999999999999E-3</v>
      </c>
      <c r="E56" s="33">
        <v>2.2000000000000002</v>
      </c>
    </row>
    <row r="57" spans="1:5" ht="15.5" x14ac:dyDescent="0.35">
      <c r="A57" s="31">
        <v>2263</v>
      </c>
      <c r="B57" s="62" t="s">
        <v>149</v>
      </c>
      <c r="C57" s="252"/>
      <c r="D57" s="228">
        <v>4.58E-2</v>
      </c>
      <c r="E57" s="33">
        <v>16.07</v>
      </c>
    </row>
    <row r="58" spans="1:5" ht="15.5" x14ac:dyDescent="0.35">
      <c r="A58" s="31">
        <v>2264</v>
      </c>
      <c r="B58" s="22" t="s">
        <v>150</v>
      </c>
      <c r="C58" s="225"/>
      <c r="D58" s="228">
        <v>1.49E-3</v>
      </c>
      <c r="E58" s="33">
        <v>0.52</v>
      </c>
    </row>
    <row r="59" spans="1:5" ht="15.5" x14ac:dyDescent="0.35">
      <c r="A59" s="31">
        <v>2311</v>
      </c>
      <c r="B59" s="62" t="s">
        <v>151</v>
      </c>
      <c r="C59" s="252"/>
      <c r="D59" s="228">
        <v>4.7699999999999999E-3</v>
      </c>
      <c r="E59" s="33">
        <v>1.67</v>
      </c>
    </row>
    <row r="60" spans="1:5" ht="15.5" x14ac:dyDescent="0.35">
      <c r="A60" s="31">
        <v>2312</v>
      </c>
      <c r="B60" s="62" t="s">
        <v>116</v>
      </c>
      <c r="C60" s="252"/>
      <c r="D60" s="228">
        <v>5.79E-3</v>
      </c>
      <c r="E60" s="33">
        <v>2.0299999999999998</v>
      </c>
    </row>
    <row r="61" spans="1:5" ht="15.5" x14ac:dyDescent="0.25">
      <c r="A61" s="31">
        <v>2314</v>
      </c>
      <c r="B61" s="75" t="s">
        <v>152</v>
      </c>
      <c r="C61" s="255"/>
      <c r="D61" s="228">
        <v>2.2200000000000002E-3</v>
      </c>
      <c r="E61" s="33">
        <v>0.78</v>
      </c>
    </row>
    <row r="62" spans="1:5" ht="15.5" x14ac:dyDescent="0.35">
      <c r="A62" s="31">
        <v>2321</v>
      </c>
      <c r="B62" s="62" t="s">
        <v>139</v>
      </c>
      <c r="C62" s="252"/>
      <c r="D62" s="228">
        <f>0.0198*1.2+0.005</f>
        <v>2.8760000000000001E-2</v>
      </c>
      <c r="E62" s="33">
        <v>10.09</v>
      </c>
    </row>
    <row r="63" spans="1:5" ht="15.5" x14ac:dyDescent="0.35">
      <c r="A63" s="31">
        <v>2322</v>
      </c>
      <c r="B63" s="62" t="s">
        <v>153</v>
      </c>
      <c r="C63" s="252"/>
      <c r="D63" s="228">
        <f>0.0035*1.2</f>
        <v>4.1999999999999997E-3</v>
      </c>
      <c r="E63" s="33">
        <v>1.47</v>
      </c>
    </row>
    <row r="64" spans="1:5" ht="15.5" x14ac:dyDescent="0.35">
      <c r="A64" s="31">
        <v>2341</v>
      </c>
      <c r="B64" s="62" t="s">
        <v>140</v>
      </c>
      <c r="C64" s="252"/>
      <c r="D64" s="228"/>
      <c r="E64" s="33">
        <f>D64*350.9</f>
        <v>0</v>
      </c>
    </row>
    <row r="65" spans="1:9" ht="15.5" x14ac:dyDescent="0.35">
      <c r="A65" s="31">
        <v>2350</v>
      </c>
      <c r="B65" s="61" t="s">
        <v>125</v>
      </c>
      <c r="C65" s="228"/>
      <c r="D65" s="228">
        <v>8.5000000000000006E-3</v>
      </c>
      <c r="E65" s="33">
        <v>2.98</v>
      </c>
    </row>
    <row r="66" spans="1:9" ht="15.75" customHeight="1" x14ac:dyDescent="0.35">
      <c r="A66" s="31">
        <v>2513</v>
      </c>
      <c r="B66" s="61" t="s">
        <v>121</v>
      </c>
      <c r="C66" s="228"/>
      <c r="D66" s="228">
        <v>1.4599999999999999E-3</v>
      </c>
      <c r="E66" s="33">
        <v>0.51</v>
      </c>
    </row>
    <row r="67" spans="1:9" ht="15.75" customHeight="1" x14ac:dyDescent="0.35">
      <c r="A67" s="31">
        <v>2515</v>
      </c>
      <c r="B67" s="62" t="s">
        <v>155</v>
      </c>
      <c r="C67" s="252"/>
      <c r="D67" s="228">
        <v>1.9E-3</v>
      </c>
      <c r="E67" s="33">
        <v>0.67</v>
      </c>
    </row>
    <row r="68" spans="1:9" ht="15.75" customHeight="1" x14ac:dyDescent="0.35">
      <c r="A68" s="31">
        <v>2519</v>
      </c>
      <c r="B68" s="62" t="s">
        <v>122</v>
      </c>
      <c r="C68" s="252"/>
      <c r="D68" s="228">
        <v>2E-3</v>
      </c>
      <c r="E68" s="33">
        <v>0.7</v>
      </c>
    </row>
    <row r="69" spans="1:9" ht="15.75" customHeight="1" x14ac:dyDescent="0.35">
      <c r="A69" s="31">
        <v>5220</v>
      </c>
      <c r="B69" s="62" t="s">
        <v>128</v>
      </c>
      <c r="C69" s="252"/>
      <c r="D69" s="228">
        <v>1.06E-2</v>
      </c>
      <c r="E69" s="33">
        <v>3.72</v>
      </c>
    </row>
    <row r="70" spans="1:9" ht="15.75" customHeight="1" x14ac:dyDescent="0.35">
      <c r="A70" s="31">
        <v>5238</v>
      </c>
      <c r="B70" s="61" t="s">
        <v>129</v>
      </c>
      <c r="C70" s="228"/>
      <c r="D70" s="228">
        <v>1.65E-3</v>
      </c>
      <c r="E70" s="33">
        <v>0.57999999999999996</v>
      </c>
    </row>
    <row r="71" spans="1:9" ht="15.75" customHeight="1" x14ac:dyDescent="0.35">
      <c r="A71" s="31">
        <v>5239</v>
      </c>
      <c r="B71" s="61" t="s">
        <v>130</v>
      </c>
      <c r="C71" s="228"/>
      <c r="D71" s="228">
        <v>9.5399999999999999E-3</v>
      </c>
      <c r="E71" s="33">
        <v>3.35</v>
      </c>
    </row>
    <row r="72" spans="1:9" ht="15.75" customHeight="1" x14ac:dyDescent="0.35">
      <c r="A72" s="31">
        <v>5250</v>
      </c>
      <c r="B72" s="62" t="s">
        <v>131</v>
      </c>
      <c r="C72" s="252"/>
      <c r="D72" s="228">
        <v>7.0600000000000003E-3</v>
      </c>
      <c r="E72" s="33">
        <v>2.48</v>
      </c>
    </row>
    <row r="73" spans="1:9" ht="15.5" x14ac:dyDescent="0.25">
      <c r="A73" s="38"/>
      <c r="B73" s="40" t="s">
        <v>8</v>
      </c>
      <c r="C73" s="244"/>
      <c r="D73" s="244">
        <f>SUM(D39:D72)</f>
        <v>1.00000255</v>
      </c>
      <c r="E73" s="37">
        <f>SUM(E39:E72)</f>
        <v>324.05</v>
      </c>
    </row>
    <row r="74" spans="1:9" ht="15.5" x14ac:dyDescent="0.25">
      <c r="A74" s="38"/>
      <c r="B74" s="40" t="s">
        <v>29</v>
      </c>
      <c r="C74" s="244"/>
      <c r="D74" s="244"/>
      <c r="E74" s="37">
        <f>E73+E37</f>
        <v>939.90000000000009</v>
      </c>
    </row>
    <row r="75" spans="1:9" ht="15.5" x14ac:dyDescent="0.35">
      <c r="A75" s="15"/>
      <c r="B75" s="25"/>
      <c r="C75" s="233"/>
      <c r="D75" s="233"/>
      <c r="E75" s="59"/>
    </row>
    <row r="76" spans="1:9" ht="15.5" x14ac:dyDescent="0.25">
      <c r="A76" s="419" t="s">
        <v>57</v>
      </c>
      <c r="B76" s="419"/>
      <c r="C76" s="220"/>
      <c r="D76" s="220"/>
      <c r="E76" s="67">
        <v>30</v>
      </c>
    </row>
    <row r="77" spans="1:9" ht="15.5" x14ac:dyDescent="0.3">
      <c r="A77" s="419" t="s">
        <v>58</v>
      </c>
      <c r="B77" s="419"/>
      <c r="C77" s="220"/>
      <c r="D77" s="220"/>
      <c r="E77" s="68">
        <f>E74/E76</f>
        <v>31.330000000000002</v>
      </c>
    </row>
    <row r="78" spans="1:9" ht="15.5" x14ac:dyDescent="0.35">
      <c r="A78" s="25"/>
      <c r="B78" s="26"/>
      <c r="C78" s="256"/>
      <c r="D78" s="256"/>
      <c r="E78" s="58"/>
    </row>
    <row r="79" spans="1:9" s="2" customFormat="1" ht="15.5" x14ac:dyDescent="0.35">
      <c r="A79" s="417" t="s">
        <v>33</v>
      </c>
      <c r="B79" s="417"/>
      <c r="C79" s="234"/>
      <c r="D79" s="257"/>
      <c r="E79" s="85"/>
      <c r="G79" s="7"/>
      <c r="H79" s="7"/>
      <c r="I79" s="7"/>
    </row>
    <row r="80" spans="1:9" s="2" customFormat="1" ht="15.5" x14ac:dyDescent="0.35">
      <c r="A80" s="417" t="s">
        <v>64</v>
      </c>
      <c r="B80" s="417"/>
      <c r="C80" s="234"/>
      <c r="D80" s="257"/>
      <c r="E80" s="27"/>
      <c r="G80" s="7"/>
      <c r="H80" s="7"/>
      <c r="I80" s="7"/>
    </row>
    <row r="81" spans="1:9" s="2" customFormat="1" ht="15.5" x14ac:dyDescent="0.35">
      <c r="A81" s="28"/>
      <c r="B81" s="28"/>
      <c r="C81" s="237"/>
      <c r="D81" s="237"/>
      <c r="E81" s="81"/>
      <c r="G81" s="7"/>
      <c r="H81" s="7"/>
      <c r="I81" s="7"/>
    </row>
    <row r="82" spans="1:9" s="2" customFormat="1" ht="15.5" x14ac:dyDescent="0.35">
      <c r="A82" s="28" t="s">
        <v>34</v>
      </c>
      <c r="B82" s="28"/>
      <c r="C82" s="237"/>
      <c r="D82" s="237"/>
      <c r="E82" s="81"/>
      <c r="G82" s="7"/>
      <c r="H82" s="7"/>
      <c r="I82" s="7"/>
    </row>
    <row r="83" spans="1:9" s="2" customFormat="1" ht="15.5" x14ac:dyDescent="0.35">
      <c r="A83" s="28"/>
      <c r="B83" s="28"/>
      <c r="C83" s="237"/>
      <c r="D83" s="237"/>
      <c r="E83" s="81"/>
      <c r="G83" s="7"/>
      <c r="H83" s="7"/>
      <c r="I83" s="7"/>
    </row>
    <row r="84" spans="1:9" s="2" customFormat="1" ht="15.5" x14ac:dyDescent="0.35">
      <c r="A84" s="28" t="s">
        <v>177</v>
      </c>
      <c r="B84" s="29"/>
      <c r="C84" s="238"/>
      <c r="D84" s="238"/>
      <c r="E84" s="81"/>
      <c r="G84" s="7"/>
      <c r="H84" s="7"/>
      <c r="I84" s="7"/>
    </row>
    <row r="85" spans="1:9" s="2" customFormat="1" ht="13.9" customHeight="1" x14ac:dyDescent="0.35">
      <c r="A85" s="28"/>
      <c r="B85" s="30"/>
      <c r="C85" s="250"/>
      <c r="D85" s="250"/>
      <c r="E85" s="28"/>
      <c r="G85" s="7"/>
      <c r="H85" s="7"/>
      <c r="I85" s="7"/>
    </row>
    <row r="86" spans="1:9" s="4" customFormat="1" ht="15.5" x14ac:dyDescent="0.35">
      <c r="A86" s="13"/>
      <c r="B86" s="13"/>
      <c r="C86" s="217"/>
      <c r="D86" s="217"/>
      <c r="E86" s="13"/>
      <c r="G86" s="7"/>
      <c r="H86" s="7"/>
      <c r="I86" s="7"/>
    </row>
  </sheetData>
  <mergeCells count="9">
    <mergeCell ref="A76:B76"/>
    <mergeCell ref="A77:B77"/>
    <mergeCell ref="A79:B79"/>
    <mergeCell ref="A80:B80"/>
    <mergeCell ref="A7:E7"/>
    <mergeCell ref="A9:B9"/>
    <mergeCell ref="A10:B10"/>
    <mergeCell ref="B12:E12"/>
    <mergeCell ref="B13:E13"/>
  </mergeCells>
  <hyperlinks>
    <hyperlink ref="A108" r:id="rId1" display="Inese.Kise@lm.gov.lv," xr:uid="{00000000-0004-0000-0E00-000000000000}"/>
  </hyperlinks>
  <pageMargins left="0.9453125" right="0.55118110236220474" top="0.52135416666666667" bottom="0.50416666666666665" header="0.31496062992125984" footer="0.31496062992125984"/>
  <pageSetup paperSize="9" scale="57" firstPageNumber="11" orientation="portrait" useFirstPageNumber="1" r:id="rId2"/>
  <headerFooter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E75"/>
  <sheetViews>
    <sheetView view="pageLayout" topLeftCell="A66" zoomScaleNormal="100" workbookViewId="0">
      <selection activeCell="A80" sqref="A80"/>
    </sheetView>
  </sheetViews>
  <sheetFormatPr defaultRowHeight="14" x14ac:dyDescent="0.3"/>
  <cols>
    <col min="1" max="1" width="12.54296875" style="4" customWidth="1"/>
    <col min="2" max="2" width="96" style="4" customWidth="1"/>
    <col min="3" max="3" width="32" style="4" customWidth="1"/>
  </cols>
  <sheetData>
    <row r="1" spans="1:3" ht="15.5" x14ac:dyDescent="0.35">
      <c r="A1" s="13"/>
      <c r="B1" s="14"/>
      <c r="C1" s="53" t="s">
        <v>10</v>
      </c>
    </row>
    <row r="2" spans="1:3" ht="15.5" x14ac:dyDescent="0.35">
      <c r="A2" s="13"/>
      <c r="B2" s="14"/>
      <c r="C2" s="54" t="s">
        <v>32</v>
      </c>
    </row>
    <row r="3" spans="1:3" ht="15.5" x14ac:dyDescent="0.35">
      <c r="A3" s="13"/>
      <c r="B3" s="14"/>
      <c r="C3" s="64" t="s">
        <v>117</v>
      </c>
    </row>
    <row r="4" spans="1:3" ht="15.5" x14ac:dyDescent="0.35">
      <c r="A4" s="13"/>
      <c r="B4" s="14"/>
      <c r="C4" s="63"/>
    </row>
    <row r="5" spans="1:3" ht="15.5" x14ac:dyDescent="0.35">
      <c r="A5" s="13"/>
      <c r="B5" s="17"/>
      <c r="C5" s="63" t="s">
        <v>118</v>
      </c>
    </row>
    <row r="6" spans="1:3" ht="15.5" x14ac:dyDescent="0.35">
      <c r="A6" s="13"/>
      <c r="B6" s="13"/>
      <c r="C6" s="25"/>
    </row>
    <row r="7" spans="1:3" ht="17.5" x14ac:dyDescent="0.35">
      <c r="A7" s="420" t="s">
        <v>9</v>
      </c>
      <c r="B7" s="420"/>
      <c r="C7" s="420"/>
    </row>
    <row r="8" spans="1:3" ht="15.5" x14ac:dyDescent="0.35">
      <c r="A8" s="13"/>
      <c r="B8" s="18"/>
      <c r="C8" s="25"/>
    </row>
    <row r="9" spans="1:3" ht="15.5" x14ac:dyDescent="0.35">
      <c r="A9" s="419" t="s">
        <v>1</v>
      </c>
      <c r="B9" s="419"/>
      <c r="C9" s="25"/>
    </row>
    <row r="10" spans="1:3" ht="15.5" x14ac:dyDescent="0.35">
      <c r="A10" s="419" t="s">
        <v>0</v>
      </c>
      <c r="B10" s="419"/>
      <c r="C10" s="25"/>
    </row>
    <row r="11" spans="1:3" ht="15.5" x14ac:dyDescent="0.35">
      <c r="A11" s="11"/>
      <c r="B11" s="11" t="s">
        <v>31</v>
      </c>
      <c r="C11" s="25"/>
    </row>
    <row r="12" spans="1:3" ht="15.5" x14ac:dyDescent="0.35">
      <c r="A12" s="11"/>
      <c r="B12" s="419" t="s">
        <v>115</v>
      </c>
      <c r="C12" s="432"/>
    </row>
    <row r="13" spans="1:3" ht="15.5" x14ac:dyDescent="0.35">
      <c r="A13" s="11"/>
      <c r="B13" s="419" t="s">
        <v>89</v>
      </c>
      <c r="C13" s="432"/>
    </row>
    <row r="14" spans="1:3" ht="15.5" x14ac:dyDescent="0.25">
      <c r="A14" s="12" t="s">
        <v>2</v>
      </c>
      <c r="B14" s="11" t="str">
        <f>'4.3.2.'!B14</f>
        <v>2023.gadā un turpmāk</v>
      </c>
      <c r="C14" s="47"/>
    </row>
    <row r="15" spans="1:3" ht="46.5" x14ac:dyDescent="0.25">
      <c r="A15" s="51" t="s">
        <v>3</v>
      </c>
      <c r="B15" s="51" t="s">
        <v>4</v>
      </c>
      <c r="C15" s="51" t="s">
        <v>63</v>
      </c>
    </row>
    <row r="16" spans="1:3" ht="15" x14ac:dyDescent="0.25">
      <c r="A16" s="41">
        <v>1</v>
      </c>
      <c r="B16" s="48">
        <v>2</v>
      </c>
      <c r="C16" s="48">
        <v>3</v>
      </c>
    </row>
    <row r="17" spans="1:5" ht="15.5" x14ac:dyDescent="0.25">
      <c r="A17" s="41"/>
      <c r="B17" s="39" t="s">
        <v>5</v>
      </c>
      <c r="C17" s="31"/>
    </row>
    <row r="18" spans="1:5" s="8" customFormat="1" ht="15.5" x14ac:dyDescent="0.25">
      <c r="A18" s="31">
        <v>1100</v>
      </c>
      <c r="B18" s="31" t="s">
        <v>68</v>
      </c>
      <c r="C18" s="33">
        <v>52.66</v>
      </c>
      <c r="E18"/>
    </row>
    <row r="19" spans="1:5" s="8" customFormat="1" ht="31" x14ac:dyDescent="0.25">
      <c r="A19" s="31">
        <v>1200</v>
      </c>
      <c r="B19" s="32" t="s">
        <v>69</v>
      </c>
      <c r="C19" s="33">
        <v>12.69</v>
      </c>
      <c r="E19"/>
    </row>
    <row r="20" spans="1:5" s="8" customFormat="1" ht="15.5" x14ac:dyDescent="0.25">
      <c r="A20" s="31">
        <v>2219</v>
      </c>
      <c r="B20" s="31" t="s">
        <v>77</v>
      </c>
      <c r="C20" s="33">
        <v>0.97</v>
      </c>
      <c r="E20"/>
    </row>
    <row r="21" spans="1:5" ht="15.75" customHeight="1" x14ac:dyDescent="0.25">
      <c r="A21" s="31">
        <v>2222</v>
      </c>
      <c r="B21" s="32" t="s">
        <v>26</v>
      </c>
      <c r="C21" s="33">
        <v>29.19</v>
      </c>
    </row>
    <row r="22" spans="1:5" ht="15.5" x14ac:dyDescent="0.25">
      <c r="A22" s="31">
        <v>2223</v>
      </c>
      <c r="B22" s="32" t="s">
        <v>27</v>
      </c>
      <c r="C22" s="33">
        <v>32.92</v>
      </c>
    </row>
    <row r="23" spans="1:5" ht="15.5" x14ac:dyDescent="0.25">
      <c r="A23" s="31">
        <v>2243</v>
      </c>
      <c r="B23" s="32" t="s">
        <v>78</v>
      </c>
      <c r="C23" s="33">
        <v>0.45</v>
      </c>
    </row>
    <row r="24" spans="1:5" ht="15.5" x14ac:dyDescent="0.25">
      <c r="A24" s="31">
        <v>2244</v>
      </c>
      <c r="B24" s="32" t="s">
        <v>14</v>
      </c>
      <c r="C24" s="33">
        <v>50.57</v>
      </c>
    </row>
    <row r="25" spans="1:5" ht="15.5" hidden="1" x14ac:dyDescent="0.25">
      <c r="A25" s="31">
        <v>2249</v>
      </c>
      <c r="B25" s="32" t="s">
        <v>79</v>
      </c>
      <c r="C25" s="33">
        <v>0</v>
      </c>
    </row>
    <row r="26" spans="1:5" ht="15.5" x14ac:dyDescent="0.25">
      <c r="A26" s="31">
        <v>2263</v>
      </c>
      <c r="B26" s="32" t="s">
        <v>80</v>
      </c>
      <c r="C26" s="33">
        <v>9.2200000000000006</v>
      </c>
    </row>
    <row r="27" spans="1:5" ht="15.5" x14ac:dyDescent="0.25">
      <c r="A27" s="31">
        <v>2264</v>
      </c>
      <c r="B27" s="32" t="s">
        <v>81</v>
      </c>
      <c r="C27" s="33">
        <v>0.06</v>
      </c>
    </row>
    <row r="28" spans="1:5" ht="15.5" x14ac:dyDescent="0.25">
      <c r="A28" s="31">
        <v>2279</v>
      </c>
      <c r="B28" s="32" t="s">
        <v>16</v>
      </c>
      <c r="C28" s="33">
        <v>5.0599999999999996</v>
      </c>
    </row>
    <row r="29" spans="1:5" ht="15.5" x14ac:dyDescent="0.25">
      <c r="A29" s="31">
        <v>2321</v>
      </c>
      <c r="B29" s="32" t="s">
        <v>19</v>
      </c>
      <c r="C29" s="33">
        <v>45.16</v>
      </c>
    </row>
    <row r="30" spans="1:5" ht="15.5" x14ac:dyDescent="0.25">
      <c r="A30" s="31">
        <v>2363</v>
      </c>
      <c r="B30" s="32" t="s">
        <v>82</v>
      </c>
      <c r="C30" s="33">
        <v>54</v>
      </c>
    </row>
    <row r="31" spans="1:5" ht="15.5" x14ac:dyDescent="0.25">
      <c r="A31" s="31">
        <v>2513</v>
      </c>
      <c r="B31" s="32" t="s">
        <v>23</v>
      </c>
      <c r="C31" s="33">
        <v>1.17</v>
      </c>
    </row>
    <row r="32" spans="1:5" ht="16.5" customHeight="1" x14ac:dyDescent="0.25">
      <c r="A32" s="31">
        <v>2519</v>
      </c>
      <c r="B32" s="32" t="s">
        <v>25</v>
      </c>
      <c r="C32" s="33">
        <v>0.65</v>
      </c>
    </row>
    <row r="33" spans="1:3" ht="15.5" x14ac:dyDescent="0.25">
      <c r="A33" s="31"/>
      <c r="B33" s="36" t="s">
        <v>6</v>
      </c>
      <c r="C33" s="37">
        <f>SUM(C18:C32)</f>
        <v>294.77</v>
      </c>
    </row>
    <row r="34" spans="1:3" ht="15.75" customHeight="1" x14ac:dyDescent="0.25">
      <c r="A34" s="38"/>
      <c r="B34" s="31" t="s">
        <v>7</v>
      </c>
      <c r="C34" s="33"/>
    </row>
    <row r="35" spans="1:3" ht="15.5" x14ac:dyDescent="0.25">
      <c r="A35" s="31">
        <v>1100</v>
      </c>
      <c r="B35" s="31" t="s">
        <v>68</v>
      </c>
      <c r="C35" s="33">
        <v>57.79</v>
      </c>
    </row>
    <row r="36" spans="1:3" ht="15.75" customHeight="1" x14ac:dyDescent="0.25">
      <c r="A36" s="31">
        <v>1200</v>
      </c>
      <c r="B36" s="32" t="s">
        <v>69</v>
      </c>
      <c r="C36" s="33">
        <v>13.92</v>
      </c>
    </row>
    <row r="37" spans="1:3" ht="15.5" x14ac:dyDescent="0.25">
      <c r="A37" s="31">
        <v>2219</v>
      </c>
      <c r="B37" s="31" t="s">
        <v>77</v>
      </c>
      <c r="C37" s="33">
        <v>1.56</v>
      </c>
    </row>
    <row r="38" spans="1:3" ht="15.5" x14ac:dyDescent="0.25">
      <c r="A38" s="31">
        <v>2234</v>
      </c>
      <c r="B38" s="32" t="s">
        <v>74</v>
      </c>
      <c r="C38" s="33">
        <v>0.13</v>
      </c>
    </row>
    <row r="39" spans="1:3" ht="15.75" customHeight="1" x14ac:dyDescent="0.25">
      <c r="A39" s="31">
        <v>2239</v>
      </c>
      <c r="B39" s="32" t="s">
        <v>75</v>
      </c>
      <c r="C39" s="33">
        <v>0.65</v>
      </c>
    </row>
    <row r="40" spans="1:3" ht="15.5" x14ac:dyDescent="0.25">
      <c r="A40" s="31">
        <v>2241</v>
      </c>
      <c r="B40" s="32" t="s">
        <v>83</v>
      </c>
      <c r="C40" s="33">
        <v>0.13</v>
      </c>
    </row>
    <row r="41" spans="1:3" ht="15.5" hidden="1" x14ac:dyDescent="0.25">
      <c r="A41" s="31">
        <v>2242</v>
      </c>
      <c r="B41" s="32" t="s">
        <v>12</v>
      </c>
      <c r="C41" s="33">
        <v>0</v>
      </c>
    </row>
    <row r="42" spans="1:3" ht="15.5" x14ac:dyDescent="0.25">
      <c r="A42" s="31">
        <v>2243</v>
      </c>
      <c r="B42" s="32" t="s">
        <v>13</v>
      </c>
      <c r="C42" s="33">
        <v>0.52</v>
      </c>
    </row>
    <row r="43" spans="1:3" ht="15.5" x14ac:dyDescent="0.25">
      <c r="A43" s="31">
        <v>2244</v>
      </c>
      <c r="B43" s="32" t="s">
        <v>14</v>
      </c>
      <c r="C43" s="33">
        <v>8.76</v>
      </c>
    </row>
    <row r="44" spans="1:3" ht="15.5" x14ac:dyDescent="0.25">
      <c r="A44" s="31">
        <v>2247</v>
      </c>
      <c r="B44" s="39" t="s">
        <v>71</v>
      </c>
      <c r="C44" s="33">
        <v>0.2</v>
      </c>
    </row>
    <row r="45" spans="1:3" ht="15.5" x14ac:dyDescent="0.25">
      <c r="A45" s="31">
        <v>2251</v>
      </c>
      <c r="B45" s="32" t="s">
        <v>70</v>
      </c>
      <c r="C45" s="33">
        <v>7.1</v>
      </c>
    </row>
    <row r="46" spans="1:3" ht="15.5" x14ac:dyDescent="0.25">
      <c r="A46" s="31">
        <v>2259</v>
      </c>
      <c r="B46" s="32" t="s">
        <v>72</v>
      </c>
      <c r="C46" s="33">
        <v>0.06</v>
      </c>
    </row>
    <row r="47" spans="1:3" ht="15.5" x14ac:dyDescent="0.25">
      <c r="A47" s="31">
        <v>2262</v>
      </c>
      <c r="B47" s="32" t="s">
        <v>15</v>
      </c>
      <c r="C47" s="33">
        <v>1.23</v>
      </c>
    </row>
    <row r="48" spans="1:3" ht="15.5" x14ac:dyDescent="0.25">
      <c r="A48" s="31">
        <v>2264</v>
      </c>
      <c r="B48" s="32" t="s">
        <v>81</v>
      </c>
      <c r="C48" s="33">
        <v>0.06</v>
      </c>
    </row>
    <row r="49" spans="1:3" ht="15.5" x14ac:dyDescent="0.25">
      <c r="A49" s="31">
        <v>2279</v>
      </c>
      <c r="B49" s="32" t="s">
        <v>16</v>
      </c>
      <c r="C49" s="33">
        <v>0.13</v>
      </c>
    </row>
    <row r="50" spans="1:3" ht="15.5" x14ac:dyDescent="0.25">
      <c r="A50" s="31">
        <v>2311</v>
      </c>
      <c r="B50" s="32" t="s">
        <v>17</v>
      </c>
      <c r="C50" s="33">
        <v>0.65</v>
      </c>
    </row>
    <row r="51" spans="1:3" ht="15.5" x14ac:dyDescent="0.25">
      <c r="A51" s="31">
        <v>2312</v>
      </c>
      <c r="B51" s="32" t="s">
        <v>18</v>
      </c>
      <c r="C51" s="33">
        <v>0.2</v>
      </c>
    </row>
    <row r="52" spans="1:3" ht="15.5" x14ac:dyDescent="0.25">
      <c r="A52" s="31">
        <v>2322</v>
      </c>
      <c r="B52" s="32" t="s">
        <v>20</v>
      </c>
      <c r="C52" s="33">
        <v>2.59</v>
      </c>
    </row>
    <row r="53" spans="1:3" ht="15.5" x14ac:dyDescent="0.25">
      <c r="A53" s="31">
        <v>2350</v>
      </c>
      <c r="B53" s="32" t="s">
        <v>21</v>
      </c>
      <c r="C53" s="33">
        <v>8.6199999999999992</v>
      </c>
    </row>
    <row r="54" spans="1:3" ht="15.5" x14ac:dyDescent="0.25">
      <c r="A54" s="31">
        <v>2361</v>
      </c>
      <c r="B54" s="32" t="s">
        <v>22</v>
      </c>
      <c r="C54" s="33">
        <v>0.97</v>
      </c>
    </row>
    <row r="55" spans="1:3" ht="15.5" x14ac:dyDescent="0.25">
      <c r="A55" s="31">
        <v>2362</v>
      </c>
      <c r="B55" s="32" t="s">
        <v>43</v>
      </c>
      <c r="C55" s="33">
        <v>1.6</v>
      </c>
    </row>
    <row r="56" spans="1:3" ht="15.5" x14ac:dyDescent="0.25">
      <c r="A56" s="31">
        <v>2400</v>
      </c>
      <c r="B56" s="32" t="s">
        <v>28</v>
      </c>
      <c r="C56" s="33">
        <v>0.2</v>
      </c>
    </row>
    <row r="57" spans="1:3" ht="15.5" x14ac:dyDescent="0.25">
      <c r="A57" s="31">
        <v>2512</v>
      </c>
      <c r="B57" s="32" t="s">
        <v>30</v>
      </c>
      <c r="C57" s="33">
        <v>50.1</v>
      </c>
    </row>
    <row r="58" spans="1:3" ht="15.5" x14ac:dyDescent="0.25">
      <c r="A58" s="31">
        <v>2515</v>
      </c>
      <c r="B58" s="32" t="s">
        <v>73</v>
      </c>
      <c r="C58" s="33">
        <v>0.26</v>
      </c>
    </row>
    <row r="59" spans="1:3" ht="15.5" x14ac:dyDescent="0.25">
      <c r="A59" s="31">
        <v>2519</v>
      </c>
      <c r="B59" s="32" t="s">
        <v>25</v>
      </c>
      <c r="C59" s="33">
        <v>0.06</v>
      </c>
    </row>
    <row r="60" spans="1:3" ht="15.5" x14ac:dyDescent="0.25">
      <c r="A60" s="31">
        <v>5232</v>
      </c>
      <c r="B60" s="32" t="s">
        <v>24</v>
      </c>
      <c r="C60" s="33">
        <v>11.93</v>
      </c>
    </row>
    <row r="61" spans="1:3" ht="15.5" x14ac:dyDescent="0.25">
      <c r="A61" s="31">
        <v>5240</v>
      </c>
      <c r="B61" s="32" t="s">
        <v>84</v>
      </c>
      <c r="C61" s="33">
        <v>1.49</v>
      </c>
    </row>
    <row r="62" spans="1:3" ht="15.75" customHeight="1" x14ac:dyDescent="0.25">
      <c r="A62" s="31">
        <v>5250</v>
      </c>
      <c r="B62" s="32" t="s">
        <v>85</v>
      </c>
      <c r="C62" s="33">
        <v>2.62</v>
      </c>
    </row>
    <row r="63" spans="1:3" ht="15.5" x14ac:dyDescent="0.25">
      <c r="A63" s="38"/>
      <c r="B63" s="40" t="s">
        <v>8</v>
      </c>
      <c r="C63" s="37">
        <f>SUM(C35:C62)</f>
        <v>173.53000000000003</v>
      </c>
    </row>
    <row r="64" spans="1:3" ht="15.5" x14ac:dyDescent="0.25">
      <c r="A64" s="38"/>
      <c r="B64" s="40" t="s">
        <v>29</v>
      </c>
      <c r="C64" s="37">
        <f>C63+C33</f>
        <v>468.3</v>
      </c>
    </row>
    <row r="65" spans="1:3" ht="15.5" x14ac:dyDescent="0.35">
      <c r="A65" s="15"/>
      <c r="B65" s="25"/>
      <c r="C65" s="26"/>
    </row>
    <row r="66" spans="1:3" ht="15.5" x14ac:dyDescent="0.25">
      <c r="A66" s="419" t="s">
        <v>57</v>
      </c>
      <c r="B66" s="419"/>
      <c r="C66" s="67">
        <v>30</v>
      </c>
    </row>
    <row r="67" spans="1:3" ht="15.5" x14ac:dyDescent="0.3">
      <c r="A67" s="419" t="s">
        <v>58</v>
      </c>
      <c r="B67" s="419"/>
      <c r="C67" s="68">
        <f>C64/C66</f>
        <v>15.610000000000001</v>
      </c>
    </row>
    <row r="68" spans="1:3" ht="15.5" x14ac:dyDescent="0.35">
      <c r="A68" s="25"/>
      <c r="B68" s="26"/>
      <c r="C68" s="58"/>
    </row>
    <row r="69" spans="1:3" ht="15.5" x14ac:dyDescent="0.35">
      <c r="A69" s="430" t="s">
        <v>33</v>
      </c>
      <c r="B69" s="431"/>
      <c r="C69" s="27"/>
    </row>
    <row r="70" spans="1:3" ht="15.5" x14ac:dyDescent="0.35">
      <c r="A70" s="430" t="s">
        <v>64</v>
      </c>
      <c r="B70" s="431"/>
      <c r="C70" s="27"/>
    </row>
    <row r="71" spans="1:3" ht="15.5" x14ac:dyDescent="0.35">
      <c r="A71" s="28"/>
      <c r="B71" s="28"/>
      <c r="C71" s="28"/>
    </row>
    <row r="72" spans="1:3" ht="15.5" x14ac:dyDescent="0.35">
      <c r="A72" s="28" t="s">
        <v>34</v>
      </c>
      <c r="B72" s="28"/>
      <c r="C72" s="28"/>
    </row>
    <row r="73" spans="1:3" ht="15.5" x14ac:dyDescent="0.35">
      <c r="A73" s="28"/>
      <c r="B73" s="28"/>
      <c r="C73" s="28"/>
    </row>
    <row r="74" spans="1:3" ht="15.5" x14ac:dyDescent="0.35">
      <c r="A74" s="28" t="s">
        <v>59</v>
      </c>
      <c r="B74" s="29"/>
      <c r="C74" s="28"/>
    </row>
    <row r="75" spans="1:3" ht="15.5" x14ac:dyDescent="0.35">
      <c r="A75" s="28"/>
      <c r="B75" s="30"/>
      <c r="C75" s="28"/>
    </row>
  </sheetData>
  <mergeCells count="9">
    <mergeCell ref="A67:B67"/>
    <mergeCell ref="A69:B69"/>
    <mergeCell ref="A70:B70"/>
    <mergeCell ref="A7:C7"/>
    <mergeCell ref="A9:B9"/>
    <mergeCell ref="A10:B10"/>
    <mergeCell ref="B12:C12"/>
    <mergeCell ref="B13:C13"/>
    <mergeCell ref="A66:B66"/>
  </mergeCells>
  <hyperlinks>
    <hyperlink ref="A107" r:id="rId1" display="Inese.Kise@lm.gov.lv," xr:uid="{00000000-0004-0000-0F00-000000000000}"/>
  </hyperlinks>
  <pageMargins left="0.7" right="0.7" top="0.75" bottom="0.75" header="0.3" footer="0.3"/>
  <pageSetup paperSize="9" scale="63" fitToHeight="0" orientation="portrait" r:id="rId2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C75"/>
  <sheetViews>
    <sheetView view="pageLayout" topLeftCell="A60" zoomScaleNormal="100" workbookViewId="0">
      <selection activeCell="B76" sqref="B75:B76"/>
    </sheetView>
  </sheetViews>
  <sheetFormatPr defaultRowHeight="14" x14ac:dyDescent="0.3"/>
  <cols>
    <col min="1" max="1" width="13.26953125" style="4" customWidth="1"/>
    <col min="2" max="2" width="99.7265625" style="4" customWidth="1"/>
    <col min="3" max="3" width="32.26953125" style="4" customWidth="1"/>
  </cols>
  <sheetData>
    <row r="1" spans="1:3" ht="15.5" x14ac:dyDescent="0.35">
      <c r="A1" s="13"/>
      <c r="B1" s="14"/>
      <c r="C1" s="53" t="s">
        <v>10</v>
      </c>
    </row>
    <row r="2" spans="1:3" ht="15.5" x14ac:dyDescent="0.35">
      <c r="A2" s="13"/>
      <c r="B2" s="14"/>
      <c r="C2" s="54" t="s">
        <v>32</v>
      </c>
    </row>
    <row r="3" spans="1:3" ht="15.5" x14ac:dyDescent="0.35">
      <c r="A3" s="13"/>
      <c r="B3" s="14"/>
      <c r="C3" s="64" t="s">
        <v>117</v>
      </c>
    </row>
    <row r="4" spans="1:3" ht="15.5" x14ac:dyDescent="0.35">
      <c r="A4" s="13"/>
      <c r="B4" s="14"/>
      <c r="C4" s="63"/>
    </row>
    <row r="5" spans="1:3" ht="15.5" x14ac:dyDescent="0.35">
      <c r="A5" s="13"/>
      <c r="B5" s="17"/>
      <c r="C5" s="63" t="s">
        <v>118</v>
      </c>
    </row>
    <row r="6" spans="1:3" ht="15.5" x14ac:dyDescent="0.35">
      <c r="A6" s="13"/>
      <c r="B6" s="13"/>
      <c r="C6" s="25"/>
    </row>
    <row r="7" spans="1:3" ht="17.5" x14ac:dyDescent="0.35">
      <c r="A7" s="420" t="s">
        <v>9</v>
      </c>
      <c r="B7" s="420"/>
      <c r="C7" s="420"/>
    </row>
    <row r="8" spans="1:3" ht="15.5" x14ac:dyDescent="0.35">
      <c r="A8" s="13"/>
      <c r="B8" s="18"/>
      <c r="C8" s="25"/>
    </row>
    <row r="9" spans="1:3" ht="15.5" x14ac:dyDescent="0.35">
      <c r="A9" s="419" t="s">
        <v>1</v>
      </c>
      <c r="B9" s="419"/>
      <c r="C9" s="25"/>
    </row>
    <row r="10" spans="1:3" ht="15.5" x14ac:dyDescent="0.35">
      <c r="A10" s="419" t="s">
        <v>0</v>
      </c>
      <c r="B10" s="419"/>
      <c r="C10" s="25"/>
    </row>
    <row r="11" spans="1:3" ht="15.5" x14ac:dyDescent="0.35">
      <c r="A11" s="11"/>
      <c r="B11" s="11" t="s">
        <v>31</v>
      </c>
      <c r="C11" s="25"/>
    </row>
    <row r="12" spans="1:3" ht="15.5" x14ac:dyDescent="0.35">
      <c r="A12" s="11"/>
      <c r="B12" s="419" t="s">
        <v>115</v>
      </c>
      <c r="C12" s="432"/>
    </row>
    <row r="13" spans="1:3" ht="15.5" x14ac:dyDescent="0.35">
      <c r="A13" s="11"/>
      <c r="B13" s="419" t="s">
        <v>90</v>
      </c>
      <c r="C13" s="432"/>
    </row>
    <row r="14" spans="1:3" ht="15.5" x14ac:dyDescent="0.25">
      <c r="A14" s="12" t="s">
        <v>2</v>
      </c>
      <c r="B14" s="11" t="str">
        <f>'7.5.3.vec'!B14</f>
        <v>2023.gadā un turpmāk</v>
      </c>
      <c r="C14" s="47"/>
    </row>
    <row r="15" spans="1:3" ht="46.5" x14ac:dyDescent="0.25">
      <c r="A15" s="51" t="s">
        <v>3</v>
      </c>
      <c r="B15" s="51" t="s">
        <v>4</v>
      </c>
      <c r="C15" s="51" t="s">
        <v>63</v>
      </c>
    </row>
    <row r="16" spans="1:3" ht="15" x14ac:dyDescent="0.25">
      <c r="A16" s="41">
        <v>1</v>
      </c>
      <c r="B16" s="48">
        <v>2</v>
      </c>
      <c r="C16" s="48">
        <v>3</v>
      </c>
    </row>
    <row r="17" spans="1:3" ht="15.5" x14ac:dyDescent="0.25">
      <c r="A17" s="41"/>
      <c r="B17" s="39" t="s">
        <v>5</v>
      </c>
      <c r="C17" s="31"/>
    </row>
    <row r="18" spans="1:3" ht="15.5" x14ac:dyDescent="0.25">
      <c r="A18" s="31">
        <v>1100</v>
      </c>
      <c r="B18" s="31" t="s">
        <v>68</v>
      </c>
      <c r="C18" s="33">
        <v>63.2</v>
      </c>
    </row>
    <row r="19" spans="1:3" ht="15.5" x14ac:dyDescent="0.25">
      <c r="A19" s="31">
        <v>1200</v>
      </c>
      <c r="B19" s="32" t="s">
        <v>69</v>
      </c>
      <c r="C19" s="33">
        <v>15.23</v>
      </c>
    </row>
    <row r="20" spans="1:3" ht="15.5" x14ac:dyDescent="0.25">
      <c r="A20" s="31">
        <v>2219</v>
      </c>
      <c r="B20" s="31" t="s">
        <v>77</v>
      </c>
      <c r="C20" s="33">
        <v>1.1599999999999999</v>
      </c>
    </row>
    <row r="21" spans="1:3" ht="15.5" x14ac:dyDescent="0.25">
      <c r="A21" s="31">
        <v>2222</v>
      </c>
      <c r="B21" s="32" t="s">
        <v>26</v>
      </c>
      <c r="C21" s="33">
        <v>35.03</v>
      </c>
    </row>
    <row r="22" spans="1:3" ht="15.5" x14ac:dyDescent="0.25">
      <c r="A22" s="31">
        <v>2223</v>
      </c>
      <c r="B22" s="32" t="s">
        <v>27</v>
      </c>
      <c r="C22" s="33">
        <v>39.51</v>
      </c>
    </row>
    <row r="23" spans="1:3" ht="15.5" x14ac:dyDescent="0.25">
      <c r="A23" s="31">
        <v>2243</v>
      </c>
      <c r="B23" s="32" t="s">
        <v>78</v>
      </c>
      <c r="C23" s="33">
        <v>0.54</v>
      </c>
    </row>
    <row r="24" spans="1:3" ht="15.5" x14ac:dyDescent="0.25">
      <c r="A24" s="31">
        <v>2244</v>
      </c>
      <c r="B24" s="32" t="s">
        <v>14</v>
      </c>
      <c r="C24" s="33">
        <v>63</v>
      </c>
    </row>
    <row r="25" spans="1:3" ht="15.5" hidden="1" x14ac:dyDescent="0.25">
      <c r="A25" s="31">
        <v>2249</v>
      </c>
      <c r="B25" s="32" t="s">
        <v>79</v>
      </c>
      <c r="C25" s="33">
        <v>0</v>
      </c>
    </row>
    <row r="26" spans="1:3" ht="15.5" x14ac:dyDescent="0.25">
      <c r="A26" s="31">
        <v>2263</v>
      </c>
      <c r="B26" s="32" t="s">
        <v>80</v>
      </c>
      <c r="C26" s="33">
        <v>11.06</v>
      </c>
    </row>
    <row r="27" spans="1:3" ht="15.5" x14ac:dyDescent="0.25">
      <c r="A27" s="31">
        <v>2264</v>
      </c>
      <c r="B27" s="32" t="s">
        <v>81</v>
      </c>
      <c r="C27" s="33">
        <v>7.0000000000000007E-2</v>
      </c>
    </row>
    <row r="28" spans="1:3" ht="15.5" x14ac:dyDescent="0.25">
      <c r="A28" s="31">
        <v>2279</v>
      </c>
      <c r="B28" s="32" t="s">
        <v>16</v>
      </c>
      <c r="C28" s="33">
        <v>6.07</v>
      </c>
    </row>
    <row r="29" spans="1:3" ht="15.5" x14ac:dyDescent="0.25">
      <c r="A29" s="31">
        <v>2321</v>
      </c>
      <c r="B29" s="32" t="s">
        <v>19</v>
      </c>
      <c r="C29" s="33">
        <v>54.19</v>
      </c>
    </row>
    <row r="30" spans="1:3" ht="15.5" x14ac:dyDescent="0.25">
      <c r="A30" s="31">
        <v>2363</v>
      </c>
      <c r="B30" s="32" t="s">
        <v>82</v>
      </c>
      <c r="C30" s="33">
        <v>117.6</v>
      </c>
    </row>
    <row r="31" spans="1:3" ht="15.5" x14ac:dyDescent="0.25">
      <c r="A31" s="31">
        <v>2513</v>
      </c>
      <c r="B31" s="32" t="s">
        <v>23</v>
      </c>
      <c r="C31" s="33">
        <v>1.4</v>
      </c>
    </row>
    <row r="32" spans="1:3" ht="15.5" x14ac:dyDescent="0.25">
      <c r="A32" s="31">
        <v>2519</v>
      </c>
      <c r="B32" s="32" t="s">
        <v>25</v>
      </c>
      <c r="C32" s="33">
        <v>0.78</v>
      </c>
    </row>
    <row r="33" spans="1:3" ht="15.5" x14ac:dyDescent="0.25">
      <c r="A33" s="31"/>
      <c r="B33" s="36" t="s">
        <v>6</v>
      </c>
      <c r="C33" s="37">
        <f>SUM(C18:C32)</f>
        <v>408.83999999999992</v>
      </c>
    </row>
    <row r="34" spans="1:3" ht="15.5" x14ac:dyDescent="0.25">
      <c r="A34" s="38"/>
      <c r="B34" s="31" t="s">
        <v>7</v>
      </c>
      <c r="C34" s="33"/>
    </row>
    <row r="35" spans="1:3" ht="15.5" x14ac:dyDescent="0.25">
      <c r="A35" s="31">
        <v>1100</v>
      </c>
      <c r="B35" s="31" t="s">
        <v>68</v>
      </c>
      <c r="C35" s="33">
        <v>63.57</v>
      </c>
    </row>
    <row r="36" spans="1:3" ht="15.5" x14ac:dyDescent="0.25">
      <c r="A36" s="31">
        <v>1200</v>
      </c>
      <c r="B36" s="32" t="s">
        <v>69</v>
      </c>
      <c r="C36" s="33">
        <v>15.31</v>
      </c>
    </row>
    <row r="37" spans="1:3" ht="15.5" x14ac:dyDescent="0.25">
      <c r="A37" s="31">
        <v>2219</v>
      </c>
      <c r="B37" s="31" t="s">
        <v>77</v>
      </c>
      <c r="C37" s="33">
        <v>1.87</v>
      </c>
    </row>
    <row r="38" spans="1:3" ht="15.5" x14ac:dyDescent="0.25">
      <c r="A38" s="31">
        <v>2234</v>
      </c>
      <c r="B38" s="32" t="s">
        <v>74</v>
      </c>
      <c r="C38" s="33">
        <v>0.16</v>
      </c>
    </row>
    <row r="39" spans="1:3" ht="15.5" x14ac:dyDescent="0.25">
      <c r="A39" s="31">
        <v>2239</v>
      </c>
      <c r="B39" s="32" t="s">
        <v>75</v>
      </c>
      <c r="C39" s="33">
        <v>0.78</v>
      </c>
    </row>
    <row r="40" spans="1:3" ht="15.5" x14ac:dyDescent="0.25">
      <c r="A40" s="31">
        <v>2241</v>
      </c>
      <c r="B40" s="32" t="s">
        <v>83</v>
      </c>
      <c r="C40" s="33">
        <v>0.16</v>
      </c>
    </row>
    <row r="41" spans="1:3" ht="15.5" hidden="1" x14ac:dyDescent="0.25">
      <c r="A41" s="31">
        <v>2242</v>
      </c>
      <c r="B41" s="32" t="s">
        <v>12</v>
      </c>
      <c r="C41" s="33">
        <v>0</v>
      </c>
    </row>
    <row r="42" spans="1:3" ht="15.5" x14ac:dyDescent="0.25">
      <c r="A42" s="31">
        <v>2243</v>
      </c>
      <c r="B42" s="32" t="s">
        <v>13</v>
      </c>
      <c r="C42" s="33">
        <v>1.02</v>
      </c>
    </row>
    <row r="43" spans="1:3" ht="15.5" x14ac:dyDescent="0.25">
      <c r="A43" s="31">
        <v>2244</v>
      </c>
      <c r="B43" s="32" t="s">
        <v>14</v>
      </c>
      <c r="C43" s="33">
        <v>25.25</v>
      </c>
    </row>
    <row r="44" spans="1:3" ht="15.5" x14ac:dyDescent="0.25">
      <c r="A44" s="31">
        <v>2247</v>
      </c>
      <c r="B44" s="39" t="s">
        <v>71</v>
      </c>
      <c r="C44" s="33">
        <v>0.24</v>
      </c>
    </row>
    <row r="45" spans="1:3" ht="15.5" x14ac:dyDescent="0.25">
      <c r="A45" s="31">
        <v>2251</v>
      </c>
      <c r="B45" s="32" t="s">
        <v>70</v>
      </c>
      <c r="C45" s="33">
        <v>8.52</v>
      </c>
    </row>
    <row r="46" spans="1:3" ht="15.5" x14ac:dyDescent="0.25">
      <c r="A46" s="31">
        <v>2259</v>
      </c>
      <c r="B46" s="32" t="s">
        <v>72</v>
      </c>
      <c r="C46" s="33">
        <v>7.0000000000000007E-2</v>
      </c>
    </row>
    <row r="47" spans="1:3" ht="15.5" x14ac:dyDescent="0.25">
      <c r="A47" s="31">
        <v>2262</v>
      </c>
      <c r="B47" s="32" t="s">
        <v>15</v>
      </c>
      <c r="C47" s="33">
        <v>1.48</v>
      </c>
    </row>
    <row r="48" spans="1:3" ht="15.5" x14ac:dyDescent="0.25">
      <c r="A48" s="31">
        <v>2264</v>
      </c>
      <c r="B48" s="32" t="s">
        <v>81</v>
      </c>
      <c r="C48" s="33">
        <v>7.0000000000000007E-2</v>
      </c>
    </row>
    <row r="49" spans="1:3" ht="15.5" x14ac:dyDescent="0.25">
      <c r="A49" s="31">
        <v>2279</v>
      </c>
      <c r="B49" s="32" t="s">
        <v>16</v>
      </c>
      <c r="C49" s="33">
        <v>0.16</v>
      </c>
    </row>
    <row r="50" spans="1:3" ht="15.5" x14ac:dyDescent="0.25">
      <c r="A50" s="31">
        <v>2311</v>
      </c>
      <c r="B50" s="32" t="s">
        <v>17</v>
      </c>
      <c r="C50" s="33">
        <v>0.78</v>
      </c>
    </row>
    <row r="51" spans="1:3" ht="15.5" x14ac:dyDescent="0.25">
      <c r="A51" s="31">
        <v>2312</v>
      </c>
      <c r="B51" s="32" t="s">
        <v>18</v>
      </c>
      <c r="C51" s="33">
        <v>0.24</v>
      </c>
    </row>
    <row r="52" spans="1:3" ht="15.5" x14ac:dyDescent="0.25">
      <c r="A52" s="31">
        <v>2322</v>
      </c>
      <c r="B52" s="32" t="s">
        <v>20</v>
      </c>
      <c r="C52" s="33">
        <v>3.11</v>
      </c>
    </row>
    <row r="53" spans="1:3" ht="15.5" x14ac:dyDescent="0.25">
      <c r="A53" s="31">
        <v>2350</v>
      </c>
      <c r="B53" s="32" t="s">
        <v>21</v>
      </c>
      <c r="C53" s="33">
        <v>10.34</v>
      </c>
    </row>
    <row r="54" spans="1:3" ht="15.5" x14ac:dyDescent="0.25">
      <c r="A54" s="31">
        <v>2361</v>
      </c>
      <c r="B54" s="32" t="s">
        <v>22</v>
      </c>
      <c r="C54" s="33">
        <v>1.1599999999999999</v>
      </c>
    </row>
    <row r="55" spans="1:3" ht="15.5" x14ac:dyDescent="0.25">
      <c r="A55" s="31">
        <v>2362</v>
      </c>
      <c r="B55" s="32" t="s">
        <v>43</v>
      </c>
      <c r="C55" s="33">
        <v>2.4</v>
      </c>
    </row>
    <row r="56" spans="1:3" ht="15.5" x14ac:dyDescent="0.25">
      <c r="A56" s="31">
        <v>2400</v>
      </c>
      <c r="B56" s="32" t="s">
        <v>28</v>
      </c>
      <c r="C56" s="33">
        <v>0.24</v>
      </c>
    </row>
    <row r="57" spans="1:3" ht="15.5" x14ac:dyDescent="0.25">
      <c r="A57" s="31">
        <v>2512</v>
      </c>
      <c r="B57" s="32" t="s">
        <v>30</v>
      </c>
      <c r="C57" s="33">
        <v>68.099999999999994</v>
      </c>
    </row>
    <row r="58" spans="1:3" ht="15.5" x14ac:dyDescent="0.25">
      <c r="A58" s="31">
        <v>2515</v>
      </c>
      <c r="B58" s="32" t="s">
        <v>73</v>
      </c>
      <c r="C58" s="33">
        <v>0.31</v>
      </c>
    </row>
    <row r="59" spans="1:3" ht="15.5" x14ac:dyDescent="0.25">
      <c r="A59" s="31">
        <v>2519</v>
      </c>
      <c r="B59" s="32" t="s">
        <v>25</v>
      </c>
      <c r="C59" s="33">
        <v>7.0000000000000007E-2</v>
      </c>
    </row>
    <row r="60" spans="1:3" ht="15.5" x14ac:dyDescent="0.25">
      <c r="A60" s="31">
        <v>5232</v>
      </c>
      <c r="B60" s="32" t="s">
        <v>24</v>
      </c>
      <c r="C60" s="33">
        <v>15.62</v>
      </c>
    </row>
    <row r="61" spans="1:3" ht="15.5" x14ac:dyDescent="0.25">
      <c r="A61" s="31">
        <v>5240</v>
      </c>
      <c r="B61" s="32" t="s">
        <v>84</v>
      </c>
      <c r="C61" s="33">
        <v>1.79</v>
      </c>
    </row>
    <row r="62" spans="1:3" ht="15.5" x14ac:dyDescent="0.25">
      <c r="A62" s="31">
        <v>5250</v>
      </c>
      <c r="B62" s="32" t="s">
        <v>85</v>
      </c>
      <c r="C62" s="33">
        <v>3.14</v>
      </c>
    </row>
    <row r="63" spans="1:3" ht="15.5" x14ac:dyDescent="0.25">
      <c r="A63" s="38"/>
      <c r="B63" s="40" t="s">
        <v>8</v>
      </c>
      <c r="C63" s="37">
        <f>SUM(C35:C62)</f>
        <v>225.95999999999995</v>
      </c>
    </row>
    <row r="64" spans="1:3" ht="15.5" x14ac:dyDescent="0.25">
      <c r="A64" s="38"/>
      <c r="B64" s="40" t="s">
        <v>29</v>
      </c>
      <c r="C64" s="37">
        <f>C33+C63</f>
        <v>634.79999999999984</v>
      </c>
    </row>
    <row r="65" spans="1:3" ht="15.5" x14ac:dyDescent="0.35">
      <c r="A65" s="15"/>
      <c r="B65" s="25"/>
      <c r="C65" s="26"/>
    </row>
    <row r="66" spans="1:3" ht="15.5" x14ac:dyDescent="0.25">
      <c r="A66" s="419" t="s">
        <v>57</v>
      </c>
      <c r="B66" s="419"/>
      <c r="C66" s="67">
        <v>30</v>
      </c>
    </row>
    <row r="67" spans="1:3" ht="15.5" x14ac:dyDescent="0.3">
      <c r="A67" s="419" t="s">
        <v>58</v>
      </c>
      <c r="B67" s="419"/>
      <c r="C67" s="68">
        <f>C64/C66</f>
        <v>21.159999999999993</v>
      </c>
    </row>
    <row r="68" spans="1:3" ht="15.5" x14ac:dyDescent="0.35">
      <c r="A68" s="25"/>
      <c r="B68" s="26"/>
      <c r="C68" s="58"/>
    </row>
    <row r="69" spans="1:3" ht="15.5" x14ac:dyDescent="0.35">
      <c r="A69" s="430" t="s">
        <v>33</v>
      </c>
      <c r="B69" s="431"/>
      <c r="C69" s="27"/>
    </row>
    <row r="70" spans="1:3" ht="15.5" x14ac:dyDescent="0.35">
      <c r="A70" s="430" t="s">
        <v>64</v>
      </c>
      <c r="B70" s="431"/>
      <c r="C70" s="27"/>
    </row>
    <row r="71" spans="1:3" ht="15.5" x14ac:dyDescent="0.35">
      <c r="A71" s="28"/>
      <c r="B71" s="28"/>
      <c r="C71" s="28"/>
    </row>
    <row r="72" spans="1:3" ht="15.5" x14ac:dyDescent="0.35">
      <c r="A72" s="28" t="s">
        <v>34</v>
      </c>
      <c r="B72" s="28"/>
      <c r="C72" s="28"/>
    </row>
    <row r="73" spans="1:3" ht="15.5" x14ac:dyDescent="0.35">
      <c r="A73" s="28"/>
      <c r="B73" s="28"/>
      <c r="C73" s="28"/>
    </row>
    <row r="74" spans="1:3" ht="15.5" x14ac:dyDescent="0.35">
      <c r="A74" s="28" t="s">
        <v>59</v>
      </c>
      <c r="B74" s="29"/>
      <c r="C74" s="28"/>
    </row>
    <row r="75" spans="1:3" ht="15.5" x14ac:dyDescent="0.35">
      <c r="A75" s="28"/>
      <c r="B75" s="30"/>
      <c r="C75" s="28"/>
    </row>
  </sheetData>
  <mergeCells count="9">
    <mergeCell ref="A67:B67"/>
    <mergeCell ref="A69:B69"/>
    <mergeCell ref="A70:B70"/>
    <mergeCell ref="A7:C7"/>
    <mergeCell ref="A9:B9"/>
    <mergeCell ref="A10:B10"/>
    <mergeCell ref="B12:C12"/>
    <mergeCell ref="B13:C13"/>
    <mergeCell ref="A66:B66"/>
  </mergeCells>
  <hyperlinks>
    <hyperlink ref="A107" r:id="rId1" display="Inese.Kise@lm.gov.lv," xr:uid="{00000000-0004-0000-1000-000000000000}"/>
  </hyperlinks>
  <pageMargins left="0.70866141732283472" right="0.70866141732283472" top="0.74803149606299213" bottom="0.74803149606299213" header="0.31496062992125984" footer="0.31496062992125984"/>
  <pageSetup paperSize="9" scale="61" fitToHeight="0" orientation="portrait" r:id="rId2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86"/>
  <sheetViews>
    <sheetView view="pageLayout" topLeftCell="A14" zoomScale="80" zoomScaleNormal="100" zoomScalePageLayoutView="80" workbookViewId="0">
      <selection activeCell="E18" sqref="E18:E36"/>
    </sheetView>
  </sheetViews>
  <sheetFormatPr defaultColWidth="9.1796875" defaultRowHeight="14" x14ac:dyDescent="0.3"/>
  <cols>
    <col min="1" max="1" width="13.453125" style="4" customWidth="1"/>
    <col min="2" max="2" width="94.453125" style="4" customWidth="1"/>
    <col min="3" max="4" width="7.26953125" style="217" hidden="1" customWidth="1"/>
    <col min="5" max="5" width="30" style="4" customWidth="1"/>
    <col min="6" max="6" width="9.1796875" style="7" customWidth="1"/>
    <col min="7" max="16384" width="9.1796875" style="7"/>
  </cols>
  <sheetData>
    <row r="1" spans="1:9" ht="15.5" x14ac:dyDescent="0.35">
      <c r="A1" s="13"/>
      <c r="B1" s="14"/>
      <c r="C1" s="214"/>
      <c r="D1" s="214"/>
      <c r="E1" s="17" t="s">
        <v>10</v>
      </c>
    </row>
    <row r="2" spans="1:9" ht="15.5" x14ac:dyDescent="0.35">
      <c r="A2" s="13"/>
      <c r="B2" s="14"/>
      <c r="C2" s="214"/>
      <c r="D2" s="214"/>
      <c r="E2" s="14" t="s">
        <v>32</v>
      </c>
    </row>
    <row r="3" spans="1:9" ht="15.5" x14ac:dyDescent="0.35">
      <c r="A3" s="13"/>
      <c r="B3" s="14"/>
      <c r="C3" s="214"/>
      <c r="D3" s="214"/>
      <c r="E3" s="77" t="s">
        <v>66</v>
      </c>
    </row>
    <row r="4" spans="1:9" ht="15.5" x14ac:dyDescent="0.35">
      <c r="A4" s="13"/>
      <c r="B4" s="14"/>
      <c r="C4" s="214"/>
      <c r="D4" s="214"/>
      <c r="E4" s="63"/>
    </row>
    <row r="5" spans="1:9" ht="15.5" x14ac:dyDescent="0.35">
      <c r="A5" s="13"/>
      <c r="B5" s="17"/>
      <c r="C5" s="241"/>
      <c r="D5" s="241"/>
      <c r="E5" s="15" t="s">
        <v>226</v>
      </c>
    </row>
    <row r="6" spans="1:9" ht="15.5" x14ac:dyDescent="0.35">
      <c r="A6" s="13"/>
      <c r="B6" s="13"/>
      <c r="E6" s="25"/>
    </row>
    <row r="7" spans="1:9" ht="17.5" x14ac:dyDescent="0.35">
      <c r="A7" s="420" t="s">
        <v>9</v>
      </c>
      <c r="B7" s="420"/>
      <c r="C7" s="420"/>
      <c r="D7" s="420"/>
      <c r="E7" s="420"/>
    </row>
    <row r="8" spans="1:9" ht="15.5" x14ac:dyDescent="0.35">
      <c r="A8" s="13"/>
      <c r="B8" s="18"/>
      <c r="C8" s="219"/>
      <c r="D8" s="219"/>
      <c r="E8" s="25"/>
    </row>
    <row r="9" spans="1:9" ht="15.5" x14ac:dyDescent="0.35">
      <c r="A9" s="419" t="s">
        <v>1</v>
      </c>
      <c r="B9" s="419"/>
      <c r="C9" s="220"/>
      <c r="D9" s="220"/>
      <c r="E9" s="25"/>
    </row>
    <row r="10" spans="1:9" ht="15.5" x14ac:dyDescent="0.35">
      <c r="A10" s="419" t="s">
        <v>0</v>
      </c>
      <c r="B10" s="419"/>
      <c r="C10" s="220"/>
      <c r="D10" s="220"/>
      <c r="E10" s="25"/>
    </row>
    <row r="11" spans="1:9" ht="15.5" x14ac:dyDescent="0.35">
      <c r="A11" s="11"/>
      <c r="B11" s="11" t="s">
        <v>179</v>
      </c>
      <c r="C11" s="220"/>
      <c r="D11" s="220"/>
      <c r="E11" s="25"/>
    </row>
    <row r="12" spans="1:9" ht="15.5" x14ac:dyDescent="0.35">
      <c r="A12" s="11"/>
      <c r="B12" s="419" t="s">
        <v>205</v>
      </c>
      <c r="C12" s="419"/>
      <c r="D12" s="419"/>
      <c r="E12" s="432"/>
    </row>
    <row r="13" spans="1:9" ht="15.75" customHeight="1" x14ac:dyDescent="0.35">
      <c r="A13" s="11"/>
      <c r="B13" s="419" t="s">
        <v>208</v>
      </c>
      <c r="C13" s="419"/>
      <c r="D13" s="419"/>
      <c r="E13" s="432"/>
    </row>
    <row r="14" spans="1:9" ht="15.5" x14ac:dyDescent="0.25">
      <c r="A14" s="12" t="s">
        <v>2</v>
      </c>
      <c r="B14" s="11" t="s">
        <v>169</v>
      </c>
      <c r="C14" s="220"/>
      <c r="D14" s="220"/>
      <c r="E14" s="47"/>
    </row>
    <row r="15" spans="1:9" s="141" customFormat="1" ht="67.5" customHeight="1" x14ac:dyDescent="0.25">
      <c r="A15" s="51" t="s">
        <v>3</v>
      </c>
      <c r="B15" s="51" t="s">
        <v>4</v>
      </c>
      <c r="C15" s="223"/>
      <c r="D15" s="223"/>
      <c r="E15" s="51" t="s">
        <v>63</v>
      </c>
      <c r="G15" s="7"/>
      <c r="H15" s="7"/>
      <c r="I15" s="7"/>
    </row>
    <row r="16" spans="1:9" ht="15" x14ac:dyDescent="0.25">
      <c r="A16" s="41">
        <v>1</v>
      </c>
      <c r="B16" s="48">
        <v>2</v>
      </c>
      <c r="C16" s="251"/>
      <c r="D16" s="251"/>
      <c r="E16" s="48">
        <v>3</v>
      </c>
    </row>
    <row r="17" spans="1:9" s="147" customFormat="1" ht="15.5" x14ac:dyDescent="0.25">
      <c r="A17" s="41"/>
      <c r="B17" s="39" t="s">
        <v>5</v>
      </c>
      <c r="C17" s="242"/>
      <c r="D17" s="242"/>
      <c r="E17" s="31"/>
      <c r="G17" s="7"/>
      <c r="H17" s="7"/>
      <c r="I17" s="7"/>
    </row>
    <row r="18" spans="1:9" s="147" customFormat="1" ht="15.5" x14ac:dyDescent="0.25">
      <c r="A18" s="31">
        <v>1100</v>
      </c>
      <c r="B18" s="31" t="s">
        <v>132</v>
      </c>
      <c r="C18" s="227">
        <v>8.6068716924613078</v>
      </c>
      <c r="D18" s="226"/>
      <c r="E18" s="33">
        <v>282.63</v>
      </c>
      <c r="G18" s="7"/>
      <c r="H18" s="7"/>
      <c r="I18" s="7"/>
    </row>
    <row r="19" spans="1:9" s="147" customFormat="1" ht="15.5" x14ac:dyDescent="0.35">
      <c r="A19" s="31">
        <v>1200</v>
      </c>
      <c r="B19" s="61" t="s">
        <v>133</v>
      </c>
      <c r="C19" s="226">
        <f>C18*0.2359</f>
        <v>2.0303610322516223</v>
      </c>
      <c r="D19" s="228"/>
      <c r="E19" s="33">
        <v>66.67</v>
      </c>
      <c r="H19" s="7"/>
      <c r="I19" s="7"/>
    </row>
    <row r="20" spans="1:9" s="147" customFormat="1" ht="15.5" x14ac:dyDescent="0.35">
      <c r="A20" s="31">
        <v>2210</v>
      </c>
      <c r="B20" s="62" t="s">
        <v>120</v>
      </c>
      <c r="C20" s="226"/>
      <c r="D20" s="228"/>
      <c r="E20" s="33"/>
      <c r="H20" s="7"/>
      <c r="I20" s="7"/>
    </row>
    <row r="21" spans="1:9" ht="15.75" customHeight="1" x14ac:dyDescent="0.35">
      <c r="A21" s="31">
        <v>2222</v>
      </c>
      <c r="B21" s="62" t="s">
        <v>135</v>
      </c>
      <c r="C21" s="227">
        <v>0.2021967049425861</v>
      </c>
      <c r="D21" s="252"/>
      <c r="E21" s="33">
        <v>5.94</v>
      </c>
      <c r="G21" s="44"/>
      <c r="H21" s="148"/>
    </row>
    <row r="22" spans="1:9" ht="15.5" x14ac:dyDescent="0.35">
      <c r="A22" s="31">
        <v>2223</v>
      </c>
      <c r="B22" s="62" t="s">
        <v>136</v>
      </c>
      <c r="C22" s="227">
        <v>0.5996155766350475</v>
      </c>
      <c r="D22" s="253"/>
      <c r="E22" s="33">
        <v>17.600000000000001</v>
      </c>
      <c r="G22" s="149"/>
      <c r="H22" s="148"/>
    </row>
    <row r="23" spans="1:9" ht="15.5" x14ac:dyDescent="0.35">
      <c r="A23" s="31">
        <v>2243</v>
      </c>
      <c r="B23" s="22" t="s">
        <v>137</v>
      </c>
      <c r="C23" s="227">
        <v>3.5127309036445328E-2</v>
      </c>
      <c r="D23" s="225"/>
      <c r="E23" s="33">
        <v>1.04</v>
      </c>
    </row>
    <row r="24" spans="1:9" ht="15.5" x14ac:dyDescent="0.35">
      <c r="A24" s="31">
        <v>2244</v>
      </c>
      <c r="B24" s="22" t="s">
        <v>138</v>
      </c>
      <c r="C24" s="227">
        <v>0.76012481278082866</v>
      </c>
      <c r="D24" s="225"/>
      <c r="E24" s="33">
        <v>22.35</v>
      </c>
    </row>
    <row r="25" spans="1:9" ht="15.5" x14ac:dyDescent="0.35">
      <c r="A25" s="31">
        <v>2250</v>
      </c>
      <c r="B25" s="22" t="s">
        <v>124</v>
      </c>
      <c r="C25" s="227">
        <v>0.19</v>
      </c>
      <c r="D25" s="253"/>
      <c r="E25" s="33">
        <v>5.7</v>
      </c>
    </row>
    <row r="26" spans="1:9" ht="15.5" x14ac:dyDescent="0.35">
      <c r="A26" s="31">
        <v>2263</v>
      </c>
      <c r="B26" s="62" t="s">
        <v>149</v>
      </c>
      <c r="C26" s="227"/>
      <c r="D26" s="253"/>
      <c r="E26" s="33"/>
    </row>
    <row r="27" spans="1:9" ht="15.5" x14ac:dyDescent="0.35">
      <c r="A27" s="31">
        <v>2311</v>
      </c>
      <c r="B27" s="62" t="s">
        <v>151</v>
      </c>
      <c r="C27" s="227">
        <v>1.7655716425361956</v>
      </c>
      <c r="D27" s="252"/>
      <c r="E27" s="33">
        <v>52.69</v>
      </c>
    </row>
    <row r="28" spans="1:9" ht="15.5" x14ac:dyDescent="0.35">
      <c r="A28" s="31">
        <v>2312</v>
      </c>
      <c r="B28" s="22" t="s">
        <v>116</v>
      </c>
      <c r="C28" s="227">
        <v>0.47219670494258614</v>
      </c>
      <c r="D28" s="225"/>
      <c r="E28" s="33">
        <v>14.04</v>
      </c>
    </row>
    <row r="29" spans="1:9" ht="15.5" x14ac:dyDescent="0.35">
      <c r="A29" s="31">
        <v>2321</v>
      </c>
      <c r="B29" s="62" t="s">
        <v>139</v>
      </c>
      <c r="C29" s="227">
        <v>0.43439340988517217</v>
      </c>
      <c r="D29" s="253"/>
      <c r="E29" s="33">
        <v>12.77</v>
      </c>
    </row>
    <row r="30" spans="1:9" ht="15.5" x14ac:dyDescent="0.35">
      <c r="A30" s="31">
        <v>2350</v>
      </c>
      <c r="B30" s="61" t="s">
        <v>125</v>
      </c>
      <c r="C30" s="227">
        <v>0.13681477783325011</v>
      </c>
      <c r="D30" s="252"/>
      <c r="E30" s="33">
        <v>4.0199999999999996</v>
      </c>
    </row>
    <row r="31" spans="1:9" ht="15.5" x14ac:dyDescent="0.35">
      <c r="A31" s="31">
        <v>2361</v>
      </c>
      <c r="B31" s="62" t="s">
        <v>141</v>
      </c>
      <c r="C31" s="227">
        <v>5.4458312531203187E-2</v>
      </c>
      <c r="D31" s="253"/>
      <c r="E31" s="33">
        <v>1.58</v>
      </c>
    </row>
    <row r="32" spans="1:9" ht="15.5" x14ac:dyDescent="0.35">
      <c r="A32" s="31">
        <v>2362</v>
      </c>
      <c r="B32" s="83" t="s">
        <v>156</v>
      </c>
      <c r="C32" s="227">
        <v>0.02</v>
      </c>
      <c r="D32" s="253"/>
      <c r="E32" s="33">
        <v>0.6</v>
      </c>
    </row>
    <row r="33" spans="1:5" ht="15.5" x14ac:dyDescent="0.35">
      <c r="A33" s="31">
        <v>2363</v>
      </c>
      <c r="B33" s="62" t="s">
        <v>142</v>
      </c>
      <c r="C33" s="226">
        <v>3.87</v>
      </c>
      <c r="D33" s="253"/>
      <c r="E33" s="33">
        <v>116.1</v>
      </c>
    </row>
    <row r="34" spans="1:5" ht="15.5" x14ac:dyDescent="0.35">
      <c r="A34" s="31">
        <v>2513</v>
      </c>
      <c r="B34" s="61" t="s">
        <v>121</v>
      </c>
      <c r="C34" s="226"/>
      <c r="D34" s="253"/>
      <c r="E34" s="33"/>
    </row>
    <row r="35" spans="1:5" ht="15.5" x14ac:dyDescent="0.35">
      <c r="A35" s="31">
        <v>2519</v>
      </c>
      <c r="B35" s="62" t="s">
        <v>122</v>
      </c>
      <c r="C35" s="226"/>
      <c r="D35" s="253"/>
      <c r="E35" s="33"/>
    </row>
    <row r="36" spans="1:5" ht="15.5" x14ac:dyDescent="0.35">
      <c r="A36" s="31">
        <v>5239</v>
      </c>
      <c r="B36" s="61" t="s">
        <v>130</v>
      </c>
      <c r="C36" s="227">
        <v>0.67018971542685957</v>
      </c>
      <c r="D36" s="253"/>
      <c r="E36" s="33">
        <v>19.87</v>
      </c>
    </row>
    <row r="37" spans="1:5" ht="15.5" x14ac:dyDescent="0.25">
      <c r="A37" s="31"/>
      <c r="B37" s="36" t="s">
        <v>6</v>
      </c>
      <c r="C37" s="243">
        <f>SUM(C18:C36)</f>
        <v>19.847921691263103</v>
      </c>
      <c r="D37" s="243"/>
      <c r="E37" s="37">
        <f>SUM(E18:E36)</f>
        <v>623.6</v>
      </c>
    </row>
    <row r="38" spans="1:5" ht="15.75" customHeight="1" x14ac:dyDescent="0.25">
      <c r="A38" s="38"/>
      <c r="B38" s="31" t="s">
        <v>7</v>
      </c>
      <c r="C38" s="226"/>
      <c r="D38" s="226"/>
      <c r="E38" s="33"/>
    </row>
    <row r="39" spans="1:5" ht="15.5" x14ac:dyDescent="0.35">
      <c r="A39" s="31">
        <v>1100</v>
      </c>
      <c r="B39" s="22" t="s">
        <v>132</v>
      </c>
      <c r="C39" s="225"/>
      <c r="D39" s="228">
        <v>0.48549999999999999</v>
      </c>
      <c r="E39" s="33">
        <v>178.43</v>
      </c>
    </row>
    <row r="40" spans="1:5" ht="15.5" x14ac:dyDescent="0.35">
      <c r="A40" s="31">
        <v>1200</v>
      </c>
      <c r="B40" s="22" t="s">
        <v>133</v>
      </c>
      <c r="C40" s="225"/>
      <c r="D40" s="228">
        <f>D39*0.2359</f>
        <v>0.11452944999999999</v>
      </c>
      <c r="E40" s="33">
        <v>42.09</v>
      </c>
    </row>
    <row r="41" spans="1:5" ht="15.5" x14ac:dyDescent="0.25">
      <c r="A41" s="31">
        <v>2100</v>
      </c>
      <c r="B41" s="24" t="s">
        <v>45</v>
      </c>
      <c r="C41" s="254"/>
      <c r="D41" s="228">
        <v>1.1659999999999999E-3</v>
      </c>
      <c r="E41" s="33">
        <v>0.47</v>
      </c>
    </row>
    <row r="42" spans="1:5" ht="15.5" x14ac:dyDescent="0.35">
      <c r="A42" s="34">
        <v>2210</v>
      </c>
      <c r="B42" s="62" t="s">
        <v>120</v>
      </c>
      <c r="C42" s="252"/>
      <c r="D42" s="228">
        <v>7.6E-3</v>
      </c>
      <c r="E42" s="33">
        <v>3.06</v>
      </c>
    </row>
    <row r="43" spans="1:5" ht="15.5" x14ac:dyDescent="0.35">
      <c r="A43" s="31">
        <v>2222</v>
      </c>
      <c r="B43" s="62" t="s">
        <v>135</v>
      </c>
      <c r="C43" s="252"/>
      <c r="D43" s="228">
        <f>0.0095*1.15</f>
        <v>1.0924999999999999E-2</v>
      </c>
      <c r="E43" s="33">
        <v>4.4000000000000004</v>
      </c>
    </row>
    <row r="44" spans="1:5" ht="15.75" customHeight="1" x14ac:dyDescent="0.35">
      <c r="A44" s="31">
        <v>2223</v>
      </c>
      <c r="B44" s="62" t="s">
        <v>136</v>
      </c>
      <c r="C44" s="252"/>
      <c r="D44" s="228">
        <f>0.01902*2.13</f>
        <v>4.0512599999999996E-2</v>
      </c>
      <c r="E44" s="33">
        <v>16.309999999999999</v>
      </c>
    </row>
    <row r="45" spans="1:5" ht="31" x14ac:dyDescent="0.35">
      <c r="A45" s="31">
        <v>2224</v>
      </c>
      <c r="B45" s="62" t="s">
        <v>143</v>
      </c>
      <c r="C45" s="252"/>
      <c r="D45" s="228">
        <f>0.00495*1.15</f>
        <v>5.6924999999999996E-3</v>
      </c>
      <c r="E45" s="33">
        <v>2.29</v>
      </c>
    </row>
    <row r="46" spans="1:5" ht="15.5" x14ac:dyDescent="0.35">
      <c r="A46" s="31">
        <v>2231</v>
      </c>
      <c r="B46" s="22" t="s">
        <v>126</v>
      </c>
      <c r="C46" s="225"/>
      <c r="D46" s="228">
        <v>1.5499999999999999E-3</v>
      </c>
      <c r="E46" s="33">
        <v>0.62</v>
      </c>
    </row>
    <row r="47" spans="1:5" ht="15.5" x14ac:dyDescent="0.25">
      <c r="A47" s="31">
        <v>2235</v>
      </c>
      <c r="B47" s="75" t="s">
        <v>127</v>
      </c>
      <c r="C47" s="255"/>
      <c r="D47" s="228">
        <v>1.65E-3</v>
      </c>
      <c r="E47" s="33">
        <v>0.66</v>
      </c>
    </row>
    <row r="48" spans="1:5" ht="15.5" x14ac:dyDescent="0.35">
      <c r="A48" s="31">
        <v>2239</v>
      </c>
      <c r="B48" s="22" t="s">
        <v>144</v>
      </c>
      <c r="C48" s="225"/>
      <c r="D48" s="228">
        <v>4.4099999999999999E-3</v>
      </c>
      <c r="E48" s="33">
        <v>1.78</v>
      </c>
    </row>
    <row r="49" spans="1:5" ht="15.5" x14ac:dyDescent="0.35">
      <c r="A49" s="31">
        <v>2241</v>
      </c>
      <c r="B49" s="22" t="s">
        <v>123</v>
      </c>
      <c r="C49" s="225"/>
      <c r="D49" s="228">
        <v>1.6500000000000001E-2</v>
      </c>
      <c r="E49" s="33">
        <v>6.82</v>
      </c>
    </row>
    <row r="50" spans="1:5" ht="15.5" x14ac:dyDescent="0.35">
      <c r="A50" s="31">
        <v>2242</v>
      </c>
      <c r="B50" s="62" t="s">
        <v>145</v>
      </c>
      <c r="C50" s="252"/>
      <c r="D50" s="228">
        <v>2.2599999999999999E-3</v>
      </c>
      <c r="E50" s="33">
        <v>0.91</v>
      </c>
    </row>
    <row r="51" spans="1:5" ht="15.5" x14ac:dyDescent="0.35">
      <c r="A51" s="31">
        <v>2243</v>
      </c>
      <c r="B51" s="22" t="s">
        <v>137</v>
      </c>
      <c r="C51" s="225"/>
      <c r="D51" s="228">
        <v>3.2599999999999997E-2</v>
      </c>
      <c r="E51" s="33">
        <v>13.1</v>
      </c>
    </row>
    <row r="52" spans="1:5" ht="15.5" x14ac:dyDescent="0.35">
      <c r="A52" s="31">
        <v>2244</v>
      </c>
      <c r="B52" s="22" t="s">
        <v>138</v>
      </c>
      <c r="C52" s="225"/>
      <c r="D52" s="228">
        <f>0.20397-0.09084</f>
        <v>0.11313000000000001</v>
      </c>
      <c r="E52" s="33">
        <v>45.55</v>
      </c>
    </row>
    <row r="53" spans="1:5" ht="15.5" x14ac:dyDescent="0.35">
      <c r="A53" s="106">
        <v>2247</v>
      </c>
      <c r="B53" s="104" t="s">
        <v>146</v>
      </c>
      <c r="C53" s="225"/>
      <c r="D53" s="228">
        <v>7.1900000000000002E-4</v>
      </c>
      <c r="E53" s="33">
        <v>0.28999999999999998</v>
      </c>
    </row>
    <row r="54" spans="1:5" ht="15.5" x14ac:dyDescent="0.35">
      <c r="A54" s="31">
        <v>2249</v>
      </c>
      <c r="B54" s="22" t="s">
        <v>171</v>
      </c>
      <c r="C54" s="225"/>
      <c r="D54" s="228">
        <v>2.32E-4</v>
      </c>
      <c r="E54" s="33">
        <v>0.09</v>
      </c>
    </row>
    <row r="55" spans="1:5" ht="15.5" x14ac:dyDescent="0.35">
      <c r="A55" s="31">
        <v>2250</v>
      </c>
      <c r="B55" s="22" t="s">
        <v>124</v>
      </c>
      <c r="C55" s="225"/>
      <c r="D55" s="228">
        <f>0.024026-0.005</f>
        <v>1.9025999999999998E-2</v>
      </c>
      <c r="E55" s="33">
        <v>7.66</v>
      </c>
    </row>
    <row r="56" spans="1:5" ht="15.5" x14ac:dyDescent="0.35">
      <c r="A56" s="31">
        <v>2262</v>
      </c>
      <c r="B56" s="62" t="s">
        <v>148</v>
      </c>
      <c r="C56" s="252"/>
      <c r="D56" s="228">
        <v>6.2599999999999999E-3</v>
      </c>
      <c r="E56" s="33">
        <v>2.52</v>
      </c>
    </row>
    <row r="57" spans="1:5" ht="15.5" x14ac:dyDescent="0.35">
      <c r="A57" s="31">
        <v>2263</v>
      </c>
      <c r="B57" s="62" t="s">
        <v>149</v>
      </c>
      <c r="C57" s="252"/>
      <c r="D57" s="228">
        <v>4.58E-2</v>
      </c>
      <c r="E57" s="33">
        <v>18.440000000000001</v>
      </c>
    </row>
    <row r="58" spans="1:5" ht="15.5" x14ac:dyDescent="0.35">
      <c r="A58" s="31">
        <v>2264</v>
      </c>
      <c r="B58" s="22" t="s">
        <v>150</v>
      </c>
      <c r="C58" s="225"/>
      <c r="D58" s="228">
        <v>1.49E-3</v>
      </c>
      <c r="E58" s="33">
        <v>0.6</v>
      </c>
    </row>
    <row r="59" spans="1:5" ht="15.5" x14ac:dyDescent="0.35">
      <c r="A59" s="31">
        <v>2311</v>
      </c>
      <c r="B59" s="62" t="s">
        <v>151</v>
      </c>
      <c r="C59" s="252"/>
      <c r="D59" s="228">
        <v>4.7699999999999999E-3</v>
      </c>
      <c r="E59" s="33">
        <v>1.92</v>
      </c>
    </row>
    <row r="60" spans="1:5" ht="15.5" x14ac:dyDescent="0.35">
      <c r="A60" s="31">
        <v>2312</v>
      </c>
      <c r="B60" s="62" t="s">
        <v>116</v>
      </c>
      <c r="C60" s="252"/>
      <c r="D60" s="228">
        <v>5.79E-3</v>
      </c>
      <c r="E60" s="33">
        <v>2.33</v>
      </c>
    </row>
    <row r="61" spans="1:5" ht="15.5" x14ac:dyDescent="0.25">
      <c r="A61" s="31">
        <v>2314</v>
      </c>
      <c r="B61" s="75" t="s">
        <v>152</v>
      </c>
      <c r="C61" s="255"/>
      <c r="D61" s="228">
        <v>2.2200000000000002E-3</v>
      </c>
      <c r="E61" s="33">
        <v>0.89</v>
      </c>
    </row>
    <row r="62" spans="1:5" ht="15.5" x14ac:dyDescent="0.35">
      <c r="A62" s="31">
        <v>2321</v>
      </c>
      <c r="B62" s="62" t="s">
        <v>139</v>
      </c>
      <c r="C62" s="252"/>
      <c r="D62" s="228">
        <f>0.0198*1.2+0.005</f>
        <v>2.8760000000000001E-2</v>
      </c>
      <c r="E62" s="33">
        <v>11.58</v>
      </c>
    </row>
    <row r="63" spans="1:5" ht="15.5" x14ac:dyDescent="0.35">
      <c r="A63" s="31">
        <v>2322</v>
      </c>
      <c r="B63" s="62" t="s">
        <v>153</v>
      </c>
      <c r="C63" s="252"/>
      <c r="D63" s="228">
        <f>0.0035*1.2</f>
        <v>4.1999999999999997E-3</v>
      </c>
      <c r="E63" s="33">
        <v>1.69</v>
      </c>
    </row>
    <row r="64" spans="1:5" ht="15.5" x14ac:dyDescent="0.35">
      <c r="A64" s="31">
        <v>2341</v>
      </c>
      <c r="B64" s="62" t="s">
        <v>140</v>
      </c>
      <c r="C64" s="252"/>
      <c r="D64" s="228"/>
      <c r="E64" s="33">
        <f>D64*402.665</f>
        <v>0</v>
      </c>
    </row>
    <row r="65" spans="1:9" ht="15.5" x14ac:dyDescent="0.35">
      <c r="A65" s="31">
        <v>2350</v>
      </c>
      <c r="B65" s="61" t="s">
        <v>125</v>
      </c>
      <c r="C65" s="228"/>
      <c r="D65" s="228">
        <v>8.5000000000000006E-3</v>
      </c>
      <c r="E65" s="33">
        <v>3.42</v>
      </c>
    </row>
    <row r="66" spans="1:9" ht="15.75" customHeight="1" x14ac:dyDescent="0.35">
      <c r="A66" s="31">
        <v>2513</v>
      </c>
      <c r="B66" s="61" t="s">
        <v>121</v>
      </c>
      <c r="C66" s="228"/>
      <c r="D66" s="228">
        <v>1.4599999999999999E-3</v>
      </c>
      <c r="E66" s="33">
        <v>0.59</v>
      </c>
    </row>
    <row r="67" spans="1:9" ht="15.75" customHeight="1" x14ac:dyDescent="0.35">
      <c r="A67" s="31">
        <v>2515</v>
      </c>
      <c r="B67" s="62" t="s">
        <v>155</v>
      </c>
      <c r="C67" s="252"/>
      <c r="D67" s="228">
        <v>1.9E-3</v>
      </c>
      <c r="E67" s="33">
        <v>0.77</v>
      </c>
    </row>
    <row r="68" spans="1:9" ht="15.75" customHeight="1" x14ac:dyDescent="0.35">
      <c r="A68" s="31">
        <v>2519</v>
      </c>
      <c r="B68" s="62" t="s">
        <v>122</v>
      </c>
      <c r="C68" s="252"/>
      <c r="D68" s="228">
        <v>2E-3</v>
      </c>
      <c r="E68" s="33">
        <v>0.81</v>
      </c>
    </row>
    <row r="69" spans="1:9" ht="15.75" customHeight="1" x14ac:dyDescent="0.35">
      <c r="A69" s="31">
        <v>5220</v>
      </c>
      <c r="B69" s="62" t="s">
        <v>128</v>
      </c>
      <c r="C69" s="252"/>
      <c r="D69" s="228">
        <v>1.06E-2</v>
      </c>
      <c r="E69" s="33">
        <v>4.2699999999999996</v>
      </c>
    </row>
    <row r="70" spans="1:9" ht="15.75" customHeight="1" x14ac:dyDescent="0.35">
      <c r="A70" s="31">
        <v>5238</v>
      </c>
      <c r="B70" s="61" t="s">
        <v>129</v>
      </c>
      <c r="C70" s="228"/>
      <c r="D70" s="228">
        <v>1.65E-3</v>
      </c>
      <c r="E70" s="33">
        <v>0.66</v>
      </c>
    </row>
    <row r="71" spans="1:9" ht="15.75" customHeight="1" x14ac:dyDescent="0.35">
      <c r="A71" s="31">
        <v>5239</v>
      </c>
      <c r="B71" s="61" t="s">
        <v>130</v>
      </c>
      <c r="C71" s="228"/>
      <c r="D71" s="228">
        <v>9.5399999999999999E-3</v>
      </c>
      <c r="E71" s="33">
        <v>3.84</v>
      </c>
    </row>
    <row r="72" spans="1:9" ht="15.75" customHeight="1" x14ac:dyDescent="0.35">
      <c r="A72" s="31">
        <v>5250</v>
      </c>
      <c r="B72" s="62" t="s">
        <v>131</v>
      </c>
      <c r="C72" s="252"/>
      <c r="D72" s="228">
        <v>7.0600000000000003E-3</v>
      </c>
      <c r="E72" s="33">
        <v>2.84</v>
      </c>
    </row>
    <row r="73" spans="1:9" ht="15.5" x14ac:dyDescent="0.25">
      <c r="A73" s="38"/>
      <c r="B73" s="40" t="s">
        <v>8</v>
      </c>
      <c r="C73" s="244"/>
      <c r="D73" s="244">
        <f>SUM(D39:D72)</f>
        <v>1.00000255</v>
      </c>
      <c r="E73" s="37">
        <f>SUM(E39:E72)</f>
        <v>381.7</v>
      </c>
    </row>
    <row r="74" spans="1:9" ht="15.5" x14ac:dyDescent="0.25">
      <c r="A74" s="38"/>
      <c r="B74" s="40" t="s">
        <v>29</v>
      </c>
      <c r="C74" s="244"/>
      <c r="D74" s="244"/>
      <c r="E74" s="37">
        <f>E73+E37</f>
        <v>1005.3</v>
      </c>
    </row>
    <row r="75" spans="1:9" ht="15.5" x14ac:dyDescent="0.35">
      <c r="A75" s="15"/>
      <c r="B75" s="25"/>
      <c r="C75" s="233"/>
      <c r="D75" s="233"/>
      <c r="E75" s="59"/>
    </row>
    <row r="76" spans="1:9" ht="15.5" x14ac:dyDescent="0.25">
      <c r="A76" s="419" t="s">
        <v>57</v>
      </c>
      <c r="B76" s="419"/>
      <c r="C76" s="220"/>
      <c r="D76" s="220"/>
      <c r="E76" s="67">
        <v>30</v>
      </c>
    </row>
    <row r="77" spans="1:9" ht="15.5" x14ac:dyDescent="0.3">
      <c r="A77" s="419" t="s">
        <v>58</v>
      </c>
      <c r="B77" s="419"/>
      <c r="C77" s="220"/>
      <c r="D77" s="220"/>
      <c r="E77" s="68">
        <f>E74/E76</f>
        <v>33.51</v>
      </c>
    </row>
    <row r="78" spans="1:9" ht="15.5" x14ac:dyDescent="0.35">
      <c r="A78" s="25"/>
      <c r="B78" s="26"/>
      <c r="C78" s="256"/>
      <c r="D78" s="256"/>
      <c r="E78" s="58"/>
    </row>
    <row r="79" spans="1:9" s="2" customFormat="1" ht="15.5" x14ac:dyDescent="0.35">
      <c r="A79" s="417" t="s">
        <v>33</v>
      </c>
      <c r="B79" s="417"/>
      <c r="C79" s="234"/>
      <c r="D79" s="257"/>
      <c r="E79" s="85"/>
      <c r="G79" s="7"/>
      <c r="H79" s="7"/>
      <c r="I79" s="7"/>
    </row>
    <row r="80" spans="1:9" s="2" customFormat="1" ht="15.5" x14ac:dyDescent="0.35">
      <c r="A80" s="417" t="s">
        <v>64</v>
      </c>
      <c r="B80" s="417"/>
      <c r="C80" s="234"/>
      <c r="D80" s="257"/>
      <c r="E80" s="27"/>
      <c r="G80" s="7"/>
      <c r="H80" s="7"/>
      <c r="I80" s="7"/>
    </row>
    <row r="81" spans="1:9" s="2" customFormat="1" ht="15.5" x14ac:dyDescent="0.35">
      <c r="A81" s="28"/>
      <c r="B81" s="28"/>
      <c r="C81" s="237"/>
      <c r="D81" s="237"/>
      <c r="E81" s="81"/>
      <c r="G81" s="7"/>
      <c r="H81" s="7"/>
      <c r="I81" s="7"/>
    </row>
    <row r="82" spans="1:9" s="2" customFormat="1" ht="15.5" x14ac:dyDescent="0.35">
      <c r="A82" s="28" t="s">
        <v>34</v>
      </c>
      <c r="B82" s="28"/>
      <c r="C82" s="237"/>
      <c r="D82" s="237"/>
      <c r="E82" s="28"/>
      <c r="G82" s="7"/>
      <c r="H82" s="7"/>
      <c r="I82" s="7"/>
    </row>
    <row r="83" spans="1:9" s="2" customFormat="1" ht="15.5" x14ac:dyDescent="0.35">
      <c r="A83" s="28"/>
      <c r="B83" s="28"/>
      <c r="C83" s="237"/>
      <c r="D83" s="237"/>
      <c r="E83" s="81"/>
      <c r="F83" s="150"/>
      <c r="G83" s="7"/>
      <c r="H83" s="7"/>
      <c r="I83" s="7"/>
    </row>
    <row r="84" spans="1:9" s="2" customFormat="1" ht="15.5" x14ac:dyDescent="0.35">
      <c r="A84" s="28" t="s">
        <v>177</v>
      </c>
      <c r="B84" s="29"/>
      <c r="C84" s="238"/>
      <c r="D84" s="238"/>
      <c r="E84" s="81"/>
      <c r="G84" s="7"/>
      <c r="H84" s="7"/>
      <c r="I84" s="7"/>
    </row>
    <row r="85" spans="1:9" s="2" customFormat="1" ht="13.9" customHeight="1" x14ac:dyDescent="0.35">
      <c r="A85" s="28"/>
      <c r="B85" s="30"/>
      <c r="C85" s="250"/>
      <c r="D85" s="250"/>
      <c r="E85" s="28"/>
      <c r="G85" s="7"/>
      <c r="H85" s="7"/>
      <c r="I85" s="7"/>
    </row>
    <row r="86" spans="1:9" s="4" customFormat="1" ht="15.5" x14ac:dyDescent="0.35">
      <c r="A86" s="13"/>
      <c r="B86" s="13"/>
      <c r="C86" s="217"/>
      <c r="D86" s="217"/>
      <c r="E86" s="13"/>
      <c r="G86" s="7"/>
      <c r="H86" s="7"/>
      <c r="I86" s="7"/>
    </row>
  </sheetData>
  <mergeCells count="9">
    <mergeCell ref="A79:B79"/>
    <mergeCell ref="A80:B80"/>
    <mergeCell ref="A9:B9"/>
    <mergeCell ref="A10:B10"/>
    <mergeCell ref="A7:E7"/>
    <mergeCell ref="B12:E12"/>
    <mergeCell ref="B13:E13"/>
    <mergeCell ref="A76:B76"/>
    <mergeCell ref="A77:B77"/>
  </mergeCells>
  <hyperlinks>
    <hyperlink ref="A108" r:id="rId1" display="Inese.Kise@lm.gov.lv," xr:uid="{00000000-0004-0000-1100-000000000000}"/>
  </hyperlinks>
  <pageMargins left="0.70866141732283472" right="0.70866141732283472" top="0.74803149606299213" bottom="0.74803149606299213" header="0.31496062992125984" footer="0.31496062992125984"/>
  <pageSetup paperSize="9" scale="54" orientation="portrait" r:id="rId2"/>
  <headerFooter>
    <oddFooter>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F99"/>
  <sheetViews>
    <sheetView view="pageLayout" topLeftCell="A60" zoomScaleNormal="100" workbookViewId="0">
      <selection activeCell="B76" sqref="B76"/>
    </sheetView>
  </sheetViews>
  <sheetFormatPr defaultRowHeight="15.5" x14ac:dyDescent="0.35"/>
  <cols>
    <col min="1" max="1" width="13.26953125" style="13" customWidth="1"/>
    <col min="2" max="2" width="99.7265625" style="13" customWidth="1"/>
    <col min="3" max="3" width="32.26953125" style="13" customWidth="1"/>
  </cols>
  <sheetData>
    <row r="1" spans="1:6" x14ac:dyDescent="0.35">
      <c r="B1" s="14"/>
      <c r="C1" s="53" t="s">
        <v>10</v>
      </c>
    </row>
    <row r="2" spans="1:6" x14ac:dyDescent="0.35">
      <c r="B2" s="14"/>
      <c r="C2" s="54" t="s">
        <v>32</v>
      </c>
    </row>
    <row r="3" spans="1:6" x14ac:dyDescent="0.35">
      <c r="B3" s="14"/>
      <c r="C3" s="64" t="s">
        <v>117</v>
      </c>
    </row>
    <row r="4" spans="1:6" x14ac:dyDescent="0.35">
      <c r="B4" s="14"/>
      <c r="C4" s="63"/>
    </row>
    <row r="5" spans="1:6" x14ac:dyDescent="0.35">
      <c r="B5" s="17"/>
      <c r="C5" s="63" t="s">
        <v>118</v>
      </c>
    </row>
    <row r="6" spans="1:6" x14ac:dyDescent="0.35">
      <c r="C6" s="25"/>
    </row>
    <row r="7" spans="1:6" ht="15" x14ac:dyDescent="0.3">
      <c r="A7" s="416" t="s">
        <v>9</v>
      </c>
      <c r="B7" s="416"/>
      <c r="C7" s="416"/>
    </row>
    <row r="8" spans="1:6" x14ac:dyDescent="0.35">
      <c r="B8" s="18"/>
      <c r="C8" s="25"/>
    </row>
    <row r="9" spans="1:6" x14ac:dyDescent="0.35">
      <c r="A9" s="419" t="s">
        <v>1</v>
      </c>
      <c r="B9" s="419"/>
      <c r="C9" s="25"/>
    </row>
    <row r="10" spans="1:6" x14ac:dyDescent="0.35">
      <c r="A10" s="419" t="s">
        <v>0</v>
      </c>
      <c r="B10" s="419"/>
      <c r="C10" s="25"/>
    </row>
    <row r="11" spans="1:6" x14ac:dyDescent="0.35">
      <c r="A11" s="11"/>
      <c r="B11" s="11" t="s">
        <v>31</v>
      </c>
      <c r="C11" s="25"/>
    </row>
    <row r="12" spans="1:6" x14ac:dyDescent="0.35">
      <c r="A12" s="11"/>
      <c r="B12" s="419" t="s">
        <v>115</v>
      </c>
      <c r="C12" s="432"/>
      <c r="E12" s="52"/>
      <c r="F12" s="52"/>
    </row>
    <row r="13" spans="1:6" x14ac:dyDescent="0.35">
      <c r="A13" s="11"/>
      <c r="B13" s="419" t="s">
        <v>93</v>
      </c>
      <c r="C13" s="432"/>
    </row>
    <row r="14" spans="1:6" x14ac:dyDescent="0.25">
      <c r="A14" s="12" t="s">
        <v>2</v>
      </c>
      <c r="B14" s="11" t="str">
        <f>'4.3.4.'!B14</f>
        <v>2023.gadā un turpmāk</v>
      </c>
      <c r="C14" s="47"/>
    </row>
    <row r="15" spans="1:6" ht="46.5" x14ac:dyDescent="0.25">
      <c r="A15" s="51" t="s">
        <v>3</v>
      </c>
      <c r="B15" s="51" t="s">
        <v>4</v>
      </c>
      <c r="C15" s="51" t="s">
        <v>63</v>
      </c>
    </row>
    <row r="16" spans="1:6" ht="15" x14ac:dyDescent="0.25">
      <c r="A16" s="41">
        <v>1</v>
      </c>
      <c r="B16" s="48">
        <v>2</v>
      </c>
      <c r="C16" s="48">
        <v>3</v>
      </c>
    </row>
    <row r="17" spans="1:3" x14ac:dyDescent="0.25">
      <c r="A17" s="41"/>
      <c r="B17" s="39" t="s">
        <v>5</v>
      </c>
      <c r="C17" s="31"/>
    </row>
    <row r="18" spans="1:3" x14ac:dyDescent="0.25">
      <c r="A18" s="31">
        <v>1100</v>
      </c>
      <c r="B18" s="31" t="s">
        <v>68</v>
      </c>
      <c r="C18" s="33">
        <v>63.2</v>
      </c>
    </row>
    <row r="19" spans="1:3" x14ac:dyDescent="0.25">
      <c r="A19" s="31">
        <v>1200</v>
      </c>
      <c r="B19" s="32" t="s">
        <v>69</v>
      </c>
      <c r="C19" s="33">
        <v>15.22</v>
      </c>
    </row>
    <row r="20" spans="1:3" x14ac:dyDescent="0.25">
      <c r="A20" s="31">
        <v>2219</v>
      </c>
      <c r="B20" s="31" t="s">
        <v>77</v>
      </c>
      <c r="C20" s="33">
        <v>0.97</v>
      </c>
    </row>
    <row r="21" spans="1:3" x14ac:dyDescent="0.25">
      <c r="A21" s="31">
        <v>2222</v>
      </c>
      <c r="B21" s="32" t="s">
        <v>26</v>
      </c>
      <c r="C21" s="33">
        <v>38.020000000000003</v>
      </c>
    </row>
    <row r="22" spans="1:3" x14ac:dyDescent="0.25">
      <c r="A22" s="31">
        <v>2223</v>
      </c>
      <c r="B22" s="32" t="s">
        <v>27</v>
      </c>
      <c r="C22" s="33">
        <v>43.62</v>
      </c>
    </row>
    <row r="23" spans="1:3" x14ac:dyDescent="0.25">
      <c r="A23" s="31">
        <v>2243</v>
      </c>
      <c r="B23" s="32" t="s">
        <v>78</v>
      </c>
      <c r="C23" s="33">
        <v>0.52</v>
      </c>
    </row>
    <row r="24" spans="1:3" x14ac:dyDescent="0.25">
      <c r="A24" s="31">
        <v>2244</v>
      </c>
      <c r="B24" s="32" t="s">
        <v>14</v>
      </c>
      <c r="C24" s="33">
        <v>51.36</v>
      </c>
    </row>
    <row r="25" spans="1:3" hidden="1" x14ac:dyDescent="0.25">
      <c r="A25" s="31">
        <v>2249</v>
      </c>
      <c r="B25" s="32" t="s">
        <v>79</v>
      </c>
      <c r="C25" s="33">
        <v>0</v>
      </c>
    </row>
    <row r="26" spans="1:3" x14ac:dyDescent="0.25">
      <c r="A26" s="31">
        <v>2263</v>
      </c>
      <c r="B26" s="32" t="s">
        <v>80</v>
      </c>
      <c r="C26" s="33">
        <v>10.14</v>
      </c>
    </row>
    <row r="27" spans="1:3" x14ac:dyDescent="0.25">
      <c r="A27" s="31">
        <v>2264</v>
      </c>
      <c r="B27" s="32" t="s">
        <v>81</v>
      </c>
      <c r="C27" s="33">
        <v>0.06</v>
      </c>
    </row>
    <row r="28" spans="1:3" x14ac:dyDescent="0.25">
      <c r="A28" s="31">
        <v>2279</v>
      </c>
      <c r="B28" s="32" t="s">
        <v>16</v>
      </c>
      <c r="C28" s="33">
        <v>5.0599999999999996</v>
      </c>
    </row>
    <row r="29" spans="1:3" x14ac:dyDescent="0.25">
      <c r="A29" s="31">
        <v>2321</v>
      </c>
      <c r="B29" s="32" t="s">
        <v>19</v>
      </c>
      <c r="C29" s="33">
        <v>54.19</v>
      </c>
    </row>
    <row r="30" spans="1:3" x14ac:dyDescent="0.25">
      <c r="A30" s="31">
        <v>2363</v>
      </c>
      <c r="B30" s="32" t="s">
        <v>82</v>
      </c>
      <c r="C30" s="33">
        <v>107.4</v>
      </c>
    </row>
    <row r="31" spans="1:3" x14ac:dyDescent="0.25">
      <c r="A31" s="31">
        <v>2513</v>
      </c>
      <c r="B31" s="32" t="s">
        <v>23</v>
      </c>
      <c r="C31" s="33">
        <v>1.17</v>
      </c>
    </row>
    <row r="32" spans="1:3" x14ac:dyDescent="0.25">
      <c r="A32" s="31">
        <v>2519</v>
      </c>
      <c r="B32" s="32" t="s">
        <v>25</v>
      </c>
      <c r="C32" s="33">
        <v>0.65</v>
      </c>
    </row>
    <row r="33" spans="1:3" x14ac:dyDescent="0.25">
      <c r="A33" s="31"/>
      <c r="B33" s="36" t="s">
        <v>6</v>
      </c>
      <c r="C33" s="37">
        <f>SUM(C18:C32)</f>
        <v>391.58</v>
      </c>
    </row>
    <row r="34" spans="1:3" x14ac:dyDescent="0.25">
      <c r="A34" s="38"/>
      <c r="B34" s="31" t="s">
        <v>7</v>
      </c>
      <c r="C34" s="33"/>
    </row>
    <row r="35" spans="1:3" x14ac:dyDescent="0.25">
      <c r="A35" s="31">
        <v>1100</v>
      </c>
      <c r="B35" s="31" t="s">
        <v>68</v>
      </c>
      <c r="C35" s="33">
        <v>63.57</v>
      </c>
    </row>
    <row r="36" spans="1:3" x14ac:dyDescent="0.25">
      <c r="A36" s="31">
        <v>1200</v>
      </c>
      <c r="B36" s="32" t="s">
        <v>69</v>
      </c>
      <c r="C36" s="33">
        <v>15.31</v>
      </c>
    </row>
    <row r="37" spans="1:3" x14ac:dyDescent="0.25">
      <c r="A37" s="31">
        <v>2219</v>
      </c>
      <c r="B37" s="31" t="s">
        <v>77</v>
      </c>
      <c r="C37" s="33">
        <v>1.56</v>
      </c>
    </row>
    <row r="38" spans="1:3" x14ac:dyDescent="0.25">
      <c r="A38" s="31">
        <v>2234</v>
      </c>
      <c r="B38" s="32" t="s">
        <v>74</v>
      </c>
      <c r="C38" s="33">
        <v>0.13</v>
      </c>
    </row>
    <row r="39" spans="1:3" x14ac:dyDescent="0.25">
      <c r="A39" s="31">
        <v>2239</v>
      </c>
      <c r="B39" s="32" t="s">
        <v>75</v>
      </c>
      <c r="C39" s="33">
        <v>0.65</v>
      </c>
    </row>
    <row r="40" spans="1:3" x14ac:dyDescent="0.25">
      <c r="A40" s="31">
        <v>2241</v>
      </c>
      <c r="B40" s="32" t="s">
        <v>83</v>
      </c>
      <c r="C40" s="33">
        <v>0.14000000000000001</v>
      </c>
    </row>
    <row r="41" spans="1:3" hidden="1" x14ac:dyDescent="0.25">
      <c r="A41" s="31">
        <v>2242</v>
      </c>
      <c r="B41" s="32" t="s">
        <v>12</v>
      </c>
      <c r="C41" s="33">
        <v>0</v>
      </c>
    </row>
    <row r="42" spans="1:3" x14ac:dyDescent="0.25">
      <c r="A42" s="31">
        <v>2243</v>
      </c>
      <c r="B42" s="32" t="s">
        <v>13</v>
      </c>
      <c r="C42" s="33">
        <v>0.63</v>
      </c>
    </row>
    <row r="43" spans="1:3" x14ac:dyDescent="0.25">
      <c r="A43" s="31">
        <v>2244</v>
      </c>
      <c r="B43" s="32" t="s">
        <v>14</v>
      </c>
      <c r="C43" s="33">
        <v>25.39</v>
      </c>
    </row>
    <row r="44" spans="1:3" x14ac:dyDescent="0.25">
      <c r="A44" s="31">
        <v>2247</v>
      </c>
      <c r="B44" s="39" t="s">
        <v>71</v>
      </c>
      <c r="C44" s="33">
        <v>0.2</v>
      </c>
    </row>
    <row r="45" spans="1:3" x14ac:dyDescent="0.25">
      <c r="A45" s="31">
        <v>2251</v>
      </c>
      <c r="B45" s="32" t="s">
        <v>70</v>
      </c>
      <c r="C45" s="33">
        <v>7.81</v>
      </c>
    </row>
    <row r="46" spans="1:3" x14ac:dyDescent="0.25">
      <c r="A46" s="31">
        <v>2259</v>
      </c>
      <c r="B46" s="32" t="s">
        <v>72</v>
      </c>
      <c r="C46" s="33">
        <v>0.06</v>
      </c>
    </row>
    <row r="47" spans="1:3" x14ac:dyDescent="0.25">
      <c r="A47" s="31">
        <v>2262</v>
      </c>
      <c r="B47" s="32" t="s">
        <v>15</v>
      </c>
      <c r="C47" s="33">
        <v>1.23</v>
      </c>
    </row>
    <row r="48" spans="1:3" x14ac:dyDescent="0.25">
      <c r="A48" s="31">
        <v>2264</v>
      </c>
      <c r="B48" s="32" t="s">
        <v>81</v>
      </c>
      <c r="C48" s="33">
        <v>0.06</v>
      </c>
    </row>
    <row r="49" spans="1:3" x14ac:dyDescent="0.25">
      <c r="A49" s="31">
        <v>2279</v>
      </c>
      <c r="B49" s="32" t="s">
        <v>16</v>
      </c>
      <c r="C49" s="33">
        <v>0.13</v>
      </c>
    </row>
    <row r="50" spans="1:3" x14ac:dyDescent="0.25">
      <c r="A50" s="31">
        <v>2311</v>
      </c>
      <c r="B50" s="32" t="s">
        <v>17</v>
      </c>
      <c r="C50" s="33">
        <v>0.65</v>
      </c>
    </row>
    <row r="51" spans="1:3" x14ac:dyDescent="0.25">
      <c r="A51" s="31">
        <v>2312</v>
      </c>
      <c r="B51" s="32" t="s">
        <v>18</v>
      </c>
      <c r="C51" s="33">
        <v>0.3</v>
      </c>
    </row>
    <row r="52" spans="1:3" x14ac:dyDescent="0.25">
      <c r="A52" s="31">
        <v>2322</v>
      </c>
      <c r="B52" s="32" t="s">
        <v>20</v>
      </c>
      <c r="C52" s="33">
        <v>2.59</v>
      </c>
    </row>
    <row r="53" spans="1:3" x14ac:dyDescent="0.25">
      <c r="A53" s="31">
        <v>2350</v>
      </c>
      <c r="B53" s="32" t="s">
        <v>21</v>
      </c>
      <c r="C53" s="33">
        <v>9.48</v>
      </c>
    </row>
    <row r="54" spans="1:3" x14ac:dyDescent="0.25">
      <c r="A54" s="31">
        <v>2361</v>
      </c>
      <c r="B54" s="32" t="s">
        <v>22</v>
      </c>
      <c r="C54" s="33">
        <v>1.5</v>
      </c>
    </row>
    <row r="55" spans="1:3" x14ac:dyDescent="0.25">
      <c r="A55" s="31">
        <v>2362</v>
      </c>
      <c r="B55" s="32" t="s">
        <v>43</v>
      </c>
      <c r="C55" s="33">
        <v>1.6</v>
      </c>
    </row>
    <row r="56" spans="1:3" x14ac:dyDescent="0.25">
      <c r="A56" s="31">
        <v>2400</v>
      </c>
      <c r="B56" s="32" t="s">
        <v>28</v>
      </c>
      <c r="C56" s="33">
        <v>0.2</v>
      </c>
    </row>
    <row r="57" spans="1:3" x14ac:dyDescent="0.25">
      <c r="A57" s="31">
        <v>2512</v>
      </c>
      <c r="B57" s="32" t="s">
        <v>30</v>
      </c>
      <c r="C57" s="33">
        <v>65.400000000000006</v>
      </c>
    </row>
    <row r="58" spans="1:3" x14ac:dyDescent="0.25">
      <c r="A58" s="31">
        <v>2515</v>
      </c>
      <c r="B58" s="32" t="s">
        <v>73</v>
      </c>
      <c r="C58" s="33">
        <v>0.26</v>
      </c>
    </row>
    <row r="59" spans="1:3" x14ac:dyDescent="0.25">
      <c r="A59" s="31">
        <v>2519</v>
      </c>
      <c r="B59" s="32" t="s">
        <v>25</v>
      </c>
      <c r="C59" s="33">
        <v>0.06</v>
      </c>
    </row>
    <row r="60" spans="1:3" x14ac:dyDescent="0.25">
      <c r="A60" s="31">
        <v>5232</v>
      </c>
      <c r="B60" s="32" t="s">
        <v>24</v>
      </c>
      <c r="C60" s="33">
        <v>15.19</v>
      </c>
    </row>
    <row r="61" spans="1:3" x14ac:dyDescent="0.25">
      <c r="A61" s="31">
        <v>5240</v>
      </c>
      <c r="B61" s="32" t="s">
        <v>84</v>
      </c>
      <c r="C61" s="33">
        <v>1.64</v>
      </c>
    </row>
    <row r="62" spans="1:3" x14ac:dyDescent="0.25">
      <c r="A62" s="31">
        <v>5250</v>
      </c>
      <c r="B62" s="32" t="s">
        <v>85</v>
      </c>
      <c r="C62" s="33">
        <v>2.88</v>
      </c>
    </row>
    <row r="63" spans="1:3" x14ac:dyDescent="0.25">
      <c r="A63" s="38"/>
      <c r="B63" s="40" t="s">
        <v>8</v>
      </c>
      <c r="C63" s="37">
        <f>SUM(C35:C62)</f>
        <v>218.61999999999998</v>
      </c>
    </row>
    <row r="64" spans="1:3" x14ac:dyDescent="0.25">
      <c r="A64" s="38"/>
      <c r="B64" s="40" t="s">
        <v>29</v>
      </c>
      <c r="C64" s="37">
        <f>C63+C33</f>
        <v>610.19999999999993</v>
      </c>
    </row>
    <row r="65" spans="1:3" x14ac:dyDescent="0.35">
      <c r="A65" s="15"/>
      <c r="B65" s="25"/>
      <c r="C65" s="59"/>
    </row>
    <row r="66" spans="1:3" x14ac:dyDescent="0.25">
      <c r="A66" s="419" t="s">
        <v>57</v>
      </c>
      <c r="B66" s="419"/>
      <c r="C66" s="67">
        <v>30</v>
      </c>
    </row>
    <row r="67" spans="1:3" x14ac:dyDescent="0.3">
      <c r="A67" s="419" t="s">
        <v>58</v>
      </c>
      <c r="B67" s="419"/>
      <c r="C67" s="68">
        <f>C64/C66</f>
        <v>20.339999999999996</v>
      </c>
    </row>
    <row r="68" spans="1:3" x14ac:dyDescent="0.35">
      <c r="A68" s="25"/>
      <c r="B68" s="26"/>
      <c r="C68" s="58"/>
    </row>
    <row r="69" spans="1:3" x14ac:dyDescent="0.35">
      <c r="A69" s="430" t="s">
        <v>33</v>
      </c>
      <c r="B69" s="431"/>
      <c r="C69" s="27"/>
    </row>
    <row r="70" spans="1:3" x14ac:dyDescent="0.35">
      <c r="A70" s="430" t="s">
        <v>64</v>
      </c>
      <c r="B70" s="431"/>
      <c r="C70" s="27"/>
    </row>
    <row r="71" spans="1:3" x14ac:dyDescent="0.35">
      <c r="A71" s="28"/>
      <c r="B71" s="28"/>
      <c r="C71" s="28"/>
    </row>
    <row r="72" spans="1:3" x14ac:dyDescent="0.35">
      <c r="A72" s="28" t="s">
        <v>34</v>
      </c>
      <c r="B72" s="28"/>
      <c r="C72" s="28"/>
    </row>
    <row r="73" spans="1:3" x14ac:dyDescent="0.35">
      <c r="A73" s="28"/>
      <c r="B73" s="28"/>
      <c r="C73" s="28"/>
    </row>
    <row r="74" spans="1:3" x14ac:dyDescent="0.35">
      <c r="A74" s="28" t="s">
        <v>59</v>
      </c>
      <c r="B74" s="29"/>
      <c r="C74" s="28"/>
    </row>
    <row r="75" spans="1:3" x14ac:dyDescent="0.35">
      <c r="A75" s="28"/>
      <c r="B75" s="30"/>
      <c r="C75" s="28"/>
    </row>
    <row r="93" spans="5:6" x14ac:dyDescent="0.35">
      <c r="E93" s="2"/>
      <c r="F93" s="2"/>
    </row>
    <row r="94" spans="5:6" x14ac:dyDescent="0.35">
      <c r="E94" s="2"/>
      <c r="F94" s="2"/>
    </row>
    <row r="95" spans="5:6" x14ac:dyDescent="0.35">
      <c r="E95" s="2"/>
      <c r="F95" s="2"/>
    </row>
    <row r="96" spans="5:6" x14ac:dyDescent="0.35">
      <c r="E96" s="2"/>
      <c r="F96" s="2"/>
    </row>
    <row r="97" spans="5:6" x14ac:dyDescent="0.35">
      <c r="E97" s="2"/>
      <c r="F97" s="2"/>
    </row>
    <row r="98" spans="5:6" x14ac:dyDescent="0.35">
      <c r="E98" s="2"/>
      <c r="F98" s="2"/>
    </row>
    <row r="99" spans="5:6" x14ac:dyDescent="0.35">
      <c r="E99" s="2"/>
      <c r="F99" s="2"/>
    </row>
  </sheetData>
  <mergeCells count="9">
    <mergeCell ref="A67:B67"/>
    <mergeCell ref="A69:B69"/>
    <mergeCell ref="A70:B70"/>
    <mergeCell ref="A7:C7"/>
    <mergeCell ref="A9:B9"/>
    <mergeCell ref="A10:B10"/>
    <mergeCell ref="B12:C12"/>
    <mergeCell ref="B13:C13"/>
    <mergeCell ref="A66:B66"/>
  </mergeCells>
  <hyperlinks>
    <hyperlink ref="A107" r:id="rId1" display="Inese.Kise@lm.gov.lv," xr:uid="{00000000-0004-0000-1200-000000000000}"/>
  </hyperlinks>
  <pageMargins left="0.70866141732283472" right="0.70866141732283472" top="0.74803149606299213" bottom="0.74803149606299213" header="0.31496062992125984" footer="0.31496062992125984"/>
  <pageSetup paperSize="9" scale="61" fitToHeight="0" orientation="portrait" r:id="rId2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G99"/>
  <sheetViews>
    <sheetView view="pageLayout" zoomScaleNormal="100" workbookViewId="0">
      <selection activeCell="B73" sqref="B73:B78"/>
    </sheetView>
  </sheetViews>
  <sheetFormatPr defaultRowHeight="15.5" x14ac:dyDescent="0.35"/>
  <cols>
    <col min="1" max="1" width="12" style="13" customWidth="1"/>
    <col min="2" max="2" width="95" style="13" customWidth="1"/>
    <col min="3" max="3" width="32.26953125" style="13" hidden="1" customWidth="1"/>
    <col min="4" max="4" width="32.26953125" style="13" customWidth="1"/>
  </cols>
  <sheetData>
    <row r="1" spans="1:7" x14ac:dyDescent="0.35">
      <c r="B1" s="14"/>
      <c r="C1" s="53" t="s">
        <v>10</v>
      </c>
      <c r="D1" s="53" t="s">
        <v>10</v>
      </c>
    </row>
    <row r="2" spans="1:7" x14ac:dyDescent="0.35">
      <c r="B2" s="14"/>
      <c r="C2" s="54" t="s">
        <v>32</v>
      </c>
      <c r="D2" s="54" t="s">
        <v>32</v>
      </c>
    </row>
    <row r="3" spans="1:7" x14ac:dyDescent="0.35">
      <c r="B3" s="14"/>
      <c r="C3" s="55" t="s">
        <v>66</v>
      </c>
      <c r="D3" s="64" t="s">
        <v>117</v>
      </c>
    </row>
    <row r="4" spans="1:7" x14ac:dyDescent="0.35">
      <c r="B4" s="14"/>
      <c r="C4" s="54"/>
      <c r="D4" s="63"/>
    </row>
    <row r="5" spans="1:7" x14ac:dyDescent="0.35">
      <c r="B5" s="17"/>
      <c r="C5" s="54" t="s">
        <v>67</v>
      </c>
      <c r="D5" s="63" t="s">
        <v>118</v>
      </c>
    </row>
    <row r="6" spans="1:7" x14ac:dyDescent="0.35">
      <c r="C6" s="25"/>
      <c r="D6" s="25"/>
    </row>
    <row r="7" spans="1:7" ht="15" x14ac:dyDescent="0.3">
      <c r="A7" s="416" t="s">
        <v>9</v>
      </c>
      <c r="B7" s="416"/>
      <c r="C7" s="416"/>
      <c r="D7"/>
    </row>
    <row r="8" spans="1:7" x14ac:dyDescent="0.35">
      <c r="B8" s="18"/>
      <c r="C8" s="25"/>
      <c r="D8" s="25"/>
    </row>
    <row r="9" spans="1:7" x14ac:dyDescent="0.35">
      <c r="A9" s="419" t="s">
        <v>1</v>
      </c>
      <c r="B9" s="419"/>
      <c r="C9" s="25"/>
      <c r="D9" s="25"/>
    </row>
    <row r="10" spans="1:7" x14ac:dyDescent="0.35">
      <c r="A10" s="419" t="s">
        <v>0</v>
      </c>
      <c r="B10" s="419"/>
      <c r="C10" s="25"/>
      <c r="D10" s="25"/>
    </row>
    <row r="11" spans="1:7" x14ac:dyDescent="0.35">
      <c r="A11" s="11"/>
      <c r="B11" s="11" t="s">
        <v>31</v>
      </c>
      <c r="C11" s="25"/>
      <c r="D11" s="25"/>
    </row>
    <row r="12" spans="1:7" x14ac:dyDescent="0.35">
      <c r="A12" s="11"/>
      <c r="B12" s="419" t="s">
        <v>115</v>
      </c>
      <c r="C12" s="432"/>
      <c r="D12"/>
      <c r="F12" s="52"/>
      <c r="G12" s="52"/>
    </row>
    <row r="13" spans="1:7" x14ac:dyDescent="0.35">
      <c r="A13" s="11"/>
      <c r="B13" s="419" t="s">
        <v>103</v>
      </c>
      <c r="C13" s="432"/>
      <c r="D13"/>
    </row>
    <row r="14" spans="1:7" x14ac:dyDescent="0.25">
      <c r="A14" s="12" t="s">
        <v>2</v>
      </c>
      <c r="B14" s="11" t="str">
        <f>'7.5.7.'!B14</f>
        <v>2023.gadā un turpmāk</v>
      </c>
      <c r="C14" s="47"/>
      <c r="D14" s="47"/>
    </row>
    <row r="15" spans="1:7" ht="46.5" x14ac:dyDescent="0.25">
      <c r="A15" s="51" t="s">
        <v>3</v>
      </c>
      <c r="B15" s="51" t="s">
        <v>4</v>
      </c>
      <c r="C15" s="51" t="s">
        <v>63</v>
      </c>
      <c r="D15" s="51" t="s">
        <v>63</v>
      </c>
    </row>
    <row r="16" spans="1:7" ht="15" x14ac:dyDescent="0.25">
      <c r="A16" s="41">
        <v>1</v>
      </c>
      <c r="B16" s="48">
        <v>2</v>
      </c>
      <c r="C16" s="48">
        <v>3</v>
      </c>
      <c r="D16" s="48">
        <v>3</v>
      </c>
    </row>
    <row r="17" spans="1:4" x14ac:dyDescent="0.25">
      <c r="A17" s="41"/>
      <c r="B17" s="39" t="s">
        <v>5</v>
      </c>
      <c r="C17" s="31"/>
      <c r="D17" s="31"/>
    </row>
    <row r="18" spans="1:4" x14ac:dyDescent="0.25">
      <c r="A18" s="31">
        <v>1100</v>
      </c>
      <c r="B18" s="31" t="s">
        <v>68</v>
      </c>
      <c r="C18" s="33">
        <v>76.150000000000006</v>
      </c>
      <c r="D18" s="33">
        <v>126.39</v>
      </c>
    </row>
    <row r="19" spans="1:4" ht="31" x14ac:dyDescent="0.25">
      <c r="A19" s="31">
        <v>1200</v>
      </c>
      <c r="B19" s="32" t="s">
        <v>69</v>
      </c>
      <c r="C19" s="33">
        <v>17.95</v>
      </c>
      <c r="D19" s="33">
        <v>30.45</v>
      </c>
    </row>
    <row r="20" spans="1:4" x14ac:dyDescent="0.25">
      <c r="A20" s="31">
        <v>2219</v>
      </c>
      <c r="B20" s="31" t="s">
        <v>77</v>
      </c>
      <c r="C20" s="33">
        <v>1.1599999999999999</v>
      </c>
      <c r="D20" s="33">
        <f t="shared" ref="D20:D32" si="0">C20/30*50</f>
        <v>1.9333333333333331</v>
      </c>
    </row>
    <row r="21" spans="1:4" x14ac:dyDescent="0.25">
      <c r="A21" s="31">
        <v>2222</v>
      </c>
      <c r="B21" s="32" t="s">
        <v>26</v>
      </c>
      <c r="C21" s="33">
        <v>48.62</v>
      </c>
      <c r="D21" s="33">
        <f t="shared" si="0"/>
        <v>81.033333333333317</v>
      </c>
    </row>
    <row r="22" spans="1:4" x14ac:dyDescent="0.25">
      <c r="A22" s="31">
        <v>2223</v>
      </c>
      <c r="B22" s="32" t="s">
        <v>27</v>
      </c>
      <c r="C22" s="33">
        <v>52.87</v>
      </c>
      <c r="D22" s="33">
        <f t="shared" si="0"/>
        <v>88.11666666666666</v>
      </c>
    </row>
    <row r="23" spans="1:4" x14ac:dyDescent="0.25">
      <c r="A23" s="31">
        <v>2243</v>
      </c>
      <c r="B23" s="32" t="s">
        <v>78</v>
      </c>
      <c r="C23" s="33">
        <v>0.62</v>
      </c>
      <c r="D23" s="33">
        <f t="shared" si="0"/>
        <v>1.0333333333333332</v>
      </c>
    </row>
    <row r="24" spans="1:4" x14ac:dyDescent="0.25">
      <c r="A24" s="31">
        <v>2244</v>
      </c>
      <c r="B24" s="32" t="s">
        <v>14</v>
      </c>
      <c r="C24" s="33">
        <v>69.25</v>
      </c>
      <c r="D24" s="33">
        <f t="shared" si="0"/>
        <v>115.41666666666666</v>
      </c>
    </row>
    <row r="25" spans="1:4" hidden="1" x14ac:dyDescent="0.25">
      <c r="A25" s="31">
        <v>2249</v>
      </c>
      <c r="B25" s="32" t="s">
        <v>79</v>
      </c>
      <c r="C25" s="33">
        <v>0</v>
      </c>
      <c r="D25" s="33">
        <f t="shared" si="0"/>
        <v>0</v>
      </c>
    </row>
    <row r="26" spans="1:4" x14ac:dyDescent="0.25">
      <c r="A26" s="31">
        <v>2263</v>
      </c>
      <c r="B26" s="32" t="s">
        <v>80</v>
      </c>
      <c r="C26" s="33">
        <v>12.17</v>
      </c>
      <c r="D26" s="33">
        <f t="shared" si="0"/>
        <v>20.283333333333335</v>
      </c>
    </row>
    <row r="27" spans="1:4" x14ac:dyDescent="0.25">
      <c r="A27" s="31">
        <v>2264</v>
      </c>
      <c r="B27" s="32" t="s">
        <v>81</v>
      </c>
      <c r="C27" s="33">
        <v>7.0000000000000007E-2</v>
      </c>
      <c r="D27" s="33">
        <f t="shared" si="0"/>
        <v>0.11666666666666668</v>
      </c>
    </row>
    <row r="28" spans="1:4" x14ac:dyDescent="0.25">
      <c r="A28" s="31">
        <v>2279</v>
      </c>
      <c r="B28" s="32" t="s">
        <v>16</v>
      </c>
      <c r="C28" s="33">
        <v>6.07</v>
      </c>
      <c r="D28" s="33">
        <f t="shared" si="0"/>
        <v>10.116666666666667</v>
      </c>
    </row>
    <row r="29" spans="1:4" x14ac:dyDescent="0.25">
      <c r="A29" s="31">
        <v>2321</v>
      </c>
      <c r="B29" s="32" t="s">
        <v>19</v>
      </c>
      <c r="C29" s="33">
        <v>73.25</v>
      </c>
      <c r="D29" s="33">
        <f t="shared" si="0"/>
        <v>122.08333333333334</v>
      </c>
    </row>
    <row r="30" spans="1:4" x14ac:dyDescent="0.25">
      <c r="A30" s="31">
        <v>2363</v>
      </c>
      <c r="B30" s="32" t="s">
        <v>82</v>
      </c>
      <c r="C30" s="33">
        <v>221.4</v>
      </c>
      <c r="D30" s="33">
        <v>406</v>
      </c>
    </row>
    <row r="31" spans="1:4" x14ac:dyDescent="0.25">
      <c r="A31" s="31">
        <v>2513</v>
      </c>
      <c r="B31" s="32" t="s">
        <v>23</v>
      </c>
      <c r="C31" s="33">
        <v>1.4</v>
      </c>
      <c r="D31" s="33">
        <f t="shared" si="0"/>
        <v>2.333333333333333</v>
      </c>
    </row>
    <row r="32" spans="1:4" x14ac:dyDescent="0.25">
      <c r="A32" s="31">
        <v>2519</v>
      </c>
      <c r="B32" s="32" t="s">
        <v>25</v>
      </c>
      <c r="C32" s="33">
        <v>0.78</v>
      </c>
      <c r="D32" s="33">
        <f t="shared" si="0"/>
        <v>1.3</v>
      </c>
    </row>
    <row r="33" spans="1:4" x14ac:dyDescent="0.25">
      <c r="A33" s="31"/>
      <c r="B33" s="36" t="s">
        <v>6</v>
      </c>
      <c r="C33" s="37">
        <f>SUM(C18:C32)</f>
        <v>581.76</v>
      </c>
      <c r="D33" s="37">
        <f>SUM(D18:D32)</f>
        <v>1006.6066666666667</v>
      </c>
    </row>
    <row r="34" spans="1:4" x14ac:dyDescent="0.25">
      <c r="A34" s="38"/>
      <c r="B34" s="31" t="s">
        <v>7</v>
      </c>
      <c r="C34" s="33"/>
      <c r="D34" s="33"/>
    </row>
    <row r="35" spans="1:4" x14ac:dyDescent="0.25">
      <c r="A35" s="31">
        <v>1100</v>
      </c>
      <c r="B35" s="31" t="s">
        <v>68</v>
      </c>
      <c r="C35" s="33">
        <v>76.58</v>
      </c>
      <c r="D35" s="33">
        <v>127.13</v>
      </c>
    </row>
    <row r="36" spans="1:4" ht="31" x14ac:dyDescent="0.25">
      <c r="A36" s="31">
        <v>1200</v>
      </c>
      <c r="B36" s="32" t="s">
        <v>69</v>
      </c>
      <c r="C36" s="33">
        <v>18.07</v>
      </c>
      <c r="D36" s="33">
        <v>30.62</v>
      </c>
    </row>
    <row r="37" spans="1:4" x14ac:dyDescent="0.25">
      <c r="A37" s="31">
        <v>2219</v>
      </c>
      <c r="B37" s="31" t="s">
        <v>77</v>
      </c>
      <c r="C37" s="33">
        <v>1.87</v>
      </c>
      <c r="D37" s="33">
        <f t="shared" ref="D37:D61" si="1">C37/30*50</f>
        <v>3.1166666666666667</v>
      </c>
    </row>
    <row r="38" spans="1:4" x14ac:dyDescent="0.25">
      <c r="A38" s="31">
        <v>2234</v>
      </c>
      <c r="B38" s="32" t="s">
        <v>74</v>
      </c>
      <c r="C38" s="33">
        <v>0.16</v>
      </c>
      <c r="D38" s="33">
        <f t="shared" si="1"/>
        <v>0.26666666666666666</v>
      </c>
    </row>
    <row r="39" spans="1:4" x14ac:dyDescent="0.25">
      <c r="A39" s="31">
        <v>2239</v>
      </c>
      <c r="B39" s="32" t="s">
        <v>75</v>
      </c>
      <c r="C39" s="33">
        <v>0.78</v>
      </c>
      <c r="D39" s="33">
        <f t="shared" si="1"/>
        <v>1.3</v>
      </c>
    </row>
    <row r="40" spans="1:4" x14ac:dyDescent="0.25">
      <c r="A40" s="31">
        <v>2241</v>
      </c>
      <c r="B40" s="32" t="s">
        <v>83</v>
      </c>
      <c r="C40" s="33">
        <v>0.17</v>
      </c>
      <c r="D40" s="33">
        <v>0.32</v>
      </c>
    </row>
    <row r="41" spans="1:4" hidden="1" x14ac:dyDescent="0.25">
      <c r="A41" s="31">
        <v>2242</v>
      </c>
      <c r="B41" s="32" t="s">
        <v>12</v>
      </c>
      <c r="C41" s="33">
        <v>0</v>
      </c>
      <c r="D41" s="33">
        <f t="shared" si="1"/>
        <v>0</v>
      </c>
    </row>
    <row r="42" spans="1:4" x14ac:dyDescent="0.25">
      <c r="A42" s="31">
        <v>2243</v>
      </c>
      <c r="B42" s="32" t="s">
        <v>13</v>
      </c>
      <c r="C42" s="33">
        <v>0.76</v>
      </c>
      <c r="D42" s="33">
        <v>1.33</v>
      </c>
    </row>
    <row r="43" spans="1:4" x14ac:dyDescent="0.25">
      <c r="A43" s="31">
        <v>2244</v>
      </c>
      <c r="B43" s="32" t="s">
        <v>14</v>
      </c>
      <c r="C43" s="33">
        <v>0.18</v>
      </c>
      <c r="D43" s="33">
        <v>74.3</v>
      </c>
    </row>
    <row r="44" spans="1:4" x14ac:dyDescent="0.25">
      <c r="A44" s="31">
        <v>2247</v>
      </c>
      <c r="B44" s="39" t="s">
        <v>71</v>
      </c>
      <c r="C44" s="33">
        <v>0.24</v>
      </c>
      <c r="D44" s="33">
        <f t="shared" si="1"/>
        <v>0.4</v>
      </c>
    </row>
    <row r="45" spans="1:4" x14ac:dyDescent="0.25">
      <c r="A45" s="31">
        <v>2251</v>
      </c>
      <c r="B45" s="32" t="s">
        <v>70</v>
      </c>
      <c r="C45" s="33">
        <v>12.39</v>
      </c>
      <c r="D45" s="33">
        <f t="shared" si="1"/>
        <v>20.650000000000002</v>
      </c>
    </row>
    <row r="46" spans="1:4" x14ac:dyDescent="0.25">
      <c r="A46" s="31">
        <v>2259</v>
      </c>
      <c r="B46" s="32" t="s">
        <v>72</v>
      </c>
      <c r="C46" s="33">
        <v>7.0000000000000007E-2</v>
      </c>
      <c r="D46" s="33">
        <v>0.15</v>
      </c>
    </row>
    <row r="47" spans="1:4" x14ac:dyDescent="0.25">
      <c r="A47" s="31">
        <v>2262</v>
      </c>
      <c r="B47" s="32" t="s">
        <v>15</v>
      </c>
      <c r="C47" s="33">
        <v>1.48</v>
      </c>
      <c r="D47" s="33">
        <f t="shared" si="1"/>
        <v>2.4666666666666668</v>
      </c>
    </row>
    <row r="48" spans="1:4" x14ac:dyDescent="0.25">
      <c r="A48" s="31">
        <v>2264</v>
      </c>
      <c r="B48" s="32" t="s">
        <v>81</v>
      </c>
      <c r="C48" s="33">
        <v>7.0000000000000007E-2</v>
      </c>
      <c r="D48" s="33">
        <f t="shared" si="1"/>
        <v>0.11666666666666668</v>
      </c>
    </row>
    <row r="49" spans="1:4" x14ac:dyDescent="0.25">
      <c r="A49" s="31">
        <v>2279</v>
      </c>
      <c r="B49" s="32" t="s">
        <v>16</v>
      </c>
      <c r="C49" s="33">
        <v>0.16</v>
      </c>
      <c r="D49" s="33">
        <f t="shared" si="1"/>
        <v>0.26666666666666666</v>
      </c>
    </row>
    <row r="50" spans="1:4" x14ac:dyDescent="0.25">
      <c r="A50" s="31">
        <v>2311</v>
      </c>
      <c r="B50" s="32" t="s">
        <v>17</v>
      </c>
      <c r="C50" s="33">
        <v>0.78</v>
      </c>
      <c r="D50" s="33">
        <f t="shared" si="1"/>
        <v>1.3</v>
      </c>
    </row>
    <row r="51" spans="1:4" x14ac:dyDescent="0.25">
      <c r="A51" s="31">
        <v>2312</v>
      </c>
      <c r="B51" s="32" t="s">
        <v>18</v>
      </c>
      <c r="C51" s="33">
        <v>0.36</v>
      </c>
      <c r="D51" s="33">
        <f t="shared" si="1"/>
        <v>0.6</v>
      </c>
    </row>
    <row r="52" spans="1:4" x14ac:dyDescent="0.25">
      <c r="A52" s="31">
        <v>2322</v>
      </c>
      <c r="B52" s="32" t="s">
        <v>20</v>
      </c>
      <c r="C52" s="33">
        <v>3.11</v>
      </c>
      <c r="D52" s="33">
        <f t="shared" si="1"/>
        <v>5.1833333333333327</v>
      </c>
    </row>
    <row r="53" spans="1:4" x14ac:dyDescent="0.25">
      <c r="A53" s="31">
        <v>2350</v>
      </c>
      <c r="B53" s="32" t="s">
        <v>21</v>
      </c>
      <c r="C53" s="33">
        <v>15.98</v>
      </c>
      <c r="D53" s="33">
        <f t="shared" si="1"/>
        <v>26.633333333333336</v>
      </c>
    </row>
    <row r="54" spans="1:4" x14ac:dyDescent="0.25">
      <c r="A54" s="31">
        <v>2361</v>
      </c>
      <c r="B54" s="32" t="s">
        <v>22</v>
      </c>
      <c r="C54" s="33">
        <v>3.5</v>
      </c>
      <c r="D54" s="33">
        <f t="shared" si="1"/>
        <v>5.833333333333333</v>
      </c>
    </row>
    <row r="55" spans="1:4" x14ac:dyDescent="0.25">
      <c r="A55" s="31">
        <v>2362</v>
      </c>
      <c r="B55" s="32" t="s">
        <v>43</v>
      </c>
      <c r="C55" s="33">
        <v>2.4</v>
      </c>
      <c r="D55" s="33">
        <f t="shared" si="1"/>
        <v>4</v>
      </c>
    </row>
    <row r="56" spans="1:4" x14ac:dyDescent="0.25">
      <c r="A56" s="31">
        <v>2400</v>
      </c>
      <c r="B56" s="32" t="s">
        <v>28</v>
      </c>
      <c r="C56" s="33">
        <v>0.24</v>
      </c>
      <c r="D56" s="33">
        <f t="shared" si="1"/>
        <v>0.4</v>
      </c>
    </row>
    <row r="57" spans="1:4" x14ac:dyDescent="0.25">
      <c r="A57" s="31">
        <v>2512</v>
      </c>
      <c r="B57" s="32" t="s">
        <v>30</v>
      </c>
      <c r="C57" s="33">
        <v>91.58</v>
      </c>
      <c r="D57" s="33">
        <v>166</v>
      </c>
    </row>
    <row r="58" spans="1:4" x14ac:dyDescent="0.25">
      <c r="A58" s="31">
        <v>2515</v>
      </c>
      <c r="B58" s="32" t="s">
        <v>73</v>
      </c>
      <c r="C58" s="33">
        <v>0.31</v>
      </c>
      <c r="D58" s="33">
        <f t="shared" si="1"/>
        <v>0.51666666666666661</v>
      </c>
    </row>
    <row r="59" spans="1:4" x14ac:dyDescent="0.25">
      <c r="A59" s="31">
        <v>2519</v>
      </c>
      <c r="B59" s="32" t="s">
        <v>25</v>
      </c>
      <c r="C59" s="33">
        <v>7.0000000000000007E-2</v>
      </c>
      <c r="D59" s="33">
        <f t="shared" si="1"/>
        <v>0.11666666666666668</v>
      </c>
    </row>
    <row r="60" spans="1:4" x14ac:dyDescent="0.25">
      <c r="A60" s="31">
        <v>5232</v>
      </c>
      <c r="B60" s="32" t="s">
        <v>24</v>
      </c>
      <c r="C60" s="33">
        <v>33.97</v>
      </c>
      <c r="D60" s="33">
        <f t="shared" si="1"/>
        <v>56.61666666666666</v>
      </c>
    </row>
    <row r="61" spans="1:4" x14ac:dyDescent="0.25">
      <c r="A61" s="31">
        <v>5240</v>
      </c>
      <c r="B61" s="32" t="s">
        <v>84</v>
      </c>
      <c r="C61" s="33">
        <v>1.97</v>
      </c>
      <c r="D61" s="33">
        <f t="shared" si="1"/>
        <v>3.2833333333333332</v>
      </c>
    </row>
    <row r="62" spans="1:4" x14ac:dyDescent="0.25">
      <c r="A62" s="31">
        <v>5250</v>
      </c>
      <c r="B62" s="32" t="s">
        <v>85</v>
      </c>
      <c r="C62" s="33">
        <v>5.69</v>
      </c>
      <c r="D62" s="33">
        <v>9.48</v>
      </c>
    </row>
    <row r="63" spans="1:4" x14ac:dyDescent="0.25">
      <c r="A63" s="38"/>
      <c r="B63" s="40" t="s">
        <v>8</v>
      </c>
      <c r="C63" s="37">
        <f>SUM(C35:C62)</f>
        <v>272.94</v>
      </c>
      <c r="D63" s="37">
        <f>SUM(D35:D62)</f>
        <v>542.39666666666665</v>
      </c>
    </row>
    <row r="64" spans="1:4" x14ac:dyDescent="0.25">
      <c r="A64" s="38"/>
      <c r="B64" s="40" t="s">
        <v>29</v>
      </c>
      <c r="C64" s="37">
        <f>C63+C33</f>
        <v>854.7</v>
      </c>
      <c r="D64" s="37">
        <f>D63+D33</f>
        <v>1549.0033333333333</v>
      </c>
    </row>
    <row r="65" spans="1:4" x14ac:dyDescent="0.35">
      <c r="A65" s="15"/>
      <c r="B65" s="25"/>
      <c r="C65" s="26"/>
      <c r="D65" s="59"/>
    </row>
    <row r="66" spans="1:4" x14ac:dyDescent="0.25">
      <c r="A66" s="419" t="s">
        <v>57</v>
      </c>
      <c r="B66" s="419"/>
      <c r="C66" s="19">
        <v>30</v>
      </c>
      <c r="D66" s="67">
        <v>50</v>
      </c>
    </row>
    <row r="67" spans="1:4" x14ac:dyDescent="0.3">
      <c r="A67" s="419" t="s">
        <v>58</v>
      </c>
      <c r="B67" s="419"/>
      <c r="C67" s="23">
        <f>C64/C66</f>
        <v>28.490000000000002</v>
      </c>
      <c r="D67" s="68">
        <f>D64/D66</f>
        <v>30.980066666666666</v>
      </c>
    </row>
    <row r="68" spans="1:4" x14ac:dyDescent="0.35">
      <c r="A68" s="25"/>
      <c r="B68" s="26"/>
      <c r="C68" s="58"/>
      <c r="D68" s="58"/>
    </row>
    <row r="69" spans="1:4" x14ac:dyDescent="0.35">
      <c r="A69" s="430" t="s">
        <v>33</v>
      </c>
      <c r="B69" s="431"/>
      <c r="C69" s="27"/>
      <c r="D69" s="27"/>
    </row>
    <row r="70" spans="1:4" x14ac:dyDescent="0.35">
      <c r="A70" s="430" t="s">
        <v>64</v>
      </c>
      <c r="B70" s="431"/>
      <c r="C70" s="27"/>
      <c r="D70" s="27"/>
    </row>
    <row r="71" spans="1:4" x14ac:dyDescent="0.35">
      <c r="A71" s="28"/>
      <c r="B71" s="28"/>
      <c r="C71" s="28"/>
      <c r="D71" s="28"/>
    </row>
    <row r="72" spans="1:4" x14ac:dyDescent="0.35">
      <c r="A72" s="28" t="s">
        <v>34</v>
      </c>
      <c r="B72" s="28"/>
      <c r="C72" s="28"/>
      <c r="D72" s="28"/>
    </row>
    <row r="73" spans="1:4" x14ac:dyDescent="0.35">
      <c r="A73" s="28"/>
      <c r="B73" s="28"/>
      <c r="C73" s="28"/>
      <c r="D73" s="28"/>
    </row>
    <row r="74" spans="1:4" x14ac:dyDescent="0.35">
      <c r="A74" s="28" t="s">
        <v>59</v>
      </c>
      <c r="B74" s="29"/>
      <c r="C74" s="28"/>
      <c r="D74" s="28"/>
    </row>
    <row r="75" spans="1:4" x14ac:dyDescent="0.35">
      <c r="A75" s="28"/>
      <c r="B75" s="30"/>
      <c r="C75" s="28"/>
      <c r="D75" s="28"/>
    </row>
    <row r="93" spans="6:7" x14ac:dyDescent="0.35">
      <c r="F93" s="2"/>
      <c r="G93" s="2"/>
    </row>
    <row r="94" spans="6:7" x14ac:dyDescent="0.35">
      <c r="F94" s="2"/>
      <c r="G94" s="2"/>
    </row>
    <row r="95" spans="6:7" x14ac:dyDescent="0.35">
      <c r="F95" s="2"/>
      <c r="G95" s="2"/>
    </row>
    <row r="96" spans="6:7" x14ac:dyDescent="0.35">
      <c r="F96" s="2"/>
      <c r="G96" s="2"/>
    </row>
    <row r="97" spans="6:7" x14ac:dyDescent="0.35">
      <c r="F97" s="2"/>
      <c r="G97" s="2"/>
    </row>
    <row r="98" spans="6:7" x14ac:dyDescent="0.35">
      <c r="F98" s="2"/>
      <c r="G98" s="2"/>
    </row>
    <row r="99" spans="6:7" x14ac:dyDescent="0.35">
      <c r="F99" s="2"/>
      <c r="G99" s="2"/>
    </row>
  </sheetData>
  <mergeCells count="9">
    <mergeCell ref="A67:B67"/>
    <mergeCell ref="A69:B69"/>
    <mergeCell ref="A70:B70"/>
    <mergeCell ref="A7:C7"/>
    <mergeCell ref="A9:B9"/>
    <mergeCell ref="A10:B10"/>
    <mergeCell ref="B12:C12"/>
    <mergeCell ref="B13:C13"/>
    <mergeCell ref="A66:B66"/>
  </mergeCells>
  <hyperlinks>
    <hyperlink ref="A107" r:id="rId1" display="Inese.Kise@lm.gov.lv," xr:uid="{00000000-0004-0000-1300-000000000000}"/>
  </hyperlinks>
  <pageMargins left="0.70866141732283472" right="0.70866141732283472" top="0.74803149606299213" bottom="0.55118110236220474" header="0.31496062992125984" footer="0.31496062992125984"/>
  <pageSetup paperSize="9" scale="64" fitToHeight="0" orientation="portrait" r:id="rId2"/>
  <headerFooter>
    <oddFooter>&amp;C&amp;"Times New Roman,Regular"LManotp6_15032019; Grozījumi MK 24.09.2013. noteikumos Nr.1002 "Sociālās integrācijas valsts aģentūras sniegto maksas pakalpojumu cenrādis"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G86"/>
  <sheetViews>
    <sheetView view="pageLayout" topLeftCell="A7" zoomScale="80" zoomScaleNormal="100" zoomScalePageLayoutView="80" workbookViewId="0">
      <selection activeCell="E18" sqref="E18:E35"/>
    </sheetView>
  </sheetViews>
  <sheetFormatPr defaultColWidth="9.1796875" defaultRowHeight="14" x14ac:dyDescent="0.3"/>
  <cols>
    <col min="1" max="1" width="13.453125" style="4" customWidth="1"/>
    <col min="2" max="2" width="94.453125" style="4" customWidth="1"/>
    <col min="3" max="4" width="8" style="217" hidden="1" customWidth="1"/>
    <col min="5" max="5" width="30" style="4" customWidth="1"/>
    <col min="6" max="16384" width="9.1796875" style="7"/>
  </cols>
  <sheetData>
    <row r="1" spans="1:7" ht="15.5" x14ac:dyDescent="0.35">
      <c r="A1" s="13"/>
      <c r="B1" s="14"/>
      <c r="C1" s="214"/>
      <c r="D1" s="214"/>
      <c r="E1" s="17" t="s">
        <v>10</v>
      </c>
    </row>
    <row r="2" spans="1:7" ht="15.5" x14ac:dyDescent="0.35">
      <c r="A2" s="13"/>
      <c r="B2" s="14"/>
      <c r="C2" s="214"/>
      <c r="D2" s="214"/>
      <c r="E2" s="14" t="s">
        <v>32</v>
      </c>
    </row>
    <row r="3" spans="1:7" ht="15.5" x14ac:dyDescent="0.35">
      <c r="A3" s="13"/>
      <c r="B3" s="14"/>
      <c r="C3" s="214"/>
      <c r="D3" s="214"/>
      <c r="E3" s="77" t="s">
        <v>66</v>
      </c>
    </row>
    <row r="4" spans="1:7" ht="15.5" x14ac:dyDescent="0.35">
      <c r="A4" s="13"/>
      <c r="B4" s="14"/>
      <c r="C4" s="214"/>
      <c r="D4" s="214"/>
      <c r="E4" s="63"/>
    </row>
    <row r="5" spans="1:7" ht="15.5" x14ac:dyDescent="0.35">
      <c r="A5" s="13"/>
      <c r="B5" s="17"/>
      <c r="C5" s="241"/>
      <c r="D5" s="241"/>
      <c r="E5" s="15" t="s">
        <v>226</v>
      </c>
    </row>
    <row r="6" spans="1:7" ht="15.5" x14ac:dyDescent="0.35">
      <c r="A6" s="13"/>
      <c r="B6" s="13"/>
      <c r="E6" s="25"/>
    </row>
    <row r="7" spans="1:7" ht="17.5" x14ac:dyDescent="0.35">
      <c r="A7" s="420" t="s">
        <v>9</v>
      </c>
      <c r="B7" s="420"/>
      <c r="C7" s="420"/>
      <c r="D7" s="420"/>
      <c r="E7" s="420"/>
    </row>
    <row r="8" spans="1:7" ht="15.5" x14ac:dyDescent="0.35">
      <c r="A8" s="13"/>
      <c r="B8" s="18"/>
      <c r="C8" s="219"/>
      <c r="D8" s="219"/>
      <c r="E8" s="25"/>
    </row>
    <row r="9" spans="1:7" ht="15.5" x14ac:dyDescent="0.35">
      <c r="A9" s="419" t="s">
        <v>1</v>
      </c>
      <c r="B9" s="419"/>
      <c r="C9" s="220"/>
      <c r="D9" s="220"/>
      <c r="E9" s="25"/>
    </row>
    <row r="10" spans="1:7" ht="15.5" x14ac:dyDescent="0.35">
      <c r="A10" s="419" t="s">
        <v>0</v>
      </c>
      <c r="B10" s="419"/>
      <c r="C10" s="220"/>
      <c r="D10" s="220"/>
      <c r="E10" s="25"/>
    </row>
    <row r="11" spans="1:7" ht="15.5" x14ac:dyDescent="0.35">
      <c r="A11" s="11"/>
      <c r="B11" s="11" t="s">
        <v>179</v>
      </c>
      <c r="C11" s="220"/>
      <c r="D11" s="220"/>
      <c r="E11" s="25"/>
    </row>
    <row r="12" spans="1:7" ht="15.5" x14ac:dyDescent="0.35">
      <c r="A12" s="11"/>
      <c r="B12" s="419" t="s">
        <v>205</v>
      </c>
      <c r="C12" s="419"/>
      <c r="D12" s="419"/>
      <c r="E12" s="432"/>
    </row>
    <row r="13" spans="1:7" ht="15.75" customHeight="1" x14ac:dyDescent="0.35">
      <c r="A13" s="11"/>
      <c r="B13" s="419" t="s">
        <v>209</v>
      </c>
      <c r="C13" s="419"/>
      <c r="D13" s="419"/>
      <c r="E13" s="432"/>
    </row>
    <row r="14" spans="1:7" ht="15.5" x14ac:dyDescent="0.25">
      <c r="A14" s="12" t="s">
        <v>2</v>
      </c>
      <c r="B14" s="11" t="s">
        <v>169</v>
      </c>
      <c r="C14" s="220"/>
      <c r="D14" s="220"/>
      <c r="E14" s="47"/>
    </row>
    <row r="15" spans="1:7" s="141" customFormat="1" ht="67.5" customHeight="1" x14ac:dyDescent="0.25">
      <c r="A15" s="51" t="s">
        <v>3</v>
      </c>
      <c r="B15" s="51" t="s">
        <v>4</v>
      </c>
      <c r="C15" s="223"/>
      <c r="D15" s="223"/>
      <c r="E15" s="51" t="s">
        <v>63</v>
      </c>
      <c r="F15" s="7"/>
      <c r="G15" s="7"/>
    </row>
    <row r="16" spans="1:7" ht="15" x14ac:dyDescent="0.25">
      <c r="A16" s="41">
        <v>1</v>
      </c>
      <c r="B16" s="48">
        <v>2</v>
      </c>
      <c r="C16" s="251"/>
      <c r="D16" s="251"/>
      <c r="E16" s="48">
        <v>3</v>
      </c>
    </row>
    <row r="17" spans="1:7" s="147" customFormat="1" ht="15.5" x14ac:dyDescent="0.25">
      <c r="A17" s="41"/>
      <c r="B17" s="39" t="s">
        <v>5</v>
      </c>
      <c r="C17" s="242"/>
      <c r="D17" s="242"/>
      <c r="E17" s="31"/>
      <c r="F17" s="7"/>
      <c r="G17" s="7"/>
    </row>
    <row r="18" spans="1:7" s="147" customFormat="1" ht="15.5" x14ac:dyDescent="0.25">
      <c r="A18" s="31">
        <v>1100</v>
      </c>
      <c r="B18" s="31" t="s">
        <v>132</v>
      </c>
      <c r="C18" s="227">
        <v>12.496871692461308</v>
      </c>
      <c r="D18" s="226"/>
      <c r="E18" s="33">
        <v>422.21</v>
      </c>
      <c r="F18" s="7"/>
      <c r="G18" s="7"/>
    </row>
    <row r="19" spans="1:7" s="147" customFormat="1" ht="15.5" x14ac:dyDescent="0.35">
      <c r="A19" s="31">
        <v>1200</v>
      </c>
      <c r="B19" s="61" t="s">
        <v>133</v>
      </c>
      <c r="C19" s="226">
        <f>C18*0.2359</f>
        <v>2.9480120322516226</v>
      </c>
      <c r="D19" s="228"/>
      <c r="E19" s="33">
        <v>99.6</v>
      </c>
      <c r="F19" s="7"/>
      <c r="G19" s="7"/>
    </row>
    <row r="20" spans="1:7" s="147" customFormat="1" ht="15.5" x14ac:dyDescent="0.35">
      <c r="A20" s="31">
        <v>2210</v>
      </c>
      <c r="B20" s="62" t="s">
        <v>120</v>
      </c>
      <c r="C20" s="226"/>
      <c r="D20" s="228"/>
      <c r="E20" s="33"/>
      <c r="F20" s="7"/>
      <c r="G20" s="7"/>
    </row>
    <row r="21" spans="1:7" ht="15.75" customHeight="1" x14ac:dyDescent="0.35">
      <c r="A21" s="31">
        <v>2222</v>
      </c>
      <c r="B21" s="62" t="s">
        <v>135</v>
      </c>
      <c r="C21" s="227">
        <v>0.27219670494258608</v>
      </c>
      <c r="D21" s="252"/>
      <c r="E21" s="33">
        <v>8.0399999999999991</v>
      </c>
      <c r="F21" s="148"/>
    </row>
    <row r="22" spans="1:7" ht="15.5" x14ac:dyDescent="0.35">
      <c r="A22" s="31">
        <v>2223</v>
      </c>
      <c r="B22" s="62" t="s">
        <v>136</v>
      </c>
      <c r="C22" s="227">
        <v>0.66961557663504745</v>
      </c>
      <c r="D22" s="253"/>
      <c r="E22" s="33">
        <v>19.7</v>
      </c>
      <c r="F22" s="148"/>
    </row>
    <row r="23" spans="1:7" ht="15.5" x14ac:dyDescent="0.35">
      <c r="A23" s="31">
        <v>2243</v>
      </c>
      <c r="B23" s="22" t="s">
        <v>137</v>
      </c>
      <c r="C23" s="227">
        <v>4.8118148369292721E-2</v>
      </c>
      <c r="D23" s="225"/>
      <c r="E23" s="33">
        <v>1.43</v>
      </c>
    </row>
    <row r="24" spans="1:7" ht="15.5" x14ac:dyDescent="0.35">
      <c r="A24" s="31">
        <v>2244</v>
      </c>
      <c r="B24" s="22" t="s">
        <v>138</v>
      </c>
      <c r="C24" s="227">
        <v>0.85797593274015027</v>
      </c>
      <c r="D24" s="225"/>
      <c r="E24" s="33">
        <v>25.31</v>
      </c>
    </row>
    <row r="25" spans="1:7" ht="15.5" x14ac:dyDescent="0.35">
      <c r="A25" s="31">
        <v>2250</v>
      </c>
      <c r="B25" s="22" t="s">
        <v>124</v>
      </c>
      <c r="C25" s="227">
        <v>0.19</v>
      </c>
      <c r="D25" s="253"/>
      <c r="E25" s="33">
        <v>5.7</v>
      </c>
    </row>
    <row r="26" spans="1:7" ht="15.5" x14ac:dyDescent="0.35">
      <c r="A26" s="31">
        <v>2263</v>
      </c>
      <c r="B26" s="62" t="s">
        <v>149</v>
      </c>
      <c r="C26" s="227"/>
      <c r="D26" s="253"/>
      <c r="E26" s="33"/>
    </row>
    <row r="27" spans="1:7" ht="15.5" x14ac:dyDescent="0.35">
      <c r="A27" s="31">
        <v>2311</v>
      </c>
      <c r="B27" s="62" t="s">
        <v>151</v>
      </c>
      <c r="C27" s="227">
        <v>1.7655716425361956</v>
      </c>
      <c r="D27" s="252"/>
      <c r="E27" s="33">
        <v>52.69</v>
      </c>
    </row>
    <row r="28" spans="1:7" ht="15.5" x14ac:dyDescent="0.35">
      <c r="A28" s="31">
        <v>2312</v>
      </c>
      <c r="B28" s="22" t="s">
        <v>116</v>
      </c>
      <c r="C28" s="227">
        <v>0.59158858572875261</v>
      </c>
      <c r="D28" s="225"/>
      <c r="E28" s="33">
        <v>17.649999999999999</v>
      </c>
    </row>
    <row r="29" spans="1:7" ht="15.5" x14ac:dyDescent="0.35">
      <c r="A29" s="31">
        <v>2321</v>
      </c>
      <c r="B29" s="62" t="s">
        <v>139</v>
      </c>
      <c r="C29" s="227">
        <v>0.49585280518421282</v>
      </c>
      <c r="D29" s="253"/>
      <c r="E29" s="33">
        <v>14.63</v>
      </c>
    </row>
    <row r="30" spans="1:7" ht="15.5" x14ac:dyDescent="0.35">
      <c r="A30" s="31">
        <v>2350</v>
      </c>
      <c r="B30" s="61" t="s">
        <v>125</v>
      </c>
      <c r="C30" s="227">
        <v>0.18701369566052103</v>
      </c>
      <c r="D30" s="252"/>
      <c r="E30" s="33">
        <v>5.53</v>
      </c>
    </row>
    <row r="31" spans="1:7" ht="15.5" x14ac:dyDescent="0.35">
      <c r="A31" s="31">
        <v>2361</v>
      </c>
      <c r="B31" s="62" t="s">
        <v>141</v>
      </c>
      <c r="C31" s="227">
        <v>5.4458312531203187E-2</v>
      </c>
      <c r="D31" s="253"/>
      <c r="E31" s="33">
        <v>1.58</v>
      </c>
    </row>
    <row r="32" spans="1:7" ht="15.5" x14ac:dyDescent="0.35">
      <c r="A32" s="31">
        <v>2362</v>
      </c>
      <c r="B32" s="83" t="s">
        <v>156</v>
      </c>
      <c r="C32" s="227">
        <v>4.8496533819285675E-2</v>
      </c>
      <c r="D32" s="253"/>
      <c r="E32" s="33">
        <v>1.46</v>
      </c>
    </row>
    <row r="33" spans="1:5" ht="15.5" x14ac:dyDescent="0.35">
      <c r="A33" s="31">
        <v>2363</v>
      </c>
      <c r="B33" s="62" t="s">
        <v>142</v>
      </c>
      <c r="C33" s="226">
        <v>9.75</v>
      </c>
      <c r="D33" s="253"/>
      <c r="E33" s="33">
        <v>292.5</v>
      </c>
    </row>
    <row r="34" spans="1:5" ht="15.5" x14ac:dyDescent="0.35">
      <c r="A34" s="31">
        <v>2513</v>
      </c>
      <c r="B34" s="61" t="s">
        <v>121</v>
      </c>
      <c r="C34" s="226"/>
      <c r="D34" s="253"/>
      <c r="E34" s="33"/>
    </row>
    <row r="35" spans="1:5" ht="15.5" x14ac:dyDescent="0.35">
      <c r="A35" s="31">
        <v>2519</v>
      </c>
      <c r="B35" s="62" t="s">
        <v>122</v>
      </c>
      <c r="C35" s="226"/>
      <c r="D35" s="253"/>
      <c r="E35" s="33"/>
    </row>
    <row r="36" spans="1:5" ht="15.5" x14ac:dyDescent="0.35">
      <c r="A36" s="31">
        <v>5239</v>
      </c>
      <c r="B36" s="61" t="s">
        <v>130</v>
      </c>
      <c r="C36" s="227">
        <v>0.7733790901247648</v>
      </c>
      <c r="D36" s="253"/>
      <c r="E36" s="33">
        <v>22.99</v>
      </c>
    </row>
    <row r="37" spans="1:5" ht="15.5" x14ac:dyDescent="0.25">
      <c r="A37" s="31"/>
      <c r="B37" s="36" t="s">
        <v>6</v>
      </c>
      <c r="C37" s="243">
        <f>SUM(C18:C36)</f>
        <v>31.149150752984944</v>
      </c>
      <c r="D37" s="243"/>
      <c r="E37" s="37">
        <f>SUM(E18:E36)</f>
        <v>991.01999999999987</v>
      </c>
    </row>
    <row r="38" spans="1:5" ht="15.75" customHeight="1" x14ac:dyDescent="0.25">
      <c r="A38" s="38"/>
      <c r="B38" s="31" t="s">
        <v>7</v>
      </c>
      <c r="C38" s="226"/>
      <c r="D38" s="226"/>
      <c r="E38" s="33"/>
    </row>
    <row r="39" spans="1:5" ht="15.5" x14ac:dyDescent="0.35">
      <c r="A39" s="31">
        <v>1100</v>
      </c>
      <c r="B39" s="22" t="s">
        <v>132</v>
      </c>
      <c r="C39" s="225"/>
      <c r="D39" s="228">
        <v>0.48549999999999999</v>
      </c>
      <c r="E39" s="33">
        <v>214.75</v>
      </c>
    </row>
    <row r="40" spans="1:5" ht="15.5" x14ac:dyDescent="0.35">
      <c r="A40" s="31">
        <v>1200</v>
      </c>
      <c r="B40" s="22" t="s">
        <v>133</v>
      </c>
      <c r="C40" s="225"/>
      <c r="D40" s="228">
        <f>D39*0.2359</f>
        <v>0.11452944999999999</v>
      </c>
      <c r="E40" s="33">
        <v>50.66</v>
      </c>
    </row>
    <row r="41" spans="1:5" ht="15.5" x14ac:dyDescent="0.25">
      <c r="A41" s="31">
        <v>2100</v>
      </c>
      <c r="B41" s="24" t="s">
        <v>45</v>
      </c>
      <c r="C41" s="254"/>
      <c r="D41" s="228">
        <v>1.1659999999999999E-3</v>
      </c>
      <c r="E41" s="33">
        <v>0.61</v>
      </c>
    </row>
    <row r="42" spans="1:5" ht="15.5" x14ac:dyDescent="0.35">
      <c r="A42" s="34">
        <v>2210</v>
      </c>
      <c r="B42" s="62" t="s">
        <v>120</v>
      </c>
      <c r="C42" s="252"/>
      <c r="D42" s="228">
        <v>7.6E-3</v>
      </c>
      <c r="E42" s="33">
        <v>3.99</v>
      </c>
    </row>
    <row r="43" spans="1:5" ht="15.5" x14ac:dyDescent="0.35">
      <c r="A43" s="31">
        <v>2222</v>
      </c>
      <c r="B43" s="62" t="s">
        <v>135</v>
      </c>
      <c r="C43" s="252"/>
      <c r="D43" s="228">
        <f>0.0095*1.15</f>
        <v>1.0924999999999999E-2</v>
      </c>
      <c r="E43" s="33">
        <v>5.73</v>
      </c>
    </row>
    <row r="44" spans="1:5" ht="15.75" customHeight="1" x14ac:dyDescent="0.35">
      <c r="A44" s="31">
        <v>2223</v>
      </c>
      <c r="B44" s="62" t="s">
        <v>136</v>
      </c>
      <c r="C44" s="252"/>
      <c r="D44" s="228">
        <f>0.01902*2.13</f>
        <v>4.0512599999999996E-2</v>
      </c>
      <c r="E44" s="33">
        <v>21.25</v>
      </c>
    </row>
    <row r="45" spans="1:5" ht="31" x14ac:dyDescent="0.35">
      <c r="A45" s="31">
        <v>2224</v>
      </c>
      <c r="B45" s="62" t="s">
        <v>143</v>
      </c>
      <c r="C45" s="252"/>
      <c r="D45" s="228">
        <f>0.00495*1.15</f>
        <v>5.6924999999999996E-3</v>
      </c>
      <c r="E45" s="33">
        <v>2.99</v>
      </c>
    </row>
    <row r="46" spans="1:5" ht="15.5" x14ac:dyDescent="0.35">
      <c r="A46" s="31">
        <v>2231</v>
      </c>
      <c r="B46" s="22" t="s">
        <v>126</v>
      </c>
      <c r="C46" s="225"/>
      <c r="D46" s="228">
        <v>1.5499999999999999E-3</v>
      </c>
      <c r="E46" s="33">
        <v>0.81</v>
      </c>
    </row>
    <row r="47" spans="1:5" ht="15.5" x14ac:dyDescent="0.25">
      <c r="A47" s="31">
        <v>2235</v>
      </c>
      <c r="B47" s="75" t="s">
        <v>127</v>
      </c>
      <c r="C47" s="255"/>
      <c r="D47" s="228">
        <v>1.65E-3</v>
      </c>
      <c r="E47" s="33">
        <v>0.87</v>
      </c>
    </row>
    <row r="48" spans="1:5" ht="15.5" x14ac:dyDescent="0.35">
      <c r="A48" s="31">
        <v>2239</v>
      </c>
      <c r="B48" s="22" t="s">
        <v>144</v>
      </c>
      <c r="C48" s="225"/>
      <c r="D48" s="228">
        <v>4.4099999999999999E-3</v>
      </c>
      <c r="E48" s="33">
        <v>2.31</v>
      </c>
    </row>
    <row r="49" spans="1:5" ht="15.5" x14ac:dyDescent="0.35">
      <c r="A49" s="31">
        <v>2241</v>
      </c>
      <c r="B49" s="22" t="s">
        <v>123</v>
      </c>
      <c r="C49" s="225"/>
      <c r="D49" s="228">
        <v>1.6500000000000001E-2</v>
      </c>
      <c r="E49" s="33">
        <v>8.8000000000000007</v>
      </c>
    </row>
    <row r="50" spans="1:5" ht="15.5" x14ac:dyDescent="0.35">
      <c r="A50" s="31">
        <v>2242</v>
      </c>
      <c r="B50" s="62" t="s">
        <v>145</v>
      </c>
      <c r="C50" s="252"/>
      <c r="D50" s="228">
        <v>2.2599999999999999E-3</v>
      </c>
      <c r="E50" s="33">
        <v>1.19</v>
      </c>
    </row>
    <row r="51" spans="1:5" ht="15.5" x14ac:dyDescent="0.35">
      <c r="A51" s="31">
        <v>2243</v>
      </c>
      <c r="B51" s="22" t="s">
        <v>137</v>
      </c>
      <c r="C51" s="225"/>
      <c r="D51" s="228">
        <v>3.2599999999999997E-2</v>
      </c>
      <c r="E51" s="33">
        <v>17.100000000000001</v>
      </c>
    </row>
    <row r="52" spans="1:5" ht="15.5" x14ac:dyDescent="0.35">
      <c r="A52" s="31">
        <v>2244</v>
      </c>
      <c r="B52" s="22" t="s">
        <v>138</v>
      </c>
      <c r="C52" s="225"/>
      <c r="D52" s="228">
        <f>0.20397-0.09084</f>
        <v>0.11313000000000001</v>
      </c>
      <c r="E52" s="33">
        <v>59.35</v>
      </c>
    </row>
    <row r="53" spans="1:5" ht="15.5" x14ac:dyDescent="0.35">
      <c r="A53" s="106">
        <v>2247</v>
      </c>
      <c r="B53" s="104" t="s">
        <v>146</v>
      </c>
      <c r="C53" s="225"/>
      <c r="D53" s="228">
        <v>7.1900000000000002E-4</v>
      </c>
      <c r="E53" s="33">
        <v>0.38</v>
      </c>
    </row>
    <row r="54" spans="1:5" ht="15.5" x14ac:dyDescent="0.35">
      <c r="A54" s="31">
        <v>2249</v>
      </c>
      <c r="B54" s="22" t="s">
        <v>171</v>
      </c>
      <c r="C54" s="225"/>
      <c r="D54" s="228">
        <v>2.32E-4</v>
      </c>
      <c r="E54" s="33">
        <v>0.12</v>
      </c>
    </row>
    <row r="55" spans="1:5" ht="15.5" x14ac:dyDescent="0.35">
      <c r="A55" s="31">
        <v>2250</v>
      </c>
      <c r="B55" s="22" t="s">
        <v>124</v>
      </c>
      <c r="C55" s="225"/>
      <c r="D55" s="228">
        <f>0.024026-0.005</f>
        <v>1.9025999999999998E-2</v>
      </c>
      <c r="E55" s="33">
        <v>9.98</v>
      </c>
    </row>
    <row r="56" spans="1:5" ht="15.5" x14ac:dyDescent="0.35">
      <c r="A56" s="31">
        <v>2262</v>
      </c>
      <c r="B56" s="62" t="s">
        <v>148</v>
      </c>
      <c r="C56" s="252"/>
      <c r="D56" s="228">
        <v>6.2599999999999999E-3</v>
      </c>
      <c r="E56" s="33">
        <v>3.28</v>
      </c>
    </row>
    <row r="57" spans="1:5" ht="15.5" x14ac:dyDescent="0.35">
      <c r="A57" s="31">
        <v>2263</v>
      </c>
      <c r="B57" s="62" t="s">
        <v>149</v>
      </c>
      <c r="C57" s="252"/>
      <c r="D57" s="228">
        <v>4.58E-2</v>
      </c>
      <c r="E57" s="33">
        <v>24.03</v>
      </c>
    </row>
    <row r="58" spans="1:5" ht="15.5" x14ac:dyDescent="0.35">
      <c r="A58" s="31">
        <v>2264</v>
      </c>
      <c r="B58" s="22" t="s">
        <v>150</v>
      </c>
      <c r="C58" s="225"/>
      <c r="D58" s="228">
        <v>1.49E-3</v>
      </c>
      <c r="E58" s="33">
        <v>0.78</v>
      </c>
    </row>
    <row r="59" spans="1:5" ht="15.5" x14ac:dyDescent="0.35">
      <c r="A59" s="31">
        <v>2311</v>
      </c>
      <c r="B59" s="62" t="s">
        <v>151</v>
      </c>
      <c r="C59" s="252"/>
      <c r="D59" s="228">
        <v>4.7699999999999999E-3</v>
      </c>
      <c r="E59" s="33">
        <v>2.5</v>
      </c>
    </row>
    <row r="60" spans="1:5" ht="15.5" x14ac:dyDescent="0.35">
      <c r="A60" s="31">
        <v>2312</v>
      </c>
      <c r="B60" s="62" t="s">
        <v>116</v>
      </c>
      <c r="C60" s="252"/>
      <c r="D60" s="228">
        <v>5.79E-3</v>
      </c>
      <c r="E60" s="33">
        <v>3.04</v>
      </c>
    </row>
    <row r="61" spans="1:5" ht="15.5" x14ac:dyDescent="0.25">
      <c r="A61" s="31">
        <v>2314</v>
      </c>
      <c r="B61" s="75" t="s">
        <v>152</v>
      </c>
      <c r="C61" s="255"/>
      <c r="D61" s="228">
        <v>2.2200000000000002E-3</v>
      </c>
      <c r="E61" s="33">
        <v>1.1599999999999999</v>
      </c>
    </row>
    <row r="62" spans="1:5" ht="15.5" x14ac:dyDescent="0.35">
      <c r="A62" s="31">
        <v>2321</v>
      </c>
      <c r="B62" s="62" t="s">
        <v>139</v>
      </c>
      <c r="C62" s="252"/>
      <c r="D62" s="228">
        <f>0.0198*1.2+0.005</f>
        <v>2.8760000000000001E-2</v>
      </c>
      <c r="E62" s="33">
        <v>15.09</v>
      </c>
    </row>
    <row r="63" spans="1:5" ht="15.5" x14ac:dyDescent="0.35">
      <c r="A63" s="31">
        <v>2322</v>
      </c>
      <c r="B63" s="62" t="s">
        <v>153</v>
      </c>
      <c r="C63" s="252"/>
      <c r="D63" s="228">
        <f>0.0035*1.2</f>
        <v>4.1999999999999997E-3</v>
      </c>
      <c r="E63" s="33">
        <v>2.2000000000000002</v>
      </c>
    </row>
    <row r="64" spans="1:5" ht="15.5" x14ac:dyDescent="0.35">
      <c r="A64" s="31">
        <v>2341</v>
      </c>
      <c r="B64" s="62" t="s">
        <v>140</v>
      </c>
      <c r="C64" s="252"/>
      <c r="D64" s="228"/>
      <c r="E64" s="33">
        <v>0</v>
      </c>
    </row>
    <row r="65" spans="1:7" ht="15.5" x14ac:dyDescent="0.35">
      <c r="A65" s="31">
        <v>2350</v>
      </c>
      <c r="B65" s="61" t="s">
        <v>125</v>
      </c>
      <c r="C65" s="228"/>
      <c r="D65" s="228">
        <v>8.5000000000000006E-3</v>
      </c>
      <c r="E65" s="33">
        <v>4.46</v>
      </c>
    </row>
    <row r="66" spans="1:7" ht="15.75" customHeight="1" x14ac:dyDescent="0.35">
      <c r="A66" s="31">
        <v>2513</v>
      </c>
      <c r="B66" s="61" t="s">
        <v>121</v>
      </c>
      <c r="C66" s="228"/>
      <c r="D66" s="228">
        <v>1.4599999999999999E-3</v>
      </c>
      <c r="E66" s="33">
        <v>0.77</v>
      </c>
    </row>
    <row r="67" spans="1:7" ht="15.75" customHeight="1" x14ac:dyDescent="0.35">
      <c r="A67" s="31">
        <v>2515</v>
      </c>
      <c r="B67" s="62" t="s">
        <v>155</v>
      </c>
      <c r="C67" s="252"/>
      <c r="D67" s="228">
        <v>1.9E-3</v>
      </c>
      <c r="E67" s="33">
        <v>1</v>
      </c>
    </row>
    <row r="68" spans="1:7" ht="15.75" customHeight="1" x14ac:dyDescent="0.35">
      <c r="A68" s="31">
        <v>2519</v>
      </c>
      <c r="B68" s="62" t="s">
        <v>122</v>
      </c>
      <c r="C68" s="252"/>
      <c r="D68" s="228">
        <v>2E-3</v>
      </c>
      <c r="E68" s="33">
        <v>1.05</v>
      </c>
    </row>
    <row r="69" spans="1:7" ht="15.75" customHeight="1" x14ac:dyDescent="0.35">
      <c r="A69" s="31">
        <v>5220</v>
      </c>
      <c r="B69" s="62" t="s">
        <v>128</v>
      </c>
      <c r="C69" s="252"/>
      <c r="D69" s="228">
        <v>1.06E-2</v>
      </c>
      <c r="E69" s="33">
        <v>5.56</v>
      </c>
    </row>
    <row r="70" spans="1:7" ht="15.75" customHeight="1" x14ac:dyDescent="0.35">
      <c r="A70" s="31">
        <v>5238</v>
      </c>
      <c r="B70" s="61" t="s">
        <v>129</v>
      </c>
      <c r="C70" s="228"/>
      <c r="D70" s="228">
        <v>1.65E-3</v>
      </c>
      <c r="E70" s="33">
        <v>0.87</v>
      </c>
    </row>
    <row r="71" spans="1:7" ht="15.75" customHeight="1" x14ac:dyDescent="0.35">
      <c r="A71" s="31">
        <v>5239</v>
      </c>
      <c r="B71" s="61" t="s">
        <v>130</v>
      </c>
      <c r="C71" s="228"/>
      <c r="D71" s="228">
        <v>9.5399999999999999E-3</v>
      </c>
      <c r="E71" s="33">
        <v>5</v>
      </c>
    </row>
    <row r="72" spans="1:7" ht="15.75" customHeight="1" x14ac:dyDescent="0.35">
      <c r="A72" s="31">
        <v>5250</v>
      </c>
      <c r="B72" s="62" t="s">
        <v>131</v>
      </c>
      <c r="C72" s="252"/>
      <c r="D72" s="228">
        <v>7.0600000000000003E-3</v>
      </c>
      <c r="E72" s="33">
        <v>3.7</v>
      </c>
    </row>
    <row r="73" spans="1:7" ht="15.5" x14ac:dyDescent="0.25">
      <c r="A73" s="38"/>
      <c r="B73" s="40" t="s">
        <v>8</v>
      </c>
      <c r="C73" s="244"/>
      <c r="D73" s="244">
        <f>SUM(D39:D72)</f>
        <v>1.00000255</v>
      </c>
      <c r="E73" s="37">
        <f>SUM(E39:E72)</f>
        <v>475.38</v>
      </c>
    </row>
    <row r="74" spans="1:7" ht="15.5" x14ac:dyDescent="0.25">
      <c r="A74" s="38"/>
      <c r="B74" s="40" t="s">
        <v>29</v>
      </c>
      <c r="C74" s="244"/>
      <c r="D74" s="244"/>
      <c r="E74" s="37">
        <f>E73+E37</f>
        <v>1466.3999999999999</v>
      </c>
    </row>
    <row r="75" spans="1:7" ht="15.5" x14ac:dyDescent="0.35">
      <c r="A75" s="15"/>
      <c r="B75" s="25"/>
      <c r="C75" s="233"/>
      <c r="D75" s="233"/>
      <c r="E75" s="59"/>
    </row>
    <row r="76" spans="1:7" ht="15.5" x14ac:dyDescent="0.25">
      <c r="A76" s="419" t="s">
        <v>57</v>
      </c>
      <c r="B76" s="419"/>
      <c r="C76" s="220"/>
      <c r="D76" s="220"/>
      <c r="E76" s="67">
        <v>30</v>
      </c>
    </row>
    <row r="77" spans="1:7" ht="15.5" x14ac:dyDescent="0.3">
      <c r="A77" s="419" t="s">
        <v>58</v>
      </c>
      <c r="B77" s="419"/>
      <c r="C77" s="220"/>
      <c r="D77" s="220"/>
      <c r="E77" s="68">
        <f>E74/E76</f>
        <v>48.879999999999995</v>
      </c>
    </row>
    <row r="78" spans="1:7" ht="15.5" x14ac:dyDescent="0.35">
      <c r="A78" s="25"/>
      <c r="B78" s="26"/>
      <c r="C78" s="256"/>
      <c r="D78" s="256"/>
      <c r="E78" s="58"/>
    </row>
    <row r="79" spans="1:7" s="2" customFormat="1" ht="15.5" x14ac:dyDescent="0.35">
      <c r="A79" s="417" t="s">
        <v>33</v>
      </c>
      <c r="B79" s="417"/>
      <c r="C79" s="234"/>
      <c r="D79" s="257"/>
      <c r="E79" s="85"/>
      <c r="F79" s="7"/>
      <c r="G79" s="7"/>
    </row>
    <row r="80" spans="1:7" s="2" customFormat="1" ht="15.5" x14ac:dyDescent="0.35">
      <c r="A80" s="417" t="s">
        <v>64</v>
      </c>
      <c r="B80" s="417"/>
      <c r="C80" s="234"/>
      <c r="D80" s="257"/>
      <c r="E80" s="27"/>
      <c r="F80" s="7"/>
      <c r="G80" s="7"/>
    </row>
    <row r="81" spans="1:7" s="2" customFormat="1" ht="15.5" x14ac:dyDescent="0.35">
      <c r="A81" s="28"/>
      <c r="B81" s="28"/>
      <c r="C81" s="237"/>
      <c r="D81" s="237"/>
      <c r="E81" s="81"/>
      <c r="F81" s="7"/>
      <c r="G81" s="7"/>
    </row>
    <row r="82" spans="1:7" s="2" customFormat="1" ht="15.5" x14ac:dyDescent="0.35">
      <c r="A82" s="28" t="s">
        <v>34</v>
      </c>
      <c r="B82" s="28"/>
      <c r="C82" s="237"/>
      <c r="D82" s="237"/>
      <c r="E82" s="259"/>
      <c r="F82" s="7"/>
      <c r="G82" s="7"/>
    </row>
    <row r="83" spans="1:7" s="2" customFormat="1" ht="15.5" x14ac:dyDescent="0.35">
      <c r="A83" s="28"/>
      <c r="B83" s="28"/>
      <c r="C83" s="237"/>
      <c r="D83" s="237"/>
      <c r="E83" s="81"/>
      <c r="F83" s="7"/>
      <c r="G83" s="7"/>
    </row>
    <row r="84" spans="1:7" s="2" customFormat="1" ht="15.5" x14ac:dyDescent="0.35">
      <c r="A84" s="28" t="s">
        <v>177</v>
      </c>
      <c r="B84" s="29"/>
      <c r="C84" s="238"/>
      <c r="D84" s="238"/>
      <c r="E84" s="81"/>
      <c r="F84" s="7"/>
      <c r="G84" s="7"/>
    </row>
    <row r="85" spans="1:7" s="2" customFormat="1" ht="13.9" customHeight="1" x14ac:dyDescent="0.35">
      <c r="A85" s="28"/>
      <c r="B85" s="30"/>
      <c r="C85" s="250"/>
      <c r="D85" s="250"/>
      <c r="E85" s="28"/>
      <c r="F85" s="7"/>
      <c r="G85" s="7"/>
    </row>
    <row r="86" spans="1:7" s="4" customFormat="1" ht="15.5" x14ac:dyDescent="0.35">
      <c r="A86" s="13"/>
      <c r="B86" s="13"/>
      <c r="C86" s="217"/>
      <c r="D86" s="217"/>
      <c r="E86" s="13"/>
      <c r="F86" s="7"/>
      <c r="G86" s="7"/>
    </row>
  </sheetData>
  <mergeCells count="9">
    <mergeCell ref="A79:B79"/>
    <mergeCell ref="A80:B80"/>
    <mergeCell ref="A9:B9"/>
    <mergeCell ref="A10:B10"/>
    <mergeCell ref="A7:E7"/>
    <mergeCell ref="B12:E12"/>
    <mergeCell ref="B13:E13"/>
    <mergeCell ref="A76:B76"/>
    <mergeCell ref="A77:B77"/>
  </mergeCells>
  <hyperlinks>
    <hyperlink ref="A108" r:id="rId1" display="Inese.Kise@lm.gov.lv," xr:uid="{00000000-0004-0000-1400-000000000000}"/>
  </hyperlinks>
  <pageMargins left="0.70866141732283472" right="0.70866141732283472" top="0.74803149606299213" bottom="0.74803149606299213" header="0.31496062992125984" footer="0.31496062992125984"/>
  <pageSetup paperSize="9" scale="54" orientation="portrait" r:id="rId2"/>
  <headerFooter>
    <oddFooter>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T42"/>
  <sheetViews>
    <sheetView view="pageLayout" zoomScale="80" zoomScaleNormal="100" zoomScalePageLayoutView="80" workbookViewId="0">
      <selection activeCell="O2" sqref="O2"/>
    </sheetView>
  </sheetViews>
  <sheetFormatPr defaultColWidth="9.1796875" defaultRowHeight="14" x14ac:dyDescent="0.3"/>
  <cols>
    <col min="1" max="1" width="9.54296875" style="4" bestFit="1" customWidth="1"/>
    <col min="2" max="18" width="9.1796875" style="4"/>
    <col min="19" max="19" width="5.54296875" style="4" customWidth="1"/>
    <col min="20" max="20" width="9.1796875" style="4" hidden="1" customWidth="1"/>
    <col min="21" max="16384" width="9.1796875" style="4"/>
  </cols>
  <sheetData>
    <row r="1" spans="1:20" x14ac:dyDescent="0.3">
      <c r="B1" s="362"/>
      <c r="C1" s="362"/>
      <c r="D1" s="362"/>
      <c r="E1" s="362"/>
      <c r="F1" s="362"/>
      <c r="G1" s="362"/>
      <c r="H1" s="362"/>
      <c r="J1" s="362"/>
      <c r="L1" s="362"/>
      <c r="O1" s="363" t="s">
        <v>332</v>
      </c>
    </row>
    <row r="2" spans="1:20" x14ac:dyDescent="0.3">
      <c r="B2" s="362"/>
      <c r="C2" s="362"/>
      <c r="D2" s="362"/>
      <c r="E2" s="362"/>
      <c r="F2" s="362"/>
      <c r="G2" s="362"/>
      <c r="H2" s="362"/>
      <c r="J2" s="362"/>
      <c r="L2" s="362"/>
      <c r="O2" s="363" t="s">
        <v>391</v>
      </c>
    </row>
    <row r="3" spans="1:20" x14ac:dyDescent="0.3">
      <c r="B3" s="362"/>
      <c r="C3" s="362"/>
      <c r="D3" s="362"/>
      <c r="E3" s="362"/>
      <c r="F3" s="362"/>
      <c r="G3" s="362"/>
      <c r="H3" s="362"/>
      <c r="J3" s="362"/>
      <c r="L3" s="362"/>
      <c r="O3" s="363" t="s">
        <v>61</v>
      </c>
    </row>
    <row r="4" spans="1:20" x14ac:dyDescent="0.3">
      <c r="B4" s="362"/>
      <c r="C4" s="362"/>
      <c r="D4" s="362"/>
      <c r="E4" s="362"/>
      <c r="F4" s="362"/>
      <c r="G4" s="362"/>
      <c r="H4" s="362"/>
      <c r="J4" s="362"/>
      <c r="L4" s="362"/>
      <c r="O4" s="363" t="s">
        <v>62</v>
      </c>
    </row>
    <row r="5" spans="1:20" x14ac:dyDescent="0.3">
      <c r="B5" s="362"/>
      <c r="C5" s="362"/>
      <c r="D5" s="362"/>
      <c r="E5" s="362"/>
      <c r="F5" s="362"/>
      <c r="G5" s="362"/>
      <c r="H5" s="362"/>
      <c r="J5" s="362"/>
      <c r="L5" s="362"/>
      <c r="O5" s="363" t="s">
        <v>35</v>
      </c>
    </row>
    <row r="8" spans="1:20" x14ac:dyDescent="0.3">
      <c r="A8" s="435" t="s">
        <v>36</v>
      </c>
      <c r="B8" s="435"/>
      <c r="C8" s="435"/>
      <c r="D8" s="435"/>
      <c r="E8" s="435"/>
      <c r="F8" s="435"/>
      <c r="G8" s="435"/>
      <c r="H8" s="435"/>
      <c r="I8" s="435"/>
      <c r="J8" s="435"/>
      <c r="K8" s="435"/>
      <c r="L8" s="435"/>
    </row>
    <row r="9" spans="1:20" x14ac:dyDescent="0.3">
      <c r="A9" s="364"/>
      <c r="B9" s="435"/>
      <c r="C9" s="435"/>
      <c r="D9" s="435"/>
      <c r="E9" s="435"/>
      <c r="F9" s="435"/>
      <c r="G9" s="435"/>
      <c r="H9" s="435"/>
      <c r="I9" s="435"/>
      <c r="J9" s="435"/>
      <c r="K9" s="435"/>
    </row>
    <row r="10" spans="1:20" x14ac:dyDescent="0.3">
      <c r="A10" s="404" t="s">
        <v>384</v>
      </c>
      <c r="B10" s="437" t="s">
        <v>302</v>
      </c>
      <c r="C10" s="437"/>
      <c r="D10" s="437"/>
      <c r="E10" s="437"/>
      <c r="F10" s="437"/>
      <c r="G10" s="437"/>
      <c r="H10" s="437"/>
      <c r="I10" s="437"/>
      <c r="J10" s="437"/>
      <c r="K10" s="437"/>
      <c r="L10" s="405"/>
      <c r="M10" s="405"/>
      <c r="N10" s="405"/>
      <c r="O10" s="405"/>
      <c r="P10" s="405"/>
      <c r="Q10" s="405"/>
      <c r="R10" s="405"/>
      <c r="S10" s="405"/>
      <c r="T10" s="405"/>
    </row>
    <row r="11" spans="1:20" x14ac:dyDescent="0.3">
      <c r="A11" s="404" t="s">
        <v>303</v>
      </c>
      <c r="B11" s="437" t="s">
        <v>304</v>
      </c>
      <c r="C11" s="437"/>
      <c r="D11" s="437"/>
      <c r="E11" s="437"/>
      <c r="F11" s="437"/>
      <c r="G11" s="437"/>
      <c r="H11" s="437"/>
      <c r="I11" s="437"/>
      <c r="J11" s="437"/>
      <c r="K11" s="437"/>
      <c r="L11" s="405"/>
      <c r="M11" s="405"/>
      <c r="N11" s="405"/>
      <c r="O11" s="405"/>
      <c r="P11" s="405"/>
      <c r="Q11" s="405"/>
      <c r="R11" s="405"/>
      <c r="S11" s="405"/>
      <c r="T11" s="405"/>
    </row>
    <row r="12" spans="1:20" hidden="1" x14ac:dyDescent="0.3">
      <c r="A12" s="404" t="s">
        <v>305</v>
      </c>
      <c r="B12" s="438" t="s">
        <v>306</v>
      </c>
      <c r="C12" s="438"/>
      <c r="D12" s="433"/>
      <c r="E12" s="433"/>
      <c r="F12" s="433"/>
      <c r="G12" s="433"/>
      <c r="H12" s="433"/>
      <c r="I12" s="433"/>
      <c r="J12" s="433"/>
      <c r="K12" s="433"/>
      <c r="L12" s="405"/>
      <c r="M12" s="405"/>
      <c r="N12" s="405"/>
      <c r="O12" s="405"/>
      <c r="P12" s="405"/>
      <c r="Q12" s="405"/>
      <c r="R12" s="405"/>
      <c r="S12" s="405"/>
      <c r="T12" s="405"/>
    </row>
    <row r="13" spans="1:20" x14ac:dyDescent="0.3">
      <c r="A13" s="404" t="s">
        <v>336</v>
      </c>
      <c r="B13" s="438" t="s">
        <v>307</v>
      </c>
      <c r="C13" s="438"/>
      <c r="D13" s="433"/>
      <c r="E13" s="433"/>
      <c r="F13" s="433"/>
      <c r="G13" s="433"/>
      <c r="H13" s="433"/>
      <c r="I13" s="433"/>
      <c r="J13" s="433"/>
      <c r="K13" s="433"/>
      <c r="L13" s="405"/>
      <c r="M13" s="405"/>
      <c r="N13" s="405"/>
      <c r="O13" s="405"/>
      <c r="P13" s="405"/>
      <c r="Q13" s="405"/>
      <c r="R13" s="405"/>
      <c r="S13" s="405"/>
      <c r="T13" s="405"/>
    </row>
    <row r="14" spans="1:20" hidden="1" x14ac:dyDescent="0.3">
      <c r="A14" s="404" t="s">
        <v>308</v>
      </c>
      <c r="B14" s="438" t="s">
        <v>309</v>
      </c>
      <c r="C14" s="438"/>
      <c r="D14" s="433"/>
      <c r="E14" s="433"/>
      <c r="F14" s="433"/>
      <c r="G14" s="433"/>
      <c r="H14" s="433"/>
      <c r="I14" s="433"/>
      <c r="J14" s="433"/>
      <c r="K14" s="433"/>
      <c r="L14" s="405"/>
      <c r="M14" s="405"/>
      <c r="N14" s="405"/>
      <c r="O14" s="405"/>
      <c r="P14" s="405"/>
      <c r="Q14" s="405"/>
      <c r="R14" s="405"/>
      <c r="S14" s="405"/>
      <c r="T14" s="405"/>
    </row>
    <row r="15" spans="1:20" x14ac:dyDescent="0.3">
      <c r="A15" s="404" t="s">
        <v>310</v>
      </c>
      <c r="B15" s="437" t="s">
        <v>311</v>
      </c>
      <c r="C15" s="437"/>
      <c r="D15" s="437"/>
      <c r="E15" s="437"/>
      <c r="F15" s="437"/>
      <c r="G15" s="437"/>
      <c r="H15" s="437"/>
      <c r="I15" s="437"/>
      <c r="J15" s="437"/>
      <c r="K15" s="437"/>
      <c r="L15" s="405"/>
      <c r="M15" s="405"/>
      <c r="N15" s="405"/>
      <c r="O15" s="405"/>
      <c r="P15" s="405"/>
      <c r="Q15" s="405"/>
      <c r="R15" s="405"/>
      <c r="S15" s="405"/>
      <c r="T15" s="405"/>
    </row>
    <row r="16" spans="1:20" ht="31.9" customHeight="1" x14ac:dyDescent="0.3">
      <c r="A16" s="411" t="s">
        <v>379</v>
      </c>
      <c r="B16" s="436" t="s">
        <v>389</v>
      </c>
      <c r="C16" s="436"/>
      <c r="D16" s="436"/>
      <c r="E16" s="436"/>
      <c r="F16" s="436"/>
      <c r="G16" s="436"/>
      <c r="H16" s="436"/>
      <c r="I16" s="436"/>
      <c r="J16" s="436"/>
      <c r="K16" s="436"/>
      <c r="L16" s="436"/>
      <c r="M16" s="436"/>
      <c r="N16" s="436"/>
      <c r="O16" s="436"/>
      <c r="P16" s="436"/>
      <c r="Q16" s="436"/>
      <c r="R16" s="436"/>
      <c r="S16" s="436"/>
      <c r="T16" s="436"/>
    </row>
    <row r="17" spans="1:20" ht="36" customHeight="1" x14ac:dyDescent="0.3">
      <c r="A17" s="411" t="s">
        <v>380</v>
      </c>
      <c r="B17" s="436" t="s">
        <v>390</v>
      </c>
      <c r="C17" s="436"/>
      <c r="D17" s="436"/>
      <c r="E17" s="436"/>
      <c r="F17" s="436"/>
      <c r="G17" s="436"/>
      <c r="H17" s="436"/>
      <c r="I17" s="436"/>
      <c r="J17" s="436"/>
      <c r="K17" s="436"/>
      <c r="L17" s="436"/>
      <c r="M17" s="436"/>
      <c r="N17" s="436"/>
      <c r="O17" s="436"/>
      <c r="P17" s="436"/>
      <c r="Q17" s="436"/>
      <c r="R17" s="436"/>
      <c r="S17" s="436"/>
      <c r="T17" s="436"/>
    </row>
    <row r="18" spans="1:20" ht="15.65" customHeight="1" x14ac:dyDescent="0.3">
      <c r="A18" s="411" t="s">
        <v>381</v>
      </c>
      <c r="B18" s="412" t="s">
        <v>382</v>
      </c>
      <c r="C18" s="412"/>
      <c r="D18" s="412"/>
      <c r="E18" s="412"/>
      <c r="F18" s="412"/>
      <c r="G18" s="412"/>
      <c r="H18" s="412"/>
      <c r="I18" s="412"/>
      <c r="J18" s="412"/>
      <c r="K18" s="412"/>
      <c r="L18" s="412"/>
      <c r="M18" s="412"/>
      <c r="N18" s="412"/>
      <c r="O18" s="412"/>
      <c r="P18" s="412"/>
      <c r="Q18" s="412"/>
      <c r="R18" s="412"/>
      <c r="S18" s="412"/>
      <c r="T18" s="405"/>
    </row>
    <row r="19" spans="1:20" x14ac:dyDescent="0.3">
      <c r="A19" s="406" t="s">
        <v>210</v>
      </c>
      <c r="B19" s="407" t="s">
        <v>359</v>
      </c>
      <c r="C19" s="405"/>
      <c r="D19" s="405"/>
      <c r="E19" s="405"/>
      <c r="F19" s="405"/>
      <c r="G19" s="405"/>
      <c r="H19" s="405"/>
      <c r="I19" s="405"/>
      <c r="J19" s="405"/>
      <c r="K19" s="405"/>
      <c r="L19" s="405"/>
      <c r="M19" s="405"/>
      <c r="N19" s="405"/>
      <c r="O19" s="405"/>
      <c r="P19" s="405"/>
      <c r="Q19" s="405"/>
      <c r="R19" s="405"/>
      <c r="S19" s="405"/>
      <c r="T19" s="405"/>
    </row>
    <row r="20" spans="1:20" x14ac:dyDescent="0.3">
      <c r="A20" s="406" t="s">
        <v>211</v>
      </c>
      <c r="B20" s="407" t="s">
        <v>360</v>
      </c>
      <c r="C20" s="405"/>
      <c r="D20" s="405"/>
      <c r="E20" s="405"/>
      <c r="F20" s="405"/>
      <c r="G20" s="405"/>
      <c r="H20" s="405"/>
      <c r="I20" s="405"/>
      <c r="J20" s="405"/>
      <c r="K20" s="405"/>
      <c r="L20" s="405"/>
      <c r="M20" s="405"/>
      <c r="N20" s="405"/>
      <c r="O20" s="405"/>
      <c r="P20" s="405"/>
      <c r="Q20" s="405"/>
      <c r="R20" s="405"/>
      <c r="S20" s="405"/>
      <c r="T20" s="405"/>
    </row>
    <row r="21" spans="1:20" x14ac:dyDescent="0.3">
      <c r="A21" s="406" t="s">
        <v>212</v>
      </c>
      <c r="B21" s="407" t="s">
        <v>361</v>
      </c>
      <c r="C21" s="405"/>
      <c r="D21" s="405"/>
      <c r="E21" s="405"/>
      <c r="F21" s="405"/>
      <c r="G21" s="405"/>
      <c r="H21" s="405"/>
      <c r="I21" s="405"/>
      <c r="J21" s="405"/>
      <c r="K21" s="405"/>
      <c r="L21" s="405"/>
      <c r="M21" s="405"/>
      <c r="N21" s="405"/>
      <c r="O21" s="405"/>
      <c r="P21" s="405"/>
      <c r="Q21" s="405"/>
      <c r="R21" s="405"/>
      <c r="S21" s="405"/>
      <c r="T21" s="405"/>
    </row>
    <row r="22" spans="1:20" x14ac:dyDescent="0.3">
      <c r="A22" s="406" t="s">
        <v>213</v>
      </c>
      <c r="B22" s="407" t="s">
        <v>362</v>
      </c>
      <c r="C22" s="405"/>
      <c r="D22" s="405"/>
      <c r="E22" s="405"/>
      <c r="F22" s="405"/>
      <c r="G22" s="405"/>
      <c r="H22" s="405"/>
      <c r="I22" s="405"/>
      <c r="J22" s="405"/>
      <c r="K22" s="405"/>
      <c r="L22" s="405"/>
      <c r="M22" s="405"/>
      <c r="N22" s="405"/>
      <c r="O22" s="405"/>
      <c r="P22" s="405"/>
      <c r="Q22" s="405"/>
      <c r="R22" s="405"/>
      <c r="S22" s="405"/>
      <c r="T22" s="405"/>
    </row>
    <row r="23" spans="1:20" x14ac:dyDescent="0.3">
      <c r="A23" s="406" t="s">
        <v>214</v>
      </c>
      <c r="B23" s="407" t="s">
        <v>363</v>
      </c>
      <c r="C23" s="405"/>
      <c r="D23" s="405"/>
      <c r="E23" s="405"/>
      <c r="F23" s="405"/>
      <c r="G23" s="405"/>
      <c r="H23" s="405"/>
      <c r="I23" s="405"/>
      <c r="J23" s="405"/>
      <c r="K23" s="405"/>
      <c r="L23" s="405"/>
      <c r="M23" s="405"/>
      <c r="N23" s="405"/>
      <c r="O23" s="405"/>
      <c r="P23" s="405"/>
      <c r="Q23" s="405"/>
      <c r="R23" s="405"/>
      <c r="S23" s="405"/>
      <c r="T23" s="405"/>
    </row>
    <row r="24" spans="1:20" x14ac:dyDescent="0.3">
      <c r="A24" s="406" t="s">
        <v>188</v>
      </c>
      <c r="B24" s="407" t="s">
        <v>364</v>
      </c>
      <c r="C24" s="405"/>
      <c r="D24" s="405"/>
      <c r="E24" s="405"/>
      <c r="F24" s="405"/>
      <c r="G24" s="405"/>
      <c r="H24" s="405"/>
      <c r="I24" s="405"/>
      <c r="J24" s="405"/>
      <c r="K24" s="405"/>
      <c r="L24" s="405"/>
      <c r="M24" s="405"/>
      <c r="N24" s="405"/>
      <c r="O24" s="405"/>
      <c r="P24" s="405"/>
      <c r="Q24" s="405"/>
      <c r="R24" s="405"/>
      <c r="S24" s="405"/>
      <c r="T24" s="405"/>
    </row>
    <row r="25" spans="1:20" x14ac:dyDescent="0.3">
      <c r="A25" s="406" t="s">
        <v>215</v>
      </c>
      <c r="B25" s="407" t="s">
        <v>358</v>
      </c>
      <c r="C25" s="405"/>
      <c r="D25" s="405"/>
      <c r="E25" s="405"/>
      <c r="F25" s="405"/>
      <c r="G25" s="405"/>
      <c r="H25" s="405"/>
      <c r="I25" s="405"/>
      <c r="J25" s="405"/>
      <c r="K25" s="405"/>
      <c r="L25" s="405"/>
      <c r="M25" s="405"/>
      <c r="N25" s="405"/>
      <c r="O25" s="405"/>
      <c r="P25" s="405"/>
      <c r="Q25" s="405"/>
      <c r="R25" s="405"/>
      <c r="S25" s="405"/>
      <c r="T25" s="405"/>
    </row>
    <row r="26" spans="1:20" x14ac:dyDescent="0.3">
      <c r="A26" s="406" t="s">
        <v>216</v>
      </c>
      <c r="B26" s="407" t="s">
        <v>337</v>
      </c>
      <c r="C26" s="405"/>
      <c r="D26" s="405"/>
      <c r="E26" s="405"/>
      <c r="F26" s="405"/>
      <c r="G26" s="405"/>
      <c r="H26" s="405"/>
      <c r="I26" s="405"/>
      <c r="J26" s="405"/>
      <c r="K26" s="405"/>
      <c r="L26" s="405"/>
      <c r="M26" s="405"/>
      <c r="N26" s="405"/>
      <c r="O26" s="405"/>
      <c r="P26" s="405"/>
      <c r="Q26" s="405"/>
      <c r="R26" s="405"/>
      <c r="S26" s="405"/>
      <c r="T26" s="405"/>
    </row>
    <row r="27" spans="1:20" x14ac:dyDescent="0.3">
      <c r="A27" s="406" t="s">
        <v>217</v>
      </c>
      <c r="B27" s="407" t="s">
        <v>338</v>
      </c>
      <c r="C27" s="405"/>
      <c r="D27" s="405"/>
      <c r="E27" s="405"/>
      <c r="F27" s="405"/>
      <c r="G27" s="405"/>
      <c r="H27" s="405"/>
      <c r="I27" s="405"/>
      <c r="J27" s="405"/>
      <c r="K27" s="405"/>
      <c r="L27" s="405"/>
      <c r="M27" s="405"/>
      <c r="N27" s="405"/>
      <c r="O27" s="405"/>
      <c r="P27" s="405"/>
      <c r="Q27" s="405"/>
      <c r="R27" s="405"/>
      <c r="S27" s="405"/>
      <c r="T27" s="405"/>
    </row>
    <row r="28" spans="1:20" x14ac:dyDescent="0.3">
      <c r="A28" s="406" t="s">
        <v>218</v>
      </c>
      <c r="B28" s="407" t="s">
        <v>102</v>
      </c>
      <c r="C28" s="405"/>
      <c r="D28" s="405"/>
      <c r="E28" s="405"/>
      <c r="F28" s="405"/>
      <c r="G28" s="405"/>
      <c r="H28" s="405"/>
      <c r="I28" s="405"/>
      <c r="J28" s="405"/>
      <c r="K28" s="405"/>
      <c r="L28" s="405"/>
      <c r="M28" s="405"/>
      <c r="N28" s="405"/>
      <c r="O28" s="405"/>
      <c r="P28" s="405"/>
      <c r="Q28" s="405"/>
      <c r="R28" s="405"/>
      <c r="S28" s="405"/>
      <c r="T28" s="405"/>
    </row>
    <row r="29" spans="1:20" x14ac:dyDescent="0.3">
      <c r="A29" s="406" t="s">
        <v>219</v>
      </c>
      <c r="B29" s="407" t="s">
        <v>101</v>
      </c>
      <c r="C29" s="405"/>
      <c r="D29" s="405"/>
      <c r="E29" s="405"/>
      <c r="F29" s="405"/>
      <c r="G29" s="405"/>
      <c r="H29" s="405"/>
      <c r="I29" s="405"/>
      <c r="J29" s="405"/>
      <c r="K29" s="405"/>
      <c r="L29" s="405"/>
      <c r="M29" s="405"/>
      <c r="N29" s="405"/>
      <c r="O29" s="405"/>
      <c r="P29" s="405"/>
      <c r="Q29" s="405"/>
      <c r="R29" s="405"/>
      <c r="S29" s="405"/>
      <c r="T29" s="405"/>
    </row>
    <row r="30" spans="1:20" ht="31.5" customHeight="1" x14ac:dyDescent="0.3">
      <c r="A30" s="406" t="s">
        <v>220</v>
      </c>
      <c r="B30" s="433" t="s">
        <v>348</v>
      </c>
      <c r="C30" s="434"/>
      <c r="D30" s="434"/>
      <c r="E30" s="434"/>
      <c r="F30" s="434"/>
      <c r="G30" s="434"/>
      <c r="H30" s="434"/>
      <c r="I30" s="434"/>
      <c r="J30" s="434"/>
      <c r="K30" s="434"/>
      <c r="L30" s="434"/>
      <c r="M30" s="434"/>
      <c r="N30" s="434"/>
      <c r="O30" s="434"/>
      <c r="P30" s="434"/>
      <c r="Q30" s="434"/>
      <c r="R30" s="434"/>
      <c r="S30" s="434"/>
      <c r="T30" s="405"/>
    </row>
    <row r="31" spans="1:20" hidden="1" x14ac:dyDescent="0.3">
      <c r="A31" s="406" t="s">
        <v>221</v>
      </c>
      <c r="B31" s="407" t="s">
        <v>225</v>
      </c>
      <c r="C31" s="405"/>
      <c r="D31" s="405"/>
      <c r="E31" s="405"/>
      <c r="F31" s="405"/>
      <c r="G31" s="405"/>
      <c r="H31" s="405"/>
      <c r="I31" s="405"/>
      <c r="J31" s="405"/>
      <c r="K31" s="405"/>
      <c r="L31" s="405"/>
      <c r="M31" s="405"/>
      <c r="N31" s="405"/>
      <c r="O31" s="405"/>
      <c r="P31" s="405"/>
      <c r="Q31" s="405"/>
      <c r="R31" s="405"/>
      <c r="S31" s="405"/>
      <c r="T31" s="405"/>
    </row>
    <row r="32" spans="1:20" x14ac:dyDescent="0.3">
      <c r="A32" s="406" t="s">
        <v>312</v>
      </c>
      <c r="B32" s="405" t="s">
        <v>339</v>
      </c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5"/>
      <c r="T32" s="405"/>
    </row>
    <row r="33" spans="1:20" x14ac:dyDescent="0.3">
      <c r="A33" s="406" t="s">
        <v>321</v>
      </c>
      <c r="B33" s="408" t="s">
        <v>340</v>
      </c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5"/>
      <c r="T33" s="405"/>
    </row>
    <row r="34" spans="1:20" x14ac:dyDescent="0.3">
      <c r="A34" s="406" t="s">
        <v>322</v>
      </c>
      <c r="B34" s="408" t="s">
        <v>340</v>
      </c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5"/>
      <c r="T34" s="405"/>
    </row>
    <row r="35" spans="1:20" x14ac:dyDescent="0.3">
      <c r="A35" s="406" t="s">
        <v>313</v>
      </c>
      <c r="B35" s="408" t="s">
        <v>341</v>
      </c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5"/>
      <c r="T35" s="405"/>
    </row>
    <row r="36" spans="1:20" hidden="1" x14ac:dyDescent="0.3">
      <c r="A36" s="406" t="s">
        <v>314</v>
      </c>
      <c r="B36" s="409" t="s">
        <v>315</v>
      </c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5"/>
      <c r="T36" s="405"/>
    </row>
    <row r="37" spans="1:20" x14ac:dyDescent="0.3">
      <c r="A37" s="406" t="s">
        <v>316</v>
      </c>
      <c r="B37" s="409" t="s">
        <v>342</v>
      </c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5"/>
      <c r="T37" s="405"/>
    </row>
    <row r="38" spans="1:20" x14ac:dyDescent="0.3">
      <c r="A38" s="406" t="s">
        <v>317</v>
      </c>
      <c r="B38" s="409" t="s">
        <v>343</v>
      </c>
      <c r="C38" s="405"/>
      <c r="D38" s="405"/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5"/>
      <c r="R38" s="405"/>
      <c r="S38" s="405"/>
      <c r="T38" s="405"/>
    </row>
    <row r="39" spans="1:20" x14ac:dyDescent="0.3">
      <c r="A39" s="406" t="s">
        <v>318</v>
      </c>
      <c r="B39" s="410" t="s">
        <v>344</v>
      </c>
      <c r="C39" s="405"/>
      <c r="D39" s="405"/>
      <c r="E39" s="405"/>
      <c r="F39" s="405"/>
      <c r="G39" s="405"/>
      <c r="H39" s="405"/>
      <c r="I39" s="405"/>
      <c r="J39" s="405"/>
      <c r="K39" s="405"/>
      <c r="L39" s="405"/>
      <c r="M39" s="405"/>
      <c r="N39" s="405"/>
      <c r="O39" s="405"/>
      <c r="P39" s="405"/>
      <c r="Q39" s="405"/>
      <c r="R39" s="405"/>
      <c r="S39" s="405"/>
      <c r="T39" s="405"/>
    </row>
    <row r="40" spans="1:20" x14ac:dyDescent="0.3">
      <c r="A40" s="406" t="s">
        <v>319</v>
      </c>
      <c r="B40" s="409" t="s">
        <v>320</v>
      </c>
      <c r="C40" s="405"/>
      <c r="D40" s="405"/>
      <c r="E40" s="405"/>
      <c r="F40" s="405"/>
      <c r="G40" s="405"/>
      <c r="H40" s="405"/>
      <c r="I40" s="405"/>
      <c r="J40" s="405"/>
      <c r="K40" s="405"/>
      <c r="L40" s="405"/>
      <c r="M40" s="405"/>
      <c r="N40" s="405"/>
      <c r="O40" s="405"/>
      <c r="P40" s="405"/>
      <c r="Q40" s="405"/>
      <c r="R40" s="405"/>
      <c r="S40" s="405"/>
      <c r="T40" s="405"/>
    </row>
    <row r="41" spans="1:20" x14ac:dyDescent="0.3">
      <c r="A41" s="406" t="s">
        <v>331</v>
      </c>
      <c r="B41" s="407" t="s">
        <v>330</v>
      </c>
      <c r="C41" s="405"/>
      <c r="D41" s="405"/>
      <c r="E41" s="405"/>
      <c r="F41" s="405"/>
      <c r="G41" s="405"/>
      <c r="H41" s="405"/>
      <c r="I41" s="405"/>
      <c r="J41" s="405"/>
      <c r="K41" s="405"/>
      <c r="L41" s="405"/>
      <c r="M41" s="405"/>
      <c r="N41" s="405"/>
      <c r="O41" s="405"/>
      <c r="P41" s="405"/>
      <c r="Q41" s="405"/>
      <c r="R41" s="405"/>
      <c r="S41" s="405"/>
      <c r="T41" s="405"/>
    </row>
    <row r="42" spans="1:20" x14ac:dyDescent="0.3">
      <c r="A42" s="406" t="s">
        <v>325</v>
      </c>
      <c r="B42" s="405" t="s">
        <v>385</v>
      </c>
      <c r="C42" s="405"/>
      <c r="D42" s="405"/>
      <c r="E42" s="405"/>
      <c r="F42" s="405"/>
      <c r="G42" s="405"/>
      <c r="H42" s="405"/>
      <c r="I42" s="405"/>
      <c r="J42" s="405"/>
      <c r="K42" s="405"/>
      <c r="L42" s="405"/>
      <c r="M42" s="405"/>
      <c r="N42" s="405"/>
      <c r="O42" s="405"/>
      <c r="P42" s="405"/>
      <c r="Q42" s="405"/>
      <c r="R42" s="405"/>
      <c r="S42" s="405"/>
      <c r="T42" s="405"/>
    </row>
  </sheetData>
  <mergeCells count="11">
    <mergeCell ref="B30:S30"/>
    <mergeCell ref="B9:K9"/>
    <mergeCell ref="B16:T16"/>
    <mergeCell ref="B17:T17"/>
    <mergeCell ref="A8:L8"/>
    <mergeCell ref="B15:K15"/>
    <mergeCell ref="B12:K12"/>
    <mergeCell ref="B13:K13"/>
    <mergeCell ref="B14:K14"/>
    <mergeCell ref="B10:K10"/>
    <mergeCell ref="B11:K11"/>
  </mergeCells>
  <pageMargins left="0.7" right="0.7" top="0.75" bottom="0.75" header="0.3" footer="0.3"/>
  <pageSetup paperSize="9" scale="52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G78"/>
  <sheetViews>
    <sheetView view="pageLayout" topLeftCell="A6" zoomScale="80" zoomScaleNormal="100" zoomScalePageLayoutView="80" workbookViewId="0">
      <selection activeCell="B14" sqref="B14"/>
    </sheetView>
  </sheetViews>
  <sheetFormatPr defaultColWidth="9.1796875" defaultRowHeight="15.5" x14ac:dyDescent="0.35"/>
  <cols>
    <col min="1" max="1" width="18.7265625" style="16" customWidth="1"/>
    <col min="2" max="2" width="84" style="16" customWidth="1"/>
    <col min="3" max="3" width="10.81640625" style="16" hidden="1" customWidth="1"/>
    <col min="4" max="5" width="27.7265625" style="13" hidden="1" customWidth="1"/>
    <col min="6" max="6" width="27.7265625" style="13" customWidth="1"/>
    <col min="7" max="7" width="10.81640625" style="16" bestFit="1" customWidth="1"/>
    <col min="8" max="16384" width="9.1796875" style="16"/>
  </cols>
  <sheetData>
    <row r="1" spans="1:6" x14ac:dyDescent="0.35">
      <c r="A1" s="13"/>
      <c r="B1" s="15"/>
      <c r="C1" s="15"/>
      <c r="D1" s="15" t="s">
        <v>10</v>
      </c>
      <c r="E1" s="15" t="s">
        <v>10</v>
      </c>
      <c r="F1" s="15" t="s">
        <v>10</v>
      </c>
    </row>
    <row r="2" spans="1:6" x14ac:dyDescent="0.35">
      <c r="A2" s="13"/>
      <c r="B2" s="311"/>
      <c r="C2" s="311"/>
      <c r="D2" s="15" t="s">
        <v>32</v>
      </c>
      <c r="E2" s="15" t="s">
        <v>32</v>
      </c>
      <c r="F2" s="15" t="s">
        <v>32</v>
      </c>
    </row>
    <row r="3" spans="1:6" x14ac:dyDescent="0.35">
      <c r="A3" s="13"/>
      <c r="B3" s="311"/>
      <c r="C3" s="311"/>
      <c r="D3" s="77" t="s">
        <v>66</v>
      </c>
      <c r="E3" s="77" t="s">
        <v>66</v>
      </c>
      <c r="F3" s="77" t="s">
        <v>66</v>
      </c>
    </row>
    <row r="4" spans="1:6" x14ac:dyDescent="0.35">
      <c r="A4" s="13"/>
      <c r="B4" s="14"/>
      <c r="C4" s="14"/>
      <c r="D4" s="15"/>
      <c r="E4" s="15"/>
      <c r="F4" s="15"/>
    </row>
    <row r="5" spans="1:6" x14ac:dyDescent="0.35">
      <c r="A5" s="13"/>
      <c r="B5" s="71"/>
      <c r="C5" s="71"/>
      <c r="D5" s="15" t="s">
        <v>245</v>
      </c>
      <c r="E5" s="15" t="s">
        <v>245</v>
      </c>
      <c r="F5" s="15" t="s">
        <v>333</v>
      </c>
    </row>
    <row r="6" spans="1:6" x14ac:dyDescent="0.35">
      <c r="A6" s="13"/>
      <c r="B6" s="13"/>
      <c r="C6" s="13"/>
      <c r="D6" s="25"/>
      <c r="E6" s="25"/>
      <c r="F6" s="25"/>
    </row>
    <row r="7" spans="1:6" x14ac:dyDescent="0.35">
      <c r="A7" s="416" t="s">
        <v>9</v>
      </c>
      <c r="B7" s="416"/>
      <c r="C7" s="70"/>
      <c r="D7" s="70"/>
      <c r="E7" s="70"/>
      <c r="F7" s="70"/>
    </row>
    <row r="8" spans="1:6" x14ac:dyDescent="0.35">
      <c r="A8" s="13"/>
      <c r="B8" s="18"/>
      <c r="C8" s="18"/>
      <c r="D8" s="25"/>
      <c r="E8" s="25"/>
      <c r="F8" s="25"/>
    </row>
    <row r="9" spans="1:6" x14ac:dyDescent="0.35">
      <c r="A9" s="419" t="s">
        <v>1</v>
      </c>
      <c r="B9" s="419"/>
      <c r="C9" s="11"/>
      <c r="D9" s="25"/>
      <c r="E9" s="25"/>
      <c r="F9" s="25"/>
    </row>
    <row r="10" spans="1:6" x14ac:dyDescent="0.35">
      <c r="A10" s="419" t="s">
        <v>0</v>
      </c>
      <c r="B10" s="419"/>
      <c r="C10" s="11"/>
      <c r="D10" s="25"/>
      <c r="E10" s="25"/>
      <c r="F10" s="25"/>
    </row>
    <row r="11" spans="1:6" x14ac:dyDescent="0.35">
      <c r="A11" s="11"/>
      <c r="B11" s="11" t="s">
        <v>246</v>
      </c>
      <c r="C11" s="11"/>
      <c r="D11" s="25"/>
      <c r="E11" s="25"/>
      <c r="F11" s="25"/>
    </row>
    <row r="12" spans="1:6" x14ac:dyDescent="0.35">
      <c r="A12" s="11"/>
      <c r="B12" s="11" t="s">
        <v>247</v>
      </c>
      <c r="C12" s="11"/>
      <c r="D12" s="25"/>
      <c r="E12" s="25"/>
      <c r="F12" s="25"/>
    </row>
    <row r="13" spans="1:6" x14ac:dyDescent="0.35">
      <c r="A13" s="11"/>
      <c r="B13" s="11" t="s">
        <v>248</v>
      </c>
      <c r="C13" s="11"/>
      <c r="D13" s="25"/>
      <c r="E13" s="25"/>
      <c r="F13" s="25"/>
    </row>
    <row r="14" spans="1:6" x14ac:dyDescent="0.35">
      <c r="A14" s="11"/>
      <c r="B14" s="11" t="s">
        <v>249</v>
      </c>
      <c r="C14" s="11"/>
      <c r="D14" s="25"/>
      <c r="E14" s="25"/>
      <c r="F14" s="25"/>
    </row>
    <row r="15" spans="1:6" x14ac:dyDescent="0.35">
      <c r="A15" s="11" t="s">
        <v>2</v>
      </c>
      <c r="B15" s="11" t="s">
        <v>250</v>
      </c>
      <c r="C15" s="11"/>
      <c r="D15" s="25"/>
      <c r="E15" s="25"/>
      <c r="F15" s="25"/>
    </row>
    <row r="16" spans="1:6" hidden="1" x14ac:dyDescent="0.35">
      <c r="A16" s="13"/>
      <c r="B16" s="136"/>
      <c r="C16" s="136"/>
      <c r="D16" s="25"/>
      <c r="E16" s="25"/>
      <c r="F16" s="25"/>
    </row>
    <row r="17" spans="1:7" ht="62.25" customHeight="1" x14ac:dyDescent="0.35">
      <c r="A17" s="51" t="s">
        <v>3</v>
      </c>
      <c r="B17" s="51" t="s">
        <v>4</v>
      </c>
      <c r="C17" s="51"/>
      <c r="D17" s="51" t="s">
        <v>134</v>
      </c>
      <c r="E17" s="51" t="s">
        <v>134</v>
      </c>
      <c r="F17" s="51" t="s">
        <v>134</v>
      </c>
    </row>
    <row r="18" spans="1:7" x14ac:dyDescent="0.35">
      <c r="A18" s="20">
        <v>1</v>
      </c>
      <c r="B18" s="21">
        <v>2</v>
      </c>
      <c r="C18" s="21"/>
      <c r="D18" s="21">
        <v>3</v>
      </c>
      <c r="E18" s="21">
        <v>3</v>
      </c>
      <c r="F18" s="21">
        <v>3</v>
      </c>
    </row>
    <row r="19" spans="1:7" x14ac:dyDescent="0.35">
      <c r="A19" s="41"/>
      <c r="B19" s="39" t="s">
        <v>5</v>
      </c>
      <c r="C19" s="39"/>
      <c r="D19" s="31"/>
      <c r="E19" s="31"/>
      <c r="F19" s="31"/>
    </row>
    <row r="20" spans="1:7" x14ac:dyDescent="0.35">
      <c r="A20" s="31">
        <v>1100</v>
      </c>
      <c r="B20" s="31" t="s">
        <v>132</v>
      </c>
      <c r="C20" s="31"/>
      <c r="D20" s="33">
        <v>5514.5</v>
      </c>
      <c r="E20" s="33">
        <v>5604.27</v>
      </c>
      <c r="F20" s="33">
        <f>ROUND(E20/1730*600,2)</f>
        <v>1943.68</v>
      </c>
    </row>
    <row r="21" spans="1:7" x14ac:dyDescent="0.35">
      <c r="A21" s="31">
        <v>1200</v>
      </c>
      <c r="B21" s="73" t="s">
        <v>133</v>
      </c>
      <c r="C21" s="73"/>
      <c r="D21" s="33">
        <v>1300.8699999999999</v>
      </c>
      <c r="E21" s="33">
        <v>1322.05</v>
      </c>
      <c r="F21" s="33">
        <f t="shared" ref="F21:F28" si="0">ROUND(E21/1730*600,2)</f>
        <v>458.51</v>
      </c>
    </row>
    <row r="22" spans="1:7" x14ac:dyDescent="0.35">
      <c r="A22" s="31">
        <v>2222</v>
      </c>
      <c r="B22" s="62" t="s">
        <v>135</v>
      </c>
      <c r="C22" s="62"/>
      <c r="D22" s="33">
        <v>1049.3900000000001</v>
      </c>
      <c r="E22" s="33">
        <v>1066.47</v>
      </c>
      <c r="F22" s="33">
        <f t="shared" si="0"/>
        <v>369.87</v>
      </c>
    </row>
    <row r="23" spans="1:7" x14ac:dyDescent="0.35">
      <c r="A23" s="31">
        <v>2223</v>
      </c>
      <c r="B23" s="62" t="s">
        <v>136</v>
      </c>
      <c r="C23" s="62"/>
      <c r="D23" s="33">
        <v>596.29</v>
      </c>
      <c r="E23" s="33">
        <v>606</v>
      </c>
      <c r="F23" s="33">
        <f t="shared" si="0"/>
        <v>210.17</v>
      </c>
    </row>
    <row r="24" spans="1:7" x14ac:dyDescent="0.35">
      <c r="A24" s="31">
        <v>2243</v>
      </c>
      <c r="B24" s="22" t="s">
        <v>137</v>
      </c>
      <c r="C24" s="62"/>
      <c r="D24" s="33">
        <v>445.34</v>
      </c>
      <c r="E24" s="33">
        <v>452.59</v>
      </c>
      <c r="F24" s="33">
        <f t="shared" si="0"/>
        <v>156.97</v>
      </c>
    </row>
    <row r="25" spans="1:7" x14ac:dyDescent="0.35">
      <c r="A25" s="31">
        <v>2321</v>
      </c>
      <c r="B25" s="62" t="s">
        <v>139</v>
      </c>
      <c r="C25" s="62"/>
      <c r="D25" s="33">
        <v>122.25</v>
      </c>
      <c r="E25" s="33">
        <v>124.24</v>
      </c>
      <c r="F25" s="33">
        <f t="shared" si="0"/>
        <v>43.09</v>
      </c>
    </row>
    <row r="26" spans="1:7" x14ac:dyDescent="0.35">
      <c r="A26" s="34">
        <v>2341</v>
      </c>
      <c r="B26" s="32" t="s">
        <v>140</v>
      </c>
      <c r="C26" s="32"/>
      <c r="D26" s="33">
        <v>1824.46</v>
      </c>
      <c r="E26" s="33">
        <v>1854.16</v>
      </c>
      <c r="F26" s="33">
        <f t="shared" si="0"/>
        <v>643.05999999999995</v>
      </c>
    </row>
    <row r="27" spans="1:7" x14ac:dyDescent="0.35">
      <c r="A27" s="31">
        <v>2350</v>
      </c>
      <c r="B27" s="61" t="s">
        <v>125</v>
      </c>
      <c r="C27" s="61"/>
      <c r="D27" s="33">
        <v>677.92</v>
      </c>
      <c r="E27" s="33">
        <v>688.96</v>
      </c>
      <c r="F27" s="33">
        <f t="shared" si="0"/>
        <v>238.95</v>
      </c>
    </row>
    <row r="28" spans="1:7" x14ac:dyDescent="0.35">
      <c r="A28" s="31">
        <v>5220</v>
      </c>
      <c r="B28" s="62" t="s">
        <v>128</v>
      </c>
      <c r="C28" s="62"/>
      <c r="D28" s="33">
        <v>391.34</v>
      </c>
      <c r="E28" s="33">
        <v>397.71</v>
      </c>
      <c r="F28" s="33">
        <f t="shared" si="0"/>
        <v>137.93</v>
      </c>
    </row>
    <row r="29" spans="1:7" x14ac:dyDescent="0.35">
      <c r="A29" s="31"/>
      <c r="B29" s="36" t="s">
        <v>6</v>
      </c>
      <c r="C29" s="312"/>
      <c r="D29" s="37">
        <f>SUM(D20:D28)</f>
        <v>11922.359999999999</v>
      </c>
      <c r="E29" s="37">
        <f>SUM(E20:E28)</f>
        <v>12116.45</v>
      </c>
      <c r="F29" s="37">
        <f>SUM(F20:F28)</f>
        <v>4202.2299999999996</v>
      </c>
      <c r="G29" s="164"/>
    </row>
    <row r="30" spans="1:7" x14ac:dyDescent="0.35">
      <c r="A30" s="38"/>
      <c r="B30" s="31" t="s">
        <v>7</v>
      </c>
      <c r="C30" s="31"/>
      <c r="D30" s="33"/>
      <c r="E30" s="33"/>
      <c r="F30" s="33"/>
    </row>
    <row r="31" spans="1:7" x14ac:dyDescent="0.35">
      <c r="A31" s="31">
        <v>1100</v>
      </c>
      <c r="B31" s="22" t="s">
        <v>132</v>
      </c>
      <c r="C31">
        <v>0.45928000000000002</v>
      </c>
      <c r="D31" s="33">
        <v>2205.7600000000002</v>
      </c>
      <c r="E31" s="33">
        <v>2224.5500000000002</v>
      </c>
      <c r="F31" s="33">
        <f t="shared" ref="F31:F65" si="1">ROUND(E31/1730*600,2)</f>
        <v>771.52</v>
      </c>
    </row>
    <row r="32" spans="1:7" x14ac:dyDescent="0.35">
      <c r="A32" s="31">
        <v>1200</v>
      </c>
      <c r="B32" s="22" t="s">
        <v>133</v>
      </c>
      <c r="C32">
        <v>0.10834000000000001</v>
      </c>
      <c r="D32" s="33">
        <v>520.32000000000005</v>
      </c>
      <c r="E32" s="33">
        <v>524.77</v>
      </c>
      <c r="F32" s="33">
        <f t="shared" si="1"/>
        <v>182</v>
      </c>
    </row>
    <row r="33" spans="1:6" x14ac:dyDescent="0.35">
      <c r="A33" s="31">
        <v>2100</v>
      </c>
      <c r="B33" s="24" t="s">
        <v>45</v>
      </c>
      <c r="C33">
        <v>1.56E-3</v>
      </c>
      <c r="D33" s="33">
        <v>7.49</v>
      </c>
      <c r="E33" s="33">
        <v>7.55</v>
      </c>
      <c r="F33" s="33">
        <f t="shared" si="1"/>
        <v>2.62</v>
      </c>
    </row>
    <row r="34" spans="1:6" x14ac:dyDescent="0.35">
      <c r="A34" s="34">
        <v>2210</v>
      </c>
      <c r="B34" s="62" t="s">
        <v>120</v>
      </c>
      <c r="C34">
        <v>8.2000000000000007E-3</v>
      </c>
      <c r="D34" s="33">
        <v>39.380000000000003</v>
      </c>
      <c r="E34" s="33">
        <v>39.72</v>
      </c>
      <c r="F34" s="33">
        <f t="shared" si="1"/>
        <v>13.78</v>
      </c>
    </row>
    <row r="35" spans="1:6" x14ac:dyDescent="0.35">
      <c r="A35" s="31">
        <v>2222</v>
      </c>
      <c r="B35" s="62" t="s">
        <v>135</v>
      </c>
      <c r="C35">
        <v>8.3599999999999994E-3</v>
      </c>
      <c r="D35" s="33">
        <v>40.15</v>
      </c>
      <c r="E35" s="33">
        <v>40.49</v>
      </c>
      <c r="F35" s="33">
        <f t="shared" si="1"/>
        <v>14.04</v>
      </c>
    </row>
    <row r="36" spans="1:6" x14ac:dyDescent="0.35">
      <c r="A36" s="31">
        <v>2223</v>
      </c>
      <c r="B36" s="62" t="s">
        <v>136</v>
      </c>
      <c r="C36">
        <v>6.6970000000000002E-2</v>
      </c>
      <c r="D36" s="33">
        <v>321.63</v>
      </c>
      <c r="E36" s="33">
        <v>324.37</v>
      </c>
      <c r="F36" s="33">
        <f t="shared" si="1"/>
        <v>112.5</v>
      </c>
    </row>
    <row r="37" spans="1:6" ht="31" x14ac:dyDescent="0.35">
      <c r="A37" s="31">
        <v>2224</v>
      </c>
      <c r="B37" s="62" t="s">
        <v>143</v>
      </c>
      <c r="C37">
        <v>3.8899999999999998E-3</v>
      </c>
      <c r="D37" s="33">
        <v>18.68</v>
      </c>
      <c r="E37" s="33">
        <v>18.84</v>
      </c>
      <c r="F37" s="33">
        <f t="shared" si="1"/>
        <v>6.53</v>
      </c>
    </row>
    <row r="38" spans="1:6" x14ac:dyDescent="0.35">
      <c r="A38" s="31">
        <v>2231</v>
      </c>
      <c r="B38" s="22" t="s">
        <v>126</v>
      </c>
      <c r="C38">
        <v>1.0499999999999999E-3</v>
      </c>
      <c r="D38" s="33">
        <v>5.04</v>
      </c>
      <c r="E38" s="33">
        <v>5.08</v>
      </c>
      <c r="F38" s="33">
        <f t="shared" si="1"/>
        <v>1.76</v>
      </c>
    </row>
    <row r="39" spans="1:6" x14ac:dyDescent="0.35">
      <c r="A39" s="31">
        <v>2232</v>
      </c>
      <c r="B39" s="22" t="s">
        <v>251</v>
      </c>
      <c r="C39">
        <v>1.469E-2</v>
      </c>
      <c r="D39" s="33">
        <v>70.55</v>
      </c>
      <c r="E39" s="33">
        <v>71.150000000000006</v>
      </c>
      <c r="F39" s="33">
        <f t="shared" si="1"/>
        <v>24.68</v>
      </c>
    </row>
    <row r="40" spans="1:6" x14ac:dyDescent="0.35">
      <c r="A40" s="31">
        <v>2235</v>
      </c>
      <c r="B40" s="75" t="s">
        <v>127</v>
      </c>
      <c r="C40">
        <v>1.56E-3</v>
      </c>
      <c r="D40" s="33">
        <v>7.49</v>
      </c>
      <c r="E40" s="33">
        <v>7.55</v>
      </c>
      <c r="F40" s="33">
        <f t="shared" si="1"/>
        <v>2.62</v>
      </c>
    </row>
    <row r="41" spans="1:6" x14ac:dyDescent="0.35">
      <c r="A41" s="31">
        <v>2239</v>
      </c>
      <c r="B41" s="22" t="s">
        <v>144</v>
      </c>
      <c r="C41">
        <v>9.2000000000000003E-4</v>
      </c>
      <c r="D41" s="33">
        <v>4.42</v>
      </c>
      <c r="E41" s="33">
        <v>4.46</v>
      </c>
      <c r="F41" s="33">
        <f t="shared" si="1"/>
        <v>1.55</v>
      </c>
    </row>
    <row r="42" spans="1:6" x14ac:dyDescent="0.35">
      <c r="A42" s="31">
        <v>2241</v>
      </c>
      <c r="B42" s="22" t="s">
        <v>123</v>
      </c>
      <c r="C42">
        <v>6.0800000000000003E-3</v>
      </c>
      <c r="D42" s="33">
        <v>29.2</v>
      </c>
      <c r="E42" s="33">
        <v>29.45</v>
      </c>
      <c r="F42" s="33">
        <f t="shared" si="1"/>
        <v>10.210000000000001</v>
      </c>
    </row>
    <row r="43" spans="1:6" x14ac:dyDescent="0.35">
      <c r="A43" s="31">
        <v>2242</v>
      </c>
      <c r="B43" s="62" t="s">
        <v>145</v>
      </c>
      <c r="C43">
        <v>2.16E-3</v>
      </c>
      <c r="D43" s="33">
        <v>10.37</v>
      </c>
      <c r="E43" s="33">
        <v>10.46</v>
      </c>
      <c r="F43" s="33">
        <f t="shared" si="1"/>
        <v>3.63</v>
      </c>
    </row>
    <row r="44" spans="1:6" x14ac:dyDescent="0.35">
      <c r="A44" s="31">
        <v>2243</v>
      </c>
      <c r="B44" s="22" t="s">
        <v>137</v>
      </c>
      <c r="C44">
        <v>1.635E-2</v>
      </c>
      <c r="D44" s="33">
        <v>78.52</v>
      </c>
      <c r="E44" s="33">
        <v>79.19</v>
      </c>
      <c r="F44" s="33">
        <f t="shared" si="1"/>
        <v>27.46</v>
      </c>
    </row>
    <row r="45" spans="1:6" x14ac:dyDescent="0.35">
      <c r="A45" s="31">
        <v>2244</v>
      </c>
      <c r="B45" s="22" t="s">
        <v>138</v>
      </c>
      <c r="C45">
        <v>0.11479</v>
      </c>
      <c r="D45" s="33">
        <v>552.29999999999995</v>
      </c>
      <c r="E45" s="33">
        <v>557.01</v>
      </c>
      <c r="F45" s="33">
        <f t="shared" si="1"/>
        <v>193.18</v>
      </c>
    </row>
    <row r="46" spans="1:6" x14ac:dyDescent="0.35">
      <c r="A46" s="31">
        <v>2247</v>
      </c>
      <c r="B46" s="22" t="s">
        <v>146</v>
      </c>
      <c r="C46">
        <v>2.1000000000000001E-4</v>
      </c>
      <c r="D46" s="33">
        <v>1.01</v>
      </c>
      <c r="E46" s="33">
        <v>1.02</v>
      </c>
      <c r="F46" s="33">
        <f t="shared" si="1"/>
        <v>0.35</v>
      </c>
    </row>
    <row r="47" spans="1:6" x14ac:dyDescent="0.35">
      <c r="A47" s="31">
        <v>2249</v>
      </c>
      <c r="B47" s="22" t="s">
        <v>171</v>
      </c>
      <c r="C47">
        <v>1.7000000000000001E-4</v>
      </c>
      <c r="D47" s="33">
        <v>0.82</v>
      </c>
      <c r="E47" s="33">
        <v>0.83</v>
      </c>
      <c r="F47" s="33">
        <f t="shared" si="1"/>
        <v>0.28999999999999998</v>
      </c>
    </row>
    <row r="48" spans="1:6" x14ac:dyDescent="0.35">
      <c r="A48" s="31">
        <v>2250</v>
      </c>
      <c r="B48" s="22" t="s">
        <v>124</v>
      </c>
      <c r="C48">
        <v>2.7300000000000001E-2</v>
      </c>
      <c r="D48" s="33">
        <v>131.11000000000001</v>
      </c>
      <c r="E48" s="33">
        <v>132.22999999999999</v>
      </c>
      <c r="F48" s="33">
        <f t="shared" si="1"/>
        <v>45.86</v>
      </c>
    </row>
    <row r="49" spans="1:6" x14ac:dyDescent="0.35">
      <c r="A49" s="31">
        <v>2262</v>
      </c>
      <c r="B49" s="62" t="s">
        <v>148</v>
      </c>
      <c r="C49">
        <v>8.4499999999999992E-3</v>
      </c>
      <c r="D49" s="33">
        <v>40.58</v>
      </c>
      <c r="E49" s="33">
        <v>40.93</v>
      </c>
      <c r="F49" s="33">
        <f t="shared" si="1"/>
        <v>14.2</v>
      </c>
    </row>
    <row r="50" spans="1:6" x14ac:dyDescent="0.35">
      <c r="A50" s="31">
        <v>2263</v>
      </c>
      <c r="B50" s="62" t="s">
        <v>149</v>
      </c>
      <c r="C50">
        <v>2.0400000000000001E-3</v>
      </c>
      <c r="D50" s="33">
        <v>9.8000000000000007</v>
      </c>
      <c r="E50" s="33">
        <v>9.8800000000000008</v>
      </c>
      <c r="F50" s="33">
        <f t="shared" si="1"/>
        <v>3.43</v>
      </c>
    </row>
    <row r="51" spans="1:6" x14ac:dyDescent="0.35">
      <c r="A51" s="31">
        <v>2264</v>
      </c>
      <c r="B51" s="22" t="s">
        <v>150</v>
      </c>
      <c r="C51">
        <v>2.2000000000000001E-4</v>
      </c>
      <c r="D51" s="33">
        <v>1.06</v>
      </c>
      <c r="E51" s="33">
        <v>1.07</v>
      </c>
      <c r="F51" s="33">
        <f t="shared" si="1"/>
        <v>0.37</v>
      </c>
    </row>
    <row r="52" spans="1:6" x14ac:dyDescent="0.35">
      <c r="A52" s="31">
        <v>2311</v>
      </c>
      <c r="B52" s="62" t="s">
        <v>151</v>
      </c>
      <c r="C52">
        <v>3.5300000000000002E-3</v>
      </c>
      <c r="D52" s="33">
        <v>16.95</v>
      </c>
      <c r="E52" s="33">
        <v>17.09</v>
      </c>
      <c r="F52" s="33">
        <f t="shared" si="1"/>
        <v>5.93</v>
      </c>
    </row>
    <row r="53" spans="1:6" x14ac:dyDescent="0.35">
      <c r="A53" s="31">
        <v>2313</v>
      </c>
      <c r="B53" s="62" t="s">
        <v>252</v>
      </c>
      <c r="C53">
        <v>2.6800000000000001E-3</v>
      </c>
      <c r="D53" s="33">
        <v>12.87</v>
      </c>
      <c r="E53" s="33">
        <v>12.98</v>
      </c>
      <c r="F53" s="33">
        <f t="shared" si="1"/>
        <v>4.5</v>
      </c>
    </row>
    <row r="54" spans="1:6" x14ac:dyDescent="0.35">
      <c r="A54" s="31">
        <v>2312</v>
      </c>
      <c r="B54" s="62" t="s">
        <v>116</v>
      </c>
      <c r="C54">
        <v>2.2000000000000001E-4</v>
      </c>
      <c r="D54" s="33">
        <v>1.06</v>
      </c>
      <c r="E54" s="33">
        <v>1.07</v>
      </c>
      <c r="F54" s="33">
        <f t="shared" si="1"/>
        <v>0.37</v>
      </c>
    </row>
    <row r="55" spans="1:6" x14ac:dyDescent="0.35">
      <c r="A55" s="31">
        <v>2314</v>
      </c>
      <c r="B55" s="75" t="s">
        <v>152</v>
      </c>
      <c r="C55">
        <v>6.3000000000000003E-4</v>
      </c>
      <c r="D55" s="33">
        <v>3.03</v>
      </c>
      <c r="E55" s="33">
        <v>3.06</v>
      </c>
      <c r="F55" s="33">
        <f t="shared" si="1"/>
        <v>1.06</v>
      </c>
    </row>
    <row r="56" spans="1:6" x14ac:dyDescent="0.35">
      <c r="A56" s="31">
        <v>2321</v>
      </c>
      <c r="B56" s="62" t="s">
        <v>139</v>
      </c>
      <c r="C56">
        <v>7.2260000000000005E-2</v>
      </c>
      <c r="D56" s="33">
        <v>347.04</v>
      </c>
      <c r="E56" s="33">
        <v>350</v>
      </c>
      <c r="F56" s="33">
        <f t="shared" si="1"/>
        <v>121.39</v>
      </c>
    </row>
    <row r="57" spans="1:6" x14ac:dyDescent="0.35">
      <c r="A57" s="31">
        <v>2322</v>
      </c>
      <c r="B57" s="62" t="s">
        <v>153</v>
      </c>
      <c r="C57">
        <v>2.2599999999999999E-3</v>
      </c>
      <c r="D57" s="33">
        <v>10.85</v>
      </c>
      <c r="E57" s="33">
        <v>10.94</v>
      </c>
      <c r="F57" s="33">
        <f t="shared" si="1"/>
        <v>3.79</v>
      </c>
    </row>
    <row r="58" spans="1:6" x14ac:dyDescent="0.35">
      <c r="A58" s="31">
        <v>2350</v>
      </c>
      <c r="B58" s="61" t="s">
        <v>125</v>
      </c>
      <c r="C58">
        <v>1.7770000000000001E-2</v>
      </c>
      <c r="D58" s="33">
        <v>85.34</v>
      </c>
      <c r="E58" s="33">
        <v>86.07</v>
      </c>
      <c r="F58" s="33">
        <f t="shared" si="1"/>
        <v>29.85</v>
      </c>
    </row>
    <row r="59" spans="1:6" x14ac:dyDescent="0.35">
      <c r="A59" s="31">
        <v>2400</v>
      </c>
      <c r="B59" s="62" t="s">
        <v>28</v>
      </c>
      <c r="C59">
        <v>3.8999999999999999E-4</v>
      </c>
      <c r="D59" s="33">
        <v>1.87</v>
      </c>
      <c r="E59" s="33">
        <v>1.89</v>
      </c>
      <c r="F59" s="33">
        <f t="shared" si="1"/>
        <v>0.66</v>
      </c>
    </row>
    <row r="60" spans="1:6" x14ac:dyDescent="0.35">
      <c r="A60" s="31">
        <v>2513</v>
      </c>
      <c r="B60" s="61" t="s">
        <v>121</v>
      </c>
      <c r="C60">
        <v>5.0699999999999999E-3</v>
      </c>
      <c r="D60" s="33">
        <v>24.35</v>
      </c>
      <c r="E60" s="33">
        <v>24.56</v>
      </c>
      <c r="F60" s="33">
        <f t="shared" si="1"/>
        <v>8.52</v>
      </c>
    </row>
    <row r="61" spans="1:6" x14ac:dyDescent="0.35">
      <c r="A61" s="31">
        <v>2515</v>
      </c>
      <c r="B61" s="62" t="s">
        <v>155</v>
      </c>
      <c r="C61">
        <v>5.7999999999999996E-3</v>
      </c>
      <c r="D61" s="33">
        <v>27.86</v>
      </c>
      <c r="E61" s="33">
        <v>28.1</v>
      </c>
      <c r="F61" s="33">
        <f t="shared" si="1"/>
        <v>9.75</v>
      </c>
    </row>
    <row r="62" spans="1:6" x14ac:dyDescent="0.35">
      <c r="A62" s="31">
        <v>2519</v>
      </c>
      <c r="B62" s="62" t="s">
        <v>122</v>
      </c>
      <c r="C62">
        <v>5.8E-4</v>
      </c>
      <c r="D62" s="33">
        <v>2.79</v>
      </c>
      <c r="E62" s="33">
        <v>2.81</v>
      </c>
      <c r="F62" s="33">
        <f t="shared" si="1"/>
        <v>0.97</v>
      </c>
    </row>
    <row r="63" spans="1:6" x14ac:dyDescent="0.35">
      <c r="A63" s="31">
        <v>5238</v>
      </c>
      <c r="B63" s="61" t="s">
        <v>129</v>
      </c>
      <c r="C63">
        <v>2.3800000000000002E-3</v>
      </c>
      <c r="D63" s="33">
        <v>11.43</v>
      </c>
      <c r="E63" s="33">
        <v>11.53</v>
      </c>
      <c r="F63" s="33">
        <f t="shared" si="1"/>
        <v>4</v>
      </c>
    </row>
    <row r="64" spans="1:6" x14ac:dyDescent="0.35">
      <c r="A64" s="31">
        <v>5239</v>
      </c>
      <c r="B64" s="61" t="s">
        <v>130</v>
      </c>
      <c r="C64">
        <v>1.128E-2</v>
      </c>
      <c r="D64" s="33">
        <v>54.17</v>
      </c>
      <c r="E64" s="33">
        <v>48.64</v>
      </c>
      <c r="F64" s="33">
        <f t="shared" si="1"/>
        <v>16.87</v>
      </c>
    </row>
    <row r="65" spans="1:6" x14ac:dyDescent="0.35">
      <c r="A65" s="31">
        <v>5250</v>
      </c>
      <c r="B65" s="62" t="s">
        <v>131</v>
      </c>
      <c r="C65">
        <v>2.256E-2</v>
      </c>
      <c r="D65" s="33">
        <v>107.35</v>
      </c>
      <c r="E65" s="33">
        <v>108.21</v>
      </c>
      <c r="F65" s="33">
        <f t="shared" si="1"/>
        <v>37.53</v>
      </c>
    </row>
    <row r="66" spans="1:6" x14ac:dyDescent="0.35">
      <c r="A66" s="38"/>
      <c r="B66" s="40" t="s">
        <v>8</v>
      </c>
      <c r="C66" s="61">
        <f>SUM(C31:C65)</f>
        <v>1.0000000000000002</v>
      </c>
      <c r="D66" s="37">
        <f>SUM(D31:D65)</f>
        <v>4802.6400000000021</v>
      </c>
      <c r="E66" s="37">
        <f>SUM(E31:E65)</f>
        <v>4837.5500000000011</v>
      </c>
      <c r="F66" s="37">
        <f>SUM(F31:F65)</f>
        <v>1677.7699999999998</v>
      </c>
    </row>
    <row r="67" spans="1:6" x14ac:dyDescent="0.35">
      <c r="A67" s="38"/>
      <c r="B67" s="40" t="s">
        <v>29</v>
      </c>
      <c r="C67" s="40"/>
      <c r="D67" s="37">
        <f>D29+D66</f>
        <v>16725</v>
      </c>
      <c r="E67" s="37">
        <f>E29+E66</f>
        <v>16954</v>
      </c>
      <c r="F67" s="37">
        <f>F29+F66</f>
        <v>5879.9999999999991</v>
      </c>
    </row>
    <row r="68" spans="1:6" x14ac:dyDescent="0.35">
      <c r="A68" s="42"/>
      <c r="B68" s="43"/>
      <c r="C68" s="43"/>
      <c r="D68" s="44"/>
      <c r="E68" s="44"/>
      <c r="F68" s="44"/>
    </row>
    <row r="69" spans="1:6" x14ac:dyDescent="0.35">
      <c r="A69" s="418" t="s">
        <v>106</v>
      </c>
      <c r="B69" s="418"/>
      <c r="C69" s="74"/>
      <c r="D69" s="65">
        <v>2230</v>
      </c>
      <c r="E69" s="65">
        <v>1730</v>
      </c>
      <c r="F69" s="65">
        <v>600</v>
      </c>
    </row>
    <row r="70" spans="1:6" x14ac:dyDescent="0.35">
      <c r="A70" s="418" t="s">
        <v>58</v>
      </c>
      <c r="B70" s="418"/>
      <c r="C70" s="74"/>
      <c r="D70" s="66">
        <f>D67/D69</f>
        <v>7.5</v>
      </c>
      <c r="E70" s="66">
        <f>E67/E69</f>
        <v>9.8000000000000007</v>
      </c>
      <c r="F70" s="66">
        <f>F67/F69</f>
        <v>9.7999999999999989</v>
      </c>
    </row>
    <row r="71" spans="1:6" x14ac:dyDescent="0.35">
      <c r="A71" s="25"/>
      <c r="B71" s="26"/>
      <c r="C71" s="26"/>
      <c r="D71" s="25"/>
      <c r="E71" s="25"/>
      <c r="F71" s="25"/>
    </row>
    <row r="72" spans="1:6" x14ac:dyDescent="0.35">
      <c r="A72" s="417" t="s">
        <v>33</v>
      </c>
      <c r="B72" s="417"/>
      <c r="C72" s="80"/>
      <c r="D72" s="27"/>
      <c r="E72" s="27"/>
      <c r="F72" s="27"/>
    </row>
    <row r="73" spans="1:6" x14ac:dyDescent="0.35">
      <c r="A73" s="417" t="s">
        <v>253</v>
      </c>
      <c r="B73" s="417"/>
      <c r="C73" s="80"/>
      <c r="D73" s="85"/>
      <c r="E73" s="85"/>
      <c r="F73" s="85"/>
    </row>
    <row r="74" spans="1:6" x14ac:dyDescent="0.35">
      <c r="A74" s="28"/>
      <c r="B74" s="28"/>
      <c r="C74" s="28"/>
      <c r="D74" s="28"/>
      <c r="E74" s="28"/>
      <c r="F74" s="28"/>
    </row>
    <row r="75" spans="1:6" x14ac:dyDescent="0.35">
      <c r="A75" s="28" t="s">
        <v>34</v>
      </c>
      <c r="B75" s="28"/>
      <c r="C75" s="28"/>
      <c r="D75" s="81"/>
      <c r="E75" s="81"/>
      <c r="F75" s="81"/>
    </row>
    <row r="76" spans="1:6" x14ac:dyDescent="0.35">
      <c r="A76" s="28"/>
      <c r="B76" s="28"/>
      <c r="C76" s="28"/>
      <c r="D76" s="81"/>
      <c r="E76" s="81"/>
      <c r="F76" s="81"/>
    </row>
    <row r="77" spans="1:6" x14ac:dyDescent="0.35">
      <c r="A77" s="28" t="s">
        <v>177</v>
      </c>
      <c r="B77" s="29"/>
      <c r="C77" s="29"/>
      <c r="D77" s="28"/>
      <c r="E77" s="28"/>
      <c r="F77" s="28"/>
    </row>
    <row r="78" spans="1:6" x14ac:dyDescent="0.35">
      <c r="A78" s="28"/>
      <c r="B78" s="30"/>
      <c r="C78" s="30"/>
      <c r="D78" s="81"/>
      <c r="E78" s="81"/>
      <c r="F78" s="81"/>
    </row>
  </sheetData>
  <mergeCells count="7">
    <mergeCell ref="A73:B73"/>
    <mergeCell ref="A7:B7"/>
    <mergeCell ref="A9:B9"/>
    <mergeCell ref="A10:B10"/>
    <mergeCell ref="A69:B69"/>
    <mergeCell ref="A70:B70"/>
    <mergeCell ref="A72:B72"/>
  </mergeCells>
  <pageMargins left="0.7" right="0.7" top="0.75" bottom="0.75" header="0.3" footer="0.3"/>
  <pageSetup paperSize="9" scale="60" orientation="portrait" r:id="rId1"/>
  <headerFooter>
    <oddFooter>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F78"/>
  <sheetViews>
    <sheetView view="pageLayout" topLeftCell="A5" zoomScale="80" zoomScaleNormal="100" zoomScalePageLayoutView="80" workbookViewId="0">
      <selection activeCell="B14" sqref="B14"/>
    </sheetView>
  </sheetViews>
  <sheetFormatPr defaultColWidth="9.1796875" defaultRowHeight="15.5" x14ac:dyDescent="0.35"/>
  <cols>
    <col min="1" max="1" width="18.7265625" style="16" customWidth="1"/>
    <col min="2" max="2" width="84" style="16" customWidth="1"/>
    <col min="3" max="3" width="10.81640625" style="16" hidden="1" customWidth="1"/>
    <col min="4" max="5" width="27.7265625" style="13" hidden="1" customWidth="1"/>
    <col min="6" max="6" width="27.7265625" style="13" customWidth="1"/>
    <col min="7" max="7" width="10.81640625" style="16" bestFit="1" customWidth="1"/>
    <col min="8" max="16384" width="9.1796875" style="16"/>
  </cols>
  <sheetData>
    <row r="1" spans="1:6" x14ac:dyDescent="0.35">
      <c r="A1" s="13"/>
      <c r="B1" s="15"/>
      <c r="C1" s="15"/>
      <c r="D1" s="15" t="s">
        <v>10</v>
      </c>
      <c r="E1" s="15" t="s">
        <v>10</v>
      </c>
      <c r="F1" s="15" t="s">
        <v>10</v>
      </c>
    </row>
    <row r="2" spans="1:6" x14ac:dyDescent="0.35">
      <c r="A2" s="13"/>
      <c r="B2" s="311"/>
      <c r="C2" s="311"/>
      <c r="D2" s="15" t="s">
        <v>32</v>
      </c>
      <c r="E2" s="15" t="s">
        <v>32</v>
      </c>
      <c r="F2" s="15" t="s">
        <v>32</v>
      </c>
    </row>
    <row r="3" spans="1:6" x14ac:dyDescent="0.35">
      <c r="A3" s="13"/>
      <c r="B3" s="311"/>
      <c r="C3" s="311"/>
      <c r="D3" s="77" t="s">
        <v>66</v>
      </c>
      <c r="E3" s="77" t="s">
        <v>66</v>
      </c>
      <c r="F3" s="77" t="s">
        <v>66</v>
      </c>
    </row>
    <row r="4" spans="1:6" x14ac:dyDescent="0.35">
      <c r="A4" s="13"/>
      <c r="B4" s="14"/>
      <c r="C4" s="14"/>
      <c r="D4" s="15"/>
      <c r="E4" s="15"/>
      <c r="F4" s="15"/>
    </row>
    <row r="5" spans="1:6" x14ac:dyDescent="0.35">
      <c r="A5" s="13"/>
      <c r="B5" s="71"/>
      <c r="C5" s="71"/>
      <c r="D5" s="15" t="s">
        <v>245</v>
      </c>
      <c r="E5" s="15" t="s">
        <v>245</v>
      </c>
      <c r="F5" s="15" t="s">
        <v>333</v>
      </c>
    </row>
    <row r="6" spans="1:6" x14ac:dyDescent="0.35">
      <c r="A6" s="13"/>
      <c r="B6" s="13"/>
      <c r="C6" s="13"/>
      <c r="D6" s="25"/>
      <c r="E6" s="25"/>
      <c r="F6" s="25"/>
    </row>
    <row r="7" spans="1:6" x14ac:dyDescent="0.35">
      <c r="A7" s="416" t="s">
        <v>9</v>
      </c>
      <c r="B7" s="416"/>
      <c r="C7" s="70"/>
      <c r="D7" s="70"/>
      <c r="E7" s="70"/>
      <c r="F7" s="70"/>
    </row>
    <row r="8" spans="1:6" x14ac:dyDescent="0.35">
      <c r="A8" s="13"/>
      <c r="B8" s="18"/>
      <c r="C8" s="18"/>
      <c r="D8" s="25"/>
      <c r="E8" s="25"/>
      <c r="F8" s="25"/>
    </row>
    <row r="9" spans="1:6" x14ac:dyDescent="0.35">
      <c r="A9" s="419" t="s">
        <v>1</v>
      </c>
      <c r="B9" s="419"/>
      <c r="C9" s="11"/>
      <c r="D9" s="25"/>
      <c r="E9" s="25"/>
      <c r="F9" s="25"/>
    </row>
    <row r="10" spans="1:6" x14ac:dyDescent="0.35">
      <c r="A10" s="419" t="s">
        <v>0</v>
      </c>
      <c r="B10" s="419"/>
      <c r="C10" s="11"/>
      <c r="D10" s="25"/>
      <c r="E10" s="25"/>
      <c r="F10" s="25"/>
    </row>
    <row r="11" spans="1:6" x14ac:dyDescent="0.35">
      <c r="A11" s="11"/>
      <c r="B11" s="11" t="s">
        <v>246</v>
      </c>
      <c r="C11" s="11"/>
      <c r="D11" s="25"/>
      <c r="E11" s="25"/>
      <c r="F11" s="25"/>
    </row>
    <row r="12" spans="1:6" x14ac:dyDescent="0.35">
      <c r="A12" s="11"/>
      <c r="B12" s="11" t="s">
        <v>247</v>
      </c>
      <c r="C12" s="11"/>
      <c r="D12" s="25"/>
      <c r="E12" s="25"/>
      <c r="F12" s="25"/>
    </row>
    <row r="13" spans="1:6" x14ac:dyDescent="0.35">
      <c r="A13" s="11"/>
      <c r="B13" s="11" t="s">
        <v>248</v>
      </c>
      <c r="C13" s="11"/>
      <c r="D13" s="25"/>
      <c r="E13" s="25"/>
      <c r="F13" s="25"/>
    </row>
    <row r="14" spans="1:6" x14ac:dyDescent="0.35">
      <c r="A14" s="11"/>
      <c r="B14" s="11" t="s">
        <v>254</v>
      </c>
      <c r="C14" s="11"/>
      <c r="D14" s="25"/>
      <c r="E14" s="25"/>
      <c r="F14" s="25"/>
    </row>
    <row r="15" spans="1:6" x14ac:dyDescent="0.35">
      <c r="A15" s="11" t="s">
        <v>2</v>
      </c>
      <c r="B15" s="11" t="s">
        <v>250</v>
      </c>
      <c r="C15" s="11"/>
      <c r="D15" s="25"/>
      <c r="E15" s="25"/>
      <c r="F15" s="25"/>
    </row>
    <row r="16" spans="1:6" hidden="1" x14ac:dyDescent="0.35">
      <c r="A16" s="13"/>
      <c r="B16" s="136"/>
      <c r="C16" s="136"/>
      <c r="D16" s="25"/>
      <c r="E16" s="25"/>
      <c r="F16" s="25"/>
    </row>
    <row r="17" spans="1:6" ht="62.25" customHeight="1" x14ac:dyDescent="0.35">
      <c r="A17" s="51" t="s">
        <v>3</v>
      </c>
      <c r="B17" s="51" t="s">
        <v>4</v>
      </c>
      <c r="C17" s="51"/>
      <c r="D17" s="51" t="s">
        <v>134</v>
      </c>
      <c r="E17" s="51" t="s">
        <v>134</v>
      </c>
      <c r="F17" s="51" t="s">
        <v>134</v>
      </c>
    </row>
    <row r="18" spans="1:6" x14ac:dyDescent="0.35">
      <c r="A18" s="20">
        <v>1</v>
      </c>
      <c r="B18" s="21">
        <v>2</v>
      </c>
      <c r="C18" s="21"/>
      <c r="D18" s="21">
        <v>3</v>
      </c>
      <c r="E18" s="21">
        <v>3</v>
      </c>
      <c r="F18" s="21">
        <v>3</v>
      </c>
    </row>
    <row r="19" spans="1:6" x14ac:dyDescent="0.35">
      <c r="A19" s="41"/>
      <c r="B19" s="39" t="s">
        <v>5</v>
      </c>
      <c r="C19" s="39"/>
      <c r="D19" s="31"/>
      <c r="E19" s="31"/>
      <c r="F19" s="31"/>
    </row>
    <row r="20" spans="1:6" x14ac:dyDescent="0.35">
      <c r="A20" s="31">
        <v>1100</v>
      </c>
      <c r="B20" s="31" t="s">
        <v>132</v>
      </c>
      <c r="C20" s="31"/>
      <c r="D20" s="33">
        <v>5514.5</v>
      </c>
      <c r="E20" s="33">
        <f>D20/1.1/2230*500</f>
        <v>1124.0317977986138</v>
      </c>
      <c r="F20" s="33">
        <f>ROUND(E20/500*220,2)</f>
        <v>494.57</v>
      </c>
    </row>
    <row r="21" spans="1:6" x14ac:dyDescent="0.35">
      <c r="A21" s="31">
        <v>1200</v>
      </c>
      <c r="B21" s="73" t="s">
        <v>133</v>
      </c>
      <c r="C21" s="73"/>
      <c r="D21" s="33">
        <v>1300.8699999999999</v>
      </c>
      <c r="E21" s="33">
        <f t="shared" ref="E21:E28" si="0">D21/1.1/2230*500</f>
        <v>265.15898899306967</v>
      </c>
      <c r="F21" s="33">
        <f t="shared" ref="F21:F28" si="1">ROUND(E21/500*220,2)</f>
        <v>116.67</v>
      </c>
    </row>
    <row r="22" spans="1:6" x14ac:dyDescent="0.35">
      <c r="A22" s="31">
        <v>2222</v>
      </c>
      <c r="B22" s="62" t="s">
        <v>135</v>
      </c>
      <c r="C22" s="62"/>
      <c r="D22" s="33">
        <v>1049.3900000000001</v>
      </c>
      <c r="E22" s="33">
        <f t="shared" si="0"/>
        <v>213.89930697105586</v>
      </c>
      <c r="F22" s="33">
        <f t="shared" si="1"/>
        <v>94.12</v>
      </c>
    </row>
    <row r="23" spans="1:6" x14ac:dyDescent="0.35">
      <c r="A23" s="31">
        <v>2223</v>
      </c>
      <c r="B23" s="62" t="s">
        <v>136</v>
      </c>
      <c r="C23" s="62"/>
      <c r="D23" s="33">
        <v>596.29</v>
      </c>
      <c r="E23" s="33">
        <f t="shared" si="0"/>
        <v>121.54300856094576</v>
      </c>
      <c r="F23" s="33">
        <f t="shared" si="1"/>
        <v>53.48</v>
      </c>
    </row>
    <row r="24" spans="1:6" x14ac:dyDescent="0.35">
      <c r="A24" s="31">
        <v>2243</v>
      </c>
      <c r="B24" s="22" t="s">
        <v>137</v>
      </c>
      <c r="C24" s="62"/>
      <c r="D24" s="33">
        <v>445.34</v>
      </c>
      <c r="E24" s="33">
        <f t="shared" si="0"/>
        <v>90.774561761108828</v>
      </c>
      <c r="F24" s="33">
        <f t="shared" si="1"/>
        <v>39.94</v>
      </c>
    </row>
    <row r="25" spans="1:6" x14ac:dyDescent="0.35">
      <c r="A25" s="31">
        <v>2321</v>
      </c>
      <c r="B25" s="62" t="s">
        <v>139</v>
      </c>
      <c r="C25" s="62"/>
      <c r="D25" s="33">
        <v>122.25</v>
      </c>
      <c r="E25" s="33">
        <f t="shared" si="0"/>
        <v>24.918467183041173</v>
      </c>
      <c r="F25" s="33">
        <f t="shared" si="1"/>
        <v>10.96</v>
      </c>
    </row>
    <row r="26" spans="1:6" x14ac:dyDescent="0.35">
      <c r="A26" s="34">
        <v>2341</v>
      </c>
      <c r="B26" s="32" t="s">
        <v>140</v>
      </c>
      <c r="C26" s="32"/>
      <c r="D26" s="33">
        <v>1824.46</v>
      </c>
      <c r="E26" s="33">
        <f t="shared" si="0"/>
        <v>371.88340807174887</v>
      </c>
      <c r="F26" s="33">
        <f t="shared" si="1"/>
        <v>163.63</v>
      </c>
    </row>
    <row r="27" spans="1:6" x14ac:dyDescent="0.35">
      <c r="A27" s="31">
        <v>2350</v>
      </c>
      <c r="B27" s="61" t="s">
        <v>125</v>
      </c>
      <c r="C27" s="61"/>
      <c r="D27" s="33">
        <v>677.92</v>
      </c>
      <c r="E27" s="33">
        <f t="shared" si="0"/>
        <v>138.18181818181819</v>
      </c>
      <c r="F27" s="33">
        <f t="shared" si="1"/>
        <v>60.8</v>
      </c>
    </row>
    <row r="28" spans="1:6" x14ac:dyDescent="0.35">
      <c r="A28" s="31">
        <v>5220</v>
      </c>
      <c r="B28" s="62" t="s">
        <v>128</v>
      </c>
      <c r="C28" s="62"/>
      <c r="D28" s="33">
        <v>391.34</v>
      </c>
      <c r="E28" s="33">
        <f t="shared" si="0"/>
        <v>79.767631471667329</v>
      </c>
      <c r="F28" s="33">
        <f t="shared" si="1"/>
        <v>35.1</v>
      </c>
    </row>
    <row r="29" spans="1:6" x14ac:dyDescent="0.35">
      <c r="A29" s="31"/>
      <c r="B29" s="36" t="s">
        <v>6</v>
      </c>
      <c r="C29" s="312"/>
      <c r="D29" s="37">
        <f>SUM(D20:D28)</f>
        <v>11922.359999999999</v>
      </c>
      <c r="E29" s="37">
        <f>SUM(E20:E28)</f>
        <v>2430.1589889930692</v>
      </c>
      <c r="F29" s="37">
        <f>SUM(F20:F28)</f>
        <v>1069.27</v>
      </c>
    </row>
    <row r="30" spans="1:6" x14ac:dyDescent="0.35">
      <c r="A30" s="38"/>
      <c r="B30" s="31" t="s">
        <v>7</v>
      </c>
      <c r="C30" s="31"/>
      <c r="D30" s="33"/>
      <c r="E30" s="33"/>
      <c r="F30" s="33"/>
    </row>
    <row r="31" spans="1:6" x14ac:dyDescent="0.35">
      <c r="A31" s="31">
        <v>1100</v>
      </c>
      <c r="B31" s="22" t="s">
        <v>132</v>
      </c>
      <c r="C31" s="7">
        <v>0.45928000000000002</v>
      </c>
      <c r="D31" s="33">
        <v>2205.7600000000002</v>
      </c>
      <c r="E31" s="33">
        <v>442.24</v>
      </c>
      <c r="F31" s="33">
        <f t="shared" ref="F31:F65" si="2">ROUND(E31/500*220,2)</f>
        <v>194.59</v>
      </c>
    </row>
    <row r="32" spans="1:6" x14ac:dyDescent="0.35">
      <c r="A32" s="31">
        <v>1200</v>
      </c>
      <c r="B32" s="22" t="s">
        <v>133</v>
      </c>
      <c r="C32" s="7">
        <v>0.10834000000000001</v>
      </c>
      <c r="D32" s="33">
        <v>520.32000000000005</v>
      </c>
      <c r="E32" s="33">
        <v>104.32</v>
      </c>
      <c r="F32" s="33">
        <f t="shared" si="2"/>
        <v>45.9</v>
      </c>
    </row>
    <row r="33" spans="1:6" x14ac:dyDescent="0.35">
      <c r="A33" s="31">
        <v>2100</v>
      </c>
      <c r="B33" s="24" t="s">
        <v>45</v>
      </c>
      <c r="C33" s="7">
        <v>1.56E-3</v>
      </c>
      <c r="D33" s="33">
        <v>7.49</v>
      </c>
      <c r="E33" s="33">
        <f t="shared" ref="E33:E65" si="3">D33/1.1/2230*500</f>
        <v>1.5267019975540155</v>
      </c>
      <c r="F33" s="33">
        <f t="shared" si="2"/>
        <v>0.67</v>
      </c>
    </row>
    <row r="34" spans="1:6" x14ac:dyDescent="0.35">
      <c r="A34" s="34">
        <v>2210</v>
      </c>
      <c r="B34" s="62" t="s">
        <v>120</v>
      </c>
      <c r="C34" s="7">
        <v>8.2000000000000007E-3</v>
      </c>
      <c r="D34" s="33">
        <v>39.380000000000003</v>
      </c>
      <c r="E34" s="33">
        <f t="shared" si="3"/>
        <v>8.0269058295964122</v>
      </c>
      <c r="F34" s="33">
        <f t="shared" si="2"/>
        <v>3.53</v>
      </c>
    </row>
    <row r="35" spans="1:6" x14ac:dyDescent="0.35">
      <c r="A35" s="31">
        <v>2222</v>
      </c>
      <c r="B35" s="62" t="s">
        <v>135</v>
      </c>
      <c r="C35" s="7">
        <v>8.3599999999999994E-3</v>
      </c>
      <c r="D35" s="33">
        <v>40.15</v>
      </c>
      <c r="E35" s="33">
        <f t="shared" si="3"/>
        <v>8.1838565022421506</v>
      </c>
      <c r="F35" s="33">
        <f t="shared" si="2"/>
        <v>3.6</v>
      </c>
    </row>
    <row r="36" spans="1:6" x14ac:dyDescent="0.35">
      <c r="A36" s="31">
        <v>2223</v>
      </c>
      <c r="B36" s="62" t="s">
        <v>136</v>
      </c>
      <c r="C36" s="7">
        <v>6.6970000000000002E-2</v>
      </c>
      <c r="D36" s="33">
        <v>321.63</v>
      </c>
      <c r="E36" s="33">
        <f t="shared" si="3"/>
        <v>65.558499796167951</v>
      </c>
      <c r="F36" s="33">
        <f t="shared" si="2"/>
        <v>28.85</v>
      </c>
    </row>
    <row r="37" spans="1:6" ht="31" x14ac:dyDescent="0.35">
      <c r="A37" s="31">
        <v>2224</v>
      </c>
      <c r="B37" s="62" t="s">
        <v>143</v>
      </c>
      <c r="C37" s="7">
        <v>3.8899999999999998E-3</v>
      </c>
      <c r="D37" s="33">
        <v>18.68</v>
      </c>
      <c r="E37" s="33">
        <f t="shared" si="3"/>
        <v>3.8075825519771707</v>
      </c>
      <c r="F37" s="33">
        <f t="shared" si="2"/>
        <v>1.68</v>
      </c>
    </row>
    <row r="38" spans="1:6" x14ac:dyDescent="0.35">
      <c r="A38" s="31">
        <v>2231</v>
      </c>
      <c r="B38" s="22" t="s">
        <v>126</v>
      </c>
      <c r="C38" s="7">
        <v>1.0499999999999999E-3</v>
      </c>
      <c r="D38" s="33">
        <v>5.04</v>
      </c>
      <c r="E38" s="33">
        <f t="shared" si="3"/>
        <v>1.0273134936812065</v>
      </c>
      <c r="F38" s="33">
        <f t="shared" si="2"/>
        <v>0.45</v>
      </c>
    </row>
    <row r="39" spans="1:6" x14ac:dyDescent="0.35">
      <c r="A39" s="31">
        <v>2232</v>
      </c>
      <c r="B39" s="22" t="s">
        <v>251</v>
      </c>
      <c r="C39" s="7">
        <v>1.469E-2</v>
      </c>
      <c r="D39" s="33">
        <v>70.55</v>
      </c>
      <c r="E39" s="33">
        <f t="shared" si="3"/>
        <v>14.38035059111292</v>
      </c>
      <c r="F39" s="33">
        <f t="shared" si="2"/>
        <v>6.33</v>
      </c>
    </row>
    <row r="40" spans="1:6" x14ac:dyDescent="0.35">
      <c r="A40" s="31">
        <v>2235</v>
      </c>
      <c r="B40" s="75" t="s">
        <v>127</v>
      </c>
      <c r="C40" s="7">
        <v>1.56E-3</v>
      </c>
      <c r="D40" s="33">
        <v>7.49</v>
      </c>
      <c r="E40" s="33">
        <f t="shared" si="3"/>
        <v>1.5267019975540155</v>
      </c>
      <c r="F40" s="33">
        <f t="shared" si="2"/>
        <v>0.67</v>
      </c>
    </row>
    <row r="41" spans="1:6" x14ac:dyDescent="0.35">
      <c r="A41" s="31">
        <v>2239</v>
      </c>
      <c r="B41" s="22" t="s">
        <v>144</v>
      </c>
      <c r="C41" s="7">
        <v>9.2000000000000003E-4</v>
      </c>
      <c r="D41" s="33">
        <v>4.42</v>
      </c>
      <c r="E41" s="33">
        <f t="shared" si="3"/>
        <v>0.90093762739502636</v>
      </c>
      <c r="F41" s="33">
        <f t="shared" si="2"/>
        <v>0.4</v>
      </c>
    </row>
    <row r="42" spans="1:6" x14ac:dyDescent="0.35">
      <c r="A42" s="31">
        <v>2241</v>
      </c>
      <c r="B42" s="22" t="s">
        <v>123</v>
      </c>
      <c r="C42" s="7">
        <v>6.0800000000000003E-3</v>
      </c>
      <c r="D42" s="33">
        <v>29.2</v>
      </c>
      <c r="E42" s="33">
        <f t="shared" si="3"/>
        <v>5.9518956379942924</v>
      </c>
      <c r="F42" s="33">
        <f t="shared" si="2"/>
        <v>2.62</v>
      </c>
    </row>
    <row r="43" spans="1:6" x14ac:dyDescent="0.35">
      <c r="A43" s="31">
        <v>2242</v>
      </c>
      <c r="B43" s="62" t="s">
        <v>145</v>
      </c>
      <c r="C43" s="7">
        <v>2.16E-3</v>
      </c>
      <c r="D43" s="33">
        <v>10.37</v>
      </c>
      <c r="E43" s="33">
        <f t="shared" si="3"/>
        <v>2.1137382796575617</v>
      </c>
      <c r="F43" s="33">
        <f t="shared" si="2"/>
        <v>0.93</v>
      </c>
    </row>
    <row r="44" spans="1:6" x14ac:dyDescent="0.35">
      <c r="A44" s="31">
        <v>2243</v>
      </c>
      <c r="B44" s="22" t="s">
        <v>137</v>
      </c>
      <c r="C44" s="7">
        <v>1.635E-2</v>
      </c>
      <c r="D44" s="33">
        <v>78.52</v>
      </c>
      <c r="E44" s="33">
        <f t="shared" si="3"/>
        <v>16.004891969017528</v>
      </c>
      <c r="F44" s="33">
        <f t="shared" si="2"/>
        <v>7.04</v>
      </c>
    </row>
    <row r="45" spans="1:6" x14ac:dyDescent="0.35">
      <c r="A45" s="31">
        <v>2244</v>
      </c>
      <c r="B45" s="22" t="s">
        <v>138</v>
      </c>
      <c r="C45" s="7">
        <v>0.11479</v>
      </c>
      <c r="D45" s="33">
        <v>552.29999999999995</v>
      </c>
      <c r="E45" s="33">
        <f t="shared" si="3"/>
        <v>112.57643701589888</v>
      </c>
      <c r="F45" s="33">
        <f t="shared" si="2"/>
        <v>49.53</v>
      </c>
    </row>
    <row r="46" spans="1:6" x14ac:dyDescent="0.35">
      <c r="A46" s="31">
        <v>2247</v>
      </c>
      <c r="B46" s="22" t="s">
        <v>146</v>
      </c>
      <c r="C46" s="7">
        <v>2.1000000000000001E-4</v>
      </c>
      <c r="D46" s="33">
        <v>1.01</v>
      </c>
      <c r="E46" s="33">
        <f t="shared" si="3"/>
        <v>0.20587036282103546</v>
      </c>
      <c r="F46" s="33">
        <f t="shared" si="2"/>
        <v>0.09</v>
      </c>
    </row>
    <row r="47" spans="1:6" x14ac:dyDescent="0.35">
      <c r="A47" s="31">
        <v>2249</v>
      </c>
      <c r="B47" s="22" t="s">
        <v>171</v>
      </c>
      <c r="C47" s="7">
        <v>1.7000000000000001E-4</v>
      </c>
      <c r="D47" s="33">
        <v>0.82</v>
      </c>
      <c r="E47" s="33">
        <f t="shared" si="3"/>
        <v>0.16714227476559312</v>
      </c>
      <c r="F47" s="33">
        <f t="shared" si="2"/>
        <v>7.0000000000000007E-2</v>
      </c>
    </row>
    <row r="48" spans="1:6" x14ac:dyDescent="0.35">
      <c r="A48" s="31">
        <v>2250</v>
      </c>
      <c r="B48" s="22" t="s">
        <v>124</v>
      </c>
      <c r="C48" s="7">
        <v>2.7300000000000001E-2</v>
      </c>
      <c r="D48" s="33">
        <v>131.11000000000001</v>
      </c>
      <c r="E48" s="33">
        <f t="shared" si="3"/>
        <v>26.724419078679166</v>
      </c>
      <c r="F48" s="33">
        <f t="shared" si="2"/>
        <v>11.76</v>
      </c>
    </row>
    <row r="49" spans="1:6" x14ac:dyDescent="0.35">
      <c r="A49" s="31">
        <v>2262</v>
      </c>
      <c r="B49" s="62" t="s">
        <v>148</v>
      </c>
      <c r="C49" s="7">
        <v>8.4499999999999992E-3</v>
      </c>
      <c r="D49" s="33">
        <v>40.58</v>
      </c>
      <c r="E49" s="33">
        <f t="shared" si="3"/>
        <v>8.2715042804728895</v>
      </c>
      <c r="F49" s="33">
        <f t="shared" si="2"/>
        <v>3.64</v>
      </c>
    </row>
    <row r="50" spans="1:6" x14ac:dyDescent="0.35">
      <c r="A50" s="31">
        <v>2263</v>
      </c>
      <c r="B50" s="62" t="s">
        <v>149</v>
      </c>
      <c r="C50" s="7">
        <v>2.0400000000000001E-3</v>
      </c>
      <c r="D50" s="33">
        <v>9.8000000000000007</v>
      </c>
      <c r="E50" s="33">
        <f t="shared" si="3"/>
        <v>1.997554015491235</v>
      </c>
      <c r="F50" s="33">
        <f t="shared" si="2"/>
        <v>0.88</v>
      </c>
    </row>
    <row r="51" spans="1:6" x14ac:dyDescent="0.35">
      <c r="A51" s="31">
        <v>2264</v>
      </c>
      <c r="B51" s="22" t="s">
        <v>150</v>
      </c>
      <c r="C51" s="7">
        <v>2.2000000000000001E-4</v>
      </c>
      <c r="D51" s="33">
        <v>1.06</v>
      </c>
      <c r="E51" s="33">
        <f t="shared" si="3"/>
        <v>0.2160619649408887</v>
      </c>
      <c r="F51" s="33">
        <f t="shared" si="2"/>
        <v>0.1</v>
      </c>
    </row>
    <row r="52" spans="1:6" x14ac:dyDescent="0.35">
      <c r="A52" s="31">
        <v>2311</v>
      </c>
      <c r="B52" s="62" t="s">
        <v>151</v>
      </c>
      <c r="C52" s="7">
        <v>3.5300000000000002E-3</v>
      </c>
      <c r="D52" s="33">
        <v>16.95</v>
      </c>
      <c r="E52" s="33">
        <f t="shared" si="3"/>
        <v>3.454953118630248</v>
      </c>
      <c r="F52" s="33">
        <f t="shared" si="2"/>
        <v>1.52</v>
      </c>
    </row>
    <row r="53" spans="1:6" x14ac:dyDescent="0.35">
      <c r="A53" s="31">
        <v>2313</v>
      </c>
      <c r="B53" s="62" t="s">
        <v>252</v>
      </c>
      <c r="C53" s="7">
        <v>2.6800000000000001E-3</v>
      </c>
      <c r="D53" s="33">
        <v>12.87</v>
      </c>
      <c r="E53" s="33">
        <f t="shared" si="3"/>
        <v>2.6233183856502236</v>
      </c>
      <c r="F53" s="33">
        <f t="shared" si="2"/>
        <v>1.1499999999999999</v>
      </c>
    </row>
    <row r="54" spans="1:6" x14ac:dyDescent="0.35">
      <c r="A54" s="31">
        <v>2312</v>
      </c>
      <c r="B54" s="62" t="s">
        <v>116</v>
      </c>
      <c r="C54" s="7">
        <v>2.2000000000000001E-4</v>
      </c>
      <c r="D54" s="33">
        <v>1.06</v>
      </c>
      <c r="E54" s="33">
        <f t="shared" si="3"/>
        <v>0.2160619649408887</v>
      </c>
      <c r="F54" s="33">
        <f t="shared" si="2"/>
        <v>0.1</v>
      </c>
    </row>
    <row r="55" spans="1:6" x14ac:dyDescent="0.35">
      <c r="A55" s="31">
        <v>2314</v>
      </c>
      <c r="B55" s="75" t="s">
        <v>152</v>
      </c>
      <c r="C55" s="7">
        <v>6.3000000000000003E-4</v>
      </c>
      <c r="D55" s="33">
        <v>3.03</v>
      </c>
      <c r="E55" s="33">
        <f t="shared" si="3"/>
        <v>0.61761108846310631</v>
      </c>
      <c r="F55" s="33">
        <f t="shared" si="2"/>
        <v>0.27</v>
      </c>
    </row>
    <row r="56" spans="1:6" x14ac:dyDescent="0.35">
      <c r="A56" s="31">
        <v>2321</v>
      </c>
      <c r="B56" s="62" t="s">
        <v>139</v>
      </c>
      <c r="C56" s="7">
        <v>7.2260000000000005E-2</v>
      </c>
      <c r="D56" s="33">
        <v>347.04</v>
      </c>
      <c r="E56" s="33">
        <v>70.75</v>
      </c>
      <c r="F56" s="33">
        <f t="shared" si="2"/>
        <v>31.13</v>
      </c>
    </row>
    <row r="57" spans="1:6" x14ac:dyDescent="0.35">
      <c r="A57" s="31">
        <v>2322</v>
      </c>
      <c r="B57" s="62" t="s">
        <v>153</v>
      </c>
      <c r="C57" s="7">
        <v>2.2599999999999999E-3</v>
      </c>
      <c r="D57" s="33">
        <v>10.85</v>
      </c>
      <c r="E57" s="33">
        <f t="shared" si="3"/>
        <v>2.2115776600081531</v>
      </c>
      <c r="F57" s="33">
        <f t="shared" si="2"/>
        <v>0.97</v>
      </c>
    </row>
    <row r="58" spans="1:6" x14ac:dyDescent="0.35">
      <c r="A58" s="31">
        <v>2350</v>
      </c>
      <c r="B58" s="61" t="s">
        <v>125</v>
      </c>
      <c r="C58" s="7">
        <v>1.7770000000000001E-2</v>
      </c>
      <c r="D58" s="33">
        <v>85.34</v>
      </c>
      <c r="E58" s="33">
        <f t="shared" si="3"/>
        <v>17.39502649816551</v>
      </c>
      <c r="F58" s="33">
        <f t="shared" si="2"/>
        <v>7.65</v>
      </c>
    </row>
    <row r="59" spans="1:6" x14ac:dyDescent="0.35">
      <c r="A59" s="31">
        <v>2400</v>
      </c>
      <c r="B59" s="62" t="s">
        <v>28</v>
      </c>
      <c r="C59" s="7">
        <v>3.8999999999999999E-4</v>
      </c>
      <c r="D59" s="33">
        <v>1.87</v>
      </c>
      <c r="E59" s="33">
        <f t="shared" si="3"/>
        <v>0.3811659192825112</v>
      </c>
      <c r="F59" s="33">
        <f t="shared" si="2"/>
        <v>0.17</v>
      </c>
    </row>
    <row r="60" spans="1:6" x14ac:dyDescent="0.35">
      <c r="A60" s="31">
        <v>2513</v>
      </c>
      <c r="B60" s="61" t="s">
        <v>121</v>
      </c>
      <c r="C60" s="7">
        <v>5.0699999999999999E-3</v>
      </c>
      <c r="D60" s="33">
        <v>24.35</v>
      </c>
      <c r="E60" s="33">
        <f t="shared" si="3"/>
        <v>4.9633102323685288</v>
      </c>
      <c r="F60" s="33">
        <f t="shared" si="2"/>
        <v>2.1800000000000002</v>
      </c>
    </row>
    <row r="61" spans="1:6" x14ac:dyDescent="0.35">
      <c r="A61" s="31">
        <v>2515</v>
      </c>
      <c r="B61" s="62" t="s">
        <v>155</v>
      </c>
      <c r="C61" s="7">
        <v>5.7999999999999996E-3</v>
      </c>
      <c r="D61" s="33">
        <v>27.86</v>
      </c>
      <c r="E61" s="33">
        <f t="shared" si="3"/>
        <v>5.6787607011822248</v>
      </c>
      <c r="F61" s="33">
        <f t="shared" si="2"/>
        <v>2.5</v>
      </c>
    </row>
    <row r="62" spans="1:6" x14ac:dyDescent="0.35">
      <c r="A62" s="31">
        <v>2519</v>
      </c>
      <c r="B62" s="62" t="s">
        <v>122</v>
      </c>
      <c r="C62" s="7">
        <v>5.8E-4</v>
      </c>
      <c r="D62" s="33">
        <v>2.79</v>
      </c>
      <c r="E62" s="33">
        <f t="shared" si="3"/>
        <v>0.56869139828781079</v>
      </c>
      <c r="F62" s="33">
        <f t="shared" si="2"/>
        <v>0.25</v>
      </c>
    </row>
    <row r="63" spans="1:6" x14ac:dyDescent="0.35">
      <c r="A63" s="31">
        <v>5238</v>
      </c>
      <c r="B63" s="61" t="s">
        <v>129</v>
      </c>
      <c r="C63" s="7">
        <v>2.3800000000000002E-3</v>
      </c>
      <c r="D63" s="33">
        <v>11.43</v>
      </c>
      <c r="E63" s="33">
        <f t="shared" si="3"/>
        <v>2.3298002445984509</v>
      </c>
      <c r="F63" s="33">
        <f t="shared" si="2"/>
        <v>1.03</v>
      </c>
    </row>
    <row r="64" spans="1:6" x14ac:dyDescent="0.35">
      <c r="A64" s="31">
        <v>5239</v>
      </c>
      <c r="B64" s="61" t="s">
        <v>130</v>
      </c>
      <c r="C64" s="7">
        <v>1.128E-2</v>
      </c>
      <c r="D64" s="33">
        <v>54.17</v>
      </c>
      <c r="E64" s="33">
        <f t="shared" si="3"/>
        <v>11.041581736649</v>
      </c>
      <c r="F64" s="33">
        <f t="shared" si="2"/>
        <v>4.8600000000000003</v>
      </c>
    </row>
    <row r="65" spans="1:6" x14ac:dyDescent="0.35">
      <c r="A65" s="31">
        <v>5250</v>
      </c>
      <c r="B65" s="62" t="s">
        <v>131</v>
      </c>
      <c r="C65" s="7">
        <v>2.256E-2</v>
      </c>
      <c r="D65" s="33">
        <v>107.35</v>
      </c>
      <c r="E65" s="33">
        <f t="shared" si="3"/>
        <v>21.881369751324907</v>
      </c>
      <c r="F65" s="33">
        <f t="shared" si="2"/>
        <v>9.6300000000000008</v>
      </c>
    </row>
    <row r="66" spans="1:6" x14ac:dyDescent="0.35">
      <c r="A66" s="38"/>
      <c r="B66" s="40" t="s">
        <v>8</v>
      </c>
      <c r="C66" s="61">
        <f>SUM(C31:C65)</f>
        <v>1.0000000000000002</v>
      </c>
      <c r="D66" s="37">
        <f>SUM(D31:D65)</f>
        <v>4802.6400000000021</v>
      </c>
      <c r="E66" s="37">
        <f>SUM(E31:E65)</f>
        <v>969.84159396657162</v>
      </c>
      <c r="F66" s="37">
        <f>SUM(F31:F65)</f>
        <v>426.7399999999999</v>
      </c>
    </row>
    <row r="67" spans="1:6" x14ac:dyDescent="0.35">
      <c r="A67" s="38"/>
      <c r="B67" s="40" t="s">
        <v>29</v>
      </c>
      <c r="C67" s="40"/>
      <c r="D67" s="37">
        <f>D29+D66</f>
        <v>16725</v>
      </c>
      <c r="E67" s="37">
        <f>E29+E66</f>
        <v>3400.0005829596407</v>
      </c>
      <c r="F67" s="37">
        <f>F29+F66</f>
        <v>1496.0099999999998</v>
      </c>
    </row>
    <row r="68" spans="1:6" x14ac:dyDescent="0.35">
      <c r="A68" s="42"/>
      <c r="B68" s="43"/>
      <c r="C68" s="43"/>
      <c r="D68" s="44"/>
      <c r="E68" s="44"/>
      <c r="F68" s="44"/>
    </row>
    <row r="69" spans="1:6" x14ac:dyDescent="0.35">
      <c r="A69" s="418" t="s">
        <v>106</v>
      </c>
      <c r="B69" s="418"/>
      <c r="C69" s="74"/>
      <c r="D69" s="65">
        <v>2230</v>
      </c>
      <c r="E69" s="65">
        <v>500</v>
      </c>
      <c r="F69" s="65">
        <v>220</v>
      </c>
    </row>
    <row r="70" spans="1:6" x14ac:dyDescent="0.35">
      <c r="A70" s="418" t="s">
        <v>58</v>
      </c>
      <c r="B70" s="418"/>
      <c r="C70" s="74"/>
      <c r="D70" s="66">
        <f>D67/D69</f>
        <v>7.5</v>
      </c>
      <c r="E70" s="66">
        <f>E67/E69</f>
        <v>6.8000011659192818</v>
      </c>
      <c r="F70" s="66">
        <f>F67/F69</f>
        <v>6.8000454545454536</v>
      </c>
    </row>
    <row r="71" spans="1:6" x14ac:dyDescent="0.35">
      <c r="A71" s="25"/>
      <c r="B71" s="26"/>
      <c r="C71" s="26"/>
      <c r="D71" s="25"/>
      <c r="E71" s="25"/>
      <c r="F71" s="25"/>
    </row>
    <row r="72" spans="1:6" x14ac:dyDescent="0.35">
      <c r="A72" s="417" t="s">
        <v>33</v>
      </c>
      <c r="B72" s="417"/>
      <c r="C72" s="80"/>
      <c r="D72" s="27"/>
      <c r="E72" s="27"/>
      <c r="F72" s="27"/>
    </row>
    <row r="73" spans="1:6" x14ac:dyDescent="0.35">
      <c r="A73" s="417" t="s">
        <v>253</v>
      </c>
      <c r="B73" s="417"/>
      <c r="C73" s="80"/>
      <c r="D73" s="85"/>
      <c r="E73" s="85"/>
      <c r="F73" s="85"/>
    </row>
    <row r="74" spans="1:6" x14ac:dyDescent="0.35">
      <c r="A74" s="28"/>
      <c r="B74" s="28"/>
      <c r="C74" s="28"/>
      <c r="D74" s="28"/>
      <c r="E74" s="28"/>
      <c r="F74" s="28"/>
    </row>
    <row r="75" spans="1:6" x14ac:dyDescent="0.35">
      <c r="A75" s="28" t="s">
        <v>34</v>
      </c>
      <c r="B75" s="28"/>
      <c r="C75" s="28"/>
      <c r="D75" s="81"/>
      <c r="E75" s="81"/>
      <c r="F75" s="81"/>
    </row>
    <row r="76" spans="1:6" x14ac:dyDescent="0.35">
      <c r="A76" s="28"/>
      <c r="B76" s="28"/>
      <c r="C76" s="28"/>
      <c r="D76" s="81"/>
      <c r="E76" s="81"/>
      <c r="F76" s="81"/>
    </row>
    <row r="77" spans="1:6" x14ac:dyDescent="0.35">
      <c r="A77" s="28" t="s">
        <v>177</v>
      </c>
      <c r="B77" s="29"/>
      <c r="C77" s="29"/>
      <c r="D77" s="28"/>
      <c r="E77" s="81"/>
      <c r="F77" s="81"/>
    </row>
    <row r="78" spans="1:6" x14ac:dyDescent="0.35">
      <c r="A78" s="28"/>
      <c r="B78" s="30"/>
      <c r="C78" s="30"/>
      <c r="D78" s="81"/>
      <c r="E78" s="81"/>
      <c r="F78" s="81"/>
    </row>
  </sheetData>
  <mergeCells count="7">
    <mergeCell ref="A73:B73"/>
    <mergeCell ref="A7:B7"/>
    <mergeCell ref="A9:B9"/>
    <mergeCell ref="A10:B10"/>
    <mergeCell ref="A69:B69"/>
    <mergeCell ref="A70:B70"/>
    <mergeCell ref="A72:B72"/>
  </mergeCells>
  <pageMargins left="0.7" right="0.7" top="0.75" bottom="0.75" header="0.3" footer="0.3"/>
  <pageSetup paperSize="9" scale="60" orientation="portrait" r:id="rId1"/>
  <headerFooter>
    <oddFooter>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G79"/>
  <sheetViews>
    <sheetView view="pageLayout" topLeftCell="A55" zoomScale="90" zoomScaleNormal="100" zoomScalePageLayoutView="90" workbookViewId="0">
      <selection activeCell="D69" sqref="D69"/>
    </sheetView>
  </sheetViews>
  <sheetFormatPr defaultColWidth="9.1796875" defaultRowHeight="15.5" x14ac:dyDescent="0.35"/>
  <cols>
    <col min="1" max="1" width="21.453125" style="13" customWidth="1"/>
    <col min="2" max="2" width="88.1796875" style="13" customWidth="1"/>
    <col min="3" max="3" width="10.1796875" style="13" hidden="1" customWidth="1"/>
    <col min="4" max="4" width="31.1796875" style="13" customWidth="1"/>
    <col min="5" max="16384" width="9.1796875" style="13"/>
  </cols>
  <sheetData>
    <row r="1" spans="1:4" ht="15.75" customHeight="1" x14ac:dyDescent="0.35">
      <c r="B1" s="14"/>
      <c r="C1" s="14"/>
      <c r="D1" s="17" t="s">
        <v>10</v>
      </c>
    </row>
    <row r="2" spans="1:4" x14ac:dyDescent="0.35">
      <c r="B2" s="60"/>
      <c r="C2" s="60"/>
      <c r="D2" s="14" t="s">
        <v>32</v>
      </c>
    </row>
    <row r="3" spans="1:4" x14ac:dyDescent="0.35">
      <c r="B3" s="60"/>
      <c r="C3" s="60"/>
      <c r="D3" s="77" t="s">
        <v>66</v>
      </c>
    </row>
    <row r="4" spans="1:4" x14ac:dyDescent="0.35">
      <c r="B4" s="14"/>
      <c r="C4" s="14"/>
      <c r="D4" s="15"/>
    </row>
    <row r="5" spans="1:4" x14ac:dyDescent="0.35">
      <c r="B5" s="71"/>
      <c r="C5" s="71"/>
      <c r="D5" s="15" t="s">
        <v>245</v>
      </c>
    </row>
    <row r="6" spans="1:4" x14ac:dyDescent="0.35">
      <c r="D6" s="25"/>
    </row>
    <row r="7" spans="1:4" x14ac:dyDescent="0.35">
      <c r="A7" s="416" t="s">
        <v>9</v>
      </c>
      <c r="B7" s="416"/>
      <c r="C7" s="416"/>
      <c r="D7" s="70"/>
    </row>
    <row r="8" spans="1:4" x14ac:dyDescent="0.35">
      <c r="B8" s="18"/>
      <c r="C8" s="18"/>
      <c r="D8" s="25"/>
    </row>
    <row r="9" spans="1:4" x14ac:dyDescent="0.35">
      <c r="A9" s="419" t="s">
        <v>1</v>
      </c>
      <c r="B9" s="419"/>
      <c r="C9" s="11"/>
      <c r="D9" s="25"/>
    </row>
    <row r="10" spans="1:4" x14ac:dyDescent="0.35">
      <c r="A10" s="419" t="s">
        <v>0</v>
      </c>
      <c r="B10" s="419"/>
      <c r="C10" s="11"/>
      <c r="D10" s="25"/>
    </row>
    <row r="11" spans="1:4" x14ac:dyDescent="0.35">
      <c r="A11" s="11"/>
      <c r="B11" s="11" t="s">
        <v>246</v>
      </c>
      <c r="C11" s="11"/>
      <c r="D11" s="11"/>
    </row>
    <row r="12" spans="1:4" x14ac:dyDescent="0.35">
      <c r="A12" s="11"/>
      <c r="B12" s="11" t="s">
        <v>255</v>
      </c>
      <c r="C12" s="11"/>
      <c r="D12" s="11"/>
    </row>
    <row r="13" spans="1:4" x14ac:dyDescent="0.35">
      <c r="A13" s="11"/>
      <c r="B13" s="11" t="s">
        <v>256</v>
      </c>
      <c r="C13" s="11"/>
      <c r="D13" s="11"/>
    </row>
    <row r="14" spans="1:4" ht="30" customHeight="1" x14ac:dyDescent="0.35">
      <c r="A14" s="11"/>
      <c r="B14" s="419" t="s">
        <v>257</v>
      </c>
      <c r="C14" s="419"/>
      <c r="D14" s="11"/>
    </row>
    <row r="15" spans="1:4" x14ac:dyDescent="0.35">
      <c r="A15" s="11" t="s">
        <v>2</v>
      </c>
      <c r="B15" s="11" t="s">
        <v>250</v>
      </c>
      <c r="C15" s="11"/>
      <c r="D15" s="25"/>
    </row>
    <row r="16" spans="1:4" ht="69.75" customHeight="1" x14ac:dyDescent="0.35">
      <c r="A16" s="51" t="s">
        <v>3</v>
      </c>
      <c r="B16" s="51" t="s">
        <v>4</v>
      </c>
      <c r="C16" s="51"/>
      <c r="D16" s="51" t="s">
        <v>134</v>
      </c>
    </row>
    <row r="17" spans="1:7" x14ac:dyDescent="0.35">
      <c r="A17" s="20">
        <v>1</v>
      </c>
      <c r="B17" s="21">
        <v>2</v>
      </c>
      <c r="C17" s="21"/>
      <c r="D17" s="21">
        <v>3</v>
      </c>
    </row>
    <row r="18" spans="1:7" x14ac:dyDescent="0.35">
      <c r="A18" s="20"/>
      <c r="B18" s="22" t="s">
        <v>5</v>
      </c>
      <c r="C18" s="22"/>
      <c r="D18" s="61"/>
    </row>
    <row r="19" spans="1:7" x14ac:dyDescent="0.35">
      <c r="A19" s="31">
        <v>1100</v>
      </c>
      <c r="B19" s="31" t="s">
        <v>132</v>
      </c>
      <c r="C19" s="31">
        <f>[1]FMS!$C$27</f>
        <v>5.0299401197604787</v>
      </c>
      <c r="D19" s="33">
        <v>50.3</v>
      </c>
    </row>
    <row r="20" spans="1:7" x14ac:dyDescent="0.35">
      <c r="A20" s="31">
        <v>1200</v>
      </c>
      <c r="B20" s="61" t="s">
        <v>133</v>
      </c>
      <c r="C20" s="61">
        <f>C19*0.2359</f>
        <v>1.1865628742514969</v>
      </c>
      <c r="D20" s="33">
        <v>11.87</v>
      </c>
    </row>
    <row r="21" spans="1:7" x14ac:dyDescent="0.35">
      <c r="A21" s="31">
        <v>2223</v>
      </c>
      <c r="B21" s="62" t="s">
        <v>136</v>
      </c>
      <c r="C21" s="62">
        <f>[1]FMS!$C$29</f>
        <v>0.17624999999999999</v>
      </c>
      <c r="D21" s="33">
        <v>1.76</v>
      </c>
    </row>
    <row r="22" spans="1:7" x14ac:dyDescent="0.35">
      <c r="A22" s="31">
        <v>2243</v>
      </c>
      <c r="B22" s="22" t="s">
        <v>137</v>
      </c>
      <c r="C22" s="22">
        <f>0.44*0.2</f>
        <v>8.8000000000000009E-2</v>
      </c>
      <c r="D22" s="33">
        <v>0.88</v>
      </c>
    </row>
    <row r="23" spans="1:7" x14ac:dyDescent="0.35">
      <c r="A23" s="31">
        <v>2244</v>
      </c>
      <c r="B23" s="22" t="s">
        <v>138</v>
      </c>
      <c r="C23" s="22">
        <f>[1]FMS!$C$39-C22</f>
        <v>0.35210750937997848</v>
      </c>
      <c r="D23" s="33">
        <v>3.52</v>
      </c>
    </row>
    <row r="24" spans="1:7" x14ac:dyDescent="0.35">
      <c r="A24" s="31">
        <v>2312</v>
      </c>
      <c r="B24" s="62" t="s">
        <v>116</v>
      </c>
      <c r="C24" s="62">
        <f>[1]FMS!$C$36</f>
        <v>2.6267535070140283E-3</v>
      </c>
      <c r="D24" s="33">
        <v>0.03</v>
      </c>
    </row>
    <row r="25" spans="1:7" x14ac:dyDescent="0.35">
      <c r="A25" s="31">
        <v>2321</v>
      </c>
      <c r="B25" s="62" t="s">
        <v>139</v>
      </c>
      <c r="C25" s="62">
        <f>[1]FMS!$C$30+0.02</f>
        <v>5.5714285714285716E-2</v>
      </c>
      <c r="D25" s="33">
        <v>0.56000000000000005</v>
      </c>
    </row>
    <row r="26" spans="1:7" x14ac:dyDescent="0.35">
      <c r="A26" s="34">
        <v>2341</v>
      </c>
      <c r="B26" s="32" t="s">
        <v>140</v>
      </c>
      <c r="C26" s="32">
        <f>[1]FMS!$C$38</f>
        <v>0.2485</v>
      </c>
      <c r="D26" s="33">
        <v>2.4900000000000002</v>
      </c>
    </row>
    <row r="27" spans="1:7" x14ac:dyDescent="0.35">
      <c r="A27" s="31">
        <v>5220</v>
      </c>
      <c r="B27" s="62" t="s">
        <v>128</v>
      </c>
      <c r="C27" s="62">
        <f>[1]FMS!$C$32+[1]FMS!$C$33+[1]FMS!$C$34+[1]FMS!$C$35</f>
        <v>1.0413644956579828</v>
      </c>
      <c r="D27" s="33">
        <v>10.41</v>
      </c>
    </row>
    <row r="28" spans="1:7" x14ac:dyDescent="0.35">
      <c r="A28" s="31"/>
      <c r="B28" s="36" t="s">
        <v>6</v>
      </c>
      <c r="C28" s="36"/>
      <c r="D28" s="37">
        <f>SUM(D19:D27)</f>
        <v>81.819999999999979</v>
      </c>
      <c r="F28" s="58"/>
      <c r="G28" s="58"/>
    </row>
    <row r="29" spans="1:7" x14ac:dyDescent="0.35">
      <c r="A29" s="38"/>
      <c r="B29" s="78" t="s">
        <v>7</v>
      </c>
      <c r="C29" s="78"/>
      <c r="D29" s="33"/>
    </row>
    <row r="30" spans="1:7" x14ac:dyDescent="0.35">
      <c r="A30" s="31">
        <v>1100</v>
      </c>
      <c r="B30" s="22" t="s">
        <v>132</v>
      </c>
      <c r="C30" s="7">
        <v>0.45928000000000002</v>
      </c>
      <c r="D30" s="33">
        <v>13.55</v>
      </c>
    </row>
    <row r="31" spans="1:7" ht="16.5" customHeight="1" x14ac:dyDescent="0.35">
      <c r="A31" s="31">
        <v>1200</v>
      </c>
      <c r="B31" s="22" t="s">
        <v>133</v>
      </c>
      <c r="C31" s="7">
        <v>0.10834000000000001</v>
      </c>
      <c r="D31" s="33">
        <v>3.2</v>
      </c>
    </row>
    <row r="32" spans="1:7" ht="16.5" customHeight="1" x14ac:dyDescent="0.35">
      <c r="A32" s="31">
        <v>2100</v>
      </c>
      <c r="B32" s="24" t="s">
        <v>45</v>
      </c>
      <c r="C32" s="7">
        <v>1.56E-3</v>
      </c>
      <c r="D32" s="33">
        <v>0.05</v>
      </c>
    </row>
    <row r="33" spans="1:4" x14ac:dyDescent="0.35">
      <c r="A33" s="34">
        <v>2210</v>
      </c>
      <c r="B33" s="62" t="s">
        <v>120</v>
      </c>
      <c r="C33" s="7">
        <v>8.2000000000000007E-3</v>
      </c>
      <c r="D33" s="33">
        <v>0.24</v>
      </c>
    </row>
    <row r="34" spans="1:4" x14ac:dyDescent="0.35">
      <c r="A34" s="31">
        <v>2222</v>
      </c>
      <c r="B34" s="62" t="s">
        <v>135</v>
      </c>
      <c r="C34" s="7">
        <v>8.3599999999999994E-3</v>
      </c>
      <c r="D34" s="33">
        <v>0.25</v>
      </c>
    </row>
    <row r="35" spans="1:4" x14ac:dyDescent="0.35">
      <c r="A35" s="31">
        <v>2223</v>
      </c>
      <c r="B35" s="62" t="s">
        <v>136</v>
      </c>
      <c r="C35" s="7">
        <v>6.6970000000000002E-2</v>
      </c>
      <c r="D35" s="33">
        <v>1.98</v>
      </c>
    </row>
    <row r="36" spans="1:4" ht="31" x14ac:dyDescent="0.35">
      <c r="A36" s="31">
        <v>2224</v>
      </c>
      <c r="B36" s="62" t="s">
        <v>143</v>
      </c>
      <c r="C36" s="7">
        <v>3.8899999999999998E-3</v>
      </c>
      <c r="D36" s="33">
        <v>0.11</v>
      </c>
    </row>
    <row r="37" spans="1:4" ht="15.75" customHeight="1" x14ac:dyDescent="0.35">
      <c r="A37" s="31">
        <v>2231</v>
      </c>
      <c r="B37" s="22" t="s">
        <v>126</v>
      </c>
      <c r="C37" s="7">
        <v>1.0499999999999999E-3</v>
      </c>
      <c r="D37" s="33">
        <v>0.03</v>
      </c>
    </row>
    <row r="38" spans="1:4" ht="15.75" customHeight="1" x14ac:dyDescent="0.35">
      <c r="A38" s="31">
        <v>2232</v>
      </c>
      <c r="B38" s="22" t="s">
        <v>251</v>
      </c>
      <c r="C38" s="7">
        <v>1.469E-2</v>
      </c>
      <c r="D38" s="33">
        <v>0.43</v>
      </c>
    </row>
    <row r="39" spans="1:4" x14ac:dyDescent="0.35">
      <c r="A39" s="31">
        <v>2235</v>
      </c>
      <c r="B39" s="75" t="s">
        <v>127</v>
      </c>
      <c r="C39" s="7">
        <v>1.56E-3</v>
      </c>
      <c r="D39" s="33">
        <v>0.05</v>
      </c>
    </row>
    <row r="40" spans="1:4" x14ac:dyDescent="0.35">
      <c r="A40" s="31">
        <v>2239</v>
      </c>
      <c r="B40" s="22" t="s">
        <v>144</v>
      </c>
      <c r="C40" s="7">
        <v>9.2000000000000003E-4</v>
      </c>
      <c r="D40" s="33">
        <v>0.03</v>
      </c>
    </row>
    <row r="41" spans="1:4" x14ac:dyDescent="0.35">
      <c r="A41" s="31">
        <v>2241</v>
      </c>
      <c r="B41" s="22" t="s">
        <v>123</v>
      </c>
      <c r="C41" s="7">
        <v>6.0800000000000003E-3</v>
      </c>
      <c r="D41" s="33">
        <v>0.18</v>
      </c>
    </row>
    <row r="42" spans="1:4" ht="15.75" customHeight="1" x14ac:dyDescent="0.35">
      <c r="A42" s="31">
        <v>2242</v>
      </c>
      <c r="B42" s="62" t="s">
        <v>145</v>
      </c>
      <c r="C42" s="7">
        <v>2.16E-3</v>
      </c>
      <c r="D42" s="33">
        <v>0.06</v>
      </c>
    </row>
    <row r="43" spans="1:4" x14ac:dyDescent="0.35">
      <c r="A43" s="31">
        <v>2243</v>
      </c>
      <c r="B43" s="22" t="s">
        <v>137</v>
      </c>
      <c r="C43" s="7">
        <v>1.635E-2</v>
      </c>
      <c r="D43" s="33">
        <v>0.48</v>
      </c>
    </row>
    <row r="44" spans="1:4" x14ac:dyDescent="0.35">
      <c r="A44" s="31">
        <v>2244</v>
      </c>
      <c r="B44" s="22" t="s">
        <v>138</v>
      </c>
      <c r="C44" s="7">
        <v>0.11479</v>
      </c>
      <c r="D44" s="33">
        <v>3.44</v>
      </c>
    </row>
    <row r="45" spans="1:4" x14ac:dyDescent="0.35">
      <c r="A45" s="31">
        <v>2247</v>
      </c>
      <c r="B45" s="22" t="s">
        <v>146</v>
      </c>
      <c r="C45" s="7">
        <v>2.1000000000000001E-4</v>
      </c>
      <c r="D45" s="33">
        <v>0.01</v>
      </c>
    </row>
    <row r="46" spans="1:4" x14ac:dyDescent="0.35">
      <c r="A46" s="31">
        <v>2249</v>
      </c>
      <c r="B46" s="22" t="s">
        <v>171</v>
      </c>
      <c r="C46" s="7">
        <v>1.7000000000000001E-4</v>
      </c>
      <c r="D46" s="33">
        <v>0.01</v>
      </c>
    </row>
    <row r="47" spans="1:4" x14ac:dyDescent="0.35">
      <c r="A47" s="31">
        <v>2250</v>
      </c>
      <c r="B47" s="22" t="s">
        <v>124</v>
      </c>
      <c r="C47" s="7">
        <v>2.7300000000000001E-2</v>
      </c>
      <c r="D47" s="33">
        <v>0.81</v>
      </c>
    </row>
    <row r="48" spans="1:4" x14ac:dyDescent="0.35">
      <c r="A48" s="31">
        <v>2262</v>
      </c>
      <c r="B48" s="62" t="s">
        <v>148</v>
      </c>
      <c r="C48" s="7">
        <v>8.4499999999999992E-3</v>
      </c>
      <c r="D48" s="33">
        <v>0.25</v>
      </c>
    </row>
    <row r="49" spans="1:4" x14ac:dyDescent="0.35">
      <c r="A49" s="31">
        <v>2263</v>
      </c>
      <c r="B49" s="62" t="s">
        <v>149</v>
      </c>
      <c r="C49" s="7">
        <v>2.0400000000000001E-3</v>
      </c>
      <c r="D49" s="33">
        <v>0.06</v>
      </c>
    </row>
    <row r="50" spans="1:4" x14ac:dyDescent="0.35">
      <c r="A50" s="31">
        <v>2264</v>
      </c>
      <c r="B50" s="22" t="s">
        <v>150</v>
      </c>
      <c r="C50" s="7">
        <v>2.2000000000000001E-4</v>
      </c>
      <c r="D50" s="33">
        <v>0.01</v>
      </c>
    </row>
    <row r="51" spans="1:4" x14ac:dyDescent="0.35">
      <c r="A51" s="31">
        <v>2311</v>
      </c>
      <c r="B51" s="62" t="s">
        <v>151</v>
      </c>
      <c r="C51" s="7">
        <v>3.5300000000000002E-3</v>
      </c>
      <c r="D51" s="33">
        <v>0.1</v>
      </c>
    </row>
    <row r="52" spans="1:4" x14ac:dyDescent="0.35">
      <c r="A52" s="31">
        <v>2313</v>
      </c>
      <c r="B52" s="62" t="s">
        <v>252</v>
      </c>
      <c r="C52" s="7">
        <v>2.6800000000000001E-3</v>
      </c>
      <c r="D52" s="33">
        <v>0.08</v>
      </c>
    </row>
    <row r="53" spans="1:4" x14ac:dyDescent="0.35">
      <c r="A53" s="31">
        <v>2312</v>
      </c>
      <c r="B53" s="62" t="s">
        <v>116</v>
      </c>
      <c r="C53" s="7">
        <v>2.2000000000000001E-4</v>
      </c>
      <c r="D53" s="33">
        <v>0.01</v>
      </c>
    </row>
    <row r="54" spans="1:4" x14ac:dyDescent="0.35">
      <c r="A54" s="31">
        <v>2314</v>
      </c>
      <c r="B54" s="75" t="s">
        <v>152</v>
      </c>
      <c r="C54" s="7">
        <v>6.3000000000000003E-4</v>
      </c>
      <c r="D54" s="33">
        <v>0.02</v>
      </c>
    </row>
    <row r="55" spans="1:4" x14ac:dyDescent="0.35">
      <c r="A55" s="31">
        <v>2321</v>
      </c>
      <c r="B55" s="62" t="s">
        <v>139</v>
      </c>
      <c r="C55" s="7">
        <v>7.2260000000000005E-2</v>
      </c>
      <c r="D55" s="33">
        <v>3.73</v>
      </c>
    </row>
    <row r="56" spans="1:4" x14ac:dyDescent="0.35">
      <c r="A56" s="31">
        <v>2322</v>
      </c>
      <c r="B56" s="62" t="s">
        <v>153</v>
      </c>
      <c r="C56" s="7">
        <v>2.2599999999999999E-3</v>
      </c>
      <c r="D56" s="33">
        <v>7.0000000000000007E-2</v>
      </c>
    </row>
    <row r="57" spans="1:4" x14ac:dyDescent="0.35">
      <c r="A57" s="31">
        <v>2350</v>
      </c>
      <c r="B57" s="61" t="s">
        <v>125</v>
      </c>
      <c r="C57" s="7">
        <v>1.7770000000000001E-2</v>
      </c>
      <c r="D57" s="33">
        <v>0.52</v>
      </c>
    </row>
    <row r="58" spans="1:4" x14ac:dyDescent="0.35">
      <c r="A58" s="31">
        <v>2400</v>
      </c>
      <c r="B58" s="62" t="s">
        <v>28</v>
      </c>
      <c r="C58" s="7">
        <v>3.8999999999999999E-4</v>
      </c>
      <c r="D58" s="33">
        <v>0.01</v>
      </c>
    </row>
    <row r="59" spans="1:4" x14ac:dyDescent="0.35">
      <c r="A59" s="31">
        <v>2513</v>
      </c>
      <c r="B59" s="61" t="s">
        <v>121</v>
      </c>
      <c r="C59" s="7">
        <v>5.0699999999999999E-3</v>
      </c>
      <c r="D59" s="33">
        <v>0.15</v>
      </c>
    </row>
    <row r="60" spans="1:4" x14ac:dyDescent="0.35">
      <c r="A60" s="31">
        <v>2515</v>
      </c>
      <c r="B60" s="62" t="s">
        <v>155</v>
      </c>
      <c r="C60" s="7">
        <v>5.7999999999999996E-3</v>
      </c>
      <c r="D60" s="33">
        <v>0.17</v>
      </c>
    </row>
    <row r="61" spans="1:4" x14ac:dyDescent="0.35">
      <c r="A61" s="31">
        <v>2519</v>
      </c>
      <c r="B61" s="62" t="s">
        <v>122</v>
      </c>
      <c r="C61" s="7">
        <v>5.8E-4</v>
      </c>
      <c r="D61" s="33">
        <v>0.02</v>
      </c>
    </row>
    <row r="62" spans="1:4" x14ac:dyDescent="0.35">
      <c r="A62" s="31">
        <v>5238</v>
      </c>
      <c r="B62" s="61" t="s">
        <v>129</v>
      </c>
      <c r="C62" s="7">
        <v>2.3800000000000002E-3</v>
      </c>
      <c r="D62" s="33">
        <v>7.0000000000000007E-2</v>
      </c>
    </row>
    <row r="63" spans="1:4" x14ac:dyDescent="0.35">
      <c r="A63" s="31">
        <v>5239</v>
      </c>
      <c r="B63" s="61" t="s">
        <v>130</v>
      </c>
      <c r="C63" s="7">
        <v>1.128E-2</v>
      </c>
      <c r="D63" s="33">
        <v>0.33</v>
      </c>
    </row>
    <row r="64" spans="1:4" ht="15.75" customHeight="1" x14ac:dyDescent="0.35">
      <c r="A64" s="31">
        <v>5250</v>
      </c>
      <c r="B64" s="62" t="s">
        <v>131</v>
      </c>
      <c r="C64" s="7">
        <v>2.256E-2</v>
      </c>
      <c r="D64" s="33">
        <v>0.67</v>
      </c>
    </row>
    <row r="65" spans="1:7" x14ac:dyDescent="0.35">
      <c r="A65" s="38"/>
      <c r="B65" s="79" t="s">
        <v>97</v>
      </c>
      <c r="C65" s="61">
        <f>SUM(C30:C64)</f>
        <v>1.0000000000000002</v>
      </c>
      <c r="D65" s="37">
        <f>SUM(D30:D64)</f>
        <v>31.180000000000007</v>
      </c>
      <c r="F65" s="58"/>
      <c r="G65" s="58"/>
    </row>
    <row r="66" spans="1:7" x14ac:dyDescent="0.35">
      <c r="A66" s="38"/>
      <c r="B66" s="79" t="s">
        <v>98</v>
      </c>
      <c r="C66" s="79"/>
      <c r="D66" s="37">
        <f>D28+D65</f>
        <v>112.99999999999999</v>
      </c>
    </row>
    <row r="67" spans="1:7" ht="12.75" customHeight="1" x14ac:dyDescent="0.35">
      <c r="A67" s="15"/>
      <c r="B67" s="25"/>
      <c r="C67" s="25"/>
      <c r="D67" s="59"/>
    </row>
    <row r="68" spans="1:7" ht="15.75" customHeight="1" x14ac:dyDescent="0.35">
      <c r="A68" s="417" t="s">
        <v>106</v>
      </c>
      <c r="B68" s="417"/>
      <c r="C68" s="80"/>
      <c r="D68" s="67">
        <v>10</v>
      </c>
    </row>
    <row r="69" spans="1:7" ht="15.75" customHeight="1" x14ac:dyDescent="0.35">
      <c r="A69" s="417" t="s">
        <v>58</v>
      </c>
      <c r="B69" s="417"/>
      <c r="C69" s="80"/>
      <c r="D69" s="68">
        <f>D66/D68</f>
        <v>11.299999999999999</v>
      </c>
      <c r="G69" s="58"/>
    </row>
    <row r="70" spans="1:7" ht="15" customHeight="1" x14ac:dyDescent="0.35">
      <c r="A70" s="43"/>
      <c r="B70" s="49"/>
      <c r="C70" s="49"/>
    </row>
    <row r="71" spans="1:7" ht="15.75" customHeight="1" x14ac:dyDescent="0.35">
      <c r="A71" s="418" t="s">
        <v>33</v>
      </c>
      <c r="B71" s="418"/>
      <c r="C71" s="74"/>
      <c r="D71" s="27"/>
    </row>
    <row r="72" spans="1:7" ht="15.75" customHeight="1" x14ac:dyDescent="0.35">
      <c r="A72" s="418" t="s">
        <v>64</v>
      </c>
      <c r="B72" s="418"/>
      <c r="C72" s="74"/>
      <c r="D72" s="27"/>
    </row>
    <row r="73" spans="1:7" ht="8.25" customHeight="1" x14ac:dyDescent="0.35">
      <c r="A73" s="28"/>
      <c r="B73" s="28"/>
      <c r="C73" s="28"/>
      <c r="D73" s="28"/>
    </row>
    <row r="74" spans="1:7" x14ac:dyDescent="0.35">
      <c r="A74" s="28" t="s">
        <v>34</v>
      </c>
      <c r="B74" s="28"/>
      <c r="C74" s="28"/>
      <c r="D74" s="81"/>
    </row>
    <row r="75" spans="1:7" x14ac:dyDescent="0.35">
      <c r="A75" s="28"/>
      <c r="B75" s="28"/>
      <c r="C75" s="28"/>
      <c r="D75" s="81"/>
    </row>
    <row r="76" spans="1:7" x14ac:dyDescent="0.35">
      <c r="A76" s="28" t="s">
        <v>177</v>
      </c>
      <c r="B76" s="29"/>
      <c r="C76" s="29"/>
      <c r="D76" s="28"/>
    </row>
    <row r="77" spans="1:7" x14ac:dyDescent="0.35">
      <c r="B77" s="73"/>
      <c r="C77" s="73"/>
      <c r="D77" s="82"/>
    </row>
    <row r="79" spans="1:7" x14ac:dyDescent="0.35">
      <c r="D79" s="58"/>
    </row>
  </sheetData>
  <mergeCells count="8">
    <mergeCell ref="A71:B71"/>
    <mergeCell ref="A72:B72"/>
    <mergeCell ref="A7:C7"/>
    <mergeCell ref="A9:B9"/>
    <mergeCell ref="A10:B10"/>
    <mergeCell ref="B14:C14"/>
    <mergeCell ref="A68:B68"/>
    <mergeCell ref="A69:B69"/>
  </mergeCells>
  <pageMargins left="0.7" right="0.7" top="0.75" bottom="0.75" header="0.3" footer="0.3"/>
  <pageSetup paperSize="9" scale="5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F79"/>
  <sheetViews>
    <sheetView view="pageLayout" zoomScale="80" zoomScaleNormal="100" zoomScalePageLayoutView="80" workbookViewId="0">
      <selection activeCell="B14" sqref="B14:D14"/>
    </sheetView>
  </sheetViews>
  <sheetFormatPr defaultColWidth="9.1796875" defaultRowHeight="15.5" x14ac:dyDescent="0.35"/>
  <cols>
    <col min="1" max="1" width="16" style="13" customWidth="1"/>
    <col min="2" max="2" width="84.54296875" style="13" customWidth="1"/>
    <col min="3" max="3" width="10.1796875" style="13" hidden="1" customWidth="1"/>
    <col min="4" max="4" width="31.7265625" style="13" customWidth="1"/>
    <col min="5" max="16384" width="9.1796875" style="13"/>
  </cols>
  <sheetData>
    <row r="1" spans="1:4" ht="15.75" customHeight="1" x14ac:dyDescent="0.35">
      <c r="B1" s="14"/>
      <c r="C1" s="14"/>
      <c r="D1" s="17" t="s">
        <v>10</v>
      </c>
    </row>
    <row r="2" spans="1:4" x14ac:dyDescent="0.35">
      <c r="B2" s="439" t="s">
        <v>32</v>
      </c>
      <c r="C2" s="439"/>
      <c r="D2" s="432"/>
    </row>
    <row r="3" spans="1:4" x14ac:dyDescent="0.35">
      <c r="B3" s="60"/>
      <c r="C3" s="60"/>
      <c r="D3" s="77" t="s">
        <v>66</v>
      </c>
    </row>
    <row r="4" spans="1:4" x14ac:dyDescent="0.35">
      <c r="B4" s="14"/>
      <c r="C4" s="14"/>
      <c r="D4" s="15"/>
    </row>
    <row r="5" spans="1:4" x14ac:dyDescent="0.35">
      <c r="B5" s="71"/>
      <c r="C5" s="71"/>
      <c r="D5" s="15" t="s">
        <v>333</v>
      </c>
    </row>
    <row r="6" spans="1:4" x14ac:dyDescent="0.35">
      <c r="D6" s="25"/>
    </row>
    <row r="7" spans="1:4" x14ac:dyDescent="0.35">
      <c r="A7" s="416" t="s">
        <v>9</v>
      </c>
      <c r="B7" s="416"/>
      <c r="C7" s="416"/>
      <c r="D7" s="416"/>
    </row>
    <row r="8" spans="1:4" x14ac:dyDescent="0.35">
      <c r="B8" s="18"/>
      <c r="C8" s="18"/>
      <c r="D8" s="25"/>
    </row>
    <row r="9" spans="1:4" x14ac:dyDescent="0.35">
      <c r="A9" s="419" t="s">
        <v>1</v>
      </c>
      <c r="B9" s="419"/>
      <c r="C9" s="11"/>
      <c r="D9" s="25"/>
    </row>
    <row r="10" spans="1:4" x14ac:dyDescent="0.35">
      <c r="A10" s="419" t="s">
        <v>0</v>
      </c>
      <c r="B10" s="419"/>
      <c r="C10" s="11"/>
      <c r="D10" s="25"/>
    </row>
    <row r="11" spans="1:4" x14ac:dyDescent="0.35">
      <c r="A11" s="11"/>
      <c r="B11" s="11" t="s">
        <v>246</v>
      </c>
      <c r="C11" s="11"/>
      <c r="D11" s="11"/>
    </row>
    <row r="12" spans="1:4" x14ac:dyDescent="0.35">
      <c r="A12" s="11"/>
      <c r="B12" s="11" t="s">
        <v>255</v>
      </c>
      <c r="C12" s="11"/>
      <c r="D12" s="11"/>
    </row>
    <row r="13" spans="1:4" x14ac:dyDescent="0.35">
      <c r="A13" s="11"/>
      <c r="B13" s="11" t="s">
        <v>334</v>
      </c>
      <c r="C13" s="11"/>
      <c r="D13" s="11"/>
    </row>
    <row r="14" spans="1:4" ht="18" customHeight="1" x14ac:dyDescent="0.35">
      <c r="A14" s="11"/>
      <c r="B14" s="419" t="s">
        <v>335</v>
      </c>
      <c r="C14" s="421"/>
      <c r="D14" s="440"/>
    </row>
    <row r="15" spans="1:4" x14ac:dyDescent="0.35">
      <c r="A15" s="11" t="s">
        <v>2</v>
      </c>
      <c r="B15" s="11" t="s">
        <v>250</v>
      </c>
      <c r="C15" s="11"/>
      <c r="D15" s="25"/>
    </row>
    <row r="16" spans="1:4" ht="69.75" customHeight="1" x14ac:dyDescent="0.35">
      <c r="A16" s="51" t="s">
        <v>3</v>
      </c>
      <c r="B16" s="51" t="s">
        <v>4</v>
      </c>
      <c r="C16" s="51"/>
      <c r="D16" s="51" t="s">
        <v>134</v>
      </c>
    </row>
    <row r="17" spans="1:6" x14ac:dyDescent="0.35">
      <c r="A17" s="20">
        <v>1</v>
      </c>
      <c r="B17" s="21">
        <v>2</v>
      </c>
      <c r="C17" s="21"/>
      <c r="D17" s="21">
        <v>3</v>
      </c>
    </row>
    <row r="18" spans="1:6" x14ac:dyDescent="0.35">
      <c r="A18" s="20"/>
      <c r="B18" s="22" t="s">
        <v>5</v>
      </c>
      <c r="C18" s="22"/>
      <c r="D18" s="61"/>
    </row>
    <row r="19" spans="1:6" x14ac:dyDescent="0.35">
      <c r="A19" s="31">
        <v>1100</v>
      </c>
      <c r="B19" s="31" t="s">
        <v>132</v>
      </c>
      <c r="C19" s="31">
        <f>[1]FMS!$C$48</f>
        <v>2.7544910179640718</v>
      </c>
      <c r="D19" s="33">
        <v>82.63</v>
      </c>
    </row>
    <row r="20" spans="1:6" x14ac:dyDescent="0.35">
      <c r="A20" s="31">
        <v>1200</v>
      </c>
      <c r="B20" s="61" t="s">
        <v>133</v>
      </c>
      <c r="C20" s="61">
        <f>[1]FMS!$C$49</f>
        <v>0.64978443113772455</v>
      </c>
      <c r="D20" s="33">
        <v>19.489999999999998</v>
      </c>
    </row>
    <row r="21" spans="1:6" x14ac:dyDescent="0.35">
      <c r="A21" s="31">
        <v>2223</v>
      </c>
      <c r="B21" s="62" t="s">
        <v>136</v>
      </c>
      <c r="C21" s="62">
        <f>[1]FMS!$C$50</f>
        <v>0.11749999999999999</v>
      </c>
      <c r="D21" s="33">
        <v>3.53</v>
      </c>
    </row>
    <row r="22" spans="1:6" x14ac:dyDescent="0.35">
      <c r="A22" s="31">
        <v>2243</v>
      </c>
      <c r="B22" s="22" t="s">
        <v>137</v>
      </c>
      <c r="C22" s="22">
        <v>8.7999999999999995E-2</v>
      </c>
      <c r="D22" s="33">
        <v>2.64</v>
      </c>
    </row>
    <row r="23" spans="1:6" x14ac:dyDescent="0.35">
      <c r="A23" s="31">
        <v>2244</v>
      </c>
      <c r="B23" s="22" t="s">
        <v>138</v>
      </c>
      <c r="C23" s="22">
        <f>[1]FMS!$C$60-C22</f>
        <v>0.35210750937997848</v>
      </c>
      <c r="D23" s="33">
        <v>10.56</v>
      </c>
    </row>
    <row r="24" spans="1:6" x14ac:dyDescent="0.35">
      <c r="A24" s="31">
        <v>2312</v>
      </c>
      <c r="B24" s="62" t="s">
        <v>116</v>
      </c>
      <c r="C24" s="62">
        <f>[1]FMS!$C$58</f>
        <v>0.02</v>
      </c>
      <c r="D24" s="33">
        <v>0.6</v>
      </c>
    </row>
    <row r="25" spans="1:6" x14ac:dyDescent="0.35">
      <c r="A25" s="31">
        <v>2321</v>
      </c>
      <c r="B25" s="62" t="s">
        <v>139</v>
      </c>
      <c r="C25" s="62">
        <f>[1]FMS!$C$51</f>
        <v>4.7619047619047616E-2</v>
      </c>
      <c r="D25" s="33">
        <v>1.43</v>
      </c>
    </row>
    <row r="26" spans="1:6" x14ac:dyDescent="0.35">
      <c r="A26" s="34">
        <v>2341</v>
      </c>
      <c r="B26" s="32" t="s">
        <v>140</v>
      </c>
      <c r="C26" s="32">
        <f>[1]FMS!$C$59</f>
        <v>0.2485</v>
      </c>
      <c r="D26" s="33">
        <v>7.46</v>
      </c>
    </row>
    <row r="27" spans="1:6" x14ac:dyDescent="0.35">
      <c r="A27" s="31">
        <v>5220</v>
      </c>
      <c r="B27" s="62" t="s">
        <v>128</v>
      </c>
      <c r="C27" s="62">
        <f>[1]FMS!$C$53+[1]FMS!$C$54</f>
        <v>1.9539018036072147</v>
      </c>
      <c r="D27" s="33">
        <v>58.62</v>
      </c>
    </row>
    <row r="28" spans="1:6" x14ac:dyDescent="0.35">
      <c r="A28" s="31"/>
      <c r="B28" s="36" t="s">
        <v>6</v>
      </c>
      <c r="C28" s="36"/>
      <c r="D28" s="37">
        <f>SUM(D19:D27)</f>
        <v>186.96</v>
      </c>
      <c r="F28" s="58"/>
    </row>
    <row r="29" spans="1:6" x14ac:dyDescent="0.35">
      <c r="A29" s="38"/>
      <c r="B29" s="78" t="s">
        <v>7</v>
      </c>
      <c r="C29" s="78"/>
      <c r="D29" s="33"/>
    </row>
    <row r="30" spans="1:6" x14ac:dyDescent="0.35">
      <c r="A30" s="31">
        <v>1100</v>
      </c>
      <c r="B30" s="22" t="s">
        <v>132</v>
      </c>
      <c r="C30" s="7">
        <v>0.45928000000000002</v>
      </c>
      <c r="D30" s="33">
        <v>30.91</v>
      </c>
    </row>
    <row r="31" spans="1:6" ht="16.5" customHeight="1" x14ac:dyDescent="0.35">
      <c r="A31" s="31">
        <v>1200</v>
      </c>
      <c r="B31" s="22" t="s">
        <v>133</v>
      </c>
      <c r="C31" s="7">
        <v>0.10834000000000001</v>
      </c>
      <c r="D31" s="33">
        <v>7.29</v>
      </c>
    </row>
    <row r="32" spans="1:6" ht="16.5" customHeight="1" x14ac:dyDescent="0.35">
      <c r="A32" s="31">
        <v>2100</v>
      </c>
      <c r="B32" s="24" t="s">
        <v>45</v>
      </c>
      <c r="C32" s="7">
        <v>1.56E-3</v>
      </c>
      <c r="D32" s="33">
        <v>0.1</v>
      </c>
    </row>
    <row r="33" spans="1:4" x14ac:dyDescent="0.35">
      <c r="A33" s="34">
        <v>2210</v>
      </c>
      <c r="B33" s="62" t="s">
        <v>120</v>
      </c>
      <c r="C33" s="7">
        <v>8.2000000000000007E-3</v>
      </c>
      <c r="D33" s="33">
        <v>0.55000000000000004</v>
      </c>
    </row>
    <row r="34" spans="1:4" x14ac:dyDescent="0.35">
      <c r="A34" s="31">
        <v>2222</v>
      </c>
      <c r="B34" s="62" t="s">
        <v>135</v>
      </c>
      <c r="C34" s="7">
        <v>8.3599999999999994E-3</v>
      </c>
      <c r="D34" s="33">
        <v>0.56000000000000005</v>
      </c>
    </row>
    <row r="35" spans="1:4" x14ac:dyDescent="0.35">
      <c r="A35" s="31">
        <v>2223</v>
      </c>
      <c r="B35" s="62" t="s">
        <v>136</v>
      </c>
      <c r="C35" s="7">
        <v>6.6970000000000002E-2</v>
      </c>
      <c r="D35" s="33">
        <v>4.51</v>
      </c>
    </row>
    <row r="36" spans="1:4" ht="31" x14ac:dyDescent="0.35">
      <c r="A36" s="31">
        <v>2224</v>
      </c>
      <c r="B36" s="62" t="s">
        <v>143</v>
      </c>
      <c r="C36" s="7">
        <v>3.8899999999999998E-3</v>
      </c>
      <c r="D36" s="33">
        <v>0.26</v>
      </c>
    </row>
    <row r="37" spans="1:4" ht="15.75" customHeight="1" x14ac:dyDescent="0.35">
      <c r="A37" s="31">
        <v>2231</v>
      </c>
      <c r="B37" s="22" t="s">
        <v>126</v>
      </c>
      <c r="C37" s="7">
        <v>1.0499999999999999E-3</v>
      </c>
      <c r="D37" s="33">
        <v>7.0000000000000007E-2</v>
      </c>
    </row>
    <row r="38" spans="1:4" ht="15.75" customHeight="1" x14ac:dyDescent="0.35">
      <c r="A38" s="31">
        <v>2232</v>
      </c>
      <c r="B38" s="22" t="s">
        <v>251</v>
      </c>
      <c r="C38" s="7">
        <v>1.469E-2</v>
      </c>
      <c r="D38" s="33">
        <v>0.99</v>
      </c>
    </row>
    <row r="39" spans="1:4" x14ac:dyDescent="0.35">
      <c r="A39" s="31">
        <v>2235</v>
      </c>
      <c r="B39" s="75" t="s">
        <v>127</v>
      </c>
      <c r="C39" s="7">
        <v>1.56E-3</v>
      </c>
      <c r="D39" s="33">
        <v>0.1</v>
      </c>
    </row>
    <row r="40" spans="1:4" x14ac:dyDescent="0.35">
      <c r="A40" s="31">
        <v>2239</v>
      </c>
      <c r="B40" s="22" t="s">
        <v>144</v>
      </c>
      <c r="C40" s="7">
        <v>9.2000000000000003E-4</v>
      </c>
      <c r="D40" s="33">
        <v>0.06</v>
      </c>
    </row>
    <row r="41" spans="1:4" x14ac:dyDescent="0.35">
      <c r="A41" s="31">
        <v>2241</v>
      </c>
      <c r="B41" s="22" t="s">
        <v>123</v>
      </c>
      <c r="C41" s="7">
        <v>6.0800000000000003E-3</v>
      </c>
      <c r="D41" s="33">
        <v>0.41</v>
      </c>
    </row>
    <row r="42" spans="1:4" ht="15.75" customHeight="1" x14ac:dyDescent="0.35">
      <c r="A42" s="31">
        <v>2242</v>
      </c>
      <c r="B42" s="62" t="s">
        <v>145</v>
      </c>
      <c r="C42" s="7">
        <v>2.16E-3</v>
      </c>
      <c r="D42" s="33">
        <v>0.15</v>
      </c>
    </row>
    <row r="43" spans="1:4" x14ac:dyDescent="0.35">
      <c r="A43" s="31">
        <v>2243</v>
      </c>
      <c r="B43" s="22" t="s">
        <v>137</v>
      </c>
      <c r="C43" s="7">
        <v>1.635E-2</v>
      </c>
      <c r="D43" s="33">
        <v>1.1000000000000001</v>
      </c>
    </row>
    <row r="44" spans="1:4" x14ac:dyDescent="0.35">
      <c r="A44" s="31">
        <v>2244</v>
      </c>
      <c r="B44" s="22" t="s">
        <v>138</v>
      </c>
      <c r="C44" s="7">
        <v>0.11479</v>
      </c>
      <c r="D44" s="33">
        <v>7.73</v>
      </c>
    </row>
    <row r="45" spans="1:4" x14ac:dyDescent="0.35">
      <c r="A45" s="31">
        <v>2247</v>
      </c>
      <c r="B45" s="22" t="s">
        <v>146</v>
      </c>
      <c r="C45" s="7">
        <v>2.1000000000000001E-4</v>
      </c>
      <c r="D45" s="33">
        <v>0.01</v>
      </c>
    </row>
    <row r="46" spans="1:4" x14ac:dyDescent="0.35">
      <c r="A46" s="31">
        <v>2249</v>
      </c>
      <c r="B46" s="22" t="s">
        <v>171</v>
      </c>
      <c r="C46" s="7">
        <v>1.7000000000000001E-4</v>
      </c>
      <c r="D46" s="33">
        <v>0.01</v>
      </c>
    </row>
    <row r="47" spans="1:4" x14ac:dyDescent="0.35">
      <c r="A47" s="31">
        <v>2250</v>
      </c>
      <c r="B47" s="22" t="s">
        <v>124</v>
      </c>
      <c r="C47" s="7">
        <v>2.7300000000000001E-2</v>
      </c>
      <c r="D47" s="33">
        <v>1.84</v>
      </c>
    </row>
    <row r="48" spans="1:4" x14ac:dyDescent="0.35">
      <c r="A48" s="31">
        <v>2262</v>
      </c>
      <c r="B48" s="62" t="s">
        <v>148</v>
      </c>
      <c r="C48" s="7">
        <v>8.4499999999999992E-3</v>
      </c>
      <c r="D48" s="33">
        <v>0.56999999999999995</v>
      </c>
    </row>
    <row r="49" spans="1:4" x14ac:dyDescent="0.35">
      <c r="A49" s="31">
        <v>2263</v>
      </c>
      <c r="B49" s="62" t="s">
        <v>149</v>
      </c>
      <c r="C49" s="7">
        <v>2.0400000000000001E-3</v>
      </c>
      <c r="D49" s="33">
        <v>0.14000000000000001</v>
      </c>
    </row>
    <row r="50" spans="1:4" x14ac:dyDescent="0.35">
      <c r="A50" s="31">
        <v>2264</v>
      </c>
      <c r="B50" s="22" t="s">
        <v>150</v>
      </c>
      <c r="C50" s="7">
        <v>2.2000000000000001E-4</v>
      </c>
      <c r="D50" s="33">
        <v>0.01</v>
      </c>
    </row>
    <row r="51" spans="1:4" x14ac:dyDescent="0.35">
      <c r="A51" s="31">
        <v>2311</v>
      </c>
      <c r="B51" s="62" t="s">
        <v>151</v>
      </c>
      <c r="C51" s="7">
        <v>3.5300000000000002E-3</v>
      </c>
      <c r="D51" s="33">
        <v>0.24</v>
      </c>
    </row>
    <row r="52" spans="1:4" x14ac:dyDescent="0.35">
      <c r="A52" s="31">
        <v>2313</v>
      </c>
      <c r="B52" s="62" t="s">
        <v>252</v>
      </c>
      <c r="C52" s="7">
        <v>2.6800000000000001E-3</v>
      </c>
      <c r="D52" s="33">
        <v>0.18</v>
      </c>
    </row>
    <row r="53" spans="1:4" x14ac:dyDescent="0.35">
      <c r="A53" s="31">
        <v>2312</v>
      </c>
      <c r="B53" s="62" t="s">
        <v>116</v>
      </c>
      <c r="C53" s="7">
        <v>2.2000000000000001E-4</v>
      </c>
      <c r="D53" s="33">
        <v>0.01</v>
      </c>
    </row>
    <row r="54" spans="1:4" x14ac:dyDescent="0.35">
      <c r="A54" s="31">
        <v>2314</v>
      </c>
      <c r="B54" s="75" t="s">
        <v>152</v>
      </c>
      <c r="C54" s="7">
        <v>6.3000000000000003E-4</v>
      </c>
      <c r="D54" s="33">
        <v>0.04</v>
      </c>
    </row>
    <row r="55" spans="1:4" x14ac:dyDescent="0.35">
      <c r="A55" s="31">
        <v>2321</v>
      </c>
      <c r="B55" s="62" t="s">
        <v>139</v>
      </c>
      <c r="C55" s="7">
        <v>7.2260000000000005E-2</v>
      </c>
      <c r="D55" s="33">
        <v>5.46</v>
      </c>
    </row>
    <row r="56" spans="1:4" x14ac:dyDescent="0.35">
      <c r="A56" s="31">
        <v>2322</v>
      </c>
      <c r="B56" s="62" t="s">
        <v>153</v>
      </c>
      <c r="C56" s="7">
        <v>2.2599999999999999E-3</v>
      </c>
      <c r="D56" s="33">
        <v>0.15</v>
      </c>
    </row>
    <row r="57" spans="1:4" x14ac:dyDescent="0.35">
      <c r="A57" s="31">
        <v>2350</v>
      </c>
      <c r="B57" s="61" t="s">
        <v>125</v>
      </c>
      <c r="C57" s="7">
        <v>1.7770000000000001E-2</v>
      </c>
      <c r="D57" s="33">
        <v>1.35</v>
      </c>
    </row>
    <row r="58" spans="1:4" x14ac:dyDescent="0.35">
      <c r="A58" s="31">
        <v>2400</v>
      </c>
      <c r="B58" s="62" t="s">
        <v>258</v>
      </c>
      <c r="C58" s="7">
        <v>3.8999999999999999E-4</v>
      </c>
      <c r="D58" s="33">
        <v>0.03</v>
      </c>
    </row>
    <row r="59" spans="1:4" x14ac:dyDescent="0.35">
      <c r="A59" s="31">
        <v>2513</v>
      </c>
      <c r="B59" s="61" t="s">
        <v>121</v>
      </c>
      <c r="C59" s="7">
        <v>5.0699999999999999E-3</v>
      </c>
      <c r="D59" s="33">
        <v>0.34</v>
      </c>
    </row>
    <row r="60" spans="1:4" x14ac:dyDescent="0.35">
      <c r="A60" s="31">
        <v>2515</v>
      </c>
      <c r="B60" s="62" t="s">
        <v>155</v>
      </c>
      <c r="C60" s="7">
        <v>5.7999999999999996E-3</v>
      </c>
      <c r="D60" s="33">
        <v>0.39</v>
      </c>
    </row>
    <row r="61" spans="1:4" x14ac:dyDescent="0.35">
      <c r="A61" s="31">
        <v>2519</v>
      </c>
      <c r="B61" s="62" t="s">
        <v>122</v>
      </c>
      <c r="C61" s="7">
        <v>5.8E-4</v>
      </c>
      <c r="D61" s="33">
        <v>0.04</v>
      </c>
    </row>
    <row r="62" spans="1:4" x14ac:dyDescent="0.35">
      <c r="A62" s="31">
        <v>5238</v>
      </c>
      <c r="B62" s="61" t="s">
        <v>129</v>
      </c>
      <c r="C62" s="7">
        <v>2.3800000000000002E-3</v>
      </c>
      <c r="D62" s="33">
        <v>0.16</v>
      </c>
    </row>
    <row r="63" spans="1:4" x14ac:dyDescent="0.35">
      <c r="A63" s="31">
        <v>5239</v>
      </c>
      <c r="B63" s="61" t="s">
        <v>130</v>
      </c>
      <c r="C63" s="7">
        <v>1.128E-2</v>
      </c>
      <c r="D63" s="33">
        <v>0.76</v>
      </c>
    </row>
    <row r="64" spans="1:4" ht="15.75" customHeight="1" x14ac:dyDescent="0.35">
      <c r="A64" s="31">
        <v>5250</v>
      </c>
      <c r="B64" s="62" t="s">
        <v>131</v>
      </c>
      <c r="C64" s="7">
        <v>2.256E-2</v>
      </c>
      <c r="D64" s="33">
        <v>1.52</v>
      </c>
    </row>
    <row r="65" spans="1:4" x14ac:dyDescent="0.35">
      <c r="A65" s="38"/>
      <c r="B65" s="79" t="s">
        <v>97</v>
      </c>
      <c r="C65" s="61">
        <f>SUM(C30:C64)</f>
        <v>1.0000000000000002</v>
      </c>
      <c r="D65" s="37">
        <f>SUM(D30:D64)</f>
        <v>68.040000000000006</v>
      </c>
    </row>
    <row r="66" spans="1:4" x14ac:dyDescent="0.35">
      <c r="A66" s="38"/>
      <c r="B66" s="79" t="s">
        <v>98</v>
      </c>
      <c r="C66" s="79"/>
      <c r="D66" s="37">
        <f>D28+D65</f>
        <v>255</v>
      </c>
    </row>
    <row r="67" spans="1:4" ht="12.75" customHeight="1" x14ac:dyDescent="0.35">
      <c r="A67" s="15"/>
      <c r="B67" s="25"/>
      <c r="C67" s="25"/>
      <c r="D67" s="59"/>
    </row>
    <row r="68" spans="1:4" ht="15.75" customHeight="1" x14ac:dyDescent="0.35">
      <c r="A68" s="417" t="s">
        <v>106</v>
      </c>
      <c r="B68" s="417"/>
      <c r="C68" s="80"/>
      <c r="D68" s="67">
        <v>30</v>
      </c>
    </row>
    <row r="69" spans="1:4" ht="15.75" customHeight="1" x14ac:dyDescent="0.35">
      <c r="A69" s="417" t="s">
        <v>58</v>
      </c>
      <c r="B69" s="417"/>
      <c r="C69" s="80"/>
      <c r="D69" s="68">
        <f>D66/D68</f>
        <v>8.5</v>
      </c>
    </row>
    <row r="70" spans="1:4" ht="12.75" customHeight="1" x14ac:dyDescent="0.35">
      <c r="A70" s="43"/>
      <c r="B70" s="49"/>
      <c r="C70" s="49"/>
    </row>
    <row r="71" spans="1:4" ht="15.75" customHeight="1" x14ac:dyDescent="0.35">
      <c r="A71" s="418" t="s">
        <v>33</v>
      </c>
      <c r="B71" s="418"/>
      <c r="C71" s="74"/>
      <c r="D71" s="27"/>
    </row>
    <row r="72" spans="1:4" ht="15.75" customHeight="1" x14ac:dyDescent="0.35">
      <c r="A72" s="418" t="s">
        <v>64</v>
      </c>
      <c r="B72" s="418"/>
      <c r="C72" s="74"/>
      <c r="D72" s="27"/>
    </row>
    <row r="73" spans="1:4" ht="8.25" customHeight="1" x14ac:dyDescent="0.35">
      <c r="A73" s="28"/>
      <c r="B73" s="28"/>
      <c r="C73" s="28"/>
      <c r="D73" s="28"/>
    </row>
    <row r="74" spans="1:4" x14ac:dyDescent="0.35">
      <c r="A74" s="28" t="s">
        <v>34</v>
      </c>
      <c r="B74" s="28"/>
      <c r="C74" s="28"/>
      <c r="D74" s="81"/>
    </row>
    <row r="75" spans="1:4" x14ac:dyDescent="0.35">
      <c r="A75" s="28"/>
      <c r="B75" s="28"/>
      <c r="C75" s="28"/>
      <c r="D75" s="81"/>
    </row>
    <row r="76" spans="1:4" x14ac:dyDescent="0.35">
      <c r="A76" s="28" t="s">
        <v>177</v>
      </c>
      <c r="B76" s="29"/>
      <c r="C76" s="29"/>
      <c r="D76" s="81"/>
    </row>
    <row r="77" spans="1:4" x14ac:dyDescent="0.35">
      <c r="B77" s="73"/>
      <c r="C77" s="73"/>
      <c r="D77" s="82"/>
    </row>
    <row r="78" spans="1:4" x14ac:dyDescent="0.35">
      <c r="D78" s="82"/>
    </row>
    <row r="79" spans="1:4" x14ac:dyDescent="0.35">
      <c r="D79" s="58"/>
    </row>
  </sheetData>
  <mergeCells count="9">
    <mergeCell ref="A69:B69"/>
    <mergeCell ref="A71:B71"/>
    <mergeCell ref="A72:B72"/>
    <mergeCell ref="B2:D2"/>
    <mergeCell ref="A7:D7"/>
    <mergeCell ref="A9:B9"/>
    <mergeCell ref="A10:B10"/>
    <mergeCell ref="A68:B68"/>
    <mergeCell ref="B14:D14"/>
  </mergeCells>
  <pageMargins left="0.7" right="0.7" top="0.75" bottom="0.75" header="0.3" footer="0.3"/>
  <pageSetup paperSize="9" scale="6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G82"/>
  <sheetViews>
    <sheetView view="pageLayout" topLeftCell="A60" zoomScale="90" zoomScaleNormal="100" zoomScalePageLayoutView="90" workbookViewId="0">
      <selection activeCell="D6" sqref="D6"/>
    </sheetView>
  </sheetViews>
  <sheetFormatPr defaultColWidth="9.1796875" defaultRowHeight="15.5" x14ac:dyDescent="0.35"/>
  <cols>
    <col min="1" max="1" width="19" style="13" customWidth="1"/>
    <col min="2" max="2" width="85.1796875" style="13" customWidth="1"/>
    <col min="3" max="3" width="10.1796875" style="13" hidden="1" customWidth="1"/>
    <col min="4" max="4" width="29.1796875" style="13" customWidth="1"/>
    <col min="5" max="16384" width="9.1796875" style="13"/>
  </cols>
  <sheetData>
    <row r="1" spans="1:6" ht="15.75" customHeight="1" x14ac:dyDescent="0.35">
      <c r="B1" s="14"/>
      <c r="C1" s="17"/>
      <c r="D1" s="17" t="s">
        <v>10</v>
      </c>
    </row>
    <row r="2" spans="1:6" ht="15.65" customHeight="1" x14ac:dyDescent="0.35">
      <c r="B2" s="71"/>
      <c r="C2" s="71"/>
      <c r="D2" s="14" t="s">
        <v>32</v>
      </c>
      <c r="E2" s="71"/>
      <c r="F2" s="71"/>
    </row>
    <row r="3" spans="1:6" x14ac:dyDescent="0.35">
      <c r="B3" s="60"/>
      <c r="C3" s="77"/>
      <c r="D3" s="77" t="s">
        <v>66</v>
      </c>
    </row>
    <row r="4" spans="1:6" x14ac:dyDescent="0.35">
      <c r="B4" s="14"/>
      <c r="C4" s="15"/>
      <c r="D4" s="15"/>
    </row>
    <row r="5" spans="1:6" x14ac:dyDescent="0.35">
      <c r="B5" s="71"/>
      <c r="C5" s="15"/>
      <c r="D5" s="15" t="s">
        <v>245</v>
      </c>
    </row>
    <row r="6" spans="1:6" x14ac:dyDescent="0.35">
      <c r="C6" s="25"/>
      <c r="D6" s="25"/>
    </row>
    <row r="7" spans="1:6" x14ac:dyDescent="0.35">
      <c r="A7" s="416" t="s">
        <v>9</v>
      </c>
      <c r="B7" s="416"/>
      <c r="C7" s="416"/>
      <c r="D7" s="70"/>
    </row>
    <row r="8" spans="1:6" x14ac:dyDescent="0.35">
      <c r="B8" s="18"/>
      <c r="C8" s="25"/>
      <c r="D8" s="25"/>
    </row>
    <row r="9" spans="1:6" x14ac:dyDescent="0.35">
      <c r="A9" s="419" t="s">
        <v>1</v>
      </c>
      <c r="B9" s="419"/>
      <c r="C9" s="25"/>
      <c r="D9" s="25"/>
    </row>
    <row r="10" spans="1:6" x14ac:dyDescent="0.35">
      <c r="A10" s="419" t="s">
        <v>0</v>
      </c>
      <c r="B10" s="419"/>
      <c r="C10" s="25"/>
      <c r="D10" s="25"/>
    </row>
    <row r="11" spans="1:6" x14ac:dyDescent="0.35">
      <c r="A11" s="11"/>
      <c r="B11" s="11" t="s">
        <v>246</v>
      </c>
      <c r="C11" s="11"/>
      <c r="D11" s="11"/>
    </row>
    <row r="12" spans="1:6" x14ac:dyDescent="0.35">
      <c r="A12" s="11"/>
      <c r="B12" s="11" t="s">
        <v>255</v>
      </c>
      <c r="C12" s="11"/>
      <c r="D12" s="11"/>
    </row>
    <row r="13" spans="1:6" x14ac:dyDescent="0.35">
      <c r="A13" s="11"/>
      <c r="B13" s="11" t="s">
        <v>256</v>
      </c>
      <c r="C13" s="11"/>
      <c r="D13" s="11"/>
    </row>
    <row r="14" spans="1:6" x14ac:dyDescent="0.35">
      <c r="A14" s="11"/>
      <c r="B14" s="419" t="s">
        <v>259</v>
      </c>
      <c r="C14" s="419"/>
      <c r="D14" s="11"/>
    </row>
    <row r="15" spans="1:6" x14ac:dyDescent="0.35">
      <c r="A15" s="11" t="s">
        <v>2</v>
      </c>
      <c r="B15" s="11" t="s">
        <v>250</v>
      </c>
      <c r="C15" s="25"/>
      <c r="D15" s="25"/>
    </row>
    <row r="16" spans="1:6" ht="69.75" customHeight="1" x14ac:dyDescent="0.35">
      <c r="A16" s="51" t="s">
        <v>3</v>
      </c>
      <c r="B16" s="51" t="s">
        <v>4</v>
      </c>
      <c r="C16" s="51" t="s">
        <v>134</v>
      </c>
      <c r="D16" s="51" t="s">
        <v>134</v>
      </c>
    </row>
    <row r="17" spans="1:7" x14ac:dyDescent="0.35">
      <c r="A17" s="20">
        <v>1</v>
      </c>
      <c r="B17" s="21">
        <v>2</v>
      </c>
      <c r="C17" s="21">
        <v>3</v>
      </c>
      <c r="D17" s="21">
        <v>3</v>
      </c>
    </row>
    <row r="18" spans="1:7" x14ac:dyDescent="0.35">
      <c r="A18" s="20"/>
      <c r="B18" s="22" t="s">
        <v>5</v>
      </c>
      <c r="C18" s="61"/>
      <c r="D18" s="61"/>
    </row>
    <row r="19" spans="1:7" x14ac:dyDescent="0.35">
      <c r="A19" s="31">
        <v>1100</v>
      </c>
      <c r="B19" s="31" t="s">
        <v>132</v>
      </c>
      <c r="C19" s="313">
        <f>[1]FMS!$C$70</f>
        <v>2.7544910179640718</v>
      </c>
      <c r="D19" s="33">
        <v>55.09</v>
      </c>
    </row>
    <row r="20" spans="1:7" x14ac:dyDescent="0.35">
      <c r="A20" s="31">
        <v>1200</v>
      </c>
      <c r="B20" s="61" t="s">
        <v>133</v>
      </c>
      <c r="C20" s="313">
        <f>[1]FMS!$C$71</f>
        <v>0.64978443113772455</v>
      </c>
      <c r="D20" s="33">
        <v>13</v>
      </c>
    </row>
    <row r="21" spans="1:7" hidden="1" x14ac:dyDescent="0.35">
      <c r="A21" s="31">
        <v>2222</v>
      </c>
      <c r="B21" s="62" t="s">
        <v>135</v>
      </c>
      <c r="C21" s="313"/>
      <c r="D21" s="33">
        <f>C21*20</f>
        <v>0</v>
      </c>
    </row>
    <row r="22" spans="1:7" x14ac:dyDescent="0.35">
      <c r="A22" s="31">
        <v>2223</v>
      </c>
      <c r="B22" s="62" t="s">
        <v>136</v>
      </c>
      <c r="C22" s="313">
        <f>[1]FMS!$C$72</f>
        <v>0.23499999999999999</v>
      </c>
      <c r="D22" s="33">
        <v>4.7</v>
      </c>
    </row>
    <row r="23" spans="1:7" x14ac:dyDescent="0.35">
      <c r="A23" s="31">
        <v>2243</v>
      </c>
      <c r="B23" s="22" t="s">
        <v>137</v>
      </c>
      <c r="C23" s="313">
        <v>8.7999999999999995E-2</v>
      </c>
      <c r="D23" s="33">
        <v>1.76</v>
      </c>
    </row>
    <row r="24" spans="1:7" x14ac:dyDescent="0.35">
      <c r="A24" s="31">
        <v>2244</v>
      </c>
      <c r="B24" s="22" t="s">
        <v>138</v>
      </c>
      <c r="C24" s="313">
        <f>[1]FMS!$C$81-C23</f>
        <v>0.35210750937997848</v>
      </c>
      <c r="D24" s="33">
        <v>7.04</v>
      </c>
    </row>
    <row r="25" spans="1:7" x14ac:dyDescent="0.35">
      <c r="A25" s="31">
        <v>2312</v>
      </c>
      <c r="B25" s="62" t="s">
        <v>116</v>
      </c>
      <c r="C25" s="313">
        <f>[1]FMS!$C$79</f>
        <v>0.02</v>
      </c>
      <c r="D25" s="33">
        <v>0.4</v>
      </c>
    </row>
    <row r="26" spans="1:7" x14ac:dyDescent="0.35">
      <c r="A26" s="31">
        <v>2321</v>
      </c>
      <c r="B26" s="62" t="s">
        <v>139</v>
      </c>
      <c r="C26" s="313">
        <f>[1]FMS!$C$73</f>
        <v>4.7619047619047616E-2</v>
      </c>
      <c r="D26" s="33">
        <v>0.95</v>
      </c>
    </row>
    <row r="27" spans="1:7" x14ac:dyDescent="0.35">
      <c r="A27" s="34">
        <v>2341</v>
      </c>
      <c r="B27" s="32" t="s">
        <v>140</v>
      </c>
      <c r="C27" s="313">
        <f>[1]FMS!$C$80</f>
        <v>0.2485</v>
      </c>
      <c r="D27" s="33">
        <v>4.97</v>
      </c>
    </row>
    <row r="28" spans="1:7" hidden="1" x14ac:dyDescent="0.35">
      <c r="A28" s="31">
        <v>2350</v>
      </c>
      <c r="B28" s="61" t="s">
        <v>125</v>
      </c>
      <c r="C28" s="313"/>
      <c r="D28" s="33">
        <f>C28*20</f>
        <v>0</v>
      </c>
    </row>
    <row r="29" spans="1:7" hidden="1" x14ac:dyDescent="0.35">
      <c r="A29" s="31">
        <v>2361</v>
      </c>
      <c r="B29" s="61" t="s">
        <v>141</v>
      </c>
      <c r="C29" s="313"/>
      <c r="D29" s="33">
        <f>C29*20</f>
        <v>0</v>
      </c>
    </row>
    <row r="30" spans="1:7" x14ac:dyDescent="0.35">
      <c r="A30" s="31">
        <v>5220</v>
      </c>
      <c r="B30" s="62" t="s">
        <v>128</v>
      </c>
      <c r="C30" s="313">
        <f>[1]FMS!$C$75+[1]FMS!$C$76</f>
        <v>1.9539018036072147</v>
      </c>
      <c r="D30" s="33">
        <v>39.08</v>
      </c>
    </row>
    <row r="31" spans="1:7" x14ac:dyDescent="0.35">
      <c r="A31" s="31"/>
      <c r="B31" s="36" t="s">
        <v>6</v>
      </c>
      <c r="C31" s="314">
        <f>[1]FMS!$C$82</f>
        <v>6.3494038097080363</v>
      </c>
      <c r="D31" s="37">
        <f>SUM(D19:D30)</f>
        <v>126.99000000000002</v>
      </c>
      <c r="G31" s="58"/>
    </row>
    <row r="32" spans="1:7" x14ac:dyDescent="0.35">
      <c r="A32" s="38"/>
      <c r="B32" s="78" t="s">
        <v>7</v>
      </c>
      <c r="C32" s="33"/>
      <c r="D32" s="33"/>
    </row>
    <row r="33" spans="1:4" x14ac:dyDescent="0.35">
      <c r="A33" s="31">
        <v>1100</v>
      </c>
      <c r="B33" s="22" t="s">
        <v>132</v>
      </c>
      <c r="C33">
        <v>0.45928000000000002</v>
      </c>
      <c r="D33" s="33">
        <v>21</v>
      </c>
    </row>
    <row r="34" spans="1:4" ht="16.5" customHeight="1" x14ac:dyDescent="0.35">
      <c r="A34" s="31">
        <v>1200</v>
      </c>
      <c r="B34" s="22" t="s">
        <v>133</v>
      </c>
      <c r="C34">
        <v>0.10834000000000001</v>
      </c>
      <c r="D34" s="33">
        <v>4.95</v>
      </c>
    </row>
    <row r="35" spans="1:4" ht="16.5" customHeight="1" x14ac:dyDescent="0.35">
      <c r="A35" s="31">
        <v>2100</v>
      </c>
      <c r="B35" s="24" t="s">
        <v>45</v>
      </c>
      <c r="C35">
        <v>1.56E-3</v>
      </c>
      <c r="D35" s="33">
        <v>7.0000000000000007E-2</v>
      </c>
    </row>
    <row r="36" spans="1:4" x14ac:dyDescent="0.35">
      <c r="A36" s="34">
        <v>2210</v>
      </c>
      <c r="B36" s="62" t="s">
        <v>120</v>
      </c>
      <c r="C36">
        <v>8.2000000000000007E-3</v>
      </c>
      <c r="D36" s="33">
        <v>0.37</v>
      </c>
    </row>
    <row r="37" spans="1:4" x14ac:dyDescent="0.35">
      <c r="A37" s="31">
        <v>2222</v>
      </c>
      <c r="B37" s="62" t="s">
        <v>135</v>
      </c>
      <c r="C37">
        <v>8.3599999999999994E-3</v>
      </c>
      <c r="D37" s="33">
        <v>0.38</v>
      </c>
    </row>
    <row r="38" spans="1:4" x14ac:dyDescent="0.35">
      <c r="A38" s="31">
        <v>2223</v>
      </c>
      <c r="B38" s="62" t="s">
        <v>136</v>
      </c>
      <c r="C38">
        <v>6.6970000000000002E-2</v>
      </c>
      <c r="D38" s="33">
        <v>3.06</v>
      </c>
    </row>
    <row r="39" spans="1:4" ht="31" x14ac:dyDescent="0.35">
      <c r="A39" s="31">
        <v>2224</v>
      </c>
      <c r="B39" s="62" t="s">
        <v>143</v>
      </c>
      <c r="C39">
        <v>3.8899999999999998E-3</v>
      </c>
      <c r="D39" s="33">
        <v>0.18</v>
      </c>
    </row>
    <row r="40" spans="1:4" ht="15.75" customHeight="1" x14ac:dyDescent="0.35">
      <c r="A40" s="31">
        <v>2231</v>
      </c>
      <c r="B40" s="22" t="s">
        <v>126</v>
      </c>
      <c r="C40">
        <v>1.0499999999999999E-3</v>
      </c>
      <c r="D40" s="33">
        <v>0.05</v>
      </c>
    </row>
    <row r="41" spans="1:4" ht="15.75" customHeight="1" x14ac:dyDescent="0.35">
      <c r="A41" s="31">
        <v>2232</v>
      </c>
      <c r="B41" s="22" t="s">
        <v>251</v>
      </c>
      <c r="C41">
        <v>1.469E-2</v>
      </c>
      <c r="D41" s="33">
        <v>0.67</v>
      </c>
    </row>
    <row r="42" spans="1:4" x14ac:dyDescent="0.35">
      <c r="A42" s="31">
        <v>2235</v>
      </c>
      <c r="B42" s="75" t="s">
        <v>127</v>
      </c>
      <c r="C42">
        <v>1.56E-3</v>
      </c>
      <c r="D42" s="33">
        <v>7.0000000000000007E-2</v>
      </c>
    </row>
    <row r="43" spans="1:4" x14ac:dyDescent="0.35">
      <c r="A43" s="31">
        <v>2239</v>
      </c>
      <c r="B43" s="22" t="s">
        <v>144</v>
      </c>
      <c r="C43">
        <v>9.2000000000000003E-4</v>
      </c>
      <c r="D43" s="33">
        <v>0.04</v>
      </c>
    </row>
    <row r="44" spans="1:4" x14ac:dyDescent="0.35">
      <c r="A44" s="31">
        <v>2241</v>
      </c>
      <c r="B44" s="22" t="s">
        <v>123</v>
      </c>
      <c r="C44">
        <v>6.0800000000000003E-3</v>
      </c>
      <c r="D44" s="33">
        <v>0.28000000000000003</v>
      </c>
    </row>
    <row r="45" spans="1:4" ht="15.75" customHeight="1" x14ac:dyDescent="0.35">
      <c r="A45" s="31">
        <v>2242</v>
      </c>
      <c r="B45" s="62" t="s">
        <v>145</v>
      </c>
      <c r="C45">
        <v>2.16E-3</v>
      </c>
      <c r="D45" s="33">
        <v>0.1</v>
      </c>
    </row>
    <row r="46" spans="1:4" x14ac:dyDescent="0.35">
      <c r="A46" s="31">
        <v>2243</v>
      </c>
      <c r="B46" s="22" t="s">
        <v>137</v>
      </c>
      <c r="C46">
        <v>1.635E-2</v>
      </c>
      <c r="D46" s="33">
        <v>0.75</v>
      </c>
    </row>
    <row r="47" spans="1:4" x14ac:dyDescent="0.35">
      <c r="A47" s="31">
        <v>2244</v>
      </c>
      <c r="B47" s="22" t="s">
        <v>138</v>
      </c>
      <c r="C47">
        <v>0.11479</v>
      </c>
      <c r="D47" s="33">
        <v>5.35</v>
      </c>
    </row>
    <row r="48" spans="1:4" x14ac:dyDescent="0.35">
      <c r="A48" s="31">
        <v>2247</v>
      </c>
      <c r="B48" s="22" t="s">
        <v>146</v>
      </c>
      <c r="C48">
        <v>2.1000000000000001E-4</v>
      </c>
      <c r="D48" s="33">
        <v>0.01</v>
      </c>
    </row>
    <row r="49" spans="1:4" x14ac:dyDescent="0.35">
      <c r="A49" s="31">
        <v>2249</v>
      </c>
      <c r="B49" s="22" t="s">
        <v>171</v>
      </c>
      <c r="C49">
        <v>1.7000000000000001E-4</v>
      </c>
      <c r="D49" s="33">
        <v>0.01</v>
      </c>
    </row>
    <row r="50" spans="1:4" x14ac:dyDescent="0.35">
      <c r="A50" s="31">
        <v>2250</v>
      </c>
      <c r="B50" s="22" t="s">
        <v>124</v>
      </c>
      <c r="C50">
        <v>2.7300000000000001E-2</v>
      </c>
      <c r="D50" s="33">
        <v>1.25</v>
      </c>
    </row>
    <row r="51" spans="1:4" x14ac:dyDescent="0.35">
      <c r="A51" s="31">
        <v>2262</v>
      </c>
      <c r="B51" s="62" t="s">
        <v>148</v>
      </c>
      <c r="C51">
        <v>8.4499999999999992E-3</v>
      </c>
      <c r="D51" s="33">
        <v>0.39</v>
      </c>
    </row>
    <row r="52" spans="1:4" x14ac:dyDescent="0.35">
      <c r="A52" s="31">
        <v>2263</v>
      </c>
      <c r="B52" s="62" t="s">
        <v>149</v>
      </c>
      <c r="C52">
        <v>2.0400000000000001E-3</v>
      </c>
      <c r="D52" s="33">
        <v>0.09</v>
      </c>
    </row>
    <row r="53" spans="1:4" x14ac:dyDescent="0.35">
      <c r="A53" s="31">
        <v>2264</v>
      </c>
      <c r="B53" s="22" t="s">
        <v>150</v>
      </c>
      <c r="C53">
        <v>2.2000000000000001E-4</v>
      </c>
      <c r="D53" s="33">
        <v>0.01</v>
      </c>
    </row>
    <row r="54" spans="1:4" x14ac:dyDescent="0.35">
      <c r="A54" s="31">
        <v>2311</v>
      </c>
      <c r="B54" s="62" t="s">
        <v>151</v>
      </c>
      <c r="C54">
        <v>3.5300000000000002E-3</v>
      </c>
      <c r="D54" s="33">
        <v>0.16</v>
      </c>
    </row>
    <row r="55" spans="1:4" x14ac:dyDescent="0.35">
      <c r="A55" s="31">
        <v>2313</v>
      </c>
      <c r="B55" s="62" t="s">
        <v>252</v>
      </c>
      <c r="C55">
        <v>2.6800000000000001E-3</v>
      </c>
      <c r="D55" s="33">
        <v>0.12</v>
      </c>
    </row>
    <row r="56" spans="1:4" x14ac:dyDescent="0.35">
      <c r="A56" s="31">
        <v>2312</v>
      </c>
      <c r="B56" s="62" t="s">
        <v>116</v>
      </c>
      <c r="C56">
        <v>2.2000000000000001E-4</v>
      </c>
      <c r="D56" s="33">
        <v>0.01</v>
      </c>
    </row>
    <row r="57" spans="1:4" x14ac:dyDescent="0.35">
      <c r="A57" s="31">
        <v>2314</v>
      </c>
      <c r="B57" s="75" t="s">
        <v>152</v>
      </c>
      <c r="C57">
        <v>6.3000000000000003E-4</v>
      </c>
      <c r="D57" s="33">
        <v>0.03</v>
      </c>
    </row>
    <row r="58" spans="1:4" x14ac:dyDescent="0.35">
      <c r="A58" s="31">
        <v>2321</v>
      </c>
      <c r="B58" s="62" t="s">
        <v>139</v>
      </c>
      <c r="C58">
        <v>7.2260000000000005E-2</v>
      </c>
      <c r="D58" s="33">
        <v>4.5</v>
      </c>
    </row>
    <row r="59" spans="1:4" x14ac:dyDescent="0.35">
      <c r="A59" s="31">
        <v>2322</v>
      </c>
      <c r="B59" s="62" t="s">
        <v>153</v>
      </c>
      <c r="C59">
        <v>2.2599999999999999E-3</v>
      </c>
      <c r="D59" s="33">
        <v>0.1</v>
      </c>
    </row>
    <row r="60" spans="1:4" x14ac:dyDescent="0.35">
      <c r="A60" s="31">
        <v>2350</v>
      </c>
      <c r="B60" s="61" t="s">
        <v>125</v>
      </c>
      <c r="C60">
        <v>1.7770000000000001E-2</v>
      </c>
      <c r="D60" s="33">
        <v>0.81</v>
      </c>
    </row>
    <row r="61" spans="1:4" x14ac:dyDescent="0.35">
      <c r="A61" s="31">
        <v>2400</v>
      </c>
      <c r="B61" s="62" t="s">
        <v>258</v>
      </c>
      <c r="C61">
        <v>3.8999999999999999E-4</v>
      </c>
      <c r="D61" s="33">
        <v>0.02</v>
      </c>
    </row>
    <row r="62" spans="1:4" x14ac:dyDescent="0.35">
      <c r="A62" s="31">
        <v>2513</v>
      </c>
      <c r="B62" s="61" t="s">
        <v>121</v>
      </c>
      <c r="C62">
        <v>5.0699999999999999E-3</v>
      </c>
      <c r="D62" s="33">
        <v>0.23</v>
      </c>
    </row>
    <row r="63" spans="1:4" x14ac:dyDescent="0.35">
      <c r="A63" s="31">
        <v>2515</v>
      </c>
      <c r="B63" s="62" t="s">
        <v>155</v>
      </c>
      <c r="C63">
        <v>5.7999999999999996E-3</v>
      </c>
      <c r="D63" s="33">
        <v>0.27</v>
      </c>
    </row>
    <row r="64" spans="1:4" x14ac:dyDescent="0.35">
      <c r="A64" s="31">
        <v>2519</v>
      </c>
      <c r="B64" s="62" t="s">
        <v>122</v>
      </c>
      <c r="C64">
        <v>5.8E-4</v>
      </c>
      <c r="D64" s="33">
        <v>0.03</v>
      </c>
    </row>
    <row r="65" spans="1:5" x14ac:dyDescent="0.35">
      <c r="A65" s="31">
        <v>5238</v>
      </c>
      <c r="B65" s="61" t="s">
        <v>129</v>
      </c>
      <c r="C65">
        <v>2.3800000000000002E-3</v>
      </c>
      <c r="D65" s="33">
        <v>0.11</v>
      </c>
    </row>
    <row r="66" spans="1:5" x14ac:dyDescent="0.35">
      <c r="A66" s="31">
        <v>5239</v>
      </c>
      <c r="B66" s="61" t="s">
        <v>130</v>
      </c>
      <c r="C66">
        <v>1.128E-2</v>
      </c>
      <c r="D66" s="33">
        <v>0.52</v>
      </c>
    </row>
    <row r="67" spans="1:5" ht="15.75" customHeight="1" x14ac:dyDescent="0.35">
      <c r="A67" s="31">
        <v>5250</v>
      </c>
      <c r="B67" s="62" t="s">
        <v>131</v>
      </c>
      <c r="C67">
        <v>2.256E-2</v>
      </c>
      <c r="D67" s="33">
        <v>1.02</v>
      </c>
    </row>
    <row r="68" spans="1:5" x14ac:dyDescent="0.35">
      <c r="A68" s="38"/>
      <c r="B68" s="79" t="s">
        <v>97</v>
      </c>
      <c r="C68" s="37">
        <f>SUM(C33:C67)</f>
        <v>1.0000000000000002</v>
      </c>
      <c r="D68" s="37">
        <f>SUM(D33:D67)</f>
        <v>47.010000000000005</v>
      </c>
      <c r="E68" s="58"/>
    </row>
    <row r="69" spans="1:5" x14ac:dyDescent="0.35">
      <c r="A69" s="38"/>
      <c r="B69" s="79" t="s">
        <v>98</v>
      </c>
      <c r="C69" s="37"/>
      <c r="D69" s="37">
        <f>D31+D68</f>
        <v>174.00000000000003</v>
      </c>
    </row>
    <row r="70" spans="1:5" ht="12.75" customHeight="1" x14ac:dyDescent="0.35">
      <c r="A70" s="15"/>
      <c r="B70" s="25"/>
      <c r="C70" s="59"/>
      <c r="D70" s="59"/>
    </row>
    <row r="71" spans="1:5" ht="15.75" customHeight="1" x14ac:dyDescent="0.35">
      <c r="A71" s="417" t="s">
        <v>106</v>
      </c>
      <c r="B71" s="417"/>
      <c r="C71" s="157"/>
      <c r="D71" s="67">
        <v>20</v>
      </c>
    </row>
    <row r="72" spans="1:5" ht="15.75" customHeight="1" x14ac:dyDescent="0.35">
      <c r="A72" s="417" t="s">
        <v>58</v>
      </c>
      <c r="B72" s="417"/>
      <c r="C72" s="315"/>
      <c r="D72" s="68">
        <f>D69/D71</f>
        <v>8.7000000000000011</v>
      </c>
    </row>
    <row r="73" spans="1:5" ht="9.75" customHeight="1" x14ac:dyDescent="0.35">
      <c r="A73" s="43"/>
      <c r="B73" s="49"/>
      <c r="C73" s="25"/>
    </row>
    <row r="74" spans="1:5" ht="15.75" customHeight="1" x14ac:dyDescent="0.35">
      <c r="A74" s="418" t="s">
        <v>33</v>
      </c>
      <c r="B74" s="418"/>
      <c r="C74" s="29"/>
      <c r="D74" s="27"/>
    </row>
    <row r="75" spans="1:5" ht="15.75" customHeight="1" x14ac:dyDescent="0.35">
      <c r="A75" s="418" t="s">
        <v>64</v>
      </c>
      <c r="B75" s="418"/>
      <c r="C75" s="29"/>
      <c r="D75" s="27"/>
    </row>
    <row r="76" spans="1:5" ht="8.25" customHeight="1" x14ac:dyDescent="0.35">
      <c r="A76" s="28"/>
      <c r="B76" s="28"/>
      <c r="C76" s="28"/>
      <c r="D76" s="28"/>
    </row>
    <row r="77" spans="1:5" x14ac:dyDescent="0.35">
      <c r="A77" s="28" t="s">
        <v>34</v>
      </c>
      <c r="B77" s="28"/>
      <c r="C77" s="81"/>
      <c r="D77" s="81"/>
    </row>
    <row r="78" spans="1:5" x14ac:dyDescent="0.35">
      <c r="A78" s="28"/>
      <c r="B78" s="28"/>
      <c r="C78" s="81"/>
      <c r="D78" s="81"/>
    </row>
    <row r="79" spans="1:5" x14ac:dyDescent="0.35">
      <c r="A79" s="28" t="s">
        <v>177</v>
      </c>
      <c r="B79" s="29"/>
      <c r="C79" s="28"/>
      <c r="D79" s="28"/>
    </row>
    <row r="80" spans="1:5" x14ac:dyDescent="0.35">
      <c r="B80" s="73"/>
      <c r="C80" s="82"/>
      <c r="D80" s="82"/>
    </row>
    <row r="82" spans="3:4" x14ac:dyDescent="0.35">
      <c r="C82" s="58"/>
      <c r="D82" s="58"/>
    </row>
  </sheetData>
  <mergeCells count="8">
    <mergeCell ref="A74:B74"/>
    <mergeCell ref="A75:B75"/>
    <mergeCell ref="A7:C7"/>
    <mergeCell ref="A9:B9"/>
    <mergeCell ref="A10:B10"/>
    <mergeCell ref="B14:C14"/>
    <mergeCell ref="A71:B71"/>
    <mergeCell ref="A72:B72"/>
  </mergeCells>
  <pageMargins left="0.7" right="0.7" top="0.75" bottom="0.75" header="0.3" footer="0.3"/>
  <pageSetup paperSize="9" scale="6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E79"/>
  <sheetViews>
    <sheetView workbookViewId="0">
      <selection activeCell="A72" sqref="A72:B72"/>
    </sheetView>
  </sheetViews>
  <sheetFormatPr defaultRowHeight="15.5" x14ac:dyDescent="0.35"/>
  <cols>
    <col min="1" max="1" width="19" style="13" customWidth="1"/>
    <col min="2" max="2" width="85.81640625" style="13" customWidth="1"/>
    <col min="3" max="3" width="30.81640625" style="13" hidden="1" customWidth="1"/>
    <col min="4" max="4" width="30.81640625" style="13" customWidth="1"/>
    <col min="5" max="5" width="9.1796875" style="13" customWidth="1"/>
  </cols>
  <sheetData>
    <row r="1" spans="1:4" x14ac:dyDescent="0.35">
      <c r="B1" s="14"/>
      <c r="C1" s="17" t="s">
        <v>10</v>
      </c>
      <c r="D1" s="17" t="s">
        <v>10</v>
      </c>
    </row>
    <row r="2" spans="1:4" x14ac:dyDescent="0.35">
      <c r="B2" s="60"/>
      <c r="C2" s="14" t="s">
        <v>32</v>
      </c>
      <c r="D2" s="14" t="s">
        <v>32</v>
      </c>
    </row>
    <row r="3" spans="1:4" x14ac:dyDescent="0.35">
      <c r="B3" s="60"/>
      <c r="C3" s="77" t="s">
        <v>66</v>
      </c>
      <c r="D3" s="77" t="s">
        <v>66</v>
      </c>
    </row>
    <row r="4" spans="1:4" x14ac:dyDescent="0.35">
      <c r="B4" s="14"/>
      <c r="C4" s="15"/>
      <c r="D4" s="15"/>
    </row>
    <row r="5" spans="1:4" x14ac:dyDescent="0.35">
      <c r="B5" s="71"/>
      <c r="C5" s="15" t="s">
        <v>245</v>
      </c>
      <c r="D5" s="15" t="s">
        <v>333</v>
      </c>
    </row>
    <row r="6" spans="1:4" x14ac:dyDescent="0.35">
      <c r="C6" s="25"/>
      <c r="D6" s="25"/>
    </row>
    <row r="7" spans="1:4" x14ac:dyDescent="0.35">
      <c r="A7" s="416" t="s">
        <v>9</v>
      </c>
      <c r="B7" s="416"/>
      <c r="C7" s="70"/>
      <c r="D7" s="70"/>
    </row>
    <row r="8" spans="1:4" x14ac:dyDescent="0.35">
      <c r="B8" s="18"/>
      <c r="C8" s="25"/>
      <c r="D8" s="25"/>
    </row>
    <row r="9" spans="1:4" x14ac:dyDescent="0.35">
      <c r="A9" s="419" t="s">
        <v>1</v>
      </c>
      <c r="B9" s="419"/>
      <c r="C9" s="25"/>
      <c r="D9" s="25"/>
    </row>
    <row r="10" spans="1:4" x14ac:dyDescent="0.35">
      <c r="A10" s="419" t="s">
        <v>0</v>
      </c>
      <c r="B10" s="419"/>
      <c r="C10" s="25"/>
      <c r="D10" s="25"/>
    </row>
    <row r="11" spans="1:4" x14ac:dyDescent="0.35">
      <c r="A11" s="11"/>
      <c r="B11" s="11" t="s">
        <v>246</v>
      </c>
      <c r="C11" s="11"/>
      <c r="D11" s="11"/>
    </row>
    <row r="12" spans="1:4" x14ac:dyDescent="0.35">
      <c r="A12" s="11"/>
      <c r="B12" s="11" t="s">
        <v>260</v>
      </c>
      <c r="C12" s="11"/>
      <c r="D12" s="11"/>
    </row>
    <row r="13" spans="1:4" x14ac:dyDescent="0.35">
      <c r="A13" s="11"/>
      <c r="B13" s="316" t="s">
        <v>261</v>
      </c>
      <c r="C13" s="11"/>
      <c r="D13" s="11"/>
    </row>
    <row r="14" spans="1:4" hidden="1" x14ac:dyDescent="0.35">
      <c r="A14" s="11"/>
      <c r="B14" s="316"/>
      <c r="C14" s="11"/>
      <c r="D14" s="11"/>
    </row>
    <row r="15" spans="1:4" x14ac:dyDescent="0.35">
      <c r="A15" s="11" t="s">
        <v>2</v>
      </c>
      <c r="B15" s="11" t="s">
        <v>250</v>
      </c>
      <c r="C15" s="25"/>
      <c r="D15" s="25"/>
    </row>
    <row r="16" spans="1:4" ht="62" x14ac:dyDescent="0.35">
      <c r="A16" s="51" t="s">
        <v>3</v>
      </c>
      <c r="B16" s="51" t="s">
        <v>4</v>
      </c>
      <c r="C16" s="51" t="s">
        <v>134</v>
      </c>
      <c r="D16" s="51" t="s">
        <v>134</v>
      </c>
    </row>
    <row r="17" spans="1:5" x14ac:dyDescent="0.35">
      <c r="A17" s="20">
        <v>1</v>
      </c>
      <c r="B17" s="21">
        <v>2</v>
      </c>
      <c r="C17" s="21">
        <v>3</v>
      </c>
      <c r="D17" s="21">
        <v>3</v>
      </c>
    </row>
    <row r="18" spans="1:5" x14ac:dyDescent="0.35">
      <c r="A18" s="20"/>
      <c r="B18" s="22" t="s">
        <v>5</v>
      </c>
      <c r="C18" s="61"/>
      <c r="D18" s="61"/>
    </row>
    <row r="19" spans="1:5" x14ac:dyDescent="0.35">
      <c r="A19" s="31">
        <v>1100</v>
      </c>
      <c r="B19" s="31" t="s">
        <v>132</v>
      </c>
      <c r="C19" s="33">
        <v>92.04</v>
      </c>
      <c r="D19" s="33">
        <f>C19/5*10</f>
        <v>184.08</v>
      </c>
    </row>
    <row r="20" spans="1:5" x14ac:dyDescent="0.35">
      <c r="A20" s="31">
        <v>1200</v>
      </c>
      <c r="B20" s="61" t="s">
        <v>133</v>
      </c>
      <c r="C20" s="33">
        <v>21.71</v>
      </c>
      <c r="D20" s="33">
        <f t="shared" ref="D20:D27" si="0">C20/5*10</f>
        <v>43.42</v>
      </c>
    </row>
    <row r="21" spans="1:5" x14ac:dyDescent="0.35">
      <c r="A21" s="31">
        <v>2223</v>
      </c>
      <c r="B21" s="62" t="s">
        <v>136</v>
      </c>
      <c r="C21" s="33">
        <v>1.97</v>
      </c>
      <c r="D21" s="33">
        <f t="shared" si="0"/>
        <v>3.9400000000000004</v>
      </c>
    </row>
    <row r="22" spans="1:5" x14ac:dyDescent="0.35">
      <c r="A22" s="31">
        <v>2244</v>
      </c>
      <c r="B22" s="22" t="s">
        <v>138</v>
      </c>
      <c r="C22" s="33">
        <v>3.35</v>
      </c>
      <c r="D22" s="33">
        <f t="shared" si="0"/>
        <v>6.7</v>
      </c>
    </row>
    <row r="23" spans="1:5" x14ac:dyDescent="0.35">
      <c r="A23" s="31">
        <v>2312</v>
      </c>
      <c r="B23" s="62" t="s">
        <v>116</v>
      </c>
      <c r="C23" s="33">
        <v>0.98</v>
      </c>
      <c r="D23" s="33">
        <f t="shared" si="0"/>
        <v>1.96</v>
      </c>
    </row>
    <row r="24" spans="1:5" x14ac:dyDescent="0.35">
      <c r="A24" s="31">
        <v>2321</v>
      </c>
      <c r="B24" s="62" t="s">
        <v>139</v>
      </c>
      <c r="C24" s="33">
        <v>1.84</v>
      </c>
      <c r="D24" s="33">
        <f t="shared" si="0"/>
        <v>3.6799999999999997</v>
      </c>
    </row>
    <row r="25" spans="1:5" x14ac:dyDescent="0.35">
      <c r="A25" s="34">
        <v>2341</v>
      </c>
      <c r="B25" s="32" t="s">
        <v>140</v>
      </c>
      <c r="C25" s="33">
        <v>7.08</v>
      </c>
      <c r="D25" s="33">
        <f t="shared" si="0"/>
        <v>14.16</v>
      </c>
    </row>
    <row r="26" spans="1:5" x14ac:dyDescent="0.35">
      <c r="A26" s="31">
        <v>2350</v>
      </c>
      <c r="B26" s="61" t="s">
        <v>125</v>
      </c>
      <c r="C26" s="33">
        <v>0.19</v>
      </c>
      <c r="D26" s="33">
        <f t="shared" si="0"/>
        <v>0.38</v>
      </c>
    </row>
    <row r="27" spans="1:5" x14ac:dyDescent="0.35">
      <c r="A27" s="31">
        <v>5239</v>
      </c>
      <c r="B27" s="61" t="s">
        <v>130</v>
      </c>
      <c r="C27" s="33">
        <v>1.41</v>
      </c>
      <c r="D27" s="33">
        <f t="shared" si="0"/>
        <v>2.82</v>
      </c>
    </row>
    <row r="28" spans="1:5" x14ac:dyDescent="0.35">
      <c r="A28" s="31"/>
      <c r="B28" s="36" t="s">
        <v>6</v>
      </c>
      <c r="C28" s="37">
        <f>SUM(C19:C27)</f>
        <v>130.57</v>
      </c>
      <c r="D28" s="37">
        <f>SUM(D19:D27)</f>
        <v>261.14</v>
      </c>
      <c r="E28" s="58"/>
    </row>
    <row r="29" spans="1:5" x14ac:dyDescent="0.35">
      <c r="A29" s="38"/>
      <c r="B29" s="78" t="s">
        <v>7</v>
      </c>
      <c r="C29" s="33"/>
      <c r="D29" s="33"/>
    </row>
    <row r="30" spans="1:5" x14ac:dyDescent="0.35">
      <c r="A30" s="31">
        <v>1100</v>
      </c>
      <c r="B30" s="22" t="s">
        <v>132</v>
      </c>
      <c r="C30" s="33">
        <v>22.65</v>
      </c>
      <c r="D30" s="33">
        <f t="shared" ref="D30:D64" si="1">C30/5*10</f>
        <v>45.3</v>
      </c>
    </row>
    <row r="31" spans="1:5" x14ac:dyDescent="0.35">
      <c r="A31" s="31">
        <v>1200</v>
      </c>
      <c r="B31" s="22" t="s">
        <v>133</v>
      </c>
      <c r="C31" s="33">
        <v>5.34</v>
      </c>
      <c r="D31" s="33">
        <f t="shared" si="1"/>
        <v>10.68</v>
      </c>
    </row>
    <row r="32" spans="1:5" x14ac:dyDescent="0.35">
      <c r="A32" s="31">
        <v>2100</v>
      </c>
      <c r="B32" s="24" t="s">
        <v>45</v>
      </c>
      <c r="C32" s="33">
        <v>7.0000000000000007E-2</v>
      </c>
      <c r="D32" s="33">
        <f t="shared" si="1"/>
        <v>0.14000000000000001</v>
      </c>
    </row>
    <row r="33" spans="1:4" x14ac:dyDescent="0.35">
      <c r="A33" s="34">
        <v>2210</v>
      </c>
      <c r="B33" s="62" t="s">
        <v>120</v>
      </c>
      <c r="C33" s="33">
        <v>0.37</v>
      </c>
      <c r="D33" s="33">
        <f t="shared" si="1"/>
        <v>0.74</v>
      </c>
    </row>
    <row r="34" spans="1:4" x14ac:dyDescent="0.35">
      <c r="A34" s="31">
        <v>2222</v>
      </c>
      <c r="B34" s="62" t="s">
        <v>135</v>
      </c>
      <c r="C34" s="33">
        <v>0.48</v>
      </c>
      <c r="D34" s="33">
        <f t="shared" si="1"/>
        <v>0.96</v>
      </c>
    </row>
    <row r="35" spans="1:4" x14ac:dyDescent="0.35">
      <c r="A35" s="31">
        <v>2223</v>
      </c>
      <c r="B35" s="62" t="s">
        <v>136</v>
      </c>
      <c r="C35" s="33">
        <v>4.01</v>
      </c>
      <c r="D35" s="33">
        <f t="shared" si="1"/>
        <v>8.02</v>
      </c>
    </row>
    <row r="36" spans="1:4" ht="31" x14ac:dyDescent="0.35">
      <c r="A36" s="31">
        <v>2224</v>
      </c>
      <c r="B36" s="62" t="s">
        <v>143</v>
      </c>
      <c r="C36" s="33">
        <v>0.17</v>
      </c>
      <c r="D36" s="33">
        <f t="shared" si="1"/>
        <v>0.34</v>
      </c>
    </row>
    <row r="37" spans="1:4" x14ac:dyDescent="0.35">
      <c r="A37" s="31">
        <v>2231</v>
      </c>
      <c r="B37" s="22" t="s">
        <v>126</v>
      </c>
      <c r="C37" s="33">
        <v>0.05</v>
      </c>
      <c r="D37" s="33">
        <f t="shared" si="1"/>
        <v>0.1</v>
      </c>
    </row>
    <row r="38" spans="1:4" x14ac:dyDescent="0.35">
      <c r="A38" s="31">
        <v>2232</v>
      </c>
      <c r="B38" s="22" t="s">
        <v>251</v>
      </c>
      <c r="C38" s="33">
        <v>0.66</v>
      </c>
      <c r="D38" s="33">
        <f t="shared" si="1"/>
        <v>1.32</v>
      </c>
    </row>
    <row r="39" spans="1:4" x14ac:dyDescent="0.35">
      <c r="A39" s="31">
        <v>2235</v>
      </c>
      <c r="B39" s="75" t="s">
        <v>127</v>
      </c>
      <c r="C39" s="33">
        <v>7.0000000000000007E-2</v>
      </c>
      <c r="D39" s="33">
        <f t="shared" si="1"/>
        <v>0.14000000000000001</v>
      </c>
    </row>
    <row r="40" spans="1:4" x14ac:dyDescent="0.35">
      <c r="A40" s="31">
        <v>2239</v>
      </c>
      <c r="B40" s="22" t="s">
        <v>144</v>
      </c>
      <c r="C40" s="33">
        <v>0.04</v>
      </c>
      <c r="D40" s="33">
        <f t="shared" si="1"/>
        <v>0.08</v>
      </c>
    </row>
    <row r="41" spans="1:4" x14ac:dyDescent="0.35">
      <c r="A41" s="31">
        <v>2241</v>
      </c>
      <c r="B41" s="22" t="s">
        <v>123</v>
      </c>
      <c r="C41" s="33">
        <v>0.27</v>
      </c>
      <c r="D41" s="33">
        <f t="shared" si="1"/>
        <v>0.54</v>
      </c>
    </row>
    <row r="42" spans="1:4" x14ac:dyDescent="0.35">
      <c r="A42" s="31">
        <v>2242</v>
      </c>
      <c r="B42" s="62" t="s">
        <v>145</v>
      </c>
      <c r="C42" s="33">
        <v>0.1</v>
      </c>
      <c r="D42" s="33">
        <f t="shared" si="1"/>
        <v>0.2</v>
      </c>
    </row>
    <row r="43" spans="1:4" x14ac:dyDescent="0.35">
      <c r="A43" s="31">
        <v>2243</v>
      </c>
      <c r="B43" s="22" t="s">
        <v>137</v>
      </c>
      <c r="C43" s="33">
        <v>0.74</v>
      </c>
      <c r="D43" s="33">
        <f t="shared" si="1"/>
        <v>1.48</v>
      </c>
    </row>
    <row r="44" spans="1:4" x14ac:dyDescent="0.35">
      <c r="A44" s="31">
        <v>2244</v>
      </c>
      <c r="B44" s="22" t="s">
        <v>138</v>
      </c>
      <c r="C44" s="33">
        <v>5.16</v>
      </c>
      <c r="D44" s="33">
        <f t="shared" si="1"/>
        <v>10.32</v>
      </c>
    </row>
    <row r="45" spans="1:4" x14ac:dyDescent="0.35">
      <c r="A45" s="31">
        <v>2247</v>
      </c>
      <c r="B45" s="22" t="s">
        <v>146</v>
      </c>
      <c r="C45" s="33">
        <v>0.01</v>
      </c>
      <c r="D45" s="33">
        <f t="shared" si="1"/>
        <v>0.02</v>
      </c>
    </row>
    <row r="46" spans="1:4" x14ac:dyDescent="0.35">
      <c r="A46" s="31">
        <v>2249</v>
      </c>
      <c r="B46" s="22" t="s">
        <v>171</v>
      </c>
      <c r="C46" s="33">
        <v>0.01</v>
      </c>
      <c r="D46" s="33">
        <f t="shared" si="1"/>
        <v>0.02</v>
      </c>
    </row>
    <row r="47" spans="1:4" x14ac:dyDescent="0.35">
      <c r="A47" s="31">
        <v>2250</v>
      </c>
      <c r="B47" s="22" t="s">
        <v>124</v>
      </c>
      <c r="C47" s="33">
        <v>1.23</v>
      </c>
      <c r="D47" s="33">
        <f t="shared" si="1"/>
        <v>2.46</v>
      </c>
    </row>
    <row r="48" spans="1:4" x14ac:dyDescent="0.35">
      <c r="A48" s="31">
        <v>2262</v>
      </c>
      <c r="B48" s="62" t="s">
        <v>148</v>
      </c>
      <c r="C48" s="33">
        <v>0.38</v>
      </c>
      <c r="D48" s="33">
        <f t="shared" si="1"/>
        <v>0.76</v>
      </c>
    </row>
    <row r="49" spans="1:4" x14ac:dyDescent="0.35">
      <c r="A49" s="31">
        <v>2263</v>
      </c>
      <c r="B49" s="62" t="s">
        <v>149</v>
      </c>
      <c r="C49" s="33">
        <v>0.09</v>
      </c>
      <c r="D49" s="33">
        <f t="shared" si="1"/>
        <v>0.18</v>
      </c>
    </row>
    <row r="50" spans="1:4" x14ac:dyDescent="0.35">
      <c r="A50" s="31">
        <v>2264</v>
      </c>
      <c r="B50" s="22" t="s">
        <v>150</v>
      </c>
      <c r="C50" s="33">
        <v>0.01</v>
      </c>
      <c r="D50" s="33">
        <f t="shared" si="1"/>
        <v>0.02</v>
      </c>
    </row>
    <row r="51" spans="1:4" x14ac:dyDescent="0.35">
      <c r="A51" s="31">
        <v>2311</v>
      </c>
      <c r="B51" s="62" t="s">
        <v>151</v>
      </c>
      <c r="C51" s="33">
        <v>0.16</v>
      </c>
      <c r="D51" s="33">
        <f t="shared" si="1"/>
        <v>0.32</v>
      </c>
    </row>
    <row r="52" spans="1:4" x14ac:dyDescent="0.35">
      <c r="A52" s="31">
        <v>2313</v>
      </c>
      <c r="B52" s="62" t="s">
        <v>252</v>
      </c>
      <c r="C52" s="33">
        <v>0.12</v>
      </c>
      <c r="D52" s="33">
        <f t="shared" si="1"/>
        <v>0.24</v>
      </c>
    </row>
    <row r="53" spans="1:4" x14ac:dyDescent="0.35">
      <c r="A53" s="31">
        <v>2312</v>
      </c>
      <c r="B53" s="62" t="s">
        <v>116</v>
      </c>
      <c r="C53" s="33">
        <v>0.01</v>
      </c>
      <c r="D53" s="33">
        <f t="shared" si="1"/>
        <v>0.02</v>
      </c>
    </row>
    <row r="54" spans="1:4" x14ac:dyDescent="0.35">
      <c r="A54" s="31">
        <v>2314</v>
      </c>
      <c r="B54" s="75" t="s">
        <v>152</v>
      </c>
      <c r="C54" s="33">
        <v>0.03</v>
      </c>
      <c r="D54" s="33">
        <f t="shared" si="1"/>
        <v>0.06</v>
      </c>
    </row>
    <row r="55" spans="1:4" x14ac:dyDescent="0.35">
      <c r="A55" s="31">
        <v>2321</v>
      </c>
      <c r="B55" s="62" t="s">
        <v>139</v>
      </c>
      <c r="C55" s="33">
        <v>4.25</v>
      </c>
      <c r="D55" s="33">
        <f t="shared" si="1"/>
        <v>8.5</v>
      </c>
    </row>
    <row r="56" spans="1:4" x14ac:dyDescent="0.35">
      <c r="A56" s="31">
        <v>2322</v>
      </c>
      <c r="B56" s="62" t="s">
        <v>153</v>
      </c>
      <c r="C56" s="33">
        <v>0.1</v>
      </c>
      <c r="D56" s="33">
        <f t="shared" si="1"/>
        <v>0.2</v>
      </c>
    </row>
    <row r="57" spans="1:4" x14ac:dyDescent="0.35">
      <c r="A57" s="31">
        <v>2350</v>
      </c>
      <c r="B57" s="61" t="s">
        <v>125</v>
      </c>
      <c r="C57" s="33">
        <v>0.8</v>
      </c>
      <c r="D57" s="33">
        <f t="shared" si="1"/>
        <v>1.6</v>
      </c>
    </row>
    <row r="58" spans="1:4" x14ac:dyDescent="0.35">
      <c r="A58" s="31">
        <v>2400</v>
      </c>
      <c r="B58" s="62" t="s">
        <v>258</v>
      </c>
      <c r="C58" s="33">
        <v>0.02</v>
      </c>
      <c r="D58" s="33">
        <f t="shared" si="1"/>
        <v>0.04</v>
      </c>
    </row>
    <row r="59" spans="1:4" x14ac:dyDescent="0.35">
      <c r="A59" s="31">
        <v>2513</v>
      </c>
      <c r="B59" s="61" t="s">
        <v>121</v>
      </c>
      <c r="C59" s="33">
        <v>0.23</v>
      </c>
      <c r="D59" s="33">
        <f t="shared" si="1"/>
        <v>0.45999999999999996</v>
      </c>
    </row>
    <row r="60" spans="1:4" x14ac:dyDescent="0.35">
      <c r="A60" s="31">
        <v>2515</v>
      </c>
      <c r="B60" s="62" t="s">
        <v>155</v>
      </c>
      <c r="C60" s="33">
        <v>0.26</v>
      </c>
      <c r="D60" s="33">
        <f t="shared" si="1"/>
        <v>0.52</v>
      </c>
    </row>
    <row r="61" spans="1:4" x14ac:dyDescent="0.35">
      <c r="A61" s="31">
        <v>2519</v>
      </c>
      <c r="B61" s="62" t="s">
        <v>122</v>
      </c>
      <c r="C61" s="33">
        <v>0.03</v>
      </c>
      <c r="D61" s="33">
        <f t="shared" si="1"/>
        <v>0.06</v>
      </c>
    </row>
    <row r="62" spans="1:4" x14ac:dyDescent="0.35">
      <c r="A62" s="31">
        <v>5238</v>
      </c>
      <c r="B62" s="61" t="s">
        <v>129</v>
      </c>
      <c r="C62" s="33">
        <v>0.11</v>
      </c>
      <c r="D62" s="33">
        <f t="shared" si="1"/>
        <v>0.21999999999999997</v>
      </c>
    </row>
    <row r="63" spans="1:4" x14ac:dyDescent="0.35">
      <c r="A63" s="31">
        <v>5239</v>
      </c>
      <c r="B63" s="61" t="s">
        <v>130</v>
      </c>
      <c r="C63" s="33">
        <v>0.51</v>
      </c>
      <c r="D63" s="33">
        <f t="shared" si="1"/>
        <v>1.02</v>
      </c>
    </row>
    <row r="64" spans="1:4" x14ac:dyDescent="0.35">
      <c r="A64" s="31">
        <v>5250</v>
      </c>
      <c r="B64" s="62" t="s">
        <v>131</v>
      </c>
      <c r="C64" s="33">
        <v>0.89</v>
      </c>
      <c r="D64" s="33">
        <f t="shared" si="1"/>
        <v>1.7799999999999998</v>
      </c>
    </row>
    <row r="65" spans="1:5" x14ac:dyDescent="0.35">
      <c r="A65" s="38"/>
      <c r="B65" s="79" t="s">
        <v>97</v>
      </c>
      <c r="C65" s="37">
        <f>SUM(C30:C64)</f>
        <v>49.429999999999993</v>
      </c>
      <c r="D65" s="37">
        <f>SUM(D30:D64)</f>
        <v>98.859999999999985</v>
      </c>
    </row>
    <row r="66" spans="1:5" x14ac:dyDescent="0.35">
      <c r="A66" s="38"/>
      <c r="B66" s="79" t="s">
        <v>98</v>
      </c>
      <c r="C66" s="37">
        <f>C28+C65</f>
        <v>180</v>
      </c>
      <c r="D66" s="37">
        <f>D28+D65</f>
        <v>360</v>
      </c>
    </row>
    <row r="67" spans="1:5" x14ac:dyDescent="0.35">
      <c r="A67" s="15"/>
      <c r="B67" s="25"/>
      <c r="C67" s="59"/>
      <c r="D67" s="59"/>
    </row>
    <row r="68" spans="1:5" x14ac:dyDescent="0.35">
      <c r="A68" s="417" t="s">
        <v>106</v>
      </c>
      <c r="B68" s="417"/>
      <c r="C68" s="67">
        <v>5</v>
      </c>
      <c r="D68" s="67">
        <v>10</v>
      </c>
    </row>
    <row r="69" spans="1:5" x14ac:dyDescent="0.35">
      <c r="A69" s="417" t="s">
        <v>58</v>
      </c>
      <c r="B69" s="417"/>
      <c r="C69" s="68">
        <f>C66/C68</f>
        <v>36</v>
      </c>
      <c r="D69" s="68">
        <f>D66/D68</f>
        <v>36</v>
      </c>
      <c r="E69" s="58"/>
    </row>
    <row r="70" spans="1:5" x14ac:dyDescent="0.35">
      <c r="A70" s="43"/>
      <c r="B70" s="49"/>
    </row>
    <row r="71" spans="1:5" x14ac:dyDescent="0.35">
      <c r="A71" s="418" t="s">
        <v>33</v>
      </c>
      <c r="B71" s="418"/>
      <c r="C71" s="27"/>
      <c r="D71" s="27"/>
    </row>
    <row r="72" spans="1:5" x14ac:dyDescent="0.35">
      <c r="A72" s="418" t="s">
        <v>64</v>
      </c>
      <c r="B72" s="418"/>
      <c r="C72" s="27"/>
      <c r="D72" s="27"/>
    </row>
    <row r="73" spans="1:5" x14ac:dyDescent="0.35">
      <c r="A73" s="28"/>
      <c r="B73" s="28"/>
      <c r="C73" s="28"/>
      <c r="D73" s="28"/>
    </row>
    <row r="74" spans="1:5" x14ac:dyDescent="0.35">
      <c r="A74" s="28" t="s">
        <v>34</v>
      </c>
      <c r="B74" s="28"/>
      <c r="C74" s="81"/>
      <c r="D74" s="81"/>
    </row>
    <row r="75" spans="1:5" x14ac:dyDescent="0.35">
      <c r="A75" s="28"/>
      <c r="B75" s="28"/>
      <c r="C75" s="81"/>
      <c r="D75" s="81"/>
    </row>
    <row r="76" spans="1:5" x14ac:dyDescent="0.35">
      <c r="A76" s="28" t="s">
        <v>108</v>
      </c>
      <c r="B76" s="29"/>
      <c r="C76" s="28"/>
      <c r="D76" s="28"/>
    </row>
    <row r="77" spans="1:5" x14ac:dyDescent="0.35">
      <c r="B77" s="73"/>
      <c r="C77" s="82"/>
      <c r="D77" s="82"/>
    </row>
    <row r="79" spans="1:5" x14ac:dyDescent="0.35">
      <c r="C79" s="58"/>
      <c r="D79" s="58"/>
    </row>
  </sheetData>
  <mergeCells count="7">
    <mergeCell ref="A72:B72"/>
    <mergeCell ref="A7:B7"/>
    <mergeCell ref="A9:B9"/>
    <mergeCell ref="A10:B10"/>
    <mergeCell ref="A68:B68"/>
    <mergeCell ref="A69:B69"/>
    <mergeCell ref="A71:B7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C68"/>
  <sheetViews>
    <sheetView tabSelected="1" workbookViewId="0">
      <selection activeCell="A46" sqref="A46:XFD55"/>
    </sheetView>
  </sheetViews>
  <sheetFormatPr defaultRowHeight="15.5" x14ac:dyDescent="0.35"/>
  <cols>
    <col min="1" max="1" width="12.26953125" style="13" customWidth="1"/>
    <col min="2" max="2" width="91.453125" style="13" customWidth="1"/>
    <col min="3" max="3" width="27.1796875" style="13" customWidth="1"/>
  </cols>
  <sheetData>
    <row r="1" spans="1:3" x14ac:dyDescent="0.35">
      <c r="B1" s="14"/>
      <c r="C1" s="14" t="s">
        <v>10</v>
      </c>
    </row>
    <row r="2" spans="1:3" x14ac:dyDescent="0.35">
      <c r="B2" s="15"/>
      <c r="C2" s="15" t="s">
        <v>32</v>
      </c>
    </row>
    <row r="3" spans="1:3" x14ac:dyDescent="0.35">
      <c r="B3" s="188"/>
      <c r="C3" s="77" t="s">
        <v>66</v>
      </c>
    </row>
    <row r="4" spans="1:3" x14ac:dyDescent="0.35">
      <c r="B4" s="14"/>
      <c r="C4" s="14"/>
    </row>
    <row r="5" spans="1:3" x14ac:dyDescent="0.35">
      <c r="B5" s="15"/>
      <c r="C5" s="15" t="s">
        <v>370</v>
      </c>
    </row>
    <row r="6" spans="1:3" ht="15" x14ac:dyDescent="0.3">
      <c r="A6" s="416" t="s">
        <v>9</v>
      </c>
      <c r="B6" s="416"/>
      <c r="C6" s="416"/>
    </row>
    <row r="7" spans="1:3" x14ac:dyDescent="0.35">
      <c r="B7" s="441"/>
      <c r="C7" s="441"/>
    </row>
    <row r="8" spans="1:3" x14ac:dyDescent="0.25">
      <c r="A8" s="419" t="s">
        <v>1</v>
      </c>
      <c r="B8" s="419"/>
      <c r="C8" s="419"/>
    </row>
    <row r="9" spans="1:3" x14ac:dyDescent="0.25">
      <c r="A9" s="419" t="s">
        <v>0</v>
      </c>
      <c r="B9" s="419"/>
      <c r="C9" s="419"/>
    </row>
    <row r="10" spans="1:3" x14ac:dyDescent="0.25">
      <c r="A10" s="11"/>
      <c r="B10" s="419" t="s">
        <v>366</v>
      </c>
      <c r="C10" s="419"/>
    </row>
    <row r="11" spans="1:3" ht="31" x14ac:dyDescent="0.25">
      <c r="A11" s="11"/>
      <c r="B11" s="283" t="s">
        <v>367</v>
      </c>
      <c r="C11" s="283"/>
    </row>
    <row r="12" spans="1:3" ht="36" customHeight="1" x14ac:dyDescent="0.25">
      <c r="A12" s="11"/>
      <c r="B12" s="442" t="s">
        <v>371</v>
      </c>
      <c r="C12" s="443"/>
    </row>
    <row r="13" spans="1:3" x14ac:dyDescent="0.25">
      <c r="A13" s="11" t="s">
        <v>2</v>
      </c>
      <c r="B13" s="11" t="s">
        <v>250</v>
      </c>
      <c r="C13" s="11"/>
    </row>
    <row r="14" spans="1:3" hidden="1" x14ac:dyDescent="0.35">
      <c r="B14" s="136"/>
    </row>
    <row r="15" spans="1:3" ht="62" x14ac:dyDescent="0.25">
      <c r="A15" s="51" t="s">
        <v>3</v>
      </c>
      <c r="B15" s="51" t="s">
        <v>4</v>
      </c>
      <c r="C15" s="51" t="s">
        <v>134</v>
      </c>
    </row>
    <row r="16" spans="1:3" ht="15" x14ac:dyDescent="0.25">
      <c r="A16" s="20">
        <v>1</v>
      </c>
      <c r="B16" s="21">
        <v>2</v>
      </c>
      <c r="C16" s="20">
        <v>3</v>
      </c>
    </row>
    <row r="17" spans="1:3" x14ac:dyDescent="0.25">
      <c r="A17" s="41"/>
      <c r="B17" s="39" t="s">
        <v>5</v>
      </c>
      <c r="C17" s="386"/>
    </row>
    <row r="18" spans="1:3" x14ac:dyDescent="0.25">
      <c r="A18" s="31">
        <v>1100</v>
      </c>
      <c r="B18" s="31" t="s">
        <v>68</v>
      </c>
      <c r="C18" s="33">
        <v>527.49</v>
      </c>
    </row>
    <row r="19" spans="1:3" x14ac:dyDescent="0.35">
      <c r="A19" s="31">
        <v>1200</v>
      </c>
      <c r="B19" s="61" t="s">
        <v>133</v>
      </c>
      <c r="C19" s="33">
        <v>124.43</v>
      </c>
    </row>
    <row r="20" spans="1:3" x14ac:dyDescent="0.35">
      <c r="A20" s="31">
        <v>2350</v>
      </c>
      <c r="B20" s="61" t="s">
        <v>125</v>
      </c>
      <c r="C20" s="33">
        <v>118.2</v>
      </c>
    </row>
    <row r="21" spans="1:3" x14ac:dyDescent="0.25">
      <c r="A21" s="31">
        <v>2311</v>
      </c>
      <c r="B21" s="31" t="s">
        <v>151</v>
      </c>
      <c r="C21" s="33">
        <v>0.25</v>
      </c>
    </row>
    <row r="22" spans="1:3" x14ac:dyDescent="0.25">
      <c r="A22" s="31">
        <v>2312</v>
      </c>
      <c r="B22" s="31" t="s">
        <v>116</v>
      </c>
      <c r="C22" s="33">
        <f>32.65+14.35</f>
        <v>47</v>
      </c>
    </row>
    <row r="23" spans="1:3" x14ac:dyDescent="0.25">
      <c r="A23" s="31">
        <v>2223</v>
      </c>
      <c r="B23" s="32" t="s">
        <v>136</v>
      </c>
      <c r="C23" s="33">
        <v>20.07</v>
      </c>
    </row>
    <row r="24" spans="1:3" x14ac:dyDescent="0.35">
      <c r="A24" s="31">
        <v>2222</v>
      </c>
      <c r="B24" s="62" t="s">
        <v>135</v>
      </c>
      <c r="C24" s="33">
        <v>1.37</v>
      </c>
    </row>
    <row r="25" spans="1:3" x14ac:dyDescent="0.35">
      <c r="A25" s="31">
        <v>5239</v>
      </c>
      <c r="B25" s="61" t="s">
        <v>130</v>
      </c>
      <c r="C25" s="33">
        <v>14.91</v>
      </c>
    </row>
    <row r="26" spans="1:3" x14ac:dyDescent="0.25">
      <c r="A26" s="31"/>
      <c r="B26" s="36" t="s">
        <v>6</v>
      </c>
      <c r="C26" s="37">
        <f>SUM(C18:C25)</f>
        <v>853.72000000000014</v>
      </c>
    </row>
    <row r="27" spans="1:3" x14ac:dyDescent="0.25">
      <c r="A27" s="38"/>
      <c r="B27" s="31" t="s">
        <v>7</v>
      </c>
      <c r="C27" s="33"/>
    </row>
    <row r="28" spans="1:3" x14ac:dyDescent="0.25">
      <c r="A28" s="31">
        <v>1100</v>
      </c>
      <c r="B28" s="31" t="s">
        <v>132</v>
      </c>
      <c r="C28" s="33">
        <v>109.97</v>
      </c>
    </row>
    <row r="29" spans="1:3" x14ac:dyDescent="0.35">
      <c r="A29" s="31">
        <v>1200</v>
      </c>
      <c r="B29" s="61" t="s">
        <v>133</v>
      </c>
      <c r="C29" s="33">
        <v>25.94</v>
      </c>
    </row>
    <row r="30" spans="1:3" hidden="1" x14ac:dyDescent="0.25">
      <c r="A30" s="34">
        <v>2210</v>
      </c>
      <c r="B30" s="32" t="s">
        <v>37</v>
      </c>
      <c r="C30" s="33"/>
    </row>
    <row r="31" spans="1:3" hidden="1" x14ac:dyDescent="0.25">
      <c r="A31" s="31">
        <v>2222</v>
      </c>
      <c r="B31" s="32" t="s">
        <v>26</v>
      </c>
      <c r="C31" s="33"/>
    </row>
    <row r="32" spans="1:3" hidden="1" x14ac:dyDescent="0.25">
      <c r="A32" s="31">
        <v>2223</v>
      </c>
      <c r="B32" s="32" t="s">
        <v>136</v>
      </c>
      <c r="C32" s="33"/>
    </row>
    <row r="33" spans="1:3" hidden="1" x14ac:dyDescent="0.25">
      <c r="A33" s="31">
        <v>2230</v>
      </c>
      <c r="B33" s="32" t="s">
        <v>38</v>
      </c>
      <c r="C33" s="33"/>
    </row>
    <row r="34" spans="1:3" x14ac:dyDescent="0.25">
      <c r="A34" s="31">
        <v>2242</v>
      </c>
      <c r="B34" s="32" t="s">
        <v>145</v>
      </c>
      <c r="C34" s="33">
        <f>1.6+1.09</f>
        <v>2.6900000000000004</v>
      </c>
    </row>
    <row r="35" spans="1:3" hidden="1" x14ac:dyDescent="0.35">
      <c r="A35" s="31">
        <v>2243</v>
      </c>
      <c r="B35" s="22" t="s">
        <v>137</v>
      </c>
      <c r="C35" s="33"/>
    </row>
    <row r="36" spans="1:3" x14ac:dyDescent="0.35">
      <c r="A36" s="31">
        <v>2244</v>
      </c>
      <c r="B36" s="22" t="s">
        <v>138</v>
      </c>
      <c r="C36" s="33">
        <v>18.41</v>
      </c>
    </row>
    <row r="37" spans="1:3" hidden="1" x14ac:dyDescent="0.25">
      <c r="A37" s="31">
        <v>2247</v>
      </c>
      <c r="B37" s="39" t="s">
        <v>146</v>
      </c>
      <c r="C37" s="33"/>
    </row>
    <row r="38" spans="1:3" hidden="1" x14ac:dyDescent="0.25">
      <c r="A38" s="31">
        <v>2251</v>
      </c>
      <c r="B38" s="32" t="s">
        <v>11</v>
      </c>
      <c r="C38" s="33"/>
    </row>
    <row r="39" spans="1:3" hidden="1" x14ac:dyDescent="0.25">
      <c r="A39" s="31">
        <v>2261</v>
      </c>
      <c r="B39" s="32" t="s">
        <v>48</v>
      </c>
      <c r="C39" s="33"/>
    </row>
    <row r="40" spans="1:3" hidden="1" x14ac:dyDescent="0.25">
      <c r="A40" s="31">
        <v>2262</v>
      </c>
      <c r="B40" s="32" t="s">
        <v>15</v>
      </c>
      <c r="C40" s="33"/>
    </row>
    <row r="41" spans="1:3" hidden="1" x14ac:dyDescent="0.25">
      <c r="A41" s="31">
        <v>2263</v>
      </c>
      <c r="B41" s="32" t="s">
        <v>40</v>
      </c>
      <c r="C41" s="33"/>
    </row>
    <row r="42" spans="1:3" hidden="1" x14ac:dyDescent="0.35">
      <c r="A42" s="61">
        <v>2279</v>
      </c>
      <c r="B42" s="62" t="s">
        <v>16</v>
      </c>
      <c r="C42" s="133"/>
    </row>
    <row r="43" spans="1:3" hidden="1" x14ac:dyDescent="0.25">
      <c r="A43" s="31">
        <v>2311</v>
      </c>
      <c r="B43" s="32" t="s">
        <v>17</v>
      </c>
      <c r="C43" s="33"/>
    </row>
    <row r="44" spans="1:3" hidden="1" x14ac:dyDescent="0.25">
      <c r="A44" s="31">
        <v>2312</v>
      </c>
      <c r="B44" s="32" t="s">
        <v>18</v>
      </c>
      <c r="C44" s="33"/>
    </row>
    <row r="45" spans="1:3" x14ac:dyDescent="0.25">
      <c r="A45" s="31">
        <v>2321</v>
      </c>
      <c r="B45" s="32" t="s">
        <v>139</v>
      </c>
      <c r="C45" s="33">
        <v>19.29</v>
      </c>
    </row>
    <row r="46" spans="1:3" hidden="1" x14ac:dyDescent="0.25">
      <c r="A46" s="31">
        <v>2322</v>
      </c>
      <c r="B46" s="32" t="s">
        <v>20</v>
      </c>
      <c r="C46" s="33"/>
    </row>
    <row r="47" spans="1:3" hidden="1" x14ac:dyDescent="0.25">
      <c r="A47" s="31">
        <v>2350</v>
      </c>
      <c r="B47" s="32" t="s">
        <v>21</v>
      </c>
      <c r="C47" s="33"/>
    </row>
    <row r="48" spans="1:3" hidden="1" x14ac:dyDescent="0.25">
      <c r="A48" s="31">
        <v>2361</v>
      </c>
      <c r="B48" s="32" t="s">
        <v>22</v>
      </c>
      <c r="C48" s="33"/>
    </row>
    <row r="49" spans="1:3" hidden="1" x14ac:dyDescent="0.25">
      <c r="A49" s="31">
        <v>2400</v>
      </c>
      <c r="B49" s="32" t="s">
        <v>28</v>
      </c>
      <c r="C49" s="33"/>
    </row>
    <row r="50" spans="1:3" hidden="1" x14ac:dyDescent="0.25">
      <c r="A50" s="387">
        <v>2512</v>
      </c>
      <c r="B50" s="32" t="s">
        <v>368</v>
      </c>
      <c r="C50" s="388">
        <v>0</v>
      </c>
    </row>
    <row r="51" spans="1:3" hidden="1" x14ac:dyDescent="0.25">
      <c r="A51" s="387">
        <v>2513</v>
      </c>
      <c r="B51" s="32" t="s">
        <v>23</v>
      </c>
      <c r="C51" s="388"/>
    </row>
    <row r="52" spans="1:3" hidden="1" x14ac:dyDescent="0.25">
      <c r="A52" s="387">
        <v>2515</v>
      </c>
      <c r="B52" s="32" t="s">
        <v>155</v>
      </c>
      <c r="C52" s="388"/>
    </row>
    <row r="53" spans="1:3" hidden="1" x14ac:dyDescent="0.25">
      <c r="A53" s="387">
        <v>2519</v>
      </c>
      <c r="B53" s="32" t="s">
        <v>25</v>
      </c>
      <c r="C53" s="388"/>
    </row>
    <row r="54" spans="1:3" hidden="1" x14ac:dyDescent="0.25">
      <c r="A54" s="387">
        <v>5121</v>
      </c>
      <c r="B54" s="32" t="s">
        <v>53</v>
      </c>
      <c r="C54" s="388"/>
    </row>
    <row r="55" spans="1:3" hidden="1" x14ac:dyDescent="0.25">
      <c r="A55" s="387">
        <v>5232</v>
      </c>
      <c r="B55" s="32" t="s">
        <v>24</v>
      </c>
      <c r="C55" s="388"/>
    </row>
    <row r="56" spans="1:3" x14ac:dyDescent="0.25">
      <c r="A56" s="389"/>
      <c r="B56" s="390" t="s">
        <v>8</v>
      </c>
      <c r="C56" s="66">
        <f>SUM(C28:C55)</f>
        <v>176.29999999999998</v>
      </c>
    </row>
    <row r="57" spans="1:3" x14ac:dyDescent="0.25">
      <c r="A57" s="389"/>
      <c r="B57" s="390" t="s">
        <v>29</v>
      </c>
      <c r="C57" s="66">
        <f>C56+C26</f>
        <v>1030.0200000000002</v>
      </c>
    </row>
    <row r="58" spans="1:3" x14ac:dyDescent="0.35">
      <c r="A58" s="15"/>
      <c r="B58" s="25"/>
      <c r="C58" s="59"/>
    </row>
    <row r="59" spans="1:3" x14ac:dyDescent="0.35">
      <c r="A59" s="430" t="s">
        <v>106</v>
      </c>
      <c r="B59" s="431"/>
      <c r="C59" s="67">
        <v>1</v>
      </c>
    </row>
    <row r="60" spans="1:3" x14ac:dyDescent="0.35">
      <c r="A60" s="430" t="s">
        <v>107</v>
      </c>
      <c r="B60" s="431"/>
      <c r="C60" s="68">
        <f>C57/C59</f>
        <v>1030.0200000000002</v>
      </c>
    </row>
    <row r="61" spans="1:3" x14ac:dyDescent="0.35">
      <c r="A61" s="25"/>
      <c r="B61" s="26"/>
      <c r="C61" s="59"/>
    </row>
    <row r="62" spans="1:3" x14ac:dyDescent="0.35">
      <c r="A62" s="430" t="s">
        <v>33</v>
      </c>
      <c r="B62" s="431"/>
      <c r="C62" s="138"/>
    </row>
    <row r="63" spans="1:3" x14ac:dyDescent="0.35">
      <c r="A63" s="430" t="s">
        <v>253</v>
      </c>
      <c r="B63" s="431"/>
      <c r="C63" s="27"/>
    </row>
    <row r="64" spans="1:3" x14ac:dyDescent="0.35">
      <c r="A64" s="28"/>
      <c r="B64" s="28"/>
      <c r="C64" s="18"/>
    </row>
    <row r="65" spans="1:3" x14ac:dyDescent="0.35">
      <c r="A65" s="28" t="s">
        <v>34</v>
      </c>
      <c r="B65" s="28"/>
      <c r="C65" s="81"/>
    </row>
    <row r="66" spans="1:3" x14ac:dyDescent="0.35">
      <c r="A66" s="28"/>
      <c r="B66" s="28"/>
      <c r="C66" s="28"/>
    </row>
    <row r="67" spans="1:3" x14ac:dyDescent="0.35">
      <c r="A67" s="28" t="s">
        <v>369</v>
      </c>
      <c r="B67" s="29"/>
      <c r="C67" s="81"/>
    </row>
    <row r="68" spans="1:3" x14ac:dyDescent="0.35">
      <c r="A68" s="28"/>
      <c r="B68" s="30"/>
      <c r="C68" s="28"/>
    </row>
  </sheetData>
  <mergeCells count="10">
    <mergeCell ref="A59:B59"/>
    <mergeCell ref="A60:B60"/>
    <mergeCell ref="A62:B62"/>
    <mergeCell ref="A63:B63"/>
    <mergeCell ref="A6:C6"/>
    <mergeCell ref="B7:C7"/>
    <mergeCell ref="A8:C8"/>
    <mergeCell ref="A9:C9"/>
    <mergeCell ref="B10:C10"/>
    <mergeCell ref="B12:C12"/>
  </mergeCells>
  <pageMargins left="0.7" right="0.7" top="0.75" bottom="0.75" header="0.3" footer="0.3"/>
  <pageSetup paperSize="9" scale="68" fitToHeight="0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E68"/>
  <sheetViews>
    <sheetView topLeftCell="A25" workbookViewId="0">
      <selection activeCell="E56" sqref="E56"/>
    </sheetView>
  </sheetViews>
  <sheetFormatPr defaultRowHeight="15.5" x14ac:dyDescent="0.35"/>
  <cols>
    <col min="1" max="1" width="12.26953125" style="13" customWidth="1"/>
    <col min="2" max="2" width="91.453125" style="13" customWidth="1"/>
    <col min="3" max="3" width="33.1796875" style="13" customWidth="1"/>
    <col min="4" max="4" width="1" style="4" hidden="1" customWidth="1"/>
    <col min="5" max="5" width="9.1796875" style="4" customWidth="1"/>
  </cols>
  <sheetData>
    <row r="1" spans="1:4" x14ac:dyDescent="0.35">
      <c r="B1" s="14"/>
      <c r="C1" s="14" t="s">
        <v>10</v>
      </c>
      <c r="D1" s="1" t="s">
        <v>10</v>
      </c>
    </row>
    <row r="2" spans="1:4" x14ac:dyDescent="0.35">
      <c r="B2" s="15"/>
      <c r="C2" s="15" t="s">
        <v>32</v>
      </c>
      <c r="D2" s="391" t="s">
        <v>32</v>
      </c>
    </row>
    <row r="3" spans="1:4" x14ac:dyDescent="0.35">
      <c r="B3" s="188"/>
      <c r="C3" s="77" t="s">
        <v>66</v>
      </c>
      <c r="D3" s="391" t="s">
        <v>372</v>
      </c>
    </row>
    <row r="4" spans="1:4" x14ac:dyDescent="0.35">
      <c r="B4" s="14"/>
      <c r="C4" s="14"/>
      <c r="D4" s="1" t="s">
        <v>373</v>
      </c>
    </row>
    <row r="5" spans="1:4" x14ac:dyDescent="0.35">
      <c r="B5" s="15"/>
      <c r="C5" s="15" t="s">
        <v>370</v>
      </c>
      <c r="D5" s="1" t="s">
        <v>374</v>
      </c>
    </row>
    <row r="6" spans="1:4" ht="15" x14ac:dyDescent="0.3">
      <c r="A6" s="416" t="s">
        <v>9</v>
      </c>
      <c r="B6" s="416"/>
      <c r="C6" s="416"/>
      <c r="D6" s="416"/>
    </row>
    <row r="7" spans="1:4" x14ac:dyDescent="0.35">
      <c r="B7" s="441"/>
      <c r="C7" s="441"/>
    </row>
    <row r="8" spans="1:4" ht="15.75" customHeight="1" x14ac:dyDescent="0.3">
      <c r="A8" s="419" t="s">
        <v>1</v>
      </c>
      <c r="B8" s="419"/>
      <c r="C8" s="419"/>
    </row>
    <row r="9" spans="1:4" ht="15.75" customHeight="1" x14ac:dyDescent="0.3">
      <c r="A9" s="419" t="s">
        <v>0</v>
      </c>
      <c r="B9" s="419"/>
      <c r="C9" s="419"/>
    </row>
    <row r="10" spans="1:4" x14ac:dyDescent="0.3">
      <c r="A10" s="11"/>
      <c r="B10" s="419" t="s">
        <v>366</v>
      </c>
      <c r="C10" s="419"/>
      <c r="D10" s="419"/>
    </row>
    <row r="11" spans="1:4" ht="31" x14ac:dyDescent="0.3">
      <c r="A11" s="11"/>
      <c r="B11" s="283" t="s">
        <v>375</v>
      </c>
      <c r="C11" s="283"/>
      <c r="D11" s="392"/>
    </row>
    <row r="12" spans="1:4" ht="33.75" customHeight="1" x14ac:dyDescent="0.3">
      <c r="A12" s="11"/>
      <c r="B12" s="442" t="s">
        <v>377</v>
      </c>
      <c r="C12" s="443"/>
      <c r="D12" s="392"/>
    </row>
    <row r="13" spans="1:4" x14ac:dyDescent="0.3">
      <c r="A13" s="11" t="s">
        <v>2</v>
      </c>
      <c r="B13" s="11" t="s">
        <v>250</v>
      </c>
      <c r="C13" s="11"/>
    </row>
    <row r="14" spans="1:4" ht="15.75" hidden="1" customHeight="1" x14ac:dyDescent="0.35">
      <c r="B14" s="136"/>
    </row>
    <row r="15" spans="1:4" ht="81" customHeight="1" x14ac:dyDescent="0.3">
      <c r="A15" s="51" t="s">
        <v>3</v>
      </c>
      <c r="B15" s="51" t="s">
        <v>4</v>
      </c>
      <c r="C15" s="51" t="s">
        <v>134</v>
      </c>
      <c r="D15" s="393" t="s">
        <v>376</v>
      </c>
    </row>
    <row r="16" spans="1:4" ht="15" x14ac:dyDescent="0.3">
      <c r="A16" s="20">
        <v>1</v>
      </c>
      <c r="B16" s="21">
        <v>2</v>
      </c>
      <c r="C16" s="20">
        <v>3</v>
      </c>
      <c r="D16" s="9">
        <v>3</v>
      </c>
    </row>
    <row r="17" spans="1:5" x14ac:dyDescent="0.3">
      <c r="A17" s="41"/>
      <c r="B17" s="39" t="s">
        <v>5</v>
      </c>
      <c r="C17" s="386"/>
      <c r="D17" s="394"/>
    </row>
    <row r="18" spans="1:5" x14ac:dyDescent="0.3">
      <c r="A18" s="31">
        <v>1100</v>
      </c>
      <c r="B18" s="31" t="s">
        <v>68</v>
      </c>
      <c r="C18" s="33">
        <v>527.49</v>
      </c>
      <c r="D18" s="395">
        <v>405.21</v>
      </c>
    </row>
    <row r="19" spans="1:5" x14ac:dyDescent="0.35">
      <c r="A19" s="31">
        <v>1200</v>
      </c>
      <c r="B19" s="61" t="s">
        <v>133</v>
      </c>
      <c r="C19" s="33">
        <v>124.43</v>
      </c>
      <c r="D19" s="395">
        <v>95.59</v>
      </c>
    </row>
    <row r="20" spans="1:5" x14ac:dyDescent="0.35">
      <c r="A20" s="31">
        <v>2350</v>
      </c>
      <c r="B20" s="61" t="s">
        <v>125</v>
      </c>
      <c r="C20" s="33">
        <v>117.27</v>
      </c>
      <c r="D20" s="395">
        <v>69.61</v>
      </c>
    </row>
    <row r="21" spans="1:5" x14ac:dyDescent="0.3">
      <c r="A21" s="31">
        <v>2311</v>
      </c>
      <c r="B21" s="31" t="s">
        <v>151</v>
      </c>
      <c r="C21" s="33">
        <v>0.25</v>
      </c>
      <c r="D21" s="395">
        <v>0.25</v>
      </c>
    </row>
    <row r="22" spans="1:5" x14ac:dyDescent="0.3">
      <c r="A22" s="31">
        <v>2312</v>
      </c>
      <c r="B22" s="31" t="s">
        <v>116</v>
      </c>
      <c r="C22" s="33">
        <v>47</v>
      </c>
      <c r="D22" s="395">
        <v>3.3</v>
      </c>
    </row>
    <row r="23" spans="1:5" x14ac:dyDescent="0.3">
      <c r="A23" s="31">
        <v>2223</v>
      </c>
      <c r="B23" s="32" t="s">
        <v>136</v>
      </c>
      <c r="C23" s="33">
        <v>20.07</v>
      </c>
      <c r="D23" s="395">
        <v>16.47</v>
      </c>
      <c r="E23" s="348"/>
    </row>
    <row r="24" spans="1:5" x14ac:dyDescent="0.35">
      <c r="A24" s="31">
        <v>2222</v>
      </c>
      <c r="B24" s="62" t="s">
        <v>135</v>
      </c>
      <c r="C24" s="33">
        <v>1.37</v>
      </c>
      <c r="D24" s="395">
        <v>0.94</v>
      </c>
      <c r="E24" s="348"/>
    </row>
    <row r="25" spans="1:5" x14ac:dyDescent="0.35">
      <c r="A25" s="31">
        <v>5239</v>
      </c>
      <c r="B25" s="61" t="s">
        <v>130</v>
      </c>
      <c r="C25" s="33">
        <v>14.91</v>
      </c>
      <c r="D25" s="395">
        <v>1.65</v>
      </c>
    </row>
    <row r="26" spans="1:5" x14ac:dyDescent="0.3">
      <c r="A26" s="31"/>
      <c r="B26" s="36" t="s">
        <v>6</v>
      </c>
      <c r="C26" s="37">
        <f>SUM(C18:C25)</f>
        <v>852.79000000000008</v>
      </c>
      <c r="D26" s="396">
        <f>SUM(D18:D25)</f>
        <v>593.02</v>
      </c>
    </row>
    <row r="27" spans="1:5" x14ac:dyDescent="0.3">
      <c r="A27" s="38"/>
      <c r="B27" s="31" t="s">
        <v>7</v>
      </c>
      <c r="C27" s="33"/>
      <c r="D27" s="397"/>
    </row>
    <row r="28" spans="1:5" x14ac:dyDescent="0.3">
      <c r="A28" s="31">
        <v>1100</v>
      </c>
      <c r="B28" s="31" t="s">
        <v>132</v>
      </c>
      <c r="C28" s="33">
        <v>109.97</v>
      </c>
      <c r="D28" s="395">
        <v>96.9</v>
      </c>
    </row>
    <row r="29" spans="1:5" x14ac:dyDescent="0.35">
      <c r="A29" s="31">
        <v>1200</v>
      </c>
      <c r="B29" s="61" t="s">
        <v>133</v>
      </c>
      <c r="C29" s="33">
        <v>25.94</v>
      </c>
      <c r="D29" s="395">
        <v>22.86</v>
      </c>
    </row>
    <row r="30" spans="1:5" hidden="1" x14ac:dyDescent="0.3">
      <c r="A30" s="34">
        <v>2210</v>
      </c>
      <c r="B30" s="32" t="s">
        <v>37</v>
      </c>
      <c r="C30" s="33"/>
      <c r="D30" s="395"/>
    </row>
    <row r="31" spans="1:5" hidden="1" x14ac:dyDescent="0.3">
      <c r="A31" s="31">
        <v>2222</v>
      </c>
      <c r="B31" s="32" t="s">
        <v>26</v>
      </c>
      <c r="C31" s="33"/>
      <c r="D31" s="395"/>
    </row>
    <row r="32" spans="1:5" hidden="1" x14ac:dyDescent="0.3">
      <c r="A32" s="31">
        <v>2223</v>
      </c>
      <c r="B32" s="32" t="s">
        <v>136</v>
      </c>
      <c r="C32" s="33"/>
      <c r="D32" s="395">
        <v>16.47</v>
      </c>
    </row>
    <row r="33" spans="1:4" hidden="1" x14ac:dyDescent="0.3">
      <c r="A33" s="31">
        <v>2230</v>
      </c>
      <c r="B33" s="32" t="s">
        <v>38</v>
      </c>
      <c r="C33" s="33"/>
      <c r="D33" s="395">
        <f t="shared" ref="D33:D49" si="0">C33/5</f>
        <v>0</v>
      </c>
    </row>
    <row r="34" spans="1:4" x14ac:dyDescent="0.3">
      <c r="A34" s="31">
        <v>2242</v>
      </c>
      <c r="B34" s="32" t="s">
        <v>145</v>
      </c>
      <c r="C34" s="33">
        <v>2.69</v>
      </c>
      <c r="D34" s="395">
        <v>1</v>
      </c>
    </row>
    <row r="35" spans="1:4" hidden="1" x14ac:dyDescent="0.35">
      <c r="A35" s="31">
        <v>2243</v>
      </c>
      <c r="B35" s="22" t="s">
        <v>137</v>
      </c>
      <c r="C35" s="33"/>
      <c r="D35" s="395">
        <f>32.98-3.3-1.65</f>
        <v>28.029999999999998</v>
      </c>
    </row>
    <row r="36" spans="1:4" x14ac:dyDescent="0.35">
      <c r="A36" s="31">
        <v>2244</v>
      </c>
      <c r="B36" s="22" t="s">
        <v>138</v>
      </c>
      <c r="C36" s="33">
        <v>18.41</v>
      </c>
      <c r="D36" s="395">
        <v>34.51</v>
      </c>
    </row>
    <row r="37" spans="1:4" hidden="1" x14ac:dyDescent="0.3">
      <c r="A37" s="31">
        <v>2247</v>
      </c>
      <c r="B37" s="39" t="s">
        <v>146</v>
      </c>
      <c r="C37" s="33"/>
      <c r="D37" s="395">
        <f t="shared" si="0"/>
        <v>0</v>
      </c>
    </row>
    <row r="38" spans="1:4" hidden="1" x14ac:dyDescent="0.3">
      <c r="A38" s="31">
        <v>2251</v>
      </c>
      <c r="B38" s="32" t="s">
        <v>11</v>
      </c>
      <c r="C38" s="33"/>
      <c r="D38" s="395">
        <f t="shared" si="0"/>
        <v>0</v>
      </c>
    </row>
    <row r="39" spans="1:4" hidden="1" x14ac:dyDescent="0.3">
      <c r="A39" s="31">
        <v>2261</v>
      </c>
      <c r="B39" s="32" t="s">
        <v>48</v>
      </c>
      <c r="C39" s="33"/>
      <c r="D39" s="395">
        <f t="shared" si="0"/>
        <v>0</v>
      </c>
    </row>
    <row r="40" spans="1:4" hidden="1" x14ac:dyDescent="0.3">
      <c r="A40" s="31">
        <v>2262</v>
      </c>
      <c r="B40" s="32" t="s">
        <v>15</v>
      </c>
      <c r="C40" s="33"/>
      <c r="D40" s="395">
        <f t="shared" si="0"/>
        <v>0</v>
      </c>
    </row>
    <row r="41" spans="1:4" hidden="1" x14ac:dyDescent="0.3">
      <c r="A41" s="31">
        <v>2263</v>
      </c>
      <c r="B41" s="32" t="s">
        <v>40</v>
      </c>
      <c r="C41" s="33"/>
      <c r="D41" s="395">
        <f t="shared" si="0"/>
        <v>0</v>
      </c>
    </row>
    <row r="42" spans="1:4" hidden="1" x14ac:dyDescent="0.35">
      <c r="A42" s="61">
        <v>2279</v>
      </c>
      <c r="B42" s="62" t="s">
        <v>16</v>
      </c>
      <c r="C42" s="133"/>
      <c r="D42" s="398">
        <f t="shared" si="0"/>
        <v>0</v>
      </c>
    </row>
    <row r="43" spans="1:4" hidden="1" x14ac:dyDescent="0.3">
      <c r="A43" s="31">
        <v>2311</v>
      </c>
      <c r="B43" s="32" t="s">
        <v>17</v>
      </c>
      <c r="C43" s="33"/>
      <c r="D43" s="395">
        <f t="shared" si="0"/>
        <v>0</v>
      </c>
    </row>
    <row r="44" spans="1:4" hidden="1" x14ac:dyDescent="0.3">
      <c r="A44" s="31">
        <v>2312</v>
      </c>
      <c r="B44" s="32" t="s">
        <v>18</v>
      </c>
      <c r="C44" s="33"/>
      <c r="D44" s="395">
        <f t="shared" si="0"/>
        <v>0</v>
      </c>
    </row>
    <row r="45" spans="1:4" x14ac:dyDescent="0.3">
      <c r="A45" s="31">
        <v>2321</v>
      </c>
      <c r="B45" s="32" t="s">
        <v>139</v>
      </c>
      <c r="C45" s="33">
        <v>19.29</v>
      </c>
      <c r="D45" s="395">
        <v>46.77</v>
      </c>
    </row>
    <row r="46" spans="1:4" hidden="1" x14ac:dyDescent="0.3">
      <c r="A46" s="31">
        <v>2322</v>
      </c>
      <c r="B46" s="32" t="s">
        <v>20</v>
      </c>
      <c r="C46" s="33"/>
      <c r="D46" s="395">
        <f t="shared" si="0"/>
        <v>0</v>
      </c>
    </row>
    <row r="47" spans="1:4" hidden="1" x14ac:dyDescent="0.3">
      <c r="A47" s="31">
        <v>2350</v>
      </c>
      <c r="B47" s="32" t="s">
        <v>21</v>
      </c>
      <c r="C47" s="33"/>
      <c r="D47" s="395">
        <f t="shared" si="0"/>
        <v>0</v>
      </c>
    </row>
    <row r="48" spans="1:4" hidden="1" x14ac:dyDescent="0.3">
      <c r="A48" s="31">
        <v>2361</v>
      </c>
      <c r="B48" s="32" t="s">
        <v>22</v>
      </c>
      <c r="C48" s="33"/>
      <c r="D48" s="395">
        <f t="shared" si="0"/>
        <v>0</v>
      </c>
    </row>
    <row r="49" spans="1:5" hidden="1" x14ac:dyDescent="0.3">
      <c r="A49" s="31">
        <v>2400</v>
      </c>
      <c r="B49" s="32" t="s">
        <v>28</v>
      </c>
      <c r="C49" s="33"/>
      <c r="D49" s="395">
        <f t="shared" si="0"/>
        <v>0</v>
      </c>
    </row>
    <row r="50" spans="1:5" hidden="1" x14ac:dyDescent="0.3">
      <c r="A50" s="387">
        <v>2512</v>
      </c>
      <c r="B50" s="32" t="s">
        <v>368</v>
      </c>
      <c r="C50" s="388">
        <v>0</v>
      </c>
      <c r="D50" s="399">
        <v>176.53</v>
      </c>
    </row>
    <row r="51" spans="1:5" hidden="1" x14ac:dyDescent="0.3">
      <c r="A51" s="387">
        <v>2513</v>
      </c>
      <c r="B51" s="32" t="s">
        <v>23</v>
      </c>
      <c r="C51" s="388"/>
      <c r="D51" s="399"/>
    </row>
    <row r="52" spans="1:5" hidden="1" x14ac:dyDescent="0.3">
      <c r="A52" s="387">
        <v>2515</v>
      </c>
      <c r="B52" s="32" t="s">
        <v>155</v>
      </c>
      <c r="C52" s="388"/>
      <c r="D52" s="399"/>
    </row>
    <row r="53" spans="1:5" hidden="1" x14ac:dyDescent="0.3">
      <c r="A53" s="387">
        <v>2519</v>
      </c>
      <c r="B53" s="32" t="s">
        <v>25</v>
      </c>
      <c r="C53" s="388"/>
      <c r="D53" s="399"/>
    </row>
    <row r="54" spans="1:5" hidden="1" x14ac:dyDescent="0.3">
      <c r="A54" s="387">
        <v>5121</v>
      </c>
      <c r="B54" s="32" t="s">
        <v>53</v>
      </c>
      <c r="C54" s="388"/>
      <c r="D54" s="399"/>
    </row>
    <row r="55" spans="1:5" hidden="1" x14ac:dyDescent="0.3">
      <c r="A55" s="387">
        <v>5232</v>
      </c>
      <c r="B55" s="32" t="s">
        <v>24</v>
      </c>
      <c r="C55" s="388"/>
      <c r="D55" s="399"/>
    </row>
    <row r="56" spans="1:5" x14ac:dyDescent="0.3">
      <c r="A56" s="389"/>
      <c r="B56" s="390" t="s">
        <v>8</v>
      </c>
      <c r="C56" s="66">
        <f>SUM(C28:C55)</f>
        <v>176.29999999999998</v>
      </c>
      <c r="D56" s="400">
        <f>SUM(D28:D55)</f>
        <v>423.07000000000005</v>
      </c>
      <c r="E56" s="348"/>
    </row>
    <row r="57" spans="1:5" x14ac:dyDescent="0.3">
      <c r="A57" s="389"/>
      <c r="B57" s="390" t="s">
        <v>29</v>
      </c>
      <c r="C57" s="66">
        <f>C56+C26</f>
        <v>1029.0900000000001</v>
      </c>
      <c r="D57" s="400">
        <f>D56+D26</f>
        <v>1016.09</v>
      </c>
    </row>
    <row r="58" spans="1:5" x14ac:dyDescent="0.35">
      <c r="A58" s="15"/>
      <c r="B58" s="401"/>
      <c r="C58" s="59"/>
    </row>
    <row r="59" spans="1:5" ht="15.75" customHeight="1" x14ac:dyDescent="0.35">
      <c r="A59" s="430" t="s">
        <v>106</v>
      </c>
      <c r="B59" s="431"/>
      <c r="C59" s="67">
        <v>1</v>
      </c>
      <c r="D59" s="393"/>
    </row>
    <row r="60" spans="1:5" ht="15.75" customHeight="1" x14ac:dyDescent="0.35">
      <c r="A60" s="430" t="s">
        <v>107</v>
      </c>
      <c r="B60" s="431"/>
      <c r="C60" s="68">
        <f>C57/C59</f>
        <v>1029.0900000000001</v>
      </c>
      <c r="D60" s="402"/>
    </row>
    <row r="61" spans="1:5" x14ac:dyDescent="0.35">
      <c r="A61" s="25"/>
      <c r="B61" s="59"/>
      <c r="C61" s="59"/>
      <c r="E61" s="2"/>
    </row>
    <row r="62" spans="1:5" ht="15.75" customHeight="1" x14ac:dyDescent="0.35">
      <c r="A62" s="430" t="s">
        <v>33</v>
      </c>
      <c r="B62" s="431"/>
      <c r="C62" s="162"/>
      <c r="D62" s="403"/>
      <c r="E62" s="2"/>
    </row>
    <row r="63" spans="1:5" ht="15.75" customHeight="1" x14ac:dyDescent="0.35">
      <c r="A63" s="430" t="s">
        <v>253</v>
      </c>
      <c r="B63" s="431"/>
      <c r="C63" s="27"/>
      <c r="D63" s="403"/>
    </row>
    <row r="64" spans="1:5" x14ac:dyDescent="0.35">
      <c r="A64" s="28"/>
      <c r="B64" s="28"/>
      <c r="C64" s="18"/>
      <c r="E64" s="2"/>
    </row>
    <row r="65" spans="1:5" x14ac:dyDescent="0.35">
      <c r="A65" s="28" t="s">
        <v>34</v>
      </c>
      <c r="B65" s="28"/>
      <c r="C65" s="81"/>
      <c r="D65" s="2"/>
      <c r="E65" s="2"/>
    </row>
    <row r="66" spans="1:5" x14ac:dyDescent="0.35">
      <c r="A66" s="28"/>
      <c r="B66" s="28"/>
      <c r="C66" s="28"/>
      <c r="D66" s="2"/>
      <c r="E66" s="2"/>
    </row>
    <row r="67" spans="1:5" x14ac:dyDescent="0.35">
      <c r="A67" s="28" t="s">
        <v>369</v>
      </c>
      <c r="B67" s="29"/>
      <c r="C67" s="81"/>
      <c r="D67" s="2"/>
      <c r="E67" s="2"/>
    </row>
    <row r="68" spans="1:5" x14ac:dyDescent="0.35">
      <c r="A68" s="28"/>
      <c r="B68" s="30"/>
      <c r="C68" s="28"/>
      <c r="D68" s="2"/>
    </row>
  </sheetData>
  <mergeCells count="10">
    <mergeCell ref="A59:B59"/>
    <mergeCell ref="A60:B60"/>
    <mergeCell ref="A62:B62"/>
    <mergeCell ref="A63:B63"/>
    <mergeCell ref="A6:D6"/>
    <mergeCell ref="B7:C7"/>
    <mergeCell ref="A8:C8"/>
    <mergeCell ref="A9:C9"/>
    <mergeCell ref="B10:D10"/>
    <mergeCell ref="B12:C12"/>
  </mergeCells>
  <pageMargins left="0.7" right="0.7" top="0.75" bottom="0.75" header="0.3" footer="0.3"/>
  <pageSetup paperSize="9" scale="65" fitToHeight="0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C69"/>
  <sheetViews>
    <sheetView topLeftCell="A4" workbookViewId="0">
      <selection activeCell="B12" sqref="B12"/>
    </sheetView>
  </sheetViews>
  <sheetFormatPr defaultRowHeight="15.5" x14ac:dyDescent="0.35"/>
  <cols>
    <col min="1" max="1" width="12.26953125" style="13" customWidth="1"/>
    <col min="2" max="2" width="91.7265625" style="13" customWidth="1"/>
    <col min="3" max="3" width="33.1796875" style="13" customWidth="1"/>
  </cols>
  <sheetData>
    <row r="1" spans="1:3" x14ac:dyDescent="0.35">
      <c r="B1" s="14"/>
      <c r="C1" s="14" t="s">
        <v>10</v>
      </c>
    </row>
    <row r="2" spans="1:3" x14ac:dyDescent="0.35">
      <c r="B2" s="15"/>
      <c r="C2" s="15" t="s">
        <v>32</v>
      </c>
    </row>
    <row r="3" spans="1:3" x14ac:dyDescent="0.35">
      <c r="B3" s="188"/>
      <c r="C3" s="77" t="s">
        <v>66</v>
      </c>
    </row>
    <row r="4" spans="1:3" x14ac:dyDescent="0.35">
      <c r="B4" s="14"/>
      <c r="C4" s="14"/>
    </row>
    <row r="5" spans="1:3" x14ac:dyDescent="0.35">
      <c r="C5" s="135" t="s">
        <v>370</v>
      </c>
    </row>
    <row r="6" spans="1:3" ht="15" x14ac:dyDescent="0.3">
      <c r="A6" s="416" t="s">
        <v>9</v>
      </c>
      <c r="B6" s="416"/>
      <c r="C6" s="416"/>
    </row>
    <row r="7" spans="1:3" x14ac:dyDescent="0.35">
      <c r="B7" s="441"/>
      <c r="C7" s="441"/>
    </row>
    <row r="8" spans="1:3" x14ac:dyDescent="0.25">
      <c r="A8" s="419" t="s">
        <v>1</v>
      </c>
      <c r="B8" s="419"/>
      <c r="C8" s="419"/>
    </row>
    <row r="9" spans="1:3" x14ac:dyDescent="0.25">
      <c r="A9" s="419" t="s">
        <v>0</v>
      </c>
      <c r="B9" s="419"/>
      <c r="C9" s="419"/>
    </row>
    <row r="10" spans="1:3" x14ac:dyDescent="0.25">
      <c r="A10" s="11"/>
      <c r="B10" s="419" t="s">
        <v>366</v>
      </c>
      <c r="C10" s="419"/>
    </row>
    <row r="11" spans="1:3" x14ac:dyDescent="0.25">
      <c r="A11" s="11"/>
      <c r="B11" s="419" t="s">
        <v>378</v>
      </c>
      <c r="C11" s="419"/>
    </row>
    <row r="12" spans="1:3" x14ac:dyDescent="0.25">
      <c r="A12" s="11"/>
      <c r="B12" s="11" t="s">
        <v>383</v>
      </c>
      <c r="C12" s="11"/>
    </row>
    <row r="13" spans="1:3" x14ac:dyDescent="0.25">
      <c r="A13" s="11" t="s">
        <v>2</v>
      </c>
      <c r="B13" s="11" t="s">
        <v>250</v>
      </c>
      <c r="C13" s="11"/>
    </row>
    <row r="14" spans="1:3" hidden="1" x14ac:dyDescent="0.35">
      <c r="B14" s="136"/>
    </row>
    <row r="15" spans="1:3" ht="46.5" x14ac:dyDescent="0.25">
      <c r="A15" s="51" t="s">
        <v>3</v>
      </c>
      <c r="B15" s="51" t="s">
        <v>4</v>
      </c>
      <c r="C15" s="51" t="s">
        <v>134</v>
      </c>
    </row>
    <row r="16" spans="1:3" ht="15" x14ac:dyDescent="0.25">
      <c r="A16" s="20">
        <v>1</v>
      </c>
      <c r="B16" s="21">
        <v>2</v>
      </c>
      <c r="C16" s="20">
        <v>3</v>
      </c>
    </row>
    <row r="17" spans="1:3" x14ac:dyDescent="0.25">
      <c r="A17" s="41"/>
      <c r="B17" s="39" t="s">
        <v>5</v>
      </c>
      <c r="C17" s="386"/>
    </row>
    <row r="18" spans="1:3" x14ac:dyDescent="0.25">
      <c r="A18" s="31">
        <v>1100</v>
      </c>
      <c r="B18" s="31" t="s">
        <v>68</v>
      </c>
      <c r="C18" s="33">
        <v>107.77</v>
      </c>
    </row>
    <row r="19" spans="1:3" x14ac:dyDescent="0.35">
      <c r="A19" s="31">
        <v>1200</v>
      </c>
      <c r="B19" s="61" t="s">
        <v>133</v>
      </c>
      <c r="C19" s="33">
        <v>25.43</v>
      </c>
    </row>
    <row r="20" spans="1:3" x14ac:dyDescent="0.35">
      <c r="A20" s="31">
        <v>2350</v>
      </c>
      <c r="B20" s="61" t="s">
        <v>125</v>
      </c>
      <c r="C20" s="33">
        <v>54.21</v>
      </c>
    </row>
    <row r="21" spans="1:3" x14ac:dyDescent="0.25">
      <c r="A21" s="31">
        <v>2311</v>
      </c>
      <c r="B21" s="31" t="s">
        <v>151</v>
      </c>
      <c r="C21" s="33">
        <v>0.25</v>
      </c>
    </row>
    <row r="22" spans="1:3" hidden="1" x14ac:dyDescent="0.25">
      <c r="A22" s="31">
        <v>2312</v>
      </c>
      <c r="B22" s="31" t="s">
        <v>116</v>
      </c>
      <c r="C22" s="33">
        <f>0</f>
        <v>0</v>
      </c>
    </row>
    <row r="23" spans="1:3" x14ac:dyDescent="0.25">
      <c r="A23" s="31">
        <v>2223</v>
      </c>
      <c r="B23" s="32" t="s">
        <v>136</v>
      </c>
      <c r="C23" s="33">
        <v>6.75</v>
      </c>
    </row>
    <row r="24" spans="1:3" hidden="1" x14ac:dyDescent="0.35">
      <c r="A24" s="31">
        <v>2222</v>
      </c>
      <c r="B24" s="62" t="s">
        <v>135</v>
      </c>
      <c r="C24" s="33">
        <v>0</v>
      </c>
    </row>
    <row r="25" spans="1:3" x14ac:dyDescent="0.35">
      <c r="A25" s="31">
        <v>5239</v>
      </c>
      <c r="B25" s="61" t="s">
        <v>130</v>
      </c>
      <c r="C25" s="33">
        <v>2.36</v>
      </c>
    </row>
    <row r="26" spans="1:3" x14ac:dyDescent="0.25">
      <c r="A26" s="31"/>
      <c r="B26" s="36" t="s">
        <v>6</v>
      </c>
      <c r="C26" s="37">
        <f>SUM(C18:C25)</f>
        <v>196.77</v>
      </c>
    </row>
    <row r="27" spans="1:3" x14ac:dyDescent="0.25">
      <c r="A27" s="38"/>
      <c r="B27" s="31" t="s">
        <v>7</v>
      </c>
      <c r="C27" s="33"/>
    </row>
    <row r="28" spans="1:3" x14ac:dyDescent="0.25">
      <c r="A28" s="31">
        <v>1100</v>
      </c>
      <c r="B28" s="31" t="s">
        <v>132</v>
      </c>
      <c r="C28" s="33">
        <v>6.91</v>
      </c>
    </row>
    <row r="29" spans="1:3" x14ac:dyDescent="0.35">
      <c r="A29" s="31">
        <v>1200</v>
      </c>
      <c r="B29" s="61" t="s">
        <v>133</v>
      </c>
      <c r="C29" s="33">
        <v>1.63</v>
      </c>
    </row>
    <row r="30" spans="1:3" hidden="1" x14ac:dyDescent="0.25">
      <c r="A30" s="34">
        <v>2210</v>
      </c>
      <c r="B30" s="32" t="s">
        <v>37</v>
      </c>
      <c r="C30" s="33"/>
    </row>
    <row r="31" spans="1:3" hidden="1" x14ac:dyDescent="0.25">
      <c r="A31" s="31">
        <v>2222</v>
      </c>
      <c r="B31" s="32" t="s">
        <v>26</v>
      </c>
      <c r="C31" s="33"/>
    </row>
    <row r="32" spans="1:3" hidden="1" x14ac:dyDescent="0.25">
      <c r="A32" s="31">
        <v>2223</v>
      </c>
      <c r="B32" s="32" t="s">
        <v>136</v>
      </c>
      <c r="C32" s="33"/>
    </row>
    <row r="33" spans="1:3" hidden="1" x14ac:dyDescent="0.25">
      <c r="A33" s="31">
        <v>2230</v>
      </c>
      <c r="B33" s="32" t="s">
        <v>38</v>
      </c>
      <c r="C33" s="33"/>
    </row>
    <row r="34" spans="1:3" x14ac:dyDescent="0.25">
      <c r="A34" s="31">
        <v>2242</v>
      </c>
      <c r="B34" s="32" t="s">
        <v>145</v>
      </c>
      <c r="C34" s="33">
        <v>0.24</v>
      </c>
    </row>
    <row r="35" spans="1:3" hidden="1" x14ac:dyDescent="0.35">
      <c r="A35" s="31">
        <v>2243</v>
      </c>
      <c r="B35" s="22" t="s">
        <v>137</v>
      </c>
      <c r="C35" s="33"/>
    </row>
    <row r="36" spans="1:3" x14ac:dyDescent="0.35">
      <c r="A36" s="31">
        <v>2244</v>
      </c>
      <c r="B36" s="22" t="s">
        <v>138</v>
      </c>
      <c r="C36" s="33">
        <v>4.03</v>
      </c>
    </row>
    <row r="37" spans="1:3" hidden="1" x14ac:dyDescent="0.25">
      <c r="A37" s="31">
        <v>2247</v>
      </c>
      <c r="B37" s="39" t="s">
        <v>146</v>
      </c>
      <c r="C37" s="33"/>
    </row>
    <row r="38" spans="1:3" hidden="1" x14ac:dyDescent="0.25">
      <c r="A38" s="31">
        <v>2251</v>
      </c>
      <c r="B38" s="32" t="s">
        <v>11</v>
      </c>
      <c r="C38" s="33"/>
    </row>
    <row r="39" spans="1:3" hidden="1" x14ac:dyDescent="0.25">
      <c r="A39" s="31">
        <v>2261</v>
      </c>
      <c r="B39" s="32" t="s">
        <v>48</v>
      </c>
      <c r="C39" s="33"/>
    </row>
    <row r="40" spans="1:3" hidden="1" x14ac:dyDescent="0.25">
      <c r="A40" s="31">
        <v>2262</v>
      </c>
      <c r="B40" s="32" t="s">
        <v>15</v>
      </c>
      <c r="C40" s="33"/>
    </row>
    <row r="41" spans="1:3" hidden="1" x14ac:dyDescent="0.25">
      <c r="A41" s="31">
        <v>2263</v>
      </c>
      <c r="B41" s="32" t="s">
        <v>40</v>
      </c>
      <c r="C41" s="33"/>
    </row>
    <row r="42" spans="1:3" hidden="1" x14ac:dyDescent="0.35">
      <c r="A42" s="61">
        <v>2279</v>
      </c>
      <c r="B42" s="62" t="s">
        <v>16</v>
      </c>
      <c r="C42" s="133"/>
    </row>
    <row r="43" spans="1:3" hidden="1" x14ac:dyDescent="0.25">
      <c r="A43" s="31">
        <v>2311</v>
      </c>
      <c r="B43" s="32" t="s">
        <v>17</v>
      </c>
      <c r="C43" s="33"/>
    </row>
    <row r="44" spans="1:3" hidden="1" x14ac:dyDescent="0.25">
      <c r="A44" s="31">
        <v>2312</v>
      </c>
      <c r="B44" s="32" t="s">
        <v>18</v>
      </c>
      <c r="C44" s="33"/>
    </row>
    <row r="45" spans="1:3" x14ac:dyDescent="0.25">
      <c r="A45" s="31">
        <v>2321</v>
      </c>
      <c r="B45" s="32" t="s">
        <v>139</v>
      </c>
      <c r="C45" s="33">
        <v>8.08</v>
      </c>
    </row>
    <row r="46" spans="1:3" hidden="1" x14ac:dyDescent="0.25">
      <c r="A46" s="31">
        <v>2322</v>
      </c>
      <c r="B46" s="32" t="s">
        <v>20</v>
      </c>
      <c r="C46" s="33">
        <v>0</v>
      </c>
    </row>
    <row r="47" spans="1:3" hidden="1" x14ac:dyDescent="0.25">
      <c r="A47" s="31">
        <v>2350</v>
      </c>
      <c r="B47" s="32" t="s">
        <v>21</v>
      </c>
      <c r="C47" s="33"/>
    </row>
    <row r="48" spans="1:3" hidden="1" x14ac:dyDescent="0.25">
      <c r="A48" s="31">
        <v>2361</v>
      </c>
      <c r="B48" s="32" t="s">
        <v>22</v>
      </c>
      <c r="C48" s="33"/>
    </row>
    <row r="49" spans="1:3" hidden="1" x14ac:dyDescent="0.25">
      <c r="A49" s="31">
        <v>2400</v>
      </c>
      <c r="B49" s="32" t="s">
        <v>28</v>
      </c>
      <c r="C49" s="33"/>
    </row>
    <row r="50" spans="1:3" hidden="1" x14ac:dyDescent="0.25">
      <c r="A50" s="387">
        <v>2512</v>
      </c>
      <c r="B50" s="32" t="s">
        <v>368</v>
      </c>
      <c r="C50" s="388">
        <v>0</v>
      </c>
    </row>
    <row r="51" spans="1:3" hidden="1" x14ac:dyDescent="0.25">
      <c r="A51" s="387">
        <v>2513</v>
      </c>
      <c r="B51" s="32" t="s">
        <v>23</v>
      </c>
      <c r="C51" s="388"/>
    </row>
    <row r="52" spans="1:3" hidden="1" x14ac:dyDescent="0.25">
      <c r="A52" s="387">
        <v>2515</v>
      </c>
      <c r="B52" s="32" t="s">
        <v>155</v>
      </c>
      <c r="C52" s="388"/>
    </row>
    <row r="53" spans="1:3" hidden="1" x14ac:dyDescent="0.25">
      <c r="A53" s="387">
        <v>2519</v>
      </c>
      <c r="B53" s="32" t="s">
        <v>25</v>
      </c>
      <c r="C53" s="388"/>
    </row>
    <row r="54" spans="1:3" hidden="1" x14ac:dyDescent="0.25">
      <c r="A54" s="387"/>
      <c r="B54" s="32"/>
      <c r="C54" s="388"/>
    </row>
    <row r="55" spans="1:3" hidden="1" x14ac:dyDescent="0.25">
      <c r="A55" s="387"/>
      <c r="B55" s="32"/>
      <c r="C55" s="388"/>
    </row>
    <row r="56" spans="1:3" x14ac:dyDescent="0.35">
      <c r="A56" s="31">
        <v>5239</v>
      </c>
      <c r="B56" s="61" t="s">
        <v>130</v>
      </c>
      <c r="C56" s="33">
        <v>0.15</v>
      </c>
    </row>
    <row r="57" spans="1:3" x14ac:dyDescent="0.25">
      <c r="A57" s="389"/>
      <c r="B57" s="390" t="s">
        <v>8</v>
      </c>
      <c r="C57" s="66">
        <f>SUM(C28:C56)</f>
        <v>21.04</v>
      </c>
    </row>
    <row r="58" spans="1:3" x14ac:dyDescent="0.25">
      <c r="A58" s="389"/>
      <c r="B58" s="390" t="s">
        <v>29</v>
      </c>
      <c r="C58" s="66">
        <f>C57+C26</f>
        <v>217.81</v>
      </c>
    </row>
    <row r="59" spans="1:3" x14ac:dyDescent="0.35">
      <c r="A59" s="15"/>
      <c r="B59" s="25"/>
      <c r="C59" s="59"/>
    </row>
    <row r="60" spans="1:3" x14ac:dyDescent="0.35">
      <c r="A60" s="430" t="s">
        <v>106</v>
      </c>
      <c r="B60" s="431"/>
      <c r="C60" s="67">
        <v>1</v>
      </c>
    </row>
    <row r="61" spans="1:3" x14ac:dyDescent="0.35">
      <c r="A61" s="430" t="s">
        <v>107</v>
      </c>
      <c r="B61" s="431"/>
      <c r="C61" s="68">
        <f>C58/C60</f>
        <v>217.81</v>
      </c>
    </row>
    <row r="62" spans="1:3" x14ac:dyDescent="0.35">
      <c r="A62" s="25"/>
      <c r="B62" s="26"/>
      <c r="C62" s="59"/>
    </row>
    <row r="63" spans="1:3" x14ac:dyDescent="0.35">
      <c r="A63" s="430" t="s">
        <v>33</v>
      </c>
      <c r="B63" s="431"/>
      <c r="C63" s="138"/>
    </row>
    <row r="64" spans="1:3" x14ac:dyDescent="0.35">
      <c r="A64" s="430" t="s">
        <v>253</v>
      </c>
      <c r="B64" s="431"/>
      <c r="C64" s="27"/>
    </row>
    <row r="65" spans="1:3" x14ac:dyDescent="0.35">
      <c r="A65" s="28"/>
      <c r="B65" s="28"/>
      <c r="C65" s="18"/>
    </row>
    <row r="66" spans="1:3" x14ac:dyDescent="0.35">
      <c r="A66" s="28" t="s">
        <v>34</v>
      </c>
      <c r="B66" s="28"/>
      <c r="C66" s="81"/>
    </row>
    <row r="67" spans="1:3" x14ac:dyDescent="0.35">
      <c r="A67" s="28"/>
      <c r="B67" s="28"/>
      <c r="C67" s="81"/>
    </row>
    <row r="68" spans="1:3" x14ac:dyDescent="0.35">
      <c r="A68" s="28" t="s">
        <v>369</v>
      </c>
      <c r="B68" s="29"/>
      <c r="C68" s="81"/>
    </row>
    <row r="69" spans="1:3" x14ac:dyDescent="0.35">
      <c r="A69" s="28"/>
      <c r="B69" s="30"/>
      <c r="C69" s="28"/>
    </row>
  </sheetData>
  <mergeCells count="10">
    <mergeCell ref="A60:B60"/>
    <mergeCell ref="A61:B61"/>
    <mergeCell ref="A63:B63"/>
    <mergeCell ref="A64:B64"/>
    <mergeCell ref="A6:C6"/>
    <mergeCell ref="B7:C7"/>
    <mergeCell ref="A8:C8"/>
    <mergeCell ref="A9:C9"/>
    <mergeCell ref="B10:C10"/>
    <mergeCell ref="B11:C11"/>
  </mergeCells>
  <pageMargins left="0.7" right="0.7" top="0.75" bottom="0.75" header="0.3" footer="0.3"/>
  <pageSetup paperSize="9" scale="65" fitToHeight="0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J107"/>
  <sheetViews>
    <sheetView view="pageLayout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2.54296875" style="13" customWidth="1"/>
    <col min="2" max="2" width="84.453125" style="13" customWidth="1"/>
    <col min="3" max="3" width="13.1796875" style="13" hidden="1" customWidth="1"/>
    <col min="4" max="4" width="12.54296875" style="13" hidden="1" customWidth="1"/>
    <col min="5" max="5" width="32" style="13" hidden="1" customWidth="1"/>
    <col min="6" max="6" width="25.26953125" style="13" hidden="1" customWidth="1"/>
    <col min="7" max="7" width="27" style="13" customWidth="1"/>
    <col min="8" max="8" width="9.1796875" style="7"/>
    <col min="9" max="9" width="6.26953125" style="7" customWidth="1"/>
    <col min="10" max="10" width="9.1796875" style="7" hidden="1" customWidth="1"/>
    <col min="11" max="16384" width="9.1796875" style="7"/>
  </cols>
  <sheetData>
    <row r="1" spans="1:10" x14ac:dyDescent="0.35">
      <c r="C1" s="53" t="s">
        <v>10</v>
      </c>
      <c r="D1" s="53"/>
      <c r="E1" s="53" t="s">
        <v>10</v>
      </c>
      <c r="F1" s="53" t="s">
        <v>10</v>
      </c>
      <c r="G1" s="53" t="s">
        <v>10</v>
      </c>
    </row>
    <row r="2" spans="1:10" x14ac:dyDescent="0.35">
      <c r="C2" s="54" t="s">
        <v>32</v>
      </c>
      <c r="D2" s="54"/>
      <c r="E2" s="54" t="s">
        <v>32</v>
      </c>
      <c r="F2" s="54" t="s">
        <v>32</v>
      </c>
      <c r="G2" s="54" t="s">
        <v>32</v>
      </c>
    </row>
    <row r="3" spans="1:10" ht="20.25" customHeight="1" x14ac:dyDescent="0.35">
      <c r="C3" s="55" t="s">
        <v>66</v>
      </c>
      <c r="D3" s="55"/>
      <c r="E3" s="64" t="s">
        <v>66</v>
      </c>
      <c r="F3" s="284" t="s">
        <v>66</v>
      </c>
      <c r="G3" s="284" t="s">
        <v>66</v>
      </c>
    </row>
    <row r="4" spans="1:10" x14ac:dyDescent="0.35">
      <c r="C4" s="54"/>
      <c r="D4" s="54"/>
      <c r="E4" s="63"/>
      <c r="F4" s="63"/>
      <c r="G4" s="63"/>
    </row>
    <row r="5" spans="1:10" x14ac:dyDescent="0.35">
      <c r="B5" s="17"/>
      <c r="C5" s="54" t="s">
        <v>67</v>
      </c>
      <c r="D5" s="54"/>
      <c r="E5" s="63" t="s">
        <v>168</v>
      </c>
      <c r="F5" s="15" t="s">
        <v>226</v>
      </c>
      <c r="G5" s="15" t="s">
        <v>333</v>
      </c>
    </row>
    <row r="7" spans="1:10" ht="15" x14ac:dyDescent="0.3">
      <c r="A7" s="416" t="s">
        <v>9</v>
      </c>
      <c r="B7" s="416"/>
      <c r="C7" s="416"/>
      <c r="D7" s="70"/>
      <c r="E7" s="7"/>
      <c r="F7" s="7"/>
      <c r="G7" s="7"/>
    </row>
    <row r="8" spans="1:10" x14ac:dyDescent="0.35">
      <c r="B8" s="18"/>
    </row>
    <row r="9" spans="1:10" ht="15" customHeight="1" x14ac:dyDescent="0.35">
      <c r="A9" s="419" t="s">
        <v>1</v>
      </c>
      <c r="B9" s="419"/>
    </row>
    <row r="10" spans="1:10" ht="15" customHeight="1" x14ac:dyDescent="0.35">
      <c r="A10" s="419" t="s">
        <v>0</v>
      </c>
      <c r="B10" s="419"/>
    </row>
    <row r="11" spans="1:10" x14ac:dyDescent="0.35">
      <c r="A11" s="11"/>
      <c r="B11" s="11" t="s">
        <v>179</v>
      </c>
    </row>
    <row r="12" spans="1:10" x14ac:dyDescent="0.25">
      <c r="A12" s="11"/>
      <c r="B12" s="419" t="s">
        <v>235</v>
      </c>
      <c r="C12" s="419"/>
      <c r="D12" s="11"/>
      <c r="E12" s="7"/>
      <c r="F12" s="7"/>
      <c r="G12" s="7"/>
      <c r="I12" s="52"/>
      <c r="J12" s="52"/>
    </row>
    <row r="13" spans="1:10" x14ac:dyDescent="0.25">
      <c r="A13" s="11"/>
      <c r="B13" s="11" t="s">
        <v>228</v>
      </c>
      <c r="C13" s="11"/>
      <c r="D13" s="11"/>
      <c r="E13" s="7"/>
      <c r="F13" s="7"/>
      <c r="G13" s="7"/>
      <c r="I13" s="52"/>
      <c r="J13" s="52"/>
    </row>
    <row r="14" spans="1:10" x14ac:dyDescent="0.35">
      <c r="A14" s="11" t="s">
        <v>2</v>
      </c>
      <c r="B14" s="11" t="s">
        <v>250</v>
      </c>
    </row>
    <row r="15" spans="1:10" ht="99.75" customHeight="1" x14ac:dyDescent="0.25">
      <c r="A15" s="51" t="s">
        <v>3</v>
      </c>
      <c r="B15" s="51" t="s">
        <v>4</v>
      </c>
      <c r="C15" s="51" t="s">
        <v>63</v>
      </c>
      <c r="D15" s="51"/>
      <c r="E15" s="51" t="s">
        <v>63</v>
      </c>
      <c r="F15" s="51" t="s">
        <v>63</v>
      </c>
      <c r="G15" s="51" t="s">
        <v>63</v>
      </c>
      <c r="I15" s="141"/>
      <c r="J15" s="141"/>
    </row>
    <row r="16" spans="1:10" ht="15" x14ac:dyDescent="0.25">
      <c r="A16" s="20">
        <v>1</v>
      </c>
      <c r="B16" s="21">
        <v>2</v>
      </c>
      <c r="C16" s="20">
        <v>3</v>
      </c>
      <c r="D16" s="20"/>
      <c r="E16" s="20">
        <v>3</v>
      </c>
      <c r="F16" s="20">
        <v>3</v>
      </c>
      <c r="G16" s="20">
        <v>3</v>
      </c>
    </row>
    <row r="17" spans="1:8" x14ac:dyDescent="0.25">
      <c r="A17" s="41"/>
      <c r="B17" s="39" t="s">
        <v>5</v>
      </c>
      <c r="C17" s="31"/>
      <c r="D17" s="31"/>
      <c r="E17" s="31"/>
      <c r="F17" s="31"/>
      <c r="G17" s="31"/>
    </row>
    <row r="18" spans="1:8" x14ac:dyDescent="0.25">
      <c r="A18" s="31">
        <v>1100</v>
      </c>
      <c r="B18" s="31" t="s">
        <v>132</v>
      </c>
      <c r="C18" s="33">
        <v>3034.7</v>
      </c>
      <c r="D18" s="33"/>
      <c r="E18" s="33">
        <v>1086.77</v>
      </c>
      <c r="F18" s="33">
        <f t="shared" ref="F18:F24" si="0">E18/100*200</f>
        <v>2173.54</v>
      </c>
      <c r="G18" s="33">
        <f>F18/200*110</f>
        <v>1195.4469999999999</v>
      </c>
    </row>
    <row r="19" spans="1:8" ht="15.75" customHeight="1" x14ac:dyDescent="0.35">
      <c r="A19" s="31">
        <v>1200</v>
      </c>
      <c r="B19" s="61" t="s">
        <v>133</v>
      </c>
      <c r="C19" s="33">
        <v>715.87</v>
      </c>
      <c r="D19" s="33"/>
      <c r="E19" s="33">
        <v>256.37</v>
      </c>
      <c r="F19" s="33">
        <f t="shared" si="0"/>
        <v>512.74</v>
      </c>
      <c r="G19" s="33">
        <f t="shared" ref="G19:G33" si="1">F19/200*110</f>
        <v>282.00700000000001</v>
      </c>
    </row>
    <row r="20" spans="1:8" ht="15.75" customHeight="1" x14ac:dyDescent="0.35">
      <c r="A20" s="31">
        <v>2210</v>
      </c>
      <c r="B20" s="62" t="s">
        <v>120</v>
      </c>
      <c r="C20" s="33">
        <v>153.78</v>
      </c>
      <c r="D20" s="33"/>
      <c r="E20" s="33">
        <v>46.6</v>
      </c>
      <c r="F20" s="33">
        <f t="shared" si="0"/>
        <v>93.2</v>
      </c>
      <c r="G20" s="33">
        <f t="shared" si="1"/>
        <v>51.260000000000005</v>
      </c>
    </row>
    <row r="21" spans="1:8" ht="15.75" customHeight="1" x14ac:dyDescent="0.35">
      <c r="A21" s="31">
        <v>2222</v>
      </c>
      <c r="B21" s="62" t="s">
        <v>135</v>
      </c>
      <c r="C21" s="33">
        <v>2549.5700000000002</v>
      </c>
      <c r="D21" s="33"/>
      <c r="E21" s="33">
        <v>772.65</v>
      </c>
      <c r="F21" s="33">
        <f t="shared" si="0"/>
        <v>1545.3</v>
      </c>
      <c r="G21" s="33">
        <f t="shared" si="1"/>
        <v>849.91499999999996</v>
      </c>
    </row>
    <row r="22" spans="1:8" ht="15.75" customHeight="1" x14ac:dyDescent="0.25">
      <c r="A22" s="31">
        <v>2223</v>
      </c>
      <c r="B22" s="32" t="s">
        <v>136</v>
      </c>
      <c r="C22" s="33">
        <v>1184.2</v>
      </c>
      <c r="D22" s="33"/>
      <c r="E22" s="33">
        <v>1480.25</v>
      </c>
      <c r="F22" s="33">
        <f t="shared" si="0"/>
        <v>2960.5</v>
      </c>
      <c r="G22" s="33">
        <f t="shared" si="1"/>
        <v>1628.2750000000001</v>
      </c>
    </row>
    <row r="23" spans="1:8" x14ac:dyDescent="0.25">
      <c r="A23" s="31">
        <v>2243</v>
      </c>
      <c r="B23" s="32" t="s">
        <v>137</v>
      </c>
      <c r="C23" s="33">
        <v>141.49</v>
      </c>
      <c r="D23" s="33"/>
      <c r="E23" s="33">
        <v>42.88</v>
      </c>
      <c r="F23" s="33">
        <f t="shared" si="0"/>
        <v>85.76</v>
      </c>
      <c r="G23" s="33">
        <f t="shared" si="1"/>
        <v>47.167999999999999</v>
      </c>
    </row>
    <row r="24" spans="1:8" x14ac:dyDescent="0.35">
      <c r="A24" s="31">
        <v>2244</v>
      </c>
      <c r="B24" s="22" t="s">
        <v>138</v>
      </c>
      <c r="C24" s="33">
        <v>3095.49</v>
      </c>
      <c r="D24" s="33"/>
      <c r="E24" s="33">
        <f>1183.4</f>
        <v>1183.4000000000001</v>
      </c>
      <c r="F24" s="33">
        <f t="shared" si="0"/>
        <v>2366.8000000000002</v>
      </c>
      <c r="G24" s="33">
        <f t="shared" si="1"/>
        <v>1301.7400000000002</v>
      </c>
    </row>
    <row r="25" spans="1:8" hidden="1" x14ac:dyDescent="0.35">
      <c r="A25" s="31">
        <v>2250</v>
      </c>
      <c r="B25" s="22" t="s">
        <v>124</v>
      </c>
      <c r="C25" s="33">
        <v>0</v>
      </c>
      <c r="D25" s="33"/>
      <c r="E25" s="33">
        <f>C25/330*200</f>
        <v>0</v>
      </c>
      <c r="F25" s="33"/>
      <c r="G25" s="33">
        <f t="shared" si="1"/>
        <v>0</v>
      </c>
    </row>
    <row r="26" spans="1:8" x14ac:dyDescent="0.25">
      <c r="A26" s="31">
        <v>2263</v>
      </c>
      <c r="B26" s="32" t="s">
        <v>149</v>
      </c>
      <c r="C26" s="33">
        <v>1311.76</v>
      </c>
      <c r="D26" s="33"/>
      <c r="E26" s="33">
        <v>552.53</v>
      </c>
      <c r="F26" s="33">
        <f>E26/100*200</f>
        <v>1105.06</v>
      </c>
      <c r="G26" s="33">
        <v>968.3</v>
      </c>
      <c r="H26" s="148"/>
    </row>
    <row r="27" spans="1:8" hidden="1" x14ac:dyDescent="0.35">
      <c r="A27" s="31">
        <v>2311</v>
      </c>
      <c r="B27" s="62" t="s">
        <v>151</v>
      </c>
      <c r="C27" s="33"/>
      <c r="D27" s="33"/>
      <c r="E27" s="33"/>
      <c r="F27" s="33"/>
      <c r="G27" s="33">
        <f t="shared" si="1"/>
        <v>0</v>
      </c>
    </row>
    <row r="28" spans="1:8" x14ac:dyDescent="0.25">
      <c r="A28" s="31">
        <v>2312</v>
      </c>
      <c r="B28" s="32" t="s">
        <v>116</v>
      </c>
      <c r="C28" s="33">
        <v>391.92</v>
      </c>
      <c r="D28" s="33"/>
      <c r="E28" s="33">
        <v>118.76</v>
      </c>
      <c r="F28" s="33">
        <f>E28/100*200</f>
        <v>237.52</v>
      </c>
      <c r="G28" s="33">
        <f t="shared" si="1"/>
        <v>130.636</v>
      </c>
    </row>
    <row r="29" spans="1:8" x14ac:dyDescent="0.25">
      <c r="A29" s="31">
        <v>2321</v>
      </c>
      <c r="B29" s="32" t="s">
        <v>139</v>
      </c>
      <c r="C29" s="33">
        <v>5398.86</v>
      </c>
      <c r="D29" s="33"/>
      <c r="E29" s="33">
        <v>1363.22</v>
      </c>
      <c r="F29" s="33">
        <f>E29/100*200</f>
        <v>2726.44</v>
      </c>
      <c r="G29" s="33">
        <f t="shared" si="1"/>
        <v>1499.5420000000001</v>
      </c>
    </row>
    <row r="30" spans="1:8" x14ac:dyDescent="0.35">
      <c r="A30" s="31">
        <v>2350</v>
      </c>
      <c r="B30" s="61" t="s">
        <v>125</v>
      </c>
      <c r="C30" s="33">
        <v>327.51</v>
      </c>
      <c r="D30" s="33"/>
      <c r="E30" s="33">
        <v>99.28</v>
      </c>
      <c r="F30" s="33">
        <f>E30/100*200</f>
        <v>198.56</v>
      </c>
      <c r="G30" s="33">
        <f t="shared" si="1"/>
        <v>109.208</v>
      </c>
    </row>
    <row r="31" spans="1:8" x14ac:dyDescent="0.25">
      <c r="A31" s="31">
        <v>2361</v>
      </c>
      <c r="B31" s="32" t="s">
        <v>141</v>
      </c>
      <c r="C31" s="33">
        <v>274.92</v>
      </c>
      <c r="D31" s="33"/>
      <c r="E31" s="33">
        <v>83.39</v>
      </c>
      <c r="F31" s="33">
        <f>E31/100*200</f>
        <v>166.78</v>
      </c>
      <c r="G31" s="33">
        <f t="shared" si="1"/>
        <v>91.728999999999999</v>
      </c>
    </row>
    <row r="32" spans="1:8" hidden="1" x14ac:dyDescent="0.35">
      <c r="A32" s="31">
        <v>2362</v>
      </c>
      <c r="B32" s="83" t="s">
        <v>156</v>
      </c>
      <c r="C32" s="33"/>
      <c r="D32" s="33"/>
      <c r="E32" s="33"/>
      <c r="F32" s="33"/>
      <c r="G32" s="33">
        <f t="shared" si="1"/>
        <v>0</v>
      </c>
    </row>
    <row r="33" spans="1:8" hidden="1" x14ac:dyDescent="0.35">
      <c r="A33" s="31">
        <v>2363</v>
      </c>
      <c r="B33" s="62" t="s">
        <v>142</v>
      </c>
      <c r="C33" s="33"/>
      <c r="D33" s="33"/>
      <c r="E33" s="33"/>
      <c r="F33" s="33"/>
      <c r="G33" s="33">
        <f t="shared" si="1"/>
        <v>0</v>
      </c>
    </row>
    <row r="34" spans="1:8" x14ac:dyDescent="0.35">
      <c r="A34" s="31">
        <v>2513</v>
      </c>
      <c r="B34" s="61" t="s">
        <v>121</v>
      </c>
      <c r="C34" s="33">
        <v>617.46</v>
      </c>
      <c r="D34" s="33"/>
      <c r="E34" s="33">
        <v>187.11</v>
      </c>
      <c r="F34" s="33">
        <f>E34/100*200</f>
        <v>374.22</v>
      </c>
      <c r="G34" s="33">
        <v>474.93</v>
      </c>
    </row>
    <row r="35" spans="1:8" x14ac:dyDescent="0.25">
      <c r="A35" s="31">
        <v>2519</v>
      </c>
      <c r="B35" s="32" t="s">
        <v>122</v>
      </c>
      <c r="C35" s="33">
        <v>437.23</v>
      </c>
      <c r="D35" s="33"/>
      <c r="E35" s="33">
        <v>132.49</v>
      </c>
      <c r="F35" s="33">
        <f>E35/100*200</f>
        <v>264.98</v>
      </c>
      <c r="G35" s="33">
        <v>71.08</v>
      </c>
      <c r="H35" s="148"/>
    </row>
    <row r="36" spans="1:8" x14ac:dyDescent="0.35">
      <c r="A36" s="31">
        <v>5239</v>
      </c>
      <c r="B36" s="61" t="s">
        <v>130</v>
      </c>
      <c r="C36" s="33"/>
      <c r="D36" s="33"/>
      <c r="E36" s="33"/>
      <c r="F36" s="33"/>
      <c r="G36" s="33">
        <v>277.52</v>
      </c>
    </row>
    <row r="37" spans="1:8" x14ac:dyDescent="0.25">
      <c r="A37" s="31"/>
      <c r="B37" s="36" t="s">
        <v>6</v>
      </c>
      <c r="C37" s="37">
        <f>SUM(C18:C35)</f>
        <v>19634.759999999995</v>
      </c>
      <c r="D37" s="37"/>
      <c r="E37" s="37">
        <f>SUM(E18:E35)</f>
        <v>7405.7</v>
      </c>
      <c r="F37" s="37">
        <f>SUM(F18:F35)</f>
        <v>14811.4</v>
      </c>
      <c r="G37" s="37">
        <v>8978.7800000000007</v>
      </c>
      <c r="H37" s="148"/>
    </row>
    <row r="38" spans="1:8" x14ac:dyDescent="0.25">
      <c r="A38" s="38"/>
      <c r="B38" s="31" t="s">
        <v>7</v>
      </c>
      <c r="C38" s="33"/>
      <c r="D38" s="33"/>
      <c r="E38" s="33"/>
      <c r="F38" s="33"/>
      <c r="G38" s="33"/>
    </row>
    <row r="39" spans="1:8" x14ac:dyDescent="0.25">
      <c r="A39" s="31">
        <v>1100</v>
      </c>
      <c r="B39" s="31" t="s">
        <v>132</v>
      </c>
      <c r="C39" s="33">
        <v>2930.86</v>
      </c>
      <c r="D39" s="33"/>
      <c r="E39" s="33">
        <v>1049.53</v>
      </c>
      <c r="F39" s="33">
        <f>E39/100*200</f>
        <v>2099.06</v>
      </c>
      <c r="G39" s="33">
        <f t="shared" ref="G39:G72" si="2">F39/200*110</f>
        <v>1154.4829999999999</v>
      </c>
    </row>
    <row r="40" spans="1:8" ht="15.75" customHeight="1" x14ac:dyDescent="0.35">
      <c r="A40" s="31">
        <v>1200</v>
      </c>
      <c r="B40" s="61" t="s">
        <v>133</v>
      </c>
      <c r="C40" s="33">
        <v>691.39</v>
      </c>
      <c r="D40" s="33"/>
      <c r="E40" s="33">
        <v>247.58</v>
      </c>
      <c r="F40" s="33">
        <f>E40/100*200</f>
        <v>495.16</v>
      </c>
      <c r="G40" s="33">
        <f t="shared" si="2"/>
        <v>272.33800000000002</v>
      </c>
    </row>
    <row r="41" spans="1:8" ht="15.75" hidden="1" customHeight="1" x14ac:dyDescent="0.25">
      <c r="A41" s="31">
        <v>2100</v>
      </c>
      <c r="B41" s="24" t="s">
        <v>45</v>
      </c>
      <c r="C41" s="33"/>
      <c r="D41" s="33"/>
      <c r="E41" s="33"/>
      <c r="F41" s="33"/>
      <c r="G41" s="33">
        <f t="shared" si="2"/>
        <v>0</v>
      </c>
    </row>
    <row r="42" spans="1:8" ht="15.75" hidden="1" customHeight="1" x14ac:dyDescent="0.35">
      <c r="A42" s="31">
        <v>2210</v>
      </c>
      <c r="B42" s="62" t="s">
        <v>120</v>
      </c>
      <c r="C42" s="33">
        <v>28.33</v>
      </c>
      <c r="D42" s="33"/>
      <c r="E42" s="33">
        <v>8.58</v>
      </c>
      <c r="F42" s="33">
        <f>E42/100*200</f>
        <v>17.16</v>
      </c>
      <c r="G42" s="33">
        <v>0</v>
      </c>
    </row>
    <row r="43" spans="1:8" ht="15.75" hidden="1" customHeight="1" x14ac:dyDescent="0.35">
      <c r="A43" s="31">
        <v>2222</v>
      </c>
      <c r="B43" s="62" t="s">
        <v>135</v>
      </c>
      <c r="C43" s="33"/>
      <c r="D43" s="33"/>
      <c r="E43" s="33"/>
      <c r="F43" s="33"/>
      <c r="G43" s="33">
        <f t="shared" si="2"/>
        <v>0</v>
      </c>
    </row>
    <row r="44" spans="1:8" ht="15.75" customHeight="1" x14ac:dyDescent="0.35">
      <c r="A44" s="31">
        <v>2223</v>
      </c>
      <c r="B44" s="62" t="s">
        <v>136</v>
      </c>
      <c r="C44" s="33"/>
      <c r="D44" s="33"/>
      <c r="E44" s="33"/>
      <c r="F44" s="33"/>
      <c r="G44" s="33">
        <f>9.44/2+0.08</f>
        <v>4.8</v>
      </c>
    </row>
    <row r="45" spans="1:8" ht="35.25" customHeight="1" x14ac:dyDescent="0.35">
      <c r="A45" s="31">
        <v>2224</v>
      </c>
      <c r="B45" s="62" t="s">
        <v>174</v>
      </c>
      <c r="C45" s="33"/>
      <c r="D45" s="33" t="s">
        <v>175</v>
      </c>
      <c r="E45" s="33">
        <v>24.3</v>
      </c>
      <c r="F45" s="33">
        <f>E45/100*200</f>
        <v>48.6</v>
      </c>
      <c r="G45" s="33">
        <f t="shared" si="2"/>
        <v>26.73</v>
      </c>
    </row>
    <row r="46" spans="1:8" hidden="1" x14ac:dyDescent="0.35">
      <c r="A46" s="31">
        <v>2231</v>
      </c>
      <c r="B46" s="22" t="s">
        <v>126</v>
      </c>
      <c r="C46" s="33"/>
      <c r="D46" s="33"/>
      <c r="E46" s="33"/>
      <c r="F46" s="33"/>
      <c r="G46" s="33">
        <f t="shared" si="2"/>
        <v>0</v>
      </c>
    </row>
    <row r="47" spans="1:8" hidden="1" x14ac:dyDescent="0.25">
      <c r="A47" s="31">
        <v>2235</v>
      </c>
      <c r="B47" s="75" t="s">
        <v>127</v>
      </c>
      <c r="C47" s="33"/>
      <c r="D47" s="33"/>
      <c r="E47" s="33"/>
      <c r="F47" s="33"/>
      <c r="G47" s="33">
        <f t="shared" si="2"/>
        <v>0</v>
      </c>
    </row>
    <row r="48" spans="1:8" ht="15.75" customHeight="1" x14ac:dyDescent="0.25">
      <c r="A48" s="31">
        <v>2239</v>
      </c>
      <c r="B48" s="32" t="s">
        <v>172</v>
      </c>
      <c r="C48" s="33">
        <v>35.14</v>
      </c>
      <c r="D48" s="33"/>
      <c r="E48" s="33">
        <v>10.65</v>
      </c>
      <c r="F48" s="33">
        <f>E48/100*200</f>
        <v>21.3</v>
      </c>
      <c r="G48" s="33">
        <f t="shared" si="2"/>
        <v>11.715</v>
      </c>
    </row>
    <row r="49" spans="1:7" x14ac:dyDescent="0.35">
      <c r="A49" s="31">
        <v>2241</v>
      </c>
      <c r="B49" s="22" t="s">
        <v>123</v>
      </c>
      <c r="C49" s="33">
        <v>7.36</v>
      </c>
      <c r="D49" s="33"/>
      <c r="E49" s="33">
        <f>2.23+175.87</f>
        <v>178.1</v>
      </c>
      <c r="F49" s="33">
        <f>E49/100*200</f>
        <v>356.2</v>
      </c>
      <c r="G49" s="33">
        <f t="shared" si="2"/>
        <v>195.91</v>
      </c>
    </row>
    <row r="50" spans="1:7" x14ac:dyDescent="0.25">
      <c r="A50" s="31">
        <v>2242</v>
      </c>
      <c r="B50" s="32" t="s">
        <v>145</v>
      </c>
      <c r="C50" s="33">
        <v>28.64</v>
      </c>
      <c r="D50" s="33"/>
      <c r="E50" s="33">
        <v>8.68</v>
      </c>
      <c r="F50" s="33">
        <f>E50/100*200</f>
        <v>17.36</v>
      </c>
      <c r="G50" s="33">
        <f t="shared" si="2"/>
        <v>9.548</v>
      </c>
    </row>
    <row r="51" spans="1:7" x14ac:dyDescent="0.25">
      <c r="A51" s="31">
        <v>2243</v>
      </c>
      <c r="B51" s="32" t="s">
        <v>137</v>
      </c>
      <c r="C51" s="33">
        <v>28.09</v>
      </c>
      <c r="D51" s="33"/>
      <c r="E51" s="33">
        <f>8.51+1.97</f>
        <v>10.48</v>
      </c>
      <c r="F51" s="33">
        <f>E51/100*200</f>
        <v>20.96</v>
      </c>
      <c r="G51" s="33">
        <f>F51/200*110</f>
        <v>11.528</v>
      </c>
    </row>
    <row r="52" spans="1:7" x14ac:dyDescent="0.35">
      <c r="A52" s="31">
        <v>2244</v>
      </c>
      <c r="B52" s="22" t="s">
        <v>138</v>
      </c>
      <c r="C52" s="33">
        <v>5.95</v>
      </c>
      <c r="D52" s="33"/>
      <c r="E52" s="33">
        <f>2.47+18.79+0.25</f>
        <v>21.509999999999998</v>
      </c>
      <c r="F52" s="33">
        <f>E52/100*200</f>
        <v>43.019999999999996</v>
      </c>
      <c r="G52" s="33">
        <f t="shared" si="2"/>
        <v>23.660999999999998</v>
      </c>
    </row>
    <row r="53" spans="1:7" hidden="1" x14ac:dyDescent="0.35">
      <c r="A53" s="31">
        <v>2247</v>
      </c>
      <c r="B53" s="22"/>
      <c r="C53" s="33"/>
      <c r="D53" s="33"/>
      <c r="E53" s="33"/>
      <c r="F53" s="33"/>
      <c r="G53" s="33">
        <f t="shared" si="2"/>
        <v>0</v>
      </c>
    </row>
    <row r="54" spans="1:7" x14ac:dyDescent="0.35">
      <c r="A54" s="31">
        <v>2249</v>
      </c>
      <c r="B54" s="22" t="s">
        <v>171</v>
      </c>
      <c r="C54" s="33">
        <v>7.51</v>
      </c>
      <c r="D54" s="33"/>
      <c r="E54" s="33">
        <f>2.28</f>
        <v>2.2799999999999998</v>
      </c>
      <c r="F54" s="33">
        <f>E54/100*200</f>
        <v>4.5599999999999996</v>
      </c>
      <c r="G54" s="33">
        <f t="shared" si="2"/>
        <v>2.5079999999999996</v>
      </c>
    </row>
    <row r="55" spans="1:7" x14ac:dyDescent="0.35">
      <c r="A55" s="31">
        <v>2250</v>
      </c>
      <c r="B55" s="22" t="s">
        <v>124</v>
      </c>
      <c r="C55" s="33">
        <v>64.95</v>
      </c>
      <c r="D55" s="33"/>
      <c r="E55" s="33">
        <f>19.68+0.28</f>
        <v>19.96</v>
      </c>
      <c r="F55" s="33">
        <f>E55/100*200</f>
        <v>39.92</v>
      </c>
      <c r="G55" s="33">
        <f t="shared" si="2"/>
        <v>21.956</v>
      </c>
    </row>
    <row r="56" spans="1:7" x14ac:dyDescent="0.25">
      <c r="A56" s="31">
        <v>2262</v>
      </c>
      <c r="B56" s="32" t="s">
        <v>148</v>
      </c>
      <c r="C56" s="33">
        <v>68.319999999999993</v>
      </c>
      <c r="D56" s="33"/>
      <c r="E56" s="33">
        <v>20.7</v>
      </c>
      <c r="F56" s="33">
        <f>E56/100*200</f>
        <v>41.4</v>
      </c>
      <c r="G56" s="33">
        <f t="shared" si="2"/>
        <v>22.77</v>
      </c>
    </row>
    <row r="57" spans="1:7" hidden="1" x14ac:dyDescent="0.25">
      <c r="A57" s="31">
        <v>2263</v>
      </c>
      <c r="B57" s="32" t="s">
        <v>149</v>
      </c>
      <c r="C57" s="33"/>
      <c r="D57" s="33"/>
      <c r="E57" s="33"/>
      <c r="F57" s="33"/>
      <c r="G57" s="33">
        <f t="shared" si="2"/>
        <v>0</v>
      </c>
    </row>
    <row r="58" spans="1:7" x14ac:dyDescent="0.25">
      <c r="A58" s="31">
        <v>2264</v>
      </c>
      <c r="B58" s="32" t="s">
        <v>173</v>
      </c>
      <c r="C58" s="33">
        <v>0.63</v>
      </c>
      <c r="D58" s="33"/>
      <c r="E58" s="33">
        <v>0.2</v>
      </c>
      <c r="F58" s="33">
        <f>E58/100*200</f>
        <v>0.4</v>
      </c>
      <c r="G58" s="33">
        <f t="shared" si="2"/>
        <v>0.22</v>
      </c>
    </row>
    <row r="59" spans="1:7" x14ac:dyDescent="0.25">
      <c r="A59" s="31">
        <v>2311</v>
      </c>
      <c r="B59" s="32" t="s">
        <v>151</v>
      </c>
      <c r="C59" s="33">
        <v>37.33</v>
      </c>
      <c r="D59" s="33"/>
      <c r="E59" s="33">
        <v>11.31</v>
      </c>
      <c r="F59" s="33">
        <f>E59/100*200</f>
        <v>22.62</v>
      </c>
      <c r="G59" s="33">
        <f t="shared" si="2"/>
        <v>12.441000000000001</v>
      </c>
    </row>
    <row r="60" spans="1:7" hidden="1" x14ac:dyDescent="0.25">
      <c r="A60" s="31">
        <v>2312</v>
      </c>
      <c r="B60" s="32" t="s">
        <v>116</v>
      </c>
      <c r="C60" s="33">
        <v>8.4499999999999993</v>
      </c>
      <c r="D60" s="33"/>
      <c r="E60" s="33"/>
      <c r="F60" s="33">
        <f>E60/100*200</f>
        <v>0</v>
      </c>
      <c r="G60" s="33">
        <f t="shared" si="2"/>
        <v>0</v>
      </c>
    </row>
    <row r="61" spans="1:7" hidden="1" x14ac:dyDescent="0.25">
      <c r="A61" s="31">
        <v>2314</v>
      </c>
      <c r="B61" s="75" t="s">
        <v>152</v>
      </c>
      <c r="C61" s="33"/>
      <c r="D61" s="33"/>
      <c r="E61" s="33"/>
      <c r="F61" s="33"/>
      <c r="G61" s="33">
        <f t="shared" si="2"/>
        <v>0</v>
      </c>
    </row>
    <row r="62" spans="1:7" x14ac:dyDescent="0.25">
      <c r="A62" s="31">
        <v>2321</v>
      </c>
      <c r="B62" s="32" t="s">
        <v>139</v>
      </c>
      <c r="C62" s="33"/>
      <c r="D62" s="33"/>
      <c r="E62" s="33"/>
      <c r="F62" s="33"/>
      <c r="G62" s="33">
        <f>9.44/2+0.09</f>
        <v>4.8099999999999996</v>
      </c>
    </row>
    <row r="63" spans="1:7" x14ac:dyDescent="0.25">
      <c r="A63" s="31">
        <v>2322</v>
      </c>
      <c r="B63" s="32" t="s">
        <v>153</v>
      </c>
      <c r="C63" s="33">
        <v>174.59</v>
      </c>
      <c r="D63" s="33"/>
      <c r="E63" s="33">
        <v>63.49</v>
      </c>
      <c r="F63" s="33">
        <f>E63/100*200</f>
        <v>126.98</v>
      </c>
      <c r="G63" s="33">
        <f t="shared" si="2"/>
        <v>69.838999999999999</v>
      </c>
    </row>
    <row r="64" spans="1:7" hidden="1" x14ac:dyDescent="0.35">
      <c r="A64" s="31">
        <v>2341</v>
      </c>
      <c r="B64" s="62" t="s">
        <v>140</v>
      </c>
      <c r="C64" s="33"/>
      <c r="D64" s="33"/>
      <c r="E64" s="33"/>
      <c r="F64" s="33"/>
      <c r="G64" s="33">
        <f t="shared" si="2"/>
        <v>0</v>
      </c>
    </row>
    <row r="65" spans="1:8" x14ac:dyDescent="0.35">
      <c r="A65" s="31">
        <v>2350</v>
      </c>
      <c r="B65" s="61" t="s">
        <v>125</v>
      </c>
      <c r="C65" s="33">
        <v>174.28</v>
      </c>
      <c r="D65" s="33"/>
      <c r="E65" s="33">
        <f>52.81+0.28</f>
        <v>53.09</v>
      </c>
      <c r="F65" s="33">
        <f>E65/100*200</f>
        <v>106.18</v>
      </c>
      <c r="G65" s="33">
        <f t="shared" si="2"/>
        <v>58.399000000000001</v>
      </c>
    </row>
    <row r="66" spans="1:8" hidden="1" x14ac:dyDescent="0.35">
      <c r="A66" s="31">
        <v>2513</v>
      </c>
      <c r="B66" s="61" t="s">
        <v>121</v>
      </c>
      <c r="C66" s="33"/>
      <c r="D66" s="33"/>
      <c r="E66" s="33"/>
      <c r="F66" s="33"/>
      <c r="G66" s="33">
        <f t="shared" si="2"/>
        <v>0</v>
      </c>
    </row>
    <row r="67" spans="1:8" x14ac:dyDescent="0.25">
      <c r="A67" s="31">
        <v>2515</v>
      </c>
      <c r="B67" s="32" t="s">
        <v>155</v>
      </c>
      <c r="C67" s="33">
        <v>11.97</v>
      </c>
      <c r="D67" s="33"/>
      <c r="E67" s="33">
        <v>3.63</v>
      </c>
      <c r="F67" s="33">
        <f>E67/100*200</f>
        <v>7.26</v>
      </c>
      <c r="G67" s="33">
        <v>28.21</v>
      </c>
    </row>
    <row r="68" spans="1:8" x14ac:dyDescent="0.25">
      <c r="A68" s="31">
        <v>2519</v>
      </c>
      <c r="B68" s="32" t="s">
        <v>122</v>
      </c>
      <c r="C68" s="33">
        <v>0.55000000000000004</v>
      </c>
      <c r="D68" s="33"/>
      <c r="E68" s="33">
        <v>0.17</v>
      </c>
      <c r="F68" s="33">
        <f>E68/100*200</f>
        <v>0.34</v>
      </c>
      <c r="G68" s="33">
        <v>0.19</v>
      </c>
    </row>
    <row r="69" spans="1:8" x14ac:dyDescent="0.35">
      <c r="A69" s="31">
        <v>5220</v>
      </c>
      <c r="B69" s="62" t="s">
        <v>128</v>
      </c>
      <c r="C69" s="33"/>
      <c r="D69" s="33"/>
      <c r="E69" s="33"/>
      <c r="F69" s="33"/>
      <c r="G69" s="33">
        <f t="shared" si="2"/>
        <v>0</v>
      </c>
    </row>
    <row r="70" spans="1:8" x14ac:dyDescent="0.35">
      <c r="A70" s="31">
        <v>5238</v>
      </c>
      <c r="B70" s="61" t="s">
        <v>129</v>
      </c>
      <c r="C70" s="33">
        <v>480.39</v>
      </c>
      <c r="D70" s="33"/>
      <c r="E70" s="33">
        <v>25.3</v>
      </c>
      <c r="F70" s="33">
        <f>E70/100*200</f>
        <v>50.6</v>
      </c>
      <c r="G70" s="33">
        <f t="shared" si="2"/>
        <v>27.830000000000002</v>
      </c>
    </row>
    <row r="71" spans="1:8" x14ac:dyDescent="0.35">
      <c r="A71" s="31">
        <v>5239</v>
      </c>
      <c r="B71" s="61" t="s">
        <v>130</v>
      </c>
      <c r="C71" s="33">
        <v>84.36</v>
      </c>
      <c r="D71" s="33"/>
      <c r="E71" s="33">
        <v>142.15</v>
      </c>
      <c r="F71" s="33">
        <f>E71/100*200</f>
        <v>284.3</v>
      </c>
      <c r="G71" s="33">
        <f t="shared" si="2"/>
        <v>156.36500000000001</v>
      </c>
    </row>
    <row r="72" spans="1:8" x14ac:dyDescent="0.25">
      <c r="A72" s="31">
        <v>5250</v>
      </c>
      <c r="B72" s="32" t="s">
        <v>131</v>
      </c>
      <c r="C72" s="33">
        <v>337.53</v>
      </c>
      <c r="D72" s="33"/>
      <c r="E72" s="33">
        <v>106.61</v>
      </c>
      <c r="F72" s="33">
        <f>E72/100*200</f>
        <v>213.22</v>
      </c>
      <c r="G72" s="33">
        <f t="shared" si="2"/>
        <v>117.271</v>
      </c>
    </row>
    <row r="73" spans="1:8" x14ac:dyDescent="0.25">
      <c r="A73" s="38"/>
      <c r="B73" s="40" t="s">
        <v>8</v>
      </c>
      <c r="C73" s="37">
        <f>SUM(C39:C72)</f>
        <v>5206.62</v>
      </c>
      <c r="D73" s="37"/>
      <c r="E73" s="37">
        <f>SUM(E39:E72)</f>
        <v>2008.3</v>
      </c>
      <c r="F73" s="37">
        <f>SUM(F39:F72)</f>
        <v>4016.6</v>
      </c>
      <c r="G73" s="37">
        <v>2233.52</v>
      </c>
      <c r="H73" s="191"/>
    </row>
    <row r="74" spans="1:8" x14ac:dyDescent="0.25">
      <c r="A74" s="38"/>
      <c r="B74" s="40" t="s">
        <v>29</v>
      </c>
      <c r="C74" s="37">
        <f>C73+C37</f>
        <v>24841.379999999994</v>
      </c>
      <c r="D74" s="37"/>
      <c r="E74" s="37">
        <f>E73+E37</f>
        <v>9414</v>
      </c>
      <c r="F74" s="37">
        <f>F73+F37</f>
        <v>18828</v>
      </c>
      <c r="G74" s="37">
        <f>G73+G37</f>
        <v>11212.300000000001</v>
      </c>
      <c r="H74" s="148"/>
    </row>
    <row r="75" spans="1:8" x14ac:dyDescent="0.35">
      <c r="A75" s="15"/>
      <c r="B75" s="25"/>
    </row>
    <row r="76" spans="1:8" ht="15" customHeight="1" x14ac:dyDescent="0.25">
      <c r="A76" s="419" t="s">
        <v>57</v>
      </c>
      <c r="B76" s="419"/>
      <c r="C76" s="19">
        <v>330</v>
      </c>
      <c r="D76" s="19"/>
      <c r="E76" s="67">
        <v>100</v>
      </c>
      <c r="F76" s="67">
        <v>200</v>
      </c>
      <c r="G76" s="67">
        <v>110</v>
      </c>
    </row>
    <row r="77" spans="1:8" ht="15" customHeight="1" x14ac:dyDescent="0.3">
      <c r="A77" s="419" t="s">
        <v>58</v>
      </c>
      <c r="B77" s="419"/>
      <c r="C77" s="23">
        <f>C74/C76</f>
        <v>75.276909090909072</v>
      </c>
      <c r="D77" s="23"/>
      <c r="E77" s="68">
        <f>E74/E76</f>
        <v>94.14</v>
      </c>
      <c r="F77" s="68">
        <f>F74/F76</f>
        <v>94.14</v>
      </c>
      <c r="G77" s="68">
        <f>G74/G76</f>
        <v>101.93</v>
      </c>
    </row>
    <row r="78" spans="1:8" x14ac:dyDescent="0.35">
      <c r="A78" s="25"/>
      <c r="B78" s="26"/>
    </row>
    <row r="79" spans="1:8" x14ac:dyDescent="0.35">
      <c r="A79" s="430" t="s">
        <v>33</v>
      </c>
      <c r="B79" s="431"/>
      <c r="C79" s="27"/>
      <c r="D79" s="27"/>
      <c r="E79" s="27"/>
      <c r="F79" s="27"/>
      <c r="G79" s="27"/>
      <c r="H79" s="148"/>
    </row>
    <row r="80" spans="1:8" x14ac:dyDescent="0.35">
      <c r="A80" s="430" t="s">
        <v>64</v>
      </c>
      <c r="B80" s="431"/>
      <c r="C80" s="27"/>
      <c r="D80" s="27"/>
      <c r="E80" s="27"/>
      <c r="F80" s="27"/>
      <c r="G80" s="27"/>
    </row>
    <row r="81" spans="1:7" x14ac:dyDescent="0.35">
      <c r="A81" s="28"/>
      <c r="B81" s="28"/>
      <c r="C81" s="28"/>
      <c r="D81" s="28"/>
      <c r="E81" s="28"/>
      <c r="F81" s="28"/>
      <c r="G81" s="28"/>
    </row>
    <row r="82" spans="1:7" x14ac:dyDescent="0.35">
      <c r="A82" s="28" t="s">
        <v>34</v>
      </c>
      <c r="B82" s="28"/>
      <c r="C82" s="28"/>
      <c r="D82" s="28"/>
      <c r="E82" s="28"/>
      <c r="F82" s="28"/>
      <c r="G82" s="28"/>
    </row>
    <row r="83" spans="1:7" x14ac:dyDescent="0.35">
      <c r="A83" s="28"/>
      <c r="B83" s="28"/>
      <c r="C83" s="28"/>
      <c r="D83" s="28"/>
      <c r="E83" s="28"/>
      <c r="F83" s="28"/>
      <c r="G83" s="81"/>
    </row>
    <row r="84" spans="1:7" x14ac:dyDescent="0.35">
      <c r="A84" s="28" t="s">
        <v>177</v>
      </c>
      <c r="B84" s="29"/>
      <c r="C84" s="28"/>
      <c r="D84" s="28"/>
      <c r="E84" s="81"/>
      <c r="F84" s="81"/>
      <c r="G84" s="81"/>
    </row>
    <row r="85" spans="1:7" ht="12" customHeight="1" x14ac:dyDescent="0.35">
      <c r="A85" s="28"/>
      <c r="B85" s="30"/>
      <c r="C85" s="28"/>
      <c r="D85" s="28"/>
      <c r="E85" s="28"/>
      <c r="F85" s="28"/>
      <c r="G85" s="28"/>
    </row>
    <row r="86" spans="1:7" ht="13.5" customHeight="1" x14ac:dyDescent="0.35"/>
    <row r="101" spans="9:10" x14ac:dyDescent="0.35">
      <c r="I101" s="2"/>
      <c r="J101" s="2"/>
    </row>
    <row r="102" spans="9:10" x14ac:dyDescent="0.35">
      <c r="I102" s="2"/>
      <c r="J102" s="2"/>
    </row>
    <row r="103" spans="9:10" x14ac:dyDescent="0.35">
      <c r="I103" s="2"/>
      <c r="J103" s="2"/>
    </row>
    <row r="104" spans="9:10" x14ac:dyDescent="0.35">
      <c r="I104" s="2"/>
      <c r="J104" s="2"/>
    </row>
    <row r="105" spans="9:10" x14ac:dyDescent="0.35">
      <c r="I105" s="2"/>
      <c r="J105" s="2"/>
    </row>
    <row r="106" spans="9:10" x14ac:dyDescent="0.35">
      <c r="I106" s="2"/>
      <c r="J106" s="2"/>
    </row>
    <row r="107" spans="9:10" x14ac:dyDescent="0.35">
      <c r="I107" s="2"/>
      <c r="J107" s="2"/>
    </row>
  </sheetData>
  <mergeCells count="8">
    <mergeCell ref="A79:B79"/>
    <mergeCell ref="A80:B80"/>
    <mergeCell ref="A7:C7"/>
    <mergeCell ref="A9:B9"/>
    <mergeCell ref="A10:B10"/>
    <mergeCell ref="B12:C12"/>
    <mergeCell ref="A76:B76"/>
    <mergeCell ref="A77:B77"/>
  </mergeCells>
  <pageMargins left="1.0420572916666666" right="0.97304687499999998" top="0.74803149606299213" bottom="0.46666666666666667" header="0.31496062992125984" footer="0.31496062992125984"/>
  <pageSetup paperSize="9" scale="65" orientation="portrait" r:id="rId1"/>
  <headerFooter>
    <oddFooter>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G85"/>
  <sheetViews>
    <sheetView view="pageLayout" zoomScale="80" zoomScaleNormal="100" zoomScalePageLayoutView="80" workbookViewId="0">
      <selection activeCell="B12" sqref="B12"/>
    </sheetView>
  </sheetViews>
  <sheetFormatPr defaultColWidth="9.1796875" defaultRowHeight="15.5" x14ac:dyDescent="0.35"/>
  <cols>
    <col min="1" max="1" width="12.54296875" style="13" customWidth="1"/>
    <col min="2" max="2" width="84.453125" style="13" customWidth="1"/>
    <col min="3" max="3" width="9.7265625" style="13" hidden="1" customWidth="1"/>
    <col min="4" max="4" width="28.26953125" style="135" hidden="1" customWidth="1"/>
    <col min="5" max="5" width="26.54296875" style="135" customWidth="1"/>
    <col min="6" max="16384" width="9.1796875" style="7"/>
  </cols>
  <sheetData>
    <row r="1" spans="1:5" ht="20.25" customHeight="1" x14ac:dyDescent="0.35">
      <c r="D1" s="17" t="s">
        <v>10</v>
      </c>
      <c r="E1" s="17" t="s">
        <v>10</v>
      </c>
    </row>
    <row r="2" spans="1:5" ht="20.25" customHeight="1" x14ac:dyDescent="0.35">
      <c r="D2" s="14" t="s">
        <v>32</v>
      </c>
      <c r="E2" s="14" t="s">
        <v>32</v>
      </c>
    </row>
    <row r="3" spans="1:5" ht="20.25" customHeight="1" x14ac:dyDescent="0.35">
      <c r="D3" s="77" t="s">
        <v>66</v>
      </c>
      <c r="E3" s="77" t="s">
        <v>66</v>
      </c>
    </row>
    <row r="4" spans="1:5" x14ac:dyDescent="0.35">
      <c r="D4" s="63"/>
      <c r="E4" s="63"/>
    </row>
    <row r="5" spans="1:5" x14ac:dyDescent="0.35">
      <c r="B5" s="17"/>
      <c r="C5" s="17"/>
      <c r="D5" s="15" t="s">
        <v>226</v>
      </c>
      <c r="E5" s="15" t="s">
        <v>333</v>
      </c>
    </row>
    <row r="6" spans="1:5" ht="9.75" customHeight="1" x14ac:dyDescent="0.35"/>
    <row r="7" spans="1:5" ht="15" x14ac:dyDescent="0.3">
      <c r="A7" s="416" t="s">
        <v>9</v>
      </c>
      <c r="B7" s="416"/>
      <c r="C7" s="70"/>
      <c r="D7" s="153"/>
      <c r="E7" s="153"/>
    </row>
    <row r="8" spans="1:5" ht="12" customHeight="1" x14ac:dyDescent="0.35">
      <c r="B8" s="18"/>
      <c r="C8" s="18"/>
    </row>
    <row r="9" spans="1:5" ht="15" customHeight="1" x14ac:dyDescent="0.35">
      <c r="A9" s="419" t="s">
        <v>1</v>
      </c>
      <c r="B9" s="419"/>
      <c r="C9" s="11"/>
    </row>
    <row r="10" spans="1:5" ht="15" customHeight="1" x14ac:dyDescent="0.35">
      <c r="A10" s="419" t="s">
        <v>0</v>
      </c>
      <c r="B10" s="419"/>
      <c r="C10" s="11"/>
    </row>
    <row r="11" spans="1:5" x14ac:dyDescent="0.35">
      <c r="A11" s="11"/>
      <c r="B11" s="11" t="s">
        <v>179</v>
      </c>
      <c r="C11" s="11"/>
    </row>
    <row r="12" spans="1:5" x14ac:dyDescent="0.25">
      <c r="A12" s="11"/>
      <c r="B12" s="11" t="s">
        <v>386</v>
      </c>
      <c r="C12" s="11"/>
      <c r="D12" s="153"/>
      <c r="E12" s="153"/>
    </row>
    <row r="13" spans="1:5" x14ac:dyDescent="0.25">
      <c r="A13" s="11"/>
      <c r="B13" s="11" t="s">
        <v>229</v>
      </c>
      <c r="C13" s="11"/>
      <c r="D13" s="153"/>
      <c r="E13" s="153"/>
    </row>
    <row r="14" spans="1:5" x14ac:dyDescent="0.35">
      <c r="A14" s="11" t="s">
        <v>2</v>
      </c>
      <c r="B14" s="11" t="s">
        <v>250</v>
      </c>
      <c r="C14" s="11"/>
    </row>
    <row r="15" spans="1:5" ht="62.25" customHeight="1" x14ac:dyDescent="0.25">
      <c r="A15" s="51" t="s">
        <v>3</v>
      </c>
      <c r="B15" s="51" t="s">
        <v>4</v>
      </c>
      <c r="C15" s="51"/>
      <c r="D15" s="51" t="s">
        <v>63</v>
      </c>
      <c r="E15" s="51" t="s">
        <v>63</v>
      </c>
    </row>
    <row r="16" spans="1:5" ht="15" x14ac:dyDescent="0.25">
      <c r="A16" s="20">
        <v>1</v>
      </c>
      <c r="B16" s="21">
        <v>2</v>
      </c>
      <c r="C16" s="21"/>
      <c r="D16" s="20">
        <v>3</v>
      </c>
      <c r="E16" s="20">
        <v>3</v>
      </c>
    </row>
    <row r="17" spans="1:7" x14ac:dyDescent="0.25">
      <c r="A17" s="41"/>
      <c r="B17" s="39" t="s">
        <v>5</v>
      </c>
      <c r="C17" s="39"/>
      <c r="D17" s="35"/>
      <c r="E17" s="35"/>
    </row>
    <row r="18" spans="1:7" x14ac:dyDescent="0.35">
      <c r="A18" s="31">
        <v>1100</v>
      </c>
      <c r="B18" s="31" t="s">
        <v>132</v>
      </c>
      <c r="C18" s="31"/>
      <c r="D18" s="133">
        <v>315.42</v>
      </c>
      <c r="E18" s="133">
        <v>315.42</v>
      </c>
    </row>
    <row r="19" spans="1:7" x14ac:dyDescent="0.35">
      <c r="A19" s="31">
        <v>1200</v>
      </c>
      <c r="B19" s="61" t="s">
        <v>133</v>
      </c>
      <c r="C19" s="61"/>
      <c r="D19" s="133">
        <v>74.41</v>
      </c>
      <c r="E19" s="133">
        <v>74.41</v>
      </c>
    </row>
    <row r="20" spans="1:7" ht="15.75" customHeight="1" x14ac:dyDescent="0.35">
      <c r="A20" s="31">
        <v>2210</v>
      </c>
      <c r="B20" s="62" t="s">
        <v>120</v>
      </c>
      <c r="C20" s="62"/>
      <c r="D20" s="133">
        <v>15.55</v>
      </c>
      <c r="E20" s="133">
        <v>15.55</v>
      </c>
    </row>
    <row r="21" spans="1:7" ht="15.75" customHeight="1" x14ac:dyDescent="0.35">
      <c r="A21" s="31">
        <v>2222</v>
      </c>
      <c r="B21" s="62" t="s">
        <v>135</v>
      </c>
      <c r="C21" s="62"/>
      <c r="D21" s="133">
        <v>355.42</v>
      </c>
      <c r="E21" s="133">
        <v>355.42</v>
      </c>
    </row>
    <row r="22" spans="1:7" ht="15.75" customHeight="1" x14ac:dyDescent="0.35">
      <c r="A22" s="31">
        <v>2223</v>
      </c>
      <c r="B22" s="32" t="s">
        <v>136</v>
      </c>
      <c r="C22" s="32"/>
      <c r="D22" s="133">
        <v>816.03</v>
      </c>
      <c r="E22" s="133">
        <v>816.03</v>
      </c>
    </row>
    <row r="23" spans="1:7" x14ac:dyDescent="0.35">
      <c r="A23" s="31">
        <v>2243</v>
      </c>
      <c r="B23" s="151" t="s">
        <v>137</v>
      </c>
      <c r="C23" s="151"/>
      <c r="D23" s="133">
        <v>17.149999999999999</v>
      </c>
      <c r="E23" s="133">
        <v>17.149999999999999</v>
      </c>
      <c r="G23" s="148"/>
    </row>
    <row r="24" spans="1:7" x14ac:dyDescent="0.35">
      <c r="A24" s="31">
        <v>2244</v>
      </c>
      <c r="B24" s="22" t="s">
        <v>138</v>
      </c>
      <c r="C24" s="22"/>
      <c r="D24" s="133">
        <v>236.6</v>
      </c>
      <c r="E24" s="133">
        <v>236.6</v>
      </c>
    </row>
    <row r="25" spans="1:7" hidden="1" x14ac:dyDescent="0.35">
      <c r="A25" s="31">
        <v>2250</v>
      </c>
      <c r="B25" s="22" t="s">
        <v>124</v>
      </c>
      <c r="C25" s="22"/>
      <c r="D25" s="133"/>
      <c r="E25" s="133"/>
    </row>
    <row r="26" spans="1:7" x14ac:dyDescent="0.35">
      <c r="A26" s="31">
        <v>2263</v>
      </c>
      <c r="B26" s="32" t="s">
        <v>149</v>
      </c>
      <c r="C26" s="32"/>
      <c r="D26" s="133">
        <v>127.08</v>
      </c>
      <c r="E26" s="133">
        <f>'4.4.1.'!G26/110/80*95*20</f>
        <v>209.06477272727273</v>
      </c>
    </row>
    <row r="27" spans="1:7" hidden="1" x14ac:dyDescent="0.35">
      <c r="A27" s="31">
        <v>2311</v>
      </c>
      <c r="B27" s="32" t="s">
        <v>151</v>
      </c>
      <c r="C27" s="32"/>
      <c r="D27" s="133"/>
      <c r="E27" s="133"/>
    </row>
    <row r="28" spans="1:7" x14ac:dyDescent="0.35">
      <c r="A28" s="31">
        <v>2312</v>
      </c>
      <c r="B28" s="32" t="s">
        <v>116</v>
      </c>
      <c r="C28" s="32"/>
      <c r="D28" s="133">
        <v>54.63</v>
      </c>
      <c r="E28" s="133">
        <v>54.63</v>
      </c>
    </row>
    <row r="29" spans="1:7" x14ac:dyDescent="0.35">
      <c r="A29" s="31">
        <v>2321</v>
      </c>
      <c r="B29" s="32" t="s">
        <v>139</v>
      </c>
      <c r="C29" s="32"/>
      <c r="D29" s="133">
        <v>751.51</v>
      </c>
      <c r="E29" s="133">
        <v>751.51</v>
      </c>
      <c r="F29" s="148"/>
    </row>
    <row r="30" spans="1:7" x14ac:dyDescent="0.35">
      <c r="A30" s="31">
        <v>2350</v>
      </c>
      <c r="B30" s="61" t="s">
        <v>125</v>
      </c>
      <c r="C30" s="61"/>
      <c r="D30" s="133">
        <v>45.67</v>
      </c>
      <c r="E30" s="133">
        <v>45.67</v>
      </c>
      <c r="F30" s="148"/>
    </row>
    <row r="31" spans="1:7" x14ac:dyDescent="0.35">
      <c r="A31" s="31">
        <v>2361</v>
      </c>
      <c r="B31" s="32" t="s">
        <v>141</v>
      </c>
      <c r="C31" s="32"/>
      <c r="D31" s="133">
        <v>66.709999999999994</v>
      </c>
      <c r="E31" s="133">
        <v>66.709999999999994</v>
      </c>
      <c r="F31" s="148"/>
    </row>
    <row r="32" spans="1:7" hidden="1" x14ac:dyDescent="0.35">
      <c r="A32" s="31">
        <v>2362</v>
      </c>
      <c r="B32" s="83" t="s">
        <v>156</v>
      </c>
      <c r="C32" s="32"/>
      <c r="D32" s="133"/>
      <c r="E32" s="133"/>
    </row>
    <row r="33" spans="1:6" hidden="1" x14ac:dyDescent="0.35">
      <c r="A33" s="31">
        <v>2363</v>
      </c>
      <c r="B33" s="62" t="s">
        <v>142</v>
      </c>
      <c r="C33" s="32"/>
      <c r="D33" s="133"/>
      <c r="E33" s="133"/>
    </row>
    <row r="34" spans="1:6" x14ac:dyDescent="0.35">
      <c r="A34" s="31">
        <v>2513</v>
      </c>
      <c r="B34" s="61" t="s">
        <v>121</v>
      </c>
      <c r="C34" s="61"/>
      <c r="D34" s="133">
        <v>43.04</v>
      </c>
      <c r="E34" s="133">
        <f>'4.4.1.'!G34/110/80*95*20</f>
        <v>102.54170454545454</v>
      </c>
    </row>
    <row r="35" spans="1:6" x14ac:dyDescent="0.35">
      <c r="A35" s="31">
        <v>2519</v>
      </c>
      <c r="B35" s="32" t="s">
        <v>122</v>
      </c>
      <c r="C35" s="32"/>
      <c r="D35" s="133">
        <v>30.48</v>
      </c>
      <c r="E35" s="133">
        <f>'4.4.1.'!G35/110/80*95*20</f>
        <v>15.346818181818183</v>
      </c>
    </row>
    <row r="36" spans="1:6" x14ac:dyDescent="0.35">
      <c r="A36" s="31">
        <v>5239</v>
      </c>
      <c r="B36" s="61" t="s">
        <v>130</v>
      </c>
      <c r="C36" s="32"/>
      <c r="D36" s="133"/>
      <c r="E36" s="133">
        <v>59.92</v>
      </c>
    </row>
    <row r="37" spans="1:6" x14ac:dyDescent="0.25">
      <c r="A37" s="31"/>
      <c r="B37" s="36" t="s">
        <v>6</v>
      </c>
      <c r="C37" s="36"/>
      <c r="D37" s="37">
        <f>SUM(D18:D35)</f>
        <v>2949.7000000000003</v>
      </c>
      <c r="E37" s="37">
        <f>SUM(E18:E36)</f>
        <v>3135.9732954545457</v>
      </c>
    </row>
    <row r="38" spans="1:6" x14ac:dyDescent="0.25">
      <c r="A38" s="38"/>
      <c r="B38" s="31" t="s">
        <v>7</v>
      </c>
      <c r="C38" s="31"/>
      <c r="D38" s="33"/>
      <c r="E38" s="33"/>
    </row>
    <row r="39" spans="1:6" x14ac:dyDescent="0.35">
      <c r="A39" s="31">
        <v>1100</v>
      </c>
      <c r="B39" s="31" t="s">
        <v>132</v>
      </c>
      <c r="C39" s="31">
        <v>0.50648000000000004</v>
      </c>
      <c r="D39" s="133">
        <v>345.76</v>
      </c>
      <c r="E39" s="133">
        <v>345.76</v>
      </c>
      <c r="F39" s="148"/>
    </row>
    <row r="40" spans="1:6" ht="15.75" customHeight="1" x14ac:dyDescent="0.35">
      <c r="A40" s="31">
        <v>1200</v>
      </c>
      <c r="B40" s="61" t="s">
        <v>133</v>
      </c>
      <c r="C40" s="31">
        <f>C39*0.2359</f>
        <v>0.11947863200000002</v>
      </c>
      <c r="D40" s="133">
        <v>81.56</v>
      </c>
      <c r="E40" s="133">
        <v>81.56</v>
      </c>
      <c r="F40" s="148"/>
    </row>
    <row r="41" spans="1:6" ht="15.75" hidden="1" customHeight="1" x14ac:dyDescent="0.35">
      <c r="A41" s="31">
        <v>2100</v>
      </c>
      <c r="B41" s="24" t="s">
        <v>45</v>
      </c>
      <c r="C41" s="31"/>
      <c r="D41" s="133"/>
      <c r="E41" s="133"/>
      <c r="F41" s="148"/>
    </row>
    <row r="42" spans="1:6" ht="15.75" hidden="1" customHeight="1" x14ac:dyDescent="0.35">
      <c r="A42" s="31">
        <v>2210</v>
      </c>
      <c r="B42" s="62" t="s">
        <v>120</v>
      </c>
      <c r="C42" s="31">
        <v>4.6800000000000001E-3</v>
      </c>
      <c r="D42" s="133">
        <v>2.83</v>
      </c>
      <c r="E42" s="133">
        <v>0</v>
      </c>
      <c r="F42" s="148"/>
    </row>
    <row r="43" spans="1:6" ht="15.75" hidden="1" customHeight="1" x14ac:dyDescent="0.35">
      <c r="A43" s="31">
        <v>2222</v>
      </c>
      <c r="B43" s="62" t="s">
        <v>135</v>
      </c>
      <c r="C43" s="31"/>
      <c r="D43" s="133"/>
      <c r="E43" s="133"/>
      <c r="F43" s="148"/>
    </row>
    <row r="44" spans="1:6" ht="15.75" customHeight="1" x14ac:dyDescent="0.35">
      <c r="A44" s="31">
        <v>2223</v>
      </c>
      <c r="B44" s="32" t="s">
        <v>136</v>
      </c>
      <c r="C44" s="31"/>
      <c r="D44" s="133"/>
      <c r="E44" s="133">
        <v>1.42</v>
      </c>
      <c r="F44" s="148"/>
    </row>
    <row r="45" spans="1:6" ht="30" customHeight="1" x14ac:dyDescent="0.35">
      <c r="A45" s="31">
        <v>2224</v>
      </c>
      <c r="B45" s="62" t="s">
        <v>174</v>
      </c>
      <c r="C45" s="62">
        <v>0.24299999999999999</v>
      </c>
      <c r="D45" s="133">
        <v>9.7200000000000006</v>
      </c>
      <c r="E45" s="133">
        <v>9.7200000000000006</v>
      </c>
      <c r="F45" s="148"/>
    </row>
    <row r="46" spans="1:6" hidden="1" x14ac:dyDescent="0.35">
      <c r="A46" s="31">
        <v>2231</v>
      </c>
      <c r="B46" s="22" t="s">
        <v>126</v>
      </c>
      <c r="C46" s="62"/>
      <c r="D46" s="133"/>
      <c r="E46" s="133"/>
      <c r="F46" s="148"/>
    </row>
    <row r="47" spans="1:6" hidden="1" x14ac:dyDescent="0.35">
      <c r="A47" s="31">
        <v>2235</v>
      </c>
      <c r="B47" s="75" t="s">
        <v>127</v>
      </c>
      <c r="C47" s="62"/>
      <c r="D47" s="133"/>
      <c r="E47" s="133"/>
      <c r="F47" s="148"/>
    </row>
    <row r="48" spans="1:6" ht="15.75" customHeight="1" x14ac:dyDescent="0.35">
      <c r="A48" s="31">
        <v>2239</v>
      </c>
      <c r="B48" s="32" t="s">
        <v>172</v>
      </c>
      <c r="C48" s="31">
        <v>5.8100000000000001E-3</v>
      </c>
      <c r="D48" s="133">
        <v>3.51</v>
      </c>
      <c r="E48" s="133">
        <v>3.51</v>
      </c>
      <c r="F48" s="148"/>
    </row>
    <row r="49" spans="1:6" x14ac:dyDescent="0.35">
      <c r="A49" s="31">
        <v>2241</v>
      </c>
      <c r="B49" s="22" t="s">
        <v>123</v>
      </c>
      <c r="C49" s="31">
        <v>9.7119999999999998E-2</v>
      </c>
      <c r="D49" s="133">
        <v>58.67</v>
      </c>
      <c r="E49" s="133">
        <v>58.67</v>
      </c>
      <c r="F49" s="148"/>
    </row>
    <row r="50" spans="1:6" x14ac:dyDescent="0.35">
      <c r="A50" s="31">
        <v>2242</v>
      </c>
      <c r="B50" s="32" t="s">
        <v>145</v>
      </c>
      <c r="C50" s="31">
        <v>4.7299999999999998E-3</v>
      </c>
      <c r="D50" s="133">
        <v>2.86</v>
      </c>
      <c r="E50" s="133">
        <v>2.86</v>
      </c>
      <c r="F50" s="148"/>
    </row>
    <row r="51" spans="1:6" x14ac:dyDescent="0.35">
      <c r="A51" s="31">
        <v>2243</v>
      </c>
      <c r="B51" s="32" t="s">
        <v>137</v>
      </c>
      <c r="C51" s="31">
        <f>0.00571+0.03045</f>
        <v>3.6159999999999998E-2</v>
      </c>
      <c r="D51" s="133">
        <v>21.85</v>
      </c>
      <c r="E51" s="133">
        <v>21.85</v>
      </c>
      <c r="F51" s="148"/>
    </row>
    <row r="52" spans="1:6" x14ac:dyDescent="0.35">
      <c r="A52" s="31">
        <v>2244</v>
      </c>
      <c r="B52" s="22" t="s">
        <v>138</v>
      </c>
      <c r="C52" s="31">
        <v>1.3500000000000001E-3</v>
      </c>
      <c r="D52" s="133">
        <f>0.82+6.19</f>
        <v>7.0100000000000007</v>
      </c>
      <c r="E52" s="133">
        <f>0.82+6.19</f>
        <v>7.0100000000000007</v>
      </c>
      <c r="F52" s="148"/>
    </row>
    <row r="53" spans="1:6" hidden="1" x14ac:dyDescent="0.35">
      <c r="A53" s="31">
        <v>2247</v>
      </c>
      <c r="B53" s="22"/>
      <c r="C53" s="31"/>
      <c r="D53" s="133"/>
      <c r="E53" s="133"/>
      <c r="F53" s="148"/>
    </row>
    <row r="54" spans="1:6" x14ac:dyDescent="0.35">
      <c r="A54" s="31">
        <v>2249</v>
      </c>
      <c r="B54" s="22" t="s">
        <v>171</v>
      </c>
      <c r="C54" s="31">
        <v>1.24E-3</v>
      </c>
      <c r="D54" s="133">
        <v>0.75</v>
      </c>
      <c r="E54" s="133">
        <v>0.75</v>
      </c>
      <c r="F54" s="148"/>
    </row>
    <row r="55" spans="1:6" x14ac:dyDescent="0.35">
      <c r="A55" s="31">
        <v>2250</v>
      </c>
      <c r="B55" s="22" t="s">
        <v>124</v>
      </c>
      <c r="C55" s="31">
        <v>1.0880000000000001E-2</v>
      </c>
      <c r="D55" s="133">
        <v>6.57</v>
      </c>
      <c r="E55" s="133">
        <v>6.57</v>
      </c>
      <c r="F55" s="148"/>
    </row>
    <row r="56" spans="1:6" x14ac:dyDescent="0.35">
      <c r="A56" s="31">
        <v>2262</v>
      </c>
      <c r="B56" s="32" t="s">
        <v>148</v>
      </c>
      <c r="C56" s="31">
        <v>1.129E-2</v>
      </c>
      <c r="D56" s="133">
        <v>6.82</v>
      </c>
      <c r="E56" s="133">
        <v>6.82</v>
      </c>
      <c r="F56" s="148"/>
    </row>
    <row r="57" spans="1:6" hidden="1" x14ac:dyDescent="0.35">
      <c r="A57" s="31">
        <v>2263</v>
      </c>
      <c r="B57" s="32" t="s">
        <v>149</v>
      </c>
      <c r="C57" s="31"/>
      <c r="D57" s="133"/>
      <c r="E57" s="133"/>
      <c r="F57" s="148"/>
    </row>
    <row r="58" spans="1:6" x14ac:dyDescent="0.35">
      <c r="A58" s="31">
        <v>2264</v>
      </c>
      <c r="B58" s="32" t="s">
        <v>173</v>
      </c>
      <c r="C58" s="31">
        <v>1.1E-4</v>
      </c>
      <c r="D58" s="133">
        <v>7.0000000000000007E-2</v>
      </c>
      <c r="E58" s="133">
        <v>7.0000000000000007E-2</v>
      </c>
      <c r="F58" s="148"/>
    </row>
    <row r="59" spans="1:6" x14ac:dyDescent="0.35">
      <c r="A59" s="31">
        <v>2311</v>
      </c>
      <c r="B59" s="32" t="s">
        <v>151</v>
      </c>
      <c r="C59" s="31">
        <v>6.1700000000000001E-3</v>
      </c>
      <c r="D59" s="133">
        <v>3.72</v>
      </c>
      <c r="E59" s="133">
        <v>3.72</v>
      </c>
      <c r="F59" s="148"/>
    </row>
    <row r="60" spans="1:6" hidden="1" x14ac:dyDescent="0.35">
      <c r="A60" s="31">
        <v>2312</v>
      </c>
      <c r="B60" s="32" t="s">
        <v>116</v>
      </c>
      <c r="C60" s="31">
        <v>1.025E-2</v>
      </c>
      <c r="D60" s="133">
        <v>0</v>
      </c>
      <c r="E60" s="133">
        <v>0</v>
      </c>
      <c r="F60" s="148"/>
    </row>
    <row r="61" spans="1:6" hidden="1" x14ac:dyDescent="0.35">
      <c r="A61" s="31">
        <v>2314</v>
      </c>
      <c r="B61" s="75" t="s">
        <v>152</v>
      </c>
      <c r="C61" s="31"/>
      <c r="D61" s="133"/>
      <c r="E61" s="133"/>
      <c r="F61" s="148"/>
    </row>
    <row r="62" spans="1:6" x14ac:dyDescent="0.35">
      <c r="A62" s="31">
        <v>2321</v>
      </c>
      <c r="B62" s="32" t="s">
        <v>139</v>
      </c>
      <c r="C62" s="31"/>
      <c r="D62" s="133"/>
      <c r="E62" s="133">
        <f>2.83/2+0.04</f>
        <v>1.4550000000000001</v>
      </c>
      <c r="F62" s="148"/>
    </row>
    <row r="63" spans="1:6" x14ac:dyDescent="0.35">
      <c r="A63" s="31">
        <v>2322</v>
      </c>
      <c r="B63" s="32" t="s">
        <v>153</v>
      </c>
      <c r="C63" s="31">
        <v>4.1999999999999997E-3</v>
      </c>
      <c r="D63" s="133">
        <v>3.67</v>
      </c>
      <c r="E63" s="133">
        <v>3.67</v>
      </c>
      <c r="F63" s="148"/>
    </row>
    <row r="64" spans="1:6" hidden="1" x14ac:dyDescent="0.35">
      <c r="A64" s="31">
        <v>2341</v>
      </c>
      <c r="B64" s="62" t="s">
        <v>140</v>
      </c>
      <c r="C64" s="31"/>
      <c r="D64" s="133"/>
      <c r="E64" s="133"/>
      <c r="F64" s="148"/>
    </row>
    <row r="65" spans="1:6" x14ac:dyDescent="0.35">
      <c r="A65" s="31">
        <v>2350</v>
      </c>
      <c r="B65" s="61" t="s">
        <v>125</v>
      </c>
      <c r="C65" s="31">
        <v>2.895E-2</v>
      </c>
      <c r="D65" s="133">
        <v>17.440000000000001</v>
      </c>
      <c r="E65" s="133">
        <v>17.440000000000001</v>
      </c>
      <c r="F65" s="148"/>
    </row>
    <row r="66" spans="1:6" hidden="1" x14ac:dyDescent="0.35">
      <c r="A66" s="31">
        <v>2513</v>
      </c>
      <c r="B66" s="61" t="s">
        <v>121</v>
      </c>
      <c r="C66" s="31"/>
      <c r="D66" s="133"/>
      <c r="E66" s="133"/>
      <c r="F66" s="148"/>
    </row>
    <row r="67" spans="1:6" x14ac:dyDescent="0.35">
      <c r="A67" s="31">
        <v>2515</v>
      </c>
      <c r="B67" s="32" t="s">
        <v>155</v>
      </c>
      <c r="C67" s="152">
        <v>2E-3</v>
      </c>
      <c r="D67" s="133">
        <v>1.21</v>
      </c>
      <c r="E67" s="133">
        <f>'4.4.1.'!G67/110/80*95*20</f>
        <v>6.0907954545454546</v>
      </c>
      <c r="F67" s="148"/>
    </row>
    <row r="68" spans="1:6" x14ac:dyDescent="0.35">
      <c r="A68" s="31">
        <v>2519</v>
      </c>
      <c r="B68" s="32" t="s">
        <v>122</v>
      </c>
      <c r="C68" s="152">
        <v>1E-4</v>
      </c>
      <c r="D68" s="133">
        <v>0.06</v>
      </c>
      <c r="E68" s="133">
        <v>0.06</v>
      </c>
      <c r="F68" s="148"/>
    </row>
    <row r="69" spans="1:6" hidden="1" x14ac:dyDescent="0.35">
      <c r="A69" s="31">
        <v>5220</v>
      </c>
      <c r="B69" s="62" t="s">
        <v>128</v>
      </c>
      <c r="C69" s="152"/>
      <c r="D69" s="133"/>
      <c r="E69" s="133"/>
      <c r="F69" s="148"/>
    </row>
    <row r="70" spans="1:6" x14ac:dyDescent="0.35">
      <c r="A70" s="31">
        <v>5238</v>
      </c>
      <c r="B70" s="61" t="s">
        <v>129</v>
      </c>
      <c r="C70" s="152">
        <v>1.34E-2</v>
      </c>
      <c r="D70" s="133">
        <v>8.1</v>
      </c>
      <c r="E70" s="133">
        <v>8.1</v>
      </c>
      <c r="F70" s="148"/>
    </row>
    <row r="71" spans="1:6" x14ac:dyDescent="0.35">
      <c r="A71" s="31">
        <v>5239</v>
      </c>
      <c r="B71" s="61" t="s">
        <v>130</v>
      </c>
      <c r="C71" s="152">
        <v>7.7499999999999999E-2</v>
      </c>
      <c r="D71" s="133">
        <v>46.82</v>
      </c>
      <c r="E71" s="133">
        <v>46.82</v>
      </c>
      <c r="F71" s="148"/>
    </row>
    <row r="72" spans="1:6" x14ac:dyDescent="0.35">
      <c r="A72" s="31">
        <v>5250</v>
      </c>
      <c r="B72" s="32" t="s">
        <v>131</v>
      </c>
      <c r="C72" s="152">
        <v>5.8099999999999999E-2</v>
      </c>
      <c r="D72" s="133">
        <v>35.1</v>
      </c>
      <c r="E72" s="133">
        <v>35.1</v>
      </c>
      <c r="F72" s="148"/>
    </row>
    <row r="73" spans="1:6" x14ac:dyDescent="0.25">
      <c r="A73" s="38"/>
      <c r="B73" s="40" t="s">
        <v>8</v>
      </c>
      <c r="C73" s="155">
        <f>SUM(C39:C72)</f>
        <v>1.2429986320000002</v>
      </c>
      <c r="D73" s="37">
        <f>SUM(D39:D72)</f>
        <v>664.10000000000025</v>
      </c>
      <c r="E73" s="37">
        <f>SUM(E39:E72)</f>
        <v>669.02579545454569</v>
      </c>
      <c r="F73" s="148"/>
    </row>
    <row r="74" spans="1:6" x14ac:dyDescent="0.25">
      <c r="A74" s="38"/>
      <c r="B74" s="40" t="s">
        <v>29</v>
      </c>
      <c r="C74" s="40"/>
      <c r="D74" s="137">
        <f>D37+D73</f>
        <v>3613.8000000000006</v>
      </c>
      <c r="E74" s="137">
        <f>E37+E73</f>
        <v>3804.9990909090911</v>
      </c>
    </row>
    <row r="75" spans="1:6" ht="15" customHeight="1" x14ac:dyDescent="0.35">
      <c r="A75" s="15"/>
      <c r="B75" s="25"/>
      <c r="C75" s="25"/>
      <c r="D75" s="160"/>
      <c r="E75" s="160"/>
    </row>
    <row r="76" spans="1:6" ht="15" customHeight="1" x14ac:dyDescent="0.25">
      <c r="A76" s="419" t="s">
        <v>57</v>
      </c>
      <c r="B76" s="419"/>
      <c r="C76" s="11"/>
      <c r="D76" s="159">
        <v>20</v>
      </c>
      <c r="E76" s="159">
        <v>20</v>
      </c>
    </row>
    <row r="77" spans="1:6" ht="18.75" customHeight="1" x14ac:dyDescent="0.3">
      <c r="A77" s="419" t="s">
        <v>58</v>
      </c>
      <c r="B77" s="419"/>
      <c r="C77" s="11"/>
      <c r="D77" s="68">
        <f>D74/D76</f>
        <v>180.69000000000003</v>
      </c>
      <c r="E77" s="68">
        <f>E74/E76</f>
        <v>190.24995454545456</v>
      </c>
    </row>
    <row r="78" spans="1:6" x14ac:dyDescent="0.35">
      <c r="A78" s="25"/>
      <c r="B78" s="26"/>
      <c r="C78" s="26"/>
      <c r="D78" s="26"/>
      <c r="E78" s="26"/>
    </row>
    <row r="79" spans="1:6" x14ac:dyDescent="0.35">
      <c r="A79" s="430" t="s">
        <v>33</v>
      </c>
      <c r="B79" s="431"/>
      <c r="C79" s="143"/>
      <c r="D79" s="162"/>
      <c r="E79" s="162"/>
    </row>
    <row r="80" spans="1:6" x14ac:dyDescent="0.35">
      <c r="A80" s="430" t="s">
        <v>64</v>
      </c>
      <c r="B80" s="431"/>
      <c r="C80" s="143"/>
      <c r="D80" s="138"/>
      <c r="E80" s="138"/>
    </row>
    <row r="81" spans="1:5" ht="14.25" customHeight="1" x14ac:dyDescent="0.35">
      <c r="A81" s="28"/>
      <c r="B81" s="28"/>
      <c r="C81" s="28"/>
      <c r="D81" s="161"/>
      <c r="E81" s="161"/>
    </row>
    <row r="82" spans="1:5" x14ac:dyDescent="0.35">
      <c r="A82" s="28" t="s">
        <v>34</v>
      </c>
      <c r="B82" s="28"/>
      <c r="C82" s="28"/>
      <c r="D82" s="154"/>
      <c r="E82" s="154"/>
    </row>
    <row r="83" spans="1:5" x14ac:dyDescent="0.35">
      <c r="A83" s="28"/>
      <c r="B83" s="28"/>
      <c r="C83" s="28"/>
      <c r="D83" s="30"/>
      <c r="E83" s="154"/>
    </row>
    <row r="84" spans="1:5" x14ac:dyDescent="0.35">
      <c r="A84" s="28" t="s">
        <v>177</v>
      </c>
      <c r="B84" s="29"/>
      <c r="C84" s="29"/>
      <c r="D84" s="154"/>
      <c r="E84" s="154"/>
    </row>
    <row r="85" spans="1:5" x14ac:dyDescent="0.35">
      <c r="A85" s="28"/>
      <c r="B85" s="30"/>
      <c r="C85" s="30"/>
      <c r="D85" s="30"/>
      <c r="E85" s="30"/>
    </row>
  </sheetData>
  <mergeCells count="7">
    <mergeCell ref="A79:B79"/>
    <mergeCell ref="A7:B7"/>
    <mergeCell ref="A9:B9"/>
    <mergeCell ref="A10:B10"/>
    <mergeCell ref="A80:B80"/>
    <mergeCell ref="A76:B76"/>
    <mergeCell ref="A77:B77"/>
  </mergeCells>
  <pageMargins left="0.70866141732283472" right="0.70866141732283472" top="0.70866141732283472" bottom="0.55118110236220474" header="0.31496062992125984" footer="0.31496062992125984"/>
  <pageSetup paperSize="9" scale="68" orientation="portrait" r:id="rId1"/>
  <headerFooter>
    <oddFooter>&amp;C&amp;"Times New Roman,Regular"&amp;F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107"/>
  <sheetViews>
    <sheetView view="pageLayout" topLeftCell="A6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2.7265625" style="13" customWidth="1"/>
    <col min="2" max="2" width="85.453125" style="13" customWidth="1"/>
    <col min="3" max="3" width="36.1796875" style="13" hidden="1" customWidth="1"/>
    <col min="4" max="4" width="32.26953125" style="13" hidden="1" customWidth="1"/>
    <col min="5" max="6" width="31.7265625" style="13" hidden="1" customWidth="1"/>
    <col min="7" max="7" width="26.453125" style="13" customWidth="1"/>
    <col min="8" max="16384" width="9.1796875" style="7"/>
  </cols>
  <sheetData>
    <row r="1" spans="1:9" x14ac:dyDescent="0.35">
      <c r="C1" s="53" t="s">
        <v>10</v>
      </c>
      <c r="D1" s="17" t="s">
        <v>10</v>
      </c>
      <c r="E1" s="17" t="s">
        <v>10</v>
      </c>
      <c r="F1" s="17" t="s">
        <v>10</v>
      </c>
      <c r="G1" s="17" t="s">
        <v>10</v>
      </c>
    </row>
    <row r="2" spans="1:9" x14ac:dyDescent="0.35">
      <c r="C2" s="54" t="s">
        <v>32</v>
      </c>
      <c r="D2" s="14" t="s">
        <v>32</v>
      </c>
      <c r="E2" s="14" t="s">
        <v>32</v>
      </c>
      <c r="F2" s="14" t="s">
        <v>32</v>
      </c>
      <c r="G2" s="14" t="s">
        <v>32</v>
      </c>
    </row>
    <row r="3" spans="1:9" x14ac:dyDescent="0.35">
      <c r="C3" s="55" t="s">
        <v>66</v>
      </c>
      <c r="D3" s="77" t="s">
        <v>66</v>
      </c>
      <c r="E3" s="77" t="s">
        <v>66</v>
      </c>
      <c r="F3" s="77" t="s">
        <v>66</v>
      </c>
      <c r="G3" s="77" t="s">
        <v>66</v>
      </c>
    </row>
    <row r="4" spans="1:9" x14ac:dyDescent="0.35">
      <c r="C4" s="54"/>
      <c r="D4" s="63"/>
      <c r="E4" s="63"/>
      <c r="F4" s="63"/>
      <c r="G4" s="63"/>
    </row>
    <row r="5" spans="1:9" x14ac:dyDescent="0.35">
      <c r="C5" s="54" t="s">
        <v>67</v>
      </c>
      <c r="D5" s="15" t="s">
        <v>178</v>
      </c>
      <c r="E5" s="15" t="s">
        <v>226</v>
      </c>
      <c r="F5" s="15" t="s">
        <v>263</v>
      </c>
      <c r="G5" s="15" t="s">
        <v>333</v>
      </c>
    </row>
    <row r="7" spans="1:9" ht="15" x14ac:dyDescent="0.3">
      <c r="A7" s="416" t="s">
        <v>9</v>
      </c>
      <c r="B7" s="416"/>
      <c r="C7" s="416"/>
      <c r="D7" s="7"/>
      <c r="E7" s="7"/>
      <c r="F7" s="7"/>
      <c r="G7" s="7"/>
    </row>
    <row r="8" spans="1:9" x14ac:dyDescent="0.35">
      <c r="B8" s="18"/>
    </row>
    <row r="9" spans="1:9" x14ac:dyDescent="0.35">
      <c r="A9" s="419" t="s">
        <v>1</v>
      </c>
      <c r="B9" s="419"/>
    </row>
    <row r="10" spans="1:9" x14ac:dyDescent="0.35">
      <c r="A10" s="419" t="s">
        <v>0</v>
      </c>
      <c r="B10" s="419"/>
    </row>
    <row r="11" spans="1:9" x14ac:dyDescent="0.35">
      <c r="A11" s="11"/>
      <c r="B11" s="11" t="s">
        <v>179</v>
      </c>
    </row>
    <row r="12" spans="1:9" x14ac:dyDescent="0.25">
      <c r="A12" s="11"/>
      <c r="B12" s="419" t="s">
        <v>233</v>
      </c>
      <c r="C12" s="419"/>
      <c r="D12" s="7"/>
      <c r="E12" s="7"/>
      <c r="F12" s="7"/>
      <c r="G12" s="7"/>
      <c r="H12" s="52"/>
      <c r="I12" s="52"/>
    </row>
    <row r="13" spans="1:9" x14ac:dyDescent="0.25">
      <c r="A13" s="11"/>
      <c r="B13" s="11" t="s">
        <v>230</v>
      </c>
      <c r="C13" s="11"/>
      <c r="D13" s="7"/>
      <c r="E13" s="7"/>
      <c r="F13" s="7"/>
      <c r="G13" s="7"/>
      <c r="H13" s="52"/>
      <c r="I13" s="52"/>
    </row>
    <row r="14" spans="1:9" x14ac:dyDescent="0.35">
      <c r="A14" s="11" t="s">
        <v>2</v>
      </c>
      <c r="B14" s="11" t="str">
        <f>'4.4.2.'!B14</f>
        <v>2025.gadā un turpmāk</v>
      </c>
    </row>
    <row r="15" spans="1:9" ht="62" x14ac:dyDescent="0.25">
      <c r="A15" s="51" t="s">
        <v>3</v>
      </c>
      <c r="B15" s="51" t="s">
        <v>4</v>
      </c>
      <c r="C15" s="51" t="s">
        <v>63</v>
      </c>
      <c r="D15" s="51" t="s">
        <v>63</v>
      </c>
      <c r="E15" s="51" t="s">
        <v>63</v>
      </c>
      <c r="F15" s="51" t="s">
        <v>63</v>
      </c>
      <c r="G15" s="51" t="s">
        <v>63</v>
      </c>
    </row>
    <row r="16" spans="1:9" ht="15" x14ac:dyDescent="0.25">
      <c r="A16" s="20">
        <v>1</v>
      </c>
      <c r="B16" s="21">
        <v>2</v>
      </c>
      <c r="C16" s="20">
        <v>4</v>
      </c>
      <c r="D16" s="20">
        <v>3</v>
      </c>
      <c r="E16" s="20">
        <v>3</v>
      </c>
      <c r="F16" s="20">
        <v>3</v>
      </c>
      <c r="G16" s="20">
        <v>3</v>
      </c>
    </row>
    <row r="17" spans="1:7" x14ac:dyDescent="0.25">
      <c r="A17" s="41"/>
      <c r="B17" s="39" t="s">
        <v>5</v>
      </c>
      <c r="C17" s="31"/>
      <c r="D17" s="31"/>
      <c r="E17" s="31"/>
      <c r="F17" s="31"/>
      <c r="G17" s="31"/>
    </row>
    <row r="18" spans="1:7" x14ac:dyDescent="0.25">
      <c r="A18" s="31">
        <v>1100</v>
      </c>
      <c r="B18" s="31" t="s">
        <v>132</v>
      </c>
      <c r="C18" s="33">
        <v>2493.25</v>
      </c>
      <c r="D18" s="33">
        <v>701.52</v>
      </c>
      <c r="E18" s="33">
        <f t="shared" ref="E18:E24" si="0">D18/100*200</f>
        <v>1403.04</v>
      </c>
      <c r="F18" s="33">
        <f>'4.6.2.'!D18/20*150*1.186823</f>
        <v>1056.1537876999998</v>
      </c>
      <c r="G18" s="33">
        <v>1056.1500000000001</v>
      </c>
    </row>
    <row r="19" spans="1:7" ht="15.75" customHeight="1" x14ac:dyDescent="0.35">
      <c r="A19" s="31">
        <v>1200</v>
      </c>
      <c r="B19" s="61" t="s">
        <v>133</v>
      </c>
      <c r="C19" s="33">
        <v>588.16</v>
      </c>
      <c r="D19" s="33">
        <v>165.49</v>
      </c>
      <c r="E19" s="33">
        <f t="shared" si="0"/>
        <v>330.98</v>
      </c>
      <c r="F19" s="33">
        <f>'4.6.2.'!D19/20*150*1.186823</f>
        <v>249.17348885000001</v>
      </c>
      <c r="G19" s="33">
        <v>249.15</v>
      </c>
    </row>
    <row r="20" spans="1:7" x14ac:dyDescent="0.35">
      <c r="A20" s="31">
        <v>2210</v>
      </c>
      <c r="B20" s="62" t="s">
        <v>120</v>
      </c>
      <c r="C20" s="33">
        <v>89.93</v>
      </c>
      <c r="D20" s="33">
        <v>22.48</v>
      </c>
      <c r="E20" s="33">
        <f t="shared" si="0"/>
        <v>44.96</v>
      </c>
      <c r="F20" s="33">
        <f>'4.6.2.'!D20/20*150*1.186823</f>
        <v>59.578514599999984</v>
      </c>
      <c r="G20" s="33">
        <v>59.58</v>
      </c>
    </row>
    <row r="21" spans="1:7" x14ac:dyDescent="0.35">
      <c r="A21" s="31">
        <v>2222</v>
      </c>
      <c r="B21" s="62" t="s">
        <v>135</v>
      </c>
      <c r="C21" s="33">
        <v>2866.3</v>
      </c>
      <c r="D21" s="33">
        <v>824.07</v>
      </c>
      <c r="E21" s="33">
        <f t="shared" si="0"/>
        <v>1648.14</v>
      </c>
      <c r="F21" s="33">
        <f>'4.6.2.'!D21/20*150*1.186823</f>
        <v>1411.3105704500001</v>
      </c>
      <c r="G21" s="33">
        <v>1411.31</v>
      </c>
    </row>
    <row r="22" spans="1:7" x14ac:dyDescent="0.25">
      <c r="A22" s="31">
        <v>2223</v>
      </c>
      <c r="B22" s="32" t="s">
        <v>136</v>
      </c>
      <c r="C22" s="33">
        <v>1839.08</v>
      </c>
      <c r="D22" s="33">
        <v>1064.29</v>
      </c>
      <c r="E22" s="33">
        <f t="shared" si="0"/>
        <v>2128.58</v>
      </c>
      <c r="F22" s="33">
        <f>'4.6.2.'!D22/20*150*1.186823</f>
        <v>2013.6232429500001</v>
      </c>
      <c r="G22" s="33">
        <v>2013.62</v>
      </c>
    </row>
    <row r="23" spans="1:7" x14ac:dyDescent="0.25">
      <c r="A23" s="31">
        <v>2243</v>
      </c>
      <c r="B23" s="151" t="s">
        <v>137</v>
      </c>
      <c r="C23" s="33">
        <v>82.81</v>
      </c>
      <c r="D23" s="33">
        <v>20.7</v>
      </c>
      <c r="E23" s="33">
        <f t="shared" si="0"/>
        <v>41.4</v>
      </c>
      <c r="F23" s="33">
        <f>'4.6.2.'!D23/20*150*1.186823</f>
        <v>76.372060049999988</v>
      </c>
      <c r="G23" s="33">
        <v>76.37</v>
      </c>
    </row>
    <row r="24" spans="1:7" x14ac:dyDescent="0.35">
      <c r="A24" s="31">
        <v>2244</v>
      </c>
      <c r="B24" s="22" t="s">
        <v>138</v>
      </c>
      <c r="C24" s="33">
        <v>1810.72</v>
      </c>
      <c r="D24" s="33">
        <f>588.48</f>
        <v>588.48</v>
      </c>
      <c r="E24" s="33">
        <f t="shared" si="0"/>
        <v>1176.96</v>
      </c>
      <c r="F24" s="33">
        <f>'4.6.2.'!D24/20*150*1.186823</f>
        <v>1210.0253896499999</v>
      </c>
      <c r="G24" s="33">
        <v>1210.03</v>
      </c>
    </row>
    <row r="25" spans="1:7" hidden="1" x14ac:dyDescent="0.35">
      <c r="A25" s="31">
        <v>2250</v>
      </c>
      <c r="B25" s="22" t="s">
        <v>124</v>
      </c>
      <c r="C25" s="33"/>
      <c r="D25" s="33"/>
      <c r="E25" s="33"/>
      <c r="F25" s="33">
        <f>'4.6.2.'!D25/20*150*1.186823</f>
        <v>0</v>
      </c>
      <c r="G25" s="33">
        <v>0</v>
      </c>
    </row>
    <row r="26" spans="1:7" x14ac:dyDescent="0.25">
      <c r="A26" s="31">
        <v>2263</v>
      </c>
      <c r="B26" s="32" t="s">
        <v>149</v>
      </c>
      <c r="C26" s="33">
        <v>767.31</v>
      </c>
      <c r="D26" s="33">
        <v>266.64</v>
      </c>
      <c r="E26" s="33">
        <f>D26/100*200</f>
        <v>533.28</v>
      </c>
      <c r="F26" s="33">
        <f>'4.6.2.'!D26/20*150*1.186823</f>
        <v>783.54593925000006</v>
      </c>
      <c r="G26" s="33">
        <v>783.55</v>
      </c>
    </row>
    <row r="27" spans="1:7" hidden="1" x14ac:dyDescent="0.25">
      <c r="A27" s="31">
        <v>2311</v>
      </c>
      <c r="B27" s="32" t="s">
        <v>151</v>
      </c>
      <c r="C27" s="33"/>
      <c r="D27" s="33"/>
      <c r="E27" s="33"/>
      <c r="F27" s="33">
        <f>'4.6.2.'!D27/20*150*1.186823</f>
        <v>0</v>
      </c>
      <c r="G27" s="33">
        <v>0</v>
      </c>
    </row>
    <row r="28" spans="1:7" x14ac:dyDescent="0.25">
      <c r="A28" s="31">
        <v>2312</v>
      </c>
      <c r="B28" s="32" t="s">
        <v>116</v>
      </c>
      <c r="C28" s="33">
        <v>229.18</v>
      </c>
      <c r="D28" s="33">
        <v>57.3</v>
      </c>
      <c r="E28" s="33">
        <f>D28/100*200</f>
        <v>114.6</v>
      </c>
      <c r="F28" s="33">
        <f>'4.6.2.'!D28/20*150*1.186823</f>
        <v>171.13987660000001</v>
      </c>
      <c r="G28" s="33">
        <v>171.14</v>
      </c>
    </row>
    <row r="29" spans="1:7" x14ac:dyDescent="0.25">
      <c r="A29" s="31">
        <v>2321</v>
      </c>
      <c r="B29" s="32" t="s">
        <v>139</v>
      </c>
      <c r="C29" s="33">
        <v>4737.21</v>
      </c>
      <c r="D29" s="33">
        <v>1184.3</v>
      </c>
      <c r="E29" s="33">
        <f>D29/100*200</f>
        <v>2368.6</v>
      </c>
      <c r="F29" s="33">
        <f>'4.6.2.'!D29/20*150*1.186823</f>
        <v>1948.0512721999999</v>
      </c>
      <c r="G29" s="33">
        <v>1948.05</v>
      </c>
    </row>
    <row r="30" spans="1:7" x14ac:dyDescent="0.35">
      <c r="A30" s="31">
        <v>2350</v>
      </c>
      <c r="B30" s="61" t="s">
        <v>125</v>
      </c>
      <c r="C30" s="33">
        <v>191.52</v>
      </c>
      <c r="D30" s="33">
        <v>47.88</v>
      </c>
      <c r="E30" s="33">
        <f>D30/100*200</f>
        <v>95.76</v>
      </c>
      <c r="F30" s="33">
        <f>'4.6.2.'!D30/20*150*1.186823</f>
        <v>203.24343875</v>
      </c>
      <c r="G30" s="33">
        <v>203.24</v>
      </c>
    </row>
    <row r="31" spans="1:7" x14ac:dyDescent="0.25">
      <c r="A31" s="31">
        <v>2361</v>
      </c>
      <c r="B31" s="32" t="s">
        <v>141</v>
      </c>
      <c r="C31" s="33">
        <v>160.88</v>
      </c>
      <c r="D31" s="33">
        <v>51.96</v>
      </c>
      <c r="E31" s="33">
        <f>D31/100*200</f>
        <v>103.92000000000002</v>
      </c>
      <c r="F31" s="33">
        <f>'4.6.2.'!D31/20*150*1.186823</f>
        <v>171.43658234999998</v>
      </c>
      <c r="G31" s="33">
        <v>171.44</v>
      </c>
    </row>
    <row r="32" spans="1:7" hidden="1" x14ac:dyDescent="0.35">
      <c r="A32" s="31">
        <v>2362</v>
      </c>
      <c r="B32" s="83" t="s">
        <v>156</v>
      </c>
      <c r="C32" s="33"/>
      <c r="D32" s="33"/>
      <c r="E32" s="33"/>
      <c r="F32" s="33">
        <f>'4.6.2.'!D32/20*150*1.186823</f>
        <v>0</v>
      </c>
      <c r="G32" s="33">
        <v>0</v>
      </c>
    </row>
    <row r="33" spans="1:7" hidden="1" x14ac:dyDescent="0.35">
      <c r="A33" s="31">
        <v>2363</v>
      </c>
      <c r="B33" s="62" t="s">
        <v>142</v>
      </c>
      <c r="C33" s="33"/>
      <c r="D33" s="33"/>
      <c r="E33" s="33"/>
      <c r="F33" s="33">
        <f>'4.6.2.'!D33/20*150*1.186823</f>
        <v>0</v>
      </c>
      <c r="G33" s="33">
        <v>0</v>
      </c>
    </row>
    <row r="34" spans="1:7" ht="15.75" customHeight="1" x14ac:dyDescent="0.35">
      <c r="A34" s="31">
        <v>2513</v>
      </c>
      <c r="B34" s="61" t="s">
        <v>121</v>
      </c>
      <c r="C34" s="33">
        <v>361.22</v>
      </c>
      <c r="D34" s="33">
        <v>90.31</v>
      </c>
      <c r="E34" s="33">
        <f>D34/100*200</f>
        <v>180.62</v>
      </c>
      <c r="F34" s="33">
        <f>'4.6.2.'!D34/20*150*1.186823</f>
        <v>384.31216867500001</v>
      </c>
      <c r="G34" s="33">
        <v>384.31</v>
      </c>
    </row>
    <row r="35" spans="1:7" x14ac:dyDescent="0.25">
      <c r="A35" s="31">
        <v>2519</v>
      </c>
      <c r="B35" s="32" t="s">
        <v>122</v>
      </c>
      <c r="C35" s="33">
        <v>255.83</v>
      </c>
      <c r="D35" s="33">
        <v>63.96</v>
      </c>
      <c r="E35" s="33">
        <f>D35/100*200</f>
        <v>127.92000000000002</v>
      </c>
      <c r="F35" s="33">
        <f>'4.6.2.'!D35/20*150*1.186823</f>
        <v>57.51775829999999</v>
      </c>
      <c r="G35" s="33">
        <v>57.52</v>
      </c>
    </row>
    <row r="36" spans="1:7" x14ac:dyDescent="0.35">
      <c r="A36" s="31">
        <v>5239</v>
      </c>
      <c r="B36" s="61" t="s">
        <v>130</v>
      </c>
      <c r="C36" s="33"/>
      <c r="D36" s="33"/>
      <c r="E36" s="33"/>
      <c r="F36" s="33">
        <f>'4.6.2.'!D36/20*150*1.186823</f>
        <v>224.56849019999999</v>
      </c>
      <c r="G36" s="33">
        <v>224.57</v>
      </c>
    </row>
    <row r="37" spans="1:7" x14ac:dyDescent="0.25">
      <c r="A37" s="31"/>
      <c r="B37" s="36" t="s">
        <v>6</v>
      </c>
      <c r="C37" s="37">
        <f>SUM(C18:C35)</f>
        <v>16473.400000000001</v>
      </c>
      <c r="D37" s="37">
        <f>SUM(D18:D35)</f>
        <v>5149.38</v>
      </c>
      <c r="E37" s="37">
        <f>SUM(E18:E35)</f>
        <v>10298.76</v>
      </c>
      <c r="F37" s="37">
        <f>SUM(F18:F36)</f>
        <v>10020.052580574999</v>
      </c>
      <c r="G37" s="37">
        <f>SUM(G18:G36)</f>
        <v>10020.029999999999</v>
      </c>
    </row>
    <row r="38" spans="1:7" x14ac:dyDescent="0.25">
      <c r="A38" s="38"/>
      <c r="B38" s="31" t="s">
        <v>7</v>
      </c>
      <c r="C38" s="33"/>
      <c r="D38" s="33"/>
      <c r="E38" s="33"/>
      <c r="F38" s="33"/>
      <c r="G38" s="33"/>
    </row>
    <row r="39" spans="1:7" x14ac:dyDescent="0.25">
      <c r="A39" s="31">
        <v>1100</v>
      </c>
      <c r="B39" s="31" t="s">
        <v>132</v>
      </c>
      <c r="C39" s="33">
        <v>2577.8000000000002</v>
      </c>
      <c r="D39" s="33">
        <v>725.3</v>
      </c>
      <c r="E39" s="33">
        <f>D39/100*200</f>
        <v>1450.6</v>
      </c>
      <c r="F39" s="33">
        <f>'4.6.2.'!D39/20*150*1.186823</f>
        <v>1315.65263665</v>
      </c>
      <c r="G39" s="33">
        <v>1315.65</v>
      </c>
    </row>
    <row r="40" spans="1:7" ht="15.75" customHeight="1" x14ac:dyDescent="0.35">
      <c r="A40" s="31">
        <v>1200</v>
      </c>
      <c r="B40" s="61" t="s">
        <v>133</v>
      </c>
      <c r="C40" s="33">
        <v>608.1</v>
      </c>
      <c r="D40" s="33">
        <v>171.1</v>
      </c>
      <c r="E40" s="33">
        <f>D40/100*200</f>
        <v>342.2</v>
      </c>
      <c r="F40" s="33">
        <f>'4.6.2.'!D40/20*150*1.186823</f>
        <v>310.3542144999999</v>
      </c>
      <c r="G40" s="33">
        <v>310.36</v>
      </c>
    </row>
    <row r="41" spans="1:7" ht="15.75" hidden="1" customHeight="1" x14ac:dyDescent="0.25">
      <c r="A41" s="31">
        <v>2100</v>
      </c>
      <c r="B41" s="24" t="s">
        <v>45</v>
      </c>
      <c r="C41" s="33"/>
      <c r="D41" s="33"/>
      <c r="E41" s="33"/>
      <c r="F41" s="33">
        <f>'4.6.2.'!D41/20*150*1.186823</f>
        <v>0</v>
      </c>
      <c r="G41" s="33">
        <v>0</v>
      </c>
    </row>
    <row r="42" spans="1:7" ht="15.75" hidden="1" customHeight="1" x14ac:dyDescent="0.35">
      <c r="A42" s="31">
        <v>2210</v>
      </c>
      <c r="B42" s="62" t="s">
        <v>120</v>
      </c>
      <c r="C42" s="33">
        <v>76.930000000000007</v>
      </c>
      <c r="D42" s="33">
        <v>19.23</v>
      </c>
      <c r="E42" s="33">
        <f>D42/100*200</f>
        <v>38.46</v>
      </c>
      <c r="F42" s="33">
        <v>0</v>
      </c>
      <c r="G42" s="33">
        <v>0</v>
      </c>
    </row>
    <row r="43" spans="1:7" ht="15.75" hidden="1" customHeight="1" x14ac:dyDescent="0.35">
      <c r="A43" s="31">
        <v>2222</v>
      </c>
      <c r="B43" s="62" t="s">
        <v>135</v>
      </c>
      <c r="C43" s="33"/>
      <c r="D43" s="33"/>
      <c r="E43" s="33"/>
      <c r="F43" s="33">
        <f>'4.6.2.'!D43/20*150*1.186823</f>
        <v>0</v>
      </c>
      <c r="G43" s="33">
        <v>0</v>
      </c>
    </row>
    <row r="44" spans="1:7" ht="15.75" customHeight="1" x14ac:dyDescent="0.25">
      <c r="A44" s="31">
        <v>2223</v>
      </c>
      <c r="B44" s="32" t="s">
        <v>136</v>
      </c>
      <c r="C44" s="33"/>
      <c r="D44" s="33"/>
      <c r="E44" s="33"/>
      <c r="F44" s="33">
        <f>29.61/2</f>
        <v>14.805</v>
      </c>
      <c r="G44" s="33">
        <v>14.81</v>
      </c>
    </row>
    <row r="45" spans="1:7" ht="31" x14ac:dyDescent="0.35">
      <c r="A45" s="31">
        <v>2224</v>
      </c>
      <c r="B45" s="62" t="s">
        <v>174</v>
      </c>
      <c r="C45" s="33"/>
      <c r="D45" s="33">
        <v>24.3</v>
      </c>
      <c r="E45" s="33">
        <f>D45/100*200</f>
        <v>48.6</v>
      </c>
      <c r="F45" s="33">
        <f>'4.6.2.'!D45/20*150*1.186823</f>
        <v>174.52232215000001</v>
      </c>
      <c r="G45" s="33">
        <v>174.52</v>
      </c>
    </row>
    <row r="46" spans="1:7" hidden="1" x14ac:dyDescent="0.35">
      <c r="A46" s="31">
        <v>2231</v>
      </c>
      <c r="B46" s="22" t="s">
        <v>126</v>
      </c>
      <c r="C46" s="33"/>
      <c r="D46" s="33"/>
      <c r="E46" s="33"/>
      <c r="F46" s="33">
        <f>'4.6.2.'!D46/20*150*1.186823</f>
        <v>0</v>
      </c>
      <c r="G46" s="33">
        <v>0</v>
      </c>
    </row>
    <row r="47" spans="1:7" hidden="1" x14ac:dyDescent="0.25">
      <c r="A47" s="31">
        <v>2235</v>
      </c>
      <c r="B47" s="75" t="s">
        <v>127</v>
      </c>
      <c r="C47" s="33"/>
      <c r="D47" s="33"/>
      <c r="E47" s="33"/>
      <c r="F47" s="33">
        <f>'4.6.2.'!D47/20*150*1.186823</f>
        <v>0</v>
      </c>
      <c r="G47" s="33">
        <v>0</v>
      </c>
    </row>
    <row r="48" spans="1:7" x14ac:dyDescent="0.25">
      <c r="A48" s="31">
        <v>2239</v>
      </c>
      <c r="B48" s="151" t="s">
        <v>172</v>
      </c>
      <c r="C48" s="33"/>
      <c r="D48" s="33"/>
      <c r="E48" s="33"/>
      <c r="F48" s="33">
        <f>'4.6.2.'!D48/20*150*1.186823</f>
        <v>11.927571149999999</v>
      </c>
      <c r="G48" s="33">
        <v>11.93</v>
      </c>
    </row>
    <row r="49" spans="1:7" ht="15.75" customHeight="1" x14ac:dyDescent="0.35">
      <c r="A49" s="31">
        <v>2241</v>
      </c>
      <c r="B49" s="22" t="s">
        <v>123</v>
      </c>
      <c r="C49" s="33">
        <v>6.45</v>
      </c>
      <c r="D49" s="33">
        <v>1.61</v>
      </c>
      <c r="E49" s="33">
        <f>D49/100*200</f>
        <v>3.2199999999999998</v>
      </c>
      <c r="F49" s="33">
        <f>'4.6.2.'!D49/20*150*1.186823</f>
        <v>5.2220212000000004</v>
      </c>
      <c r="G49" s="33">
        <v>5.22</v>
      </c>
    </row>
    <row r="50" spans="1:7" x14ac:dyDescent="0.25">
      <c r="A50" s="31">
        <v>2242</v>
      </c>
      <c r="B50" s="32" t="s">
        <v>145</v>
      </c>
      <c r="C50" s="33">
        <v>25.23</v>
      </c>
      <c r="D50" s="33">
        <v>6.23</v>
      </c>
      <c r="E50" s="33">
        <f>D50/100*200</f>
        <v>12.46</v>
      </c>
      <c r="F50" s="33">
        <f>'4.6.2.'!D50/20*150*1.186823</f>
        <v>9.6132663000000012</v>
      </c>
      <c r="G50" s="33">
        <v>9.61</v>
      </c>
    </row>
    <row r="51" spans="1:7" ht="15.75" customHeight="1" x14ac:dyDescent="0.25">
      <c r="A51" s="31">
        <v>2243</v>
      </c>
      <c r="B51" s="32" t="s">
        <v>137</v>
      </c>
      <c r="C51" s="33">
        <v>24.76</v>
      </c>
      <c r="D51" s="33">
        <v>6.19</v>
      </c>
      <c r="E51" s="33">
        <f>D51/100*200</f>
        <v>12.38</v>
      </c>
      <c r="F51" s="33">
        <f>'4.6.2.'!D51/20*150*1.186823</f>
        <v>29.907939600000002</v>
      </c>
      <c r="G51" s="33">
        <v>29.91</v>
      </c>
    </row>
    <row r="52" spans="1:7" x14ac:dyDescent="0.35">
      <c r="A52" s="31">
        <v>2244</v>
      </c>
      <c r="B52" s="22" t="s">
        <v>138</v>
      </c>
      <c r="C52" s="33">
        <v>5.12</v>
      </c>
      <c r="D52" s="33">
        <f>2.67+1.85+0.13</f>
        <v>4.6499999999999995</v>
      </c>
      <c r="E52" s="33">
        <f>D52/100*200</f>
        <v>9.2999999999999989</v>
      </c>
      <c r="F52" s="33">
        <f>'4.6.2.'!D52/20*150*1.186823</f>
        <v>38.868453250000002</v>
      </c>
      <c r="G52" s="33">
        <v>38.869999999999997</v>
      </c>
    </row>
    <row r="53" spans="1:7" hidden="1" x14ac:dyDescent="0.35">
      <c r="A53" s="31">
        <v>2247</v>
      </c>
      <c r="B53" s="22"/>
      <c r="C53" s="33"/>
      <c r="D53" s="33"/>
      <c r="E53" s="33"/>
      <c r="F53" s="33">
        <f>'4.6.2.'!D53/20*150*1.186823</f>
        <v>0</v>
      </c>
      <c r="G53" s="33">
        <v>0</v>
      </c>
    </row>
    <row r="54" spans="1:7" x14ac:dyDescent="0.35">
      <c r="A54" s="31">
        <v>2249</v>
      </c>
      <c r="B54" s="22" t="s">
        <v>171</v>
      </c>
      <c r="C54" s="33">
        <v>7.3</v>
      </c>
      <c r="D54" s="33">
        <v>1.83</v>
      </c>
      <c r="E54" s="33">
        <f>D54/100*200</f>
        <v>3.66</v>
      </c>
      <c r="F54" s="33">
        <f>'4.6.2.'!D54/20*150*1.186823</f>
        <v>13.35175875</v>
      </c>
      <c r="G54" s="33">
        <v>13.35</v>
      </c>
    </row>
    <row r="55" spans="1:7" x14ac:dyDescent="0.35">
      <c r="A55" s="31">
        <v>2250</v>
      </c>
      <c r="B55" s="22" t="s">
        <v>124</v>
      </c>
      <c r="C55" s="33">
        <v>57.1</v>
      </c>
      <c r="D55" s="33">
        <v>14.28</v>
      </c>
      <c r="E55" s="33">
        <f>D55/100*200</f>
        <v>28.559999999999995</v>
      </c>
      <c r="F55" s="33">
        <f>'4.6.2.'!D55/20*150*1.186823</f>
        <v>37.503606799999993</v>
      </c>
      <c r="G55" s="33">
        <v>37.5</v>
      </c>
    </row>
    <row r="56" spans="1:7" x14ac:dyDescent="0.25">
      <c r="A56" s="31">
        <v>2262</v>
      </c>
      <c r="B56" s="32" t="s">
        <v>148</v>
      </c>
      <c r="C56" s="33">
        <v>60.05</v>
      </c>
      <c r="D56" s="33">
        <v>15</v>
      </c>
      <c r="E56" s="33">
        <f>D56/100*200</f>
        <v>30</v>
      </c>
      <c r="F56" s="33">
        <f>'4.6.2.'!D56/20*150*1.186823</f>
        <v>23.143048499999999</v>
      </c>
      <c r="G56" s="33">
        <v>23.14</v>
      </c>
    </row>
    <row r="57" spans="1:7" hidden="1" x14ac:dyDescent="0.25">
      <c r="A57" s="31">
        <v>2263</v>
      </c>
      <c r="B57" s="32" t="s">
        <v>149</v>
      </c>
      <c r="C57" s="33"/>
      <c r="D57" s="33"/>
      <c r="E57" s="33"/>
      <c r="F57" s="33">
        <f>'4.6.2.'!D57/20*150*1.186823</f>
        <v>0</v>
      </c>
      <c r="G57" s="33">
        <v>0</v>
      </c>
    </row>
    <row r="58" spans="1:7" x14ac:dyDescent="0.25">
      <c r="A58" s="31">
        <v>2264</v>
      </c>
      <c r="B58" s="32" t="s">
        <v>173</v>
      </c>
      <c r="C58" s="33">
        <v>0.47</v>
      </c>
      <c r="D58" s="33">
        <v>0.12</v>
      </c>
      <c r="E58" s="33">
        <f>D58/100*200</f>
        <v>0.24</v>
      </c>
      <c r="F58" s="33">
        <f>'4.6.2.'!D58/20*150*1.186823</f>
        <v>0.47472919999999996</v>
      </c>
      <c r="G58" s="33">
        <v>0.47</v>
      </c>
    </row>
    <row r="59" spans="1:7" x14ac:dyDescent="0.25">
      <c r="A59" s="31">
        <v>2311</v>
      </c>
      <c r="B59" s="32" t="s">
        <v>151</v>
      </c>
      <c r="C59" s="33">
        <v>32.92</v>
      </c>
      <c r="D59" s="33">
        <v>8.1999999999999993</v>
      </c>
      <c r="E59" s="33">
        <f>D59/100*200</f>
        <v>16.399999999999999</v>
      </c>
      <c r="F59" s="33">
        <f>'4.6.2.'!D59/20*150*1.186823</f>
        <v>22.312272399999998</v>
      </c>
      <c r="G59" s="33">
        <v>22.31</v>
      </c>
    </row>
    <row r="60" spans="1:7" hidden="1" x14ac:dyDescent="0.25">
      <c r="A60" s="31">
        <v>2312</v>
      </c>
      <c r="B60" s="32" t="s">
        <v>116</v>
      </c>
      <c r="C60" s="33">
        <v>7.4</v>
      </c>
      <c r="D60" s="33">
        <v>0</v>
      </c>
      <c r="E60" s="33">
        <f>D60/100*200</f>
        <v>0</v>
      </c>
      <c r="F60" s="33">
        <f>'4.6.2.'!D60/20*150*1.186823</f>
        <v>0</v>
      </c>
      <c r="G60" s="33">
        <v>0</v>
      </c>
    </row>
    <row r="61" spans="1:7" hidden="1" x14ac:dyDescent="0.25">
      <c r="A61" s="31">
        <v>2314</v>
      </c>
      <c r="B61" s="75" t="s">
        <v>152</v>
      </c>
      <c r="C61" s="33"/>
      <c r="D61" s="33"/>
      <c r="E61" s="33"/>
      <c r="F61" s="33">
        <f>'4.6.2.'!D61/20*150*1.186823</f>
        <v>0</v>
      </c>
      <c r="G61" s="33">
        <v>0</v>
      </c>
    </row>
    <row r="62" spans="1:7" x14ac:dyDescent="0.25">
      <c r="A62" s="31">
        <v>2321</v>
      </c>
      <c r="B62" s="32" t="s">
        <v>139</v>
      </c>
      <c r="C62" s="33"/>
      <c r="D62" s="33"/>
      <c r="E62" s="33"/>
      <c r="F62" s="33">
        <f>29.61/2</f>
        <v>14.805</v>
      </c>
      <c r="G62" s="33">
        <v>14.81</v>
      </c>
    </row>
    <row r="63" spans="1:7" x14ac:dyDescent="0.25">
      <c r="A63" s="31">
        <v>2322</v>
      </c>
      <c r="B63" s="32" t="s">
        <v>153</v>
      </c>
      <c r="C63" s="33">
        <v>153.58000000000001</v>
      </c>
      <c r="D63" s="33">
        <v>45.97</v>
      </c>
      <c r="E63" s="33">
        <f>D63/100*200</f>
        <v>91.94</v>
      </c>
      <c r="F63" s="33">
        <f>'4.6.2.'!D63/20*150*1.186823</f>
        <v>64.800535800000006</v>
      </c>
      <c r="G63" s="33">
        <v>64.8</v>
      </c>
    </row>
    <row r="64" spans="1:7" hidden="1" x14ac:dyDescent="0.35">
      <c r="A64" s="31">
        <v>2341</v>
      </c>
      <c r="B64" s="62" t="s">
        <v>140</v>
      </c>
      <c r="C64" s="33"/>
      <c r="D64" s="33"/>
      <c r="E64" s="33"/>
      <c r="F64" s="33">
        <f>'4.6.2.'!D64/20*150*1.186823</f>
        <v>0</v>
      </c>
      <c r="G64" s="33">
        <v>0</v>
      </c>
    </row>
    <row r="65" spans="1:7" x14ac:dyDescent="0.35">
      <c r="A65" s="31">
        <v>2350</v>
      </c>
      <c r="B65" s="61" t="s">
        <v>125</v>
      </c>
      <c r="C65" s="33">
        <v>153.29</v>
      </c>
      <c r="D65" s="33">
        <v>38.32</v>
      </c>
      <c r="E65" s="33">
        <f>D65/100*200</f>
        <v>76.64</v>
      </c>
      <c r="F65" s="33">
        <f>'4.6.2.'!D65/20*150*1.186823</f>
        <v>81.06001089999998</v>
      </c>
      <c r="G65" s="33">
        <v>81.06</v>
      </c>
    </row>
    <row r="66" spans="1:7" hidden="1" x14ac:dyDescent="0.35">
      <c r="A66" s="31">
        <v>2513</v>
      </c>
      <c r="B66" s="61" t="s">
        <v>121</v>
      </c>
      <c r="C66" s="33">
        <v>2579.14</v>
      </c>
      <c r="D66" s="33">
        <v>0</v>
      </c>
      <c r="E66" s="33">
        <f>D66/100*200</f>
        <v>0</v>
      </c>
      <c r="F66" s="33">
        <f>'4.6.2.'!D66/20*150*1.186823</f>
        <v>0</v>
      </c>
      <c r="G66" s="33">
        <v>0</v>
      </c>
    </row>
    <row r="67" spans="1:7" x14ac:dyDescent="0.25">
      <c r="A67" s="31">
        <v>2515</v>
      </c>
      <c r="B67" s="32" t="s">
        <v>155</v>
      </c>
      <c r="C67" s="33">
        <v>10.53</v>
      </c>
      <c r="D67" s="33">
        <v>2.63</v>
      </c>
      <c r="E67" s="33">
        <f>D67/100*200</f>
        <v>5.26</v>
      </c>
      <c r="F67" s="33">
        <f>'4.6.2.'!D67/20*150*1.186823</f>
        <v>22.827461475000003</v>
      </c>
      <c r="G67" s="33">
        <v>22.83</v>
      </c>
    </row>
    <row r="68" spans="1:7" x14ac:dyDescent="0.25">
      <c r="A68" s="31">
        <v>2519</v>
      </c>
      <c r="B68" s="32" t="s">
        <v>122</v>
      </c>
      <c r="C68" s="33">
        <v>0.47</v>
      </c>
      <c r="D68" s="33">
        <v>0.12</v>
      </c>
      <c r="E68" s="33">
        <f>D68/100*200</f>
        <v>0.24</v>
      </c>
      <c r="F68" s="33">
        <f>'4.6.2.'!D68/20*150*1.186823</f>
        <v>0.47472919999999996</v>
      </c>
      <c r="G68" s="33">
        <v>0.47</v>
      </c>
    </row>
    <row r="69" spans="1:7" hidden="1" x14ac:dyDescent="0.35">
      <c r="A69" s="31">
        <v>5220</v>
      </c>
      <c r="B69" s="62" t="s">
        <v>128</v>
      </c>
      <c r="C69" s="33"/>
      <c r="D69" s="33"/>
      <c r="E69" s="33"/>
      <c r="F69" s="33">
        <f>'4.6.2.'!D69/20*150*1.186823</f>
        <v>0</v>
      </c>
      <c r="G69" s="33">
        <v>0</v>
      </c>
    </row>
    <row r="70" spans="1:7" x14ac:dyDescent="0.35">
      <c r="A70" s="31">
        <v>5238</v>
      </c>
      <c r="B70" s="61" t="s">
        <v>129</v>
      </c>
      <c r="C70" s="33">
        <v>371.08</v>
      </c>
      <c r="D70" s="33">
        <v>18.75</v>
      </c>
      <c r="E70" s="33">
        <f>D70/100*200</f>
        <v>37.5</v>
      </c>
      <c r="F70" s="33">
        <f>'4.6.2.'!D70/20*150*1.186823</f>
        <v>38.631088649999995</v>
      </c>
      <c r="G70" s="33">
        <v>38.630000000000003</v>
      </c>
    </row>
    <row r="71" spans="1:7" x14ac:dyDescent="0.35">
      <c r="A71" s="31">
        <v>5239</v>
      </c>
      <c r="B71" s="61" t="s">
        <v>130</v>
      </c>
      <c r="C71" s="33">
        <v>74.180000000000007</v>
      </c>
      <c r="D71" s="33">
        <v>92.77</v>
      </c>
      <c r="E71" s="33">
        <f>D71/100*200</f>
        <v>185.54</v>
      </c>
      <c r="F71" s="33">
        <f>'4.6.2.'!D71/20*150*1.186823</f>
        <v>90.37657145</v>
      </c>
      <c r="G71" s="33">
        <f>90.38-0.37</f>
        <v>90.009999999999991</v>
      </c>
    </row>
    <row r="72" spans="1:7" x14ac:dyDescent="0.25">
      <c r="A72" s="31">
        <v>5250</v>
      </c>
      <c r="B72" s="32" t="s">
        <v>131</v>
      </c>
      <c r="C72" s="33">
        <v>327.43</v>
      </c>
      <c r="D72" s="33">
        <v>81.02</v>
      </c>
      <c r="E72" s="33">
        <f>D72/100*200</f>
        <v>162.04</v>
      </c>
      <c r="F72" s="33">
        <f>'4.6.2.'!D72/20*150*1.186823</f>
        <v>67.708252150000007</v>
      </c>
      <c r="G72" s="33">
        <v>67.709999999999994</v>
      </c>
    </row>
    <row r="73" spans="1:7" x14ac:dyDescent="0.25">
      <c r="A73" s="38"/>
      <c r="B73" s="40" t="s">
        <v>8</v>
      </c>
      <c r="C73" s="37">
        <f>SUM(C39:C72)</f>
        <v>7159.33</v>
      </c>
      <c r="D73" s="37">
        <f>SUM(D39:D72)</f>
        <v>1277.6199999999999</v>
      </c>
      <c r="E73" s="37">
        <f>SUM(E39:E72)</f>
        <v>2555.2399999999998</v>
      </c>
      <c r="F73" s="37">
        <f>SUM(F39:F72)</f>
        <v>2388.3424900750001</v>
      </c>
      <c r="G73" s="37">
        <f>SUM(G39:G72)</f>
        <v>2387.9700000000003</v>
      </c>
    </row>
    <row r="74" spans="1:7" x14ac:dyDescent="0.25">
      <c r="A74" s="38"/>
      <c r="B74" s="40" t="s">
        <v>29</v>
      </c>
      <c r="C74" s="37">
        <f>C73+C37</f>
        <v>23632.730000000003</v>
      </c>
      <c r="D74" s="37">
        <f>D73+D37</f>
        <v>6427</v>
      </c>
      <c r="E74" s="37">
        <f>E73+E37</f>
        <v>12854</v>
      </c>
      <c r="F74" s="37">
        <f>F73+F37</f>
        <v>12408.395070649998</v>
      </c>
      <c r="G74" s="37">
        <f>G73+G37</f>
        <v>12408</v>
      </c>
    </row>
    <row r="75" spans="1:7" x14ac:dyDescent="0.35">
      <c r="A75" s="15"/>
      <c r="B75" s="25"/>
      <c r="C75" s="59"/>
      <c r="D75" s="59"/>
      <c r="E75" s="59"/>
      <c r="F75" s="59"/>
      <c r="G75" s="59"/>
    </row>
    <row r="76" spans="1:7" ht="15.75" customHeight="1" x14ac:dyDescent="0.35">
      <c r="A76" s="419" t="s">
        <v>57</v>
      </c>
      <c r="B76" s="419"/>
      <c r="C76" s="302">
        <v>400</v>
      </c>
      <c r="D76" s="303">
        <v>100</v>
      </c>
      <c r="E76" s="303">
        <v>200</v>
      </c>
      <c r="F76" s="303">
        <v>150</v>
      </c>
      <c r="G76" s="303">
        <v>150</v>
      </c>
    </row>
    <row r="77" spans="1:7" ht="15.75" customHeight="1" x14ac:dyDescent="0.3">
      <c r="A77" s="419" t="s">
        <v>58</v>
      </c>
      <c r="B77" s="419"/>
      <c r="C77" s="23">
        <f>C74/C76</f>
        <v>59.081825000000009</v>
      </c>
      <c r="D77" s="68">
        <f>D74/D76</f>
        <v>64.27</v>
      </c>
      <c r="E77" s="68">
        <f>E74/E76</f>
        <v>64.27</v>
      </c>
      <c r="F77" s="68">
        <f>F74/F76</f>
        <v>82.722633804333327</v>
      </c>
      <c r="G77" s="68">
        <f>G74/G76</f>
        <v>82.72</v>
      </c>
    </row>
    <row r="78" spans="1:7" x14ac:dyDescent="0.35">
      <c r="A78" s="25"/>
      <c r="B78" s="26"/>
      <c r="C78" s="60"/>
      <c r="D78" s="60"/>
      <c r="E78" s="60"/>
      <c r="F78" s="60"/>
      <c r="G78" s="60"/>
    </row>
    <row r="79" spans="1:7" x14ac:dyDescent="0.35">
      <c r="A79" s="430" t="s">
        <v>33</v>
      </c>
      <c r="B79" s="431"/>
      <c r="C79" s="27"/>
      <c r="D79" s="27"/>
      <c r="E79" s="27"/>
      <c r="F79" s="27"/>
      <c r="G79" s="27"/>
    </row>
    <row r="80" spans="1:7" x14ac:dyDescent="0.35">
      <c r="A80" s="430" t="s">
        <v>64</v>
      </c>
      <c r="B80" s="431"/>
      <c r="C80" s="27"/>
      <c r="D80" s="27"/>
      <c r="E80" s="27"/>
      <c r="F80" s="27"/>
      <c r="G80" s="27"/>
    </row>
    <row r="81" spans="1:7" x14ac:dyDescent="0.35">
      <c r="A81" s="28"/>
      <c r="B81" s="28"/>
      <c r="C81" s="28"/>
      <c r="D81" s="28"/>
      <c r="E81" s="28"/>
      <c r="F81" s="28"/>
      <c r="G81" s="28"/>
    </row>
    <row r="82" spans="1:7" x14ac:dyDescent="0.35">
      <c r="A82" s="28" t="s">
        <v>34</v>
      </c>
      <c r="B82" s="28"/>
      <c r="C82" s="28"/>
      <c r="D82" s="28"/>
      <c r="E82" s="28"/>
      <c r="F82" s="28"/>
      <c r="G82" s="28"/>
    </row>
    <row r="83" spans="1:7" x14ac:dyDescent="0.35">
      <c r="A83" s="28"/>
      <c r="B83" s="28"/>
      <c r="C83" s="28"/>
      <c r="D83" s="28"/>
      <c r="E83" s="28"/>
      <c r="F83" s="28"/>
      <c r="G83" s="372"/>
    </row>
    <row r="84" spans="1:7" x14ac:dyDescent="0.35">
      <c r="A84" s="28" t="s">
        <v>177</v>
      </c>
      <c r="B84" s="29"/>
      <c r="C84" s="28"/>
      <c r="D84" s="28"/>
      <c r="E84" s="28"/>
      <c r="F84" s="28"/>
      <c r="G84" s="81"/>
    </row>
    <row r="85" spans="1:7" x14ac:dyDescent="0.35">
      <c r="A85" s="28"/>
      <c r="B85" s="30"/>
      <c r="C85" s="28"/>
      <c r="D85" s="28"/>
      <c r="E85" s="28"/>
      <c r="F85" s="28"/>
      <c r="G85" s="28"/>
    </row>
    <row r="101" spans="8:9" x14ac:dyDescent="0.35">
      <c r="H101" s="2"/>
      <c r="I101" s="2"/>
    </row>
    <row r="102" spans="8:9" x14ac:dyDescent="0.35">
      <c r="H102" s="2"/>
      <c r="I102" s="2"/>
    </row>
    <row r="103" spans="8:9" x14ac:dyDescent="0.35">
      <c r="H103" s="2"/>
      <c r="I103" s="2"/>
    </row>
    <row r="104" spans="8:9" x14ac:dyDescent="0.35">
      <c r="H104" s="2"/>
      <c r="I104" s="2"/>
    </row>
    <row r="105" spans="8:9" x14ac:dyDescent="0.35">
      <c r="H105" s="2"/>
      <c r="I105" s="2"/>
    </row>
    <row r="106" spans="8:9" x14ac:dyDescent="0.35">
      <c r="H106" s="2"/>
      <c r="I106" s="2"/>
    </row>
    <row r="107" spans="8:9" x14ac:dyDescent="0.35">
      <c r="H107" s="2"/>
      <c r="I107" s="2"/>
    </row>
  </sheetData>
  <mergeCells count="8">
    <mergeCell ref="A79:B79"/>
    <mergeCell ref="A80:B80"/>
    <mergeCell ref="A7:C7"/>
    <mergeCell ref="A9:B9"/>
    <mergeCell ref="A10:B10"/>
    <mergeCell ref="B12:C12"/>
    <mergeCell ref="A76:B76"/>
    <mergeCell ref="A77:B77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headerFooter>
    <oddFooter>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G85"/>
  <sheetViews>
    <sheetView view="pageLayout" topLeftCell="A2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2.54296875" style="13" customWidth="1"/>
    <col min="2" max="2" width="84.7265625" style="13" customWidth="1"/>
    <col min="3" max="3" width="28.54296875" style="135" hidden="1" customWidth="1"/>
    <col min="4" max="4" width="27.54296875" style="135" hidden="1" customWidth="1"/>
    <col min="5" max="5" width="26.7265625" style="135" customWidth="1"/>
    <col min="6" max="16384" width="9.1796875" style="7"/>
  </cols>
  <sheetData>
    <row r="1" spans="1:5" x14ac:dyDescent="0.35">
      <c r="C1" s="17" t="s">
        <v>10</v>
      </c>
      <c r="D1" s="17" t="s">
        <v>10</v>
      </c>
      <c r="E1" s="17" t="s">
        <v>10</v>
      </c>
    </row>
    <row r="2" spans="1:5" x14ac:dyDescent="0.35">
      <c r="C2" s="14" t="s">
        <v>32</v>
      </c>
      <c r="D2" s="14" t="s">
        <v>32</v>
      </c>
      <c r="E2" s="14" t="s">
        <v>32</v>
      </c>
    </row>
    <row r="3" spans="1:5" x14ac:dyDescent="0.35">
      <c r="C3" s="77" t="s">
        <v>66</v>
      </c>
      <c r="D3" s="77" t="s">
        <v>66</v>
      </c>
      <c r="E3" s="77" t="s">
        <v>66</v>
      </c>
    </row>
    <row r="4" spans="1:5" ht="15" customHeight="1" x14ac:dyDescent="0.35">
      <c r="C4" s="63"/>
      <c r="D4" s="63"/>
      <c r="E4" s="63"/>
    </row>
    <row r="5" spans="1:5" x14ac:dyDescent="0.35">
      <c r="B5" s="17"/>
      <c r="C5" s="15" t="s">
        <v>226</v>
      </c>
      <c r="D5" s="15" t="s">
        <v>245</v>
      </c>
      <c r="E5" s="15" t="s">
        <v>333</v>
      </c>
    </row>
    <row r="6" spans="1:5" ht="10.5" customHeight="1" x14ac:dyDescent="0.35"/>
    <row r="7" spans="1:5" x14ac:dyDescent="0.35">
      <c r="A7" s="416" t="s">
        <v>9</v>
      </c>
      <c r="B7" s="416"/>
      <c r="C7" s="139"/>
      <c r="D7" s="139"/>
      <c r="E7" s="139"/>
    </row>
    <row r="8" spans="1:5" ht="9" customHeight="1" x14ac:dyDescent="0.35">
      <c r="B8" s="18"/>
    </row>
    <row r="9" spans="1:5" ht="15" customHeight="1" x14ac:dyDescent="0.35">
      <c r="A9" s="419" t="s">
        <v>1</v>
      </c>
      <c r="B9" s="419"/>
    </row>
    <row r="10" spans="1:5" ht="15" customHeight="1" x14ac:dyDescent="0.35">
      <c r="A10" s="419" t="s">
        <v>0</v>
      </c>
      <c r="B10" s="419"/>
    </row>
    <row r="11" spans="1:5" x14ac:dyDescent="0.35">
      <c r="A11" s="11"/>
      <c r="B11" s="11" t="s">
        <v>179</v>
      </c>
    </row>
    <row r="12" spans="1:5" x14ac:dyDescent="0.35">
      <c r="A12" s="11"/>
      <c r="B12" s="11" t="s">
        <v>234</v>
      </c>
      <c r="C12" s="139"/>
      <c r="D12" s="139"/>
      <c r="E12" s="139"/>
    </row>
    <row r="13" spans="1:5" x14ac:dyDescent="0.35">
      <c r="A13" s="11"/>
      <c r="B13" s="11" t="s">
        <v>231</v>
      </c>
      <c r="C13" s="139"/>
      <c r="D13" s="139"/>
      <c r="E13" s="139"/>
    </row>
    <row r="14" spans="1:5" x14ac:dyDescent="0.35">
      <c r="A14" s="11" t="s">
        <v>2</v>
      </c>
      <c r="B14" s="11" t="s">
        <v>250</v>
      </c>
    </row>
    <row r="15" spans="1:5" ht="63" customHeight="1" x14ac:dyDescent="0.25">
      <c r="A15" s="51" t="s">
        <v>3</v>
      </c>
      <c r="B15" s="51" t="s">
        <v>4</v>
      </c>
      <c r="C15" s="51" t="s">
        <v>63</v>
      </c>
      <c r="D15" s="51" t="s">
        <v>63</v>
      </c>
      <c r="E15" s="51" t="s">
        <v>63</v>
      </c>
    </row>
    <row r="16" spans="1:5" ht="15" customHeight="1" x14ac:dyDescent="0.25">
      <c r="A16" s="20">
        <v>1</v>
      </c>
      <c r="B16" s="21">
        <v>2</v>
      </c>
      <c r="C16" s="20">
        <v>3</v>
      </c>
      <c r="D16" s="20">
        <v>3</v>
      </c>
      <c r="E16" s="20">
        <v>3</v>
      </c>
    </row>
    <row r="17" spans="1:5" x14ac:dyDescent="0.25">
      <c r="A17" s="41"/>
      <c r="B17" s="39" t="s">
        <v>5</v>
      </c>
      <c r="C17" s="35"/>
      <c r="D17" s="35"/>
      <c r="E17" s="35"/>
    </row>
    <row r="18" spans="1:5" ht="17.25" customHeight="1" x14ac:dyDescent="0.35">
      <c r="A18" s="31">
        <v>1100</v>
      </c>
      <c r="B18" s="31" t="s">
        <v>132</v>
      </c>
      <c r="C18" s="133">
        <v>177.98</v>
      </c>
      <c r="D18" s="133">
        <v>177.98</v>
      </c>
      <c r="E18" s="133">
        <v>177.98</v>
      </c>
    </row>
    <row r="19" spans="1:5" ht="15.75" customHeight="1" x14ac:dyDescent="0.35">
      <c r="A19" s="31">
        <v>1200</v>
      </c>
      <c r="B19" s="61" t="s">
        <v>133</v>
      </c>
      <c r="C19" s="133">
        <v>41.99</v>
      </c>
      <c r="D19" s="133">
        <v>41.99</v>
      </c>
      <c r="E19" s="133">
        <v>41.99</v>
      </c>
    </row>
    <row r="20" spans="1:5" ht="15.75" customHeight="1" x14ac:dyDescent="0.35">
      <c r="A20" s="31">
        <v>2210</v>
      </c>
      <c r="B20" s="62" t="s">
        <v>120</v>
      </c>
      <c r="C20" s="134">
        <v>10.039999999999999</v>
      </c>
      <c r="D20" s="134">
        <v>10.039999999999999</v>
      </c>
      <c r="E20" s="134">
        <v>10.039999999999999</v>
      </c>
    </row>
    <row r="21" spans="1:5" ht="15.75" customHeight="1" x14ac:dyDescent="0.35">
      <c r="A21" s="31">
        <v>2222</v>
      </c>
      <c r="B21" s="62" t="s">
        <v>135</v>
      </c>
      <c r="C21" s="134">
        <v>285.52999999999997</v>
      </c>
      <c r="D21" s="134">
        <v>285.52999999999997</v>
      </c>
      <c r="E21" s="134">
        <v>285.52999999999997</v>
      </c>
    </row>
    <row r="22" spans="1:5" ht="15.75" customHeight="1" x14ac:dyDescent="0.35">
      <c r="A22" s="31">
        <v>2223</v>
      </c>
      <c r="B22" s="32" t="s">
        <v>136</v>
      </c>
      <c r="C22" s="134">
        <v>339.33</v>
      </c>
      <c r="D22" s="134">
        <v>339.33</v>
      </c>
      <c r="E22" s="134">
        <v>339.33</v>
      </c>
    </row>
    <row r="23" spans="1:5" x14ac:dyDescent="0.35">
      <c r="A23" s="31">
        <v>2243</v>
      </c>
      <c r="B23" s="151" t="s">
        <v>137</v>
      </c>
      <c r="C23" s="134">
        <v>12.87</v>
      </c>
      <c r="D23" s="134">
        <v>12.87</v>
      </c>
      <c r="E23" s="134">
        <v>12.87</v>
      </c>
    </row>
    <row r="24" spans="1:5" x14ac:dyDescent="0.35">
      <c r="A24" s="31">
        <v>2244</v>
      </c>
      <c r="B24" s="22" t="s">
        <v>138</v>
      </c>
      <c r="C24" s="134">
        <v>203.91</v>
      </c>
      <c r="D24" s="134">
        <v>203.91</v>
      </c>
      <c r="E24" s="134">
        <v>203.91</v>
      </c>
    </row>
    <row r="25" spans="1:5" hidden="1" x14ac:dyDescent="0.35">
      <c r="A25" s="31">
        <v>2250</v>
      </c>
      <c r="B25" s="22" t="s">
        <v>124</v>
      </c>
      <c r="C25" s="134"/>
      <c r="D25" s="134"/>
      <c r="E25" s="134"/>
    </row>
    <row r="26" spans="1:5" x14ac:dyDescent="0.35">
      <c r="A26" s="31">
        <v>2263</v>
      </c>
      <c r="B26" s="32" t="s">
        <v>149</v>
      </c>
      <c r="C26" s="134">
        <v>61.59</v>
      </c>
      <c r="D26" s="373">
        <f>'[2]4.4.-.4.5.-4.6.'!$X$17*20</f>
        <v>154.04832199181971</v>
      </c>
      <c r="E26" s="133">
        <v>154.05000000000001</v>
      </c>
    </row>
    <row r="27" spans="1:5" hidden="1" x14ac:dyDescent="0.35">
      <c r="A27" s="31">
        <v>2311</v>
      </c>
      <c r="B27" s="32" t="s">
        <v>151</v>
      </c>
      <c r="C27" s="134"/>
      <c r="D27" s="134"/>
      <c r="E27" s="134"/>
    </row>
    <row r="28" spans="1:5" x14ac:dyDescent="0.35">
      <c r="A28" s="31">
        <v>2312</v>
      </c>
      <c r="B28" s="32" t="s">
        <v>116</v>
      </c>
      <c r="C28" s="134">
        <v>22.84</v>
      </c>
      <c r="D28" s="134">
        <v>22.84</v>
      </c>
      <c r="E28" s="134">
        <v>22.84</v>
      </c>
    </row>
    <row r="29" spans="1:5" x14ac:dyDescent="0.35">
      <c r="A29" s="31">
        <v>2321</v>
      </c>
      <c r="B29" s="32" t="s">
        <v>139</v>
      </c>
      <c r="C29" s="134">
        <v>328.28</v>
      </c>
      <c r="D29" s="134">
        <v>328.28</v>
      </c>
      <c r="E29" s="134">
        <v>328.28</v>
      </c>
    </row>
    <row r="30" spans="1:5" x14ac:dyDescent="0.35">
      <c r="A30" s="31">
        <v>2350</v>
      </c>
      <c r="B30" s="61" t="s">
        <v>125</v>
      </c>
      <c r="C30" s="134">
        <v>34.25</v>
      </c>
      <c r="D30" s="134">
        <v>34.25</v>
      </c>
      <c r="E30" s="134">
        <v>34.25</v>
      </c>
    </row>
    <row r="31" spans="1:5" x14ac:dyDescent="0.35">
      <c r="A31" s="31">
        <v>2361</v>
      </c>
      <c r="B31" s="32" t="s">
        <v>141</v>
      </c>
      <c r="C31" s="134">
        <f>28.89+5.59</f>
        <v>34.480000000000004</v>
      </c>
      <c r="D31" s="134">
        <f>28.89+5.59</f>
        <v>34.480000000000004</v>
      </c>
      <c r="E31" s="134">
        <v>34.479999999999997</v>
      </c>
    </row>
    <row r="32" spans="1:5" hidden="1" x14ac:dyDescent="0.35">
      <c r="A32" s="31">
        <v>2362</v>
      </c>
      <c r="B32" s="83" t="s">
        <v>156</v>
      </c>
      <c r="C32" s="134"/>
      <c r="D32" s="134"/>
      <c r="E32" s="134"/>
    </row>
    <row r="33" spans="1:5" hidden="1" x14ac:dyDescent="0.35">
      <c r="A33" s="31">
        <v>2363</v>
      </c>
      <c r="B33" s="62" t="s">
        <v>142</v>
      </c>
      <c r="C33" s="134"/>
      <c r="D33" s="134"/>
      <c r="E33" s="134"/>
    </row>
    <row r="34" spans="1:5" x14ac:dyDescent="0.35">
      <c r="A34" s="31">
        <v>2513</v>
      </c>
      <c r="B34" s="61" t="s">
        <v>121</v>
      </c>
      <c r="C34" s="134">
        <v>20.86</v>
      </c>
      <c r="D34" s="373">
        <f>'[2]4.4.-.4.5.-4.6.'!$X$19*20</f>
        <v>75.556685241743921</v>
      </c>
      <c r="E34" s="133">
        <v>75.56</v>
      </c>
    </row>
    <row r="35" spans="1:5" x14ac:dyDescent="0.35">
      <c r="A35" s="31">
        <v>2519</v>
      </c>
      <c r="B35" s="32" t="s">
        <v>122</v>
      </c>
      <c r="C35" s="134">
        <v>14.77</v>
      </c>
      <c r="D35" s="373">
        <f>'[2]4.4.-.4.5.-4.6.'!$X$18*20</f>
        <v>11.308221257747057</v>
      </c>
      <c r="E35" s="133">
        <v>11.31</v>
      </c>
    </row>
    <row r="36" spans="1:5" x14ac:dyDescent="0.35">
      <c r="A36" s="31">
        <v>5239</v>
      </c>
      <c r="B36" s="61" t="s">
        <v>130</v>
      </c>
      <c r="C36" s="134"/>
      <c r="D36" s="373">
        <f>'[2]4.4.-.4.5.-4.6.'!$X$23*20</f>
        <v>44.151377279465621</v>
      </c>
      <c r="E36" s="133">
        <v>44.15</v>
      </c>
    </row>
    <row r="37" spans="1:5" x14ac:dyDescent="0.25">
      <c r="A37" s="31"/>
      <c r="B37" s="36" t="s">
        <v>6</v>
      </c>
      <c r="C37" s="37">
        <f>SUM(C18:C35)</f>
        <v>1588.7199999999996</v>
      </c>
      <c r="D37" s="37">
        <f>SUM(D18:D36)</f>
        <v>1776.5646057707761</v>
      </c>
      <c r="E37" s="37">
        <f>SUM(E18:E36)</f>
        <v>1776.5699999999997</v>
      </c>
    </row>
    <row r="38" spans="1:5" x14ac:dyDescent="0.25">
      <c r="A38" s="38"/>
      <c r="B38" s="31" t="s">
        <v>7</v>
      </c>
      <c r="C38" s="33"/>
      <c r="D38" s="33"/>
      <c r="E38" s="33"/>
    </row>
    <row r="39" spans="1:5" x14ac:dyDescent="0.35">
      <c r="A39" s="31">
        <v>1100</v>
      </c>
      <c r="B39" s="31" t="s">
        <v>132</v>
      </c>
      <c r="C39" s="133">
        <v>228.46</v>
      </c>
      <c r="D39" s="133">
        <v>228.46</v>
      </c>
      <c r="E39" s="133">
        <v>228.46</v>
      </c>
    </row>
    <row r="40" spans="1:5" ht="15.75" customHeight="1" x14ac:dyDescent="0.35">
      <c r="A40" s="31">
        <v>1200</v>
      </c>
      <c r="B40" s="61" t="s">
        <v>133</v>
      </c>
      <c r="C40" s="133">
        <v>53.89</v>
      </c>
      <c r="D40" s="133">
        <v>53.89</v>
      </c>
      <c r="E40" s="133">
        <v>53.89</v>
      </c>
    </row>
    <row r="41" spans="1:5" ht="15.75" hidden="1" customHeight="1" x14ac:dyDescent="0.35">
      <c r="A41" s="31">
        <v>2100</v>
      </c>
      <c r="B41" s="24" t="s">
        <v>45</v>
      </c>
      <c r="C41" s="133"/>
      <c r="D41" s="133"/>
      <c r="E41" s="133"/>
    </row>
    <row r="42" spans="1:5" ht="15.75" hidden="1" customHeight="1" x14ac:dyDescent="0.35">
      <c r="A42" s="31">
        <v>2210</v>
      </c>
      <c r="B42" s="62" t="s">
        <v>120</v>
      </c>
      <c r="C42" s="134">
        <v>6.65</v>
      </c>
      <c r="D42" s="134">
        <v>0</v>
      </c>
      <c r="E42" s="134">
        <v>0</v>
      </c>
    </row>
    <row r="43" spans="1:5" ht="15.75" hidden="1" customHeight="1" x14ac:dyDescent="0.35">
      <c r="A43" s="31">
        <v>2222</v>
      </c>
      <c r="B43" s="62" t="s">
        <v>135</v>
      </c>
      <c r="C43" s="134"/>
      <c r="D43" s="134"/>
      <c r="E43" s="134"/>
    </row>
    <row r="44" spans="1:5" ht="15.75" customHeight="1" x14ac:dyDescent="0.35">
      <c r="A44" s="31">
        <v>2223</v>
      </c>
      <c r="B44" s="32" t="s">
        <v>136</v>
      </c>
      <c r="C44" s="134"/>
      <c r="D44" s="134">
        <f>6.65/2</f>
        <v>3.3250000000000002</v>
      </c>
      <c r="E44" s="134">
        <v>3.33</v>
      </c>
    </row>
    <row r="45" spans="1:5" ht="30.75" customHeight="1" x14ac:dyDescent="0.35">
      <c r="A45" s="31">
        <v>2224</v>
      </c>
      <c r="B45" s="62" t="s">
        <v>176</v>
      </c>
      <c r="C45" s="134">
        <v>29.41</v>
      </c>
      <c r="D45" s="134">
        <v>29.41</v>
      </c>
      <c r="E45" s="134">
        <v>29.41</v>
      </c>
    </row>
    <row r="46" spans="1:5" hidden="1" x14ac:dyDescent="0.35">
      <c r="A46" s="31">
        <v>2231</v>
      </c>
      <c r="B46" s="22" t="s">
        <v>126</v>
      </c>
      <c r="C46" s="134"/>
      <c r="D46" s="134"/>
      <c r="E46" s="134"/>
    </row>
    <row r="47" spans="1:5" hidden="1" x14ac:dyDescent="0.35">
      <c r="A47" s="31">
        <v>2235</v>
      </c>
      <c r="B47" s="75" t="s">
        <v>127</v>
      </c>
      <c r="C47" s="134"/>
      <c r="D47" s="134"/>
      <c r="E47" s="134"/>
    </row>
    <row r="48" spans="1:5" ht="15.75" customHeight="1" x14ac:dyDescent="0.35">
      <c r="A48" s="31">
        <v>2239</v>
      </c>
      <c r="B48" s="32" t="s">
        <v>144</v>
      </c>
      <c r="C48" s="134">
        <v>2.68</v>
      </c>
      <c r="D48" s="134">
        <v>2.68</v>
      </c>
      <c r="E48" s="134">
        <v>2.68</v>
      </c>
    </row>
    <row r="49" spans="1:5" x14ac:dyDescent="0.35">
      <c r="A49" s="31">
        <v>2241</v>
      </c>
      <c r="B49" s="22" t="s">
        <v>123</v>
      </c>
      <c r="C49" s="134">
        <v>0.77</v>
      </c>
      <c r="D49" s="134">
        <v>0.77</v>
      </c>
      <c r="E49" s="134">
        <v>0.77</v>
      </c>
    </row>
    <row r="50" spans="1:5" x14ac:dyDescent="0.35">
      <c r="A50" s="31">
        <v>2242</v>
      </c>
      <c r="B50" s="32" t="s">
        <v>145</v>
      </c>
      <c r="C50" s="134">
        <v>2.16</v>
      </c>
      <c r="D50" s="134">
        <v>2.16</v>
      </c>
      <c r="E50" s="134">
        <v>2.16</v>
      </c>
    </row>
    <row r="51" spans="1:5" x14ac:dyDescent="0.35">
      <c r="A51" s="31">
        <v>2243</v>
      </c>
      <c r="B51" s="32" t="s">
        <v>137</v>
      </c>
      <c r="C51" s="134">
        <f>4.85+3.45</f>
        <v>8.3000000000000007</v>
      </c>
      <c r="D51" s="134">
        <f>4.85+3.45</f>
        <v>8.3000000000000007</v>
      </c>
      <c r="E51" s="134">
        <v>8.3000000000000007</v>
      </c>
    </row>
    <row r="52" spans="1:5" x14ac:dyDescent="0.35">
      <c r="A52" s="31">
        <v>2244</v>
      </c>
      <c r="B52" s="22" t="s">
        <v>138</v>
      </c>
      <c r="C52" s="134">
        <f>3.16+3.79</f>
        <v>6.95</v>
      </c>
      <c r="D52" s="134">
        <f>3.16+3.79</f>
        <v>6.95</v>
      </c>
      <c r="E52" s="134">
        <f>3.16+3.79</f>
        <v>6.95</v>
      </c>
    </row>
    <row r="53" spans="1:5" hidden="1" x14ac:dyDescent="0.35">
      <c r="A53" s="31">
        <v>2247</v>
      </c>
      <c r="B53" s="22"/>
      <c r="C53" s="134"/>
      <c r="D53" s="134"/>
      <c r="E53" s="134"/>
    </row>
    <row r="54" spans="1:5" x14ac:dyDescent="0.35">
      <c r="A54" s="31">
        <v>2249</v>
      </c>
      <c r="B54" s="22" t="s">
        <v>171</v>
      </c>
      <c r="C54" s="134">
        <v>0.55000000000000004</v>
      </c>
      <c r="D54" s="134">
        <v>0.55000000000000004</v>
      </c>
      <c r="E54" s="134">
        <v>0.55000000000000004</v>
      </c>
    </row>
    <row r="55" spans="1:5" x14ac:dyDescent="0.35">
      <c r="A55" s="31">
        <v>2250</v>
      </c>
      <c r="B55" s="22" t="s">
        <v>124</v>
      </c>
      <c r="C55" s="134">
        <f>7.09+0.68</f>
        <v>7.77</v>
      </c>
      <c r="D55" s="134">
        <f>7.09+0.68</f>
        <v>7.77</v>
      </c>
      <c r="E55" s="134">
        <v>7.77</v>
      </c>
    </row>
    <row r="56" spans="1:5" x14ac:dyDescent="0.35">
      <c r="A56" s="31">
        <v>2262</v>
      </c>
      <c r="B56" s="32" t="s">
        <v>148</v>
      </c>
      <c r="C56" s="133">
        <v>5.2</v>
      </c>
      <c r="D56" s="133">
        <v>5.2</v>
      </c>
      <c r="E56" s="133">
        <v>5.2</v>
      </c>
    </row>
    <row r="57" spans="1:5" hidden="1" x14ac:dyDescent="0.35">
      <c r="A57" s="31">
        <v>2263</v>
      </c>
      <c r="B57" s="32" t="s">
        <v>149</v>
      </c>
      <c r="C57" s="133"/>
      <c r="D57" s="133"/>
      <c r="E57" s="133"/>
    </row>
    <row r="58" spans="1:5" x14ac:dyDescent="0.35">
      <c r="A58" s="31">
        <v>2264</v>
      </c>
      <c r="B58" s="32" t="s">
        <v>173</v>
      </c>
      <c r="C58" s="133">
        <v>0.1</v>
      </c>
      <c r="D58" s="133">
        <v>0.1</v>
      </c>
      <c r="E58" s="133">
        <v>0.1</v>
      </c>
    </row>
    <row r="59" spans="1:5" x14ac:dyDescent="0.35">
      <c r="A59" s="31">
        <v>2311</v>
      </c>
      <c r="B59" s="32" t="s">
        <v>151</v>
      </c>
      <c r="C59" s="133">
        <v>5.2</v>
      </c>
      <c r="D59" s="133">
        <v>5.2</v>
      </c>
      <c r="E59" s="133">
        <v>5.2</v>
      </c>
    </row>
    <row r="60" spans="1:5" hidden="1" x14ac:dyDescent="0.35">
      <c r="A60" s="31">
        <v>2312</v>
      </c>
      <c r="B60" s="32" t="s">
        <v>116</v>
      </c>
      <c r="C60" s="134">
        <v>0</v>
      </c>
      <c r="D60" s="134">
        <v>0</v>
      </c>
      <c r="E60" s="134">
        <v>0</v>
      </c>
    </row>
    <row r="61" spans="1:5" hidden="1" x14ac:dyDescent="0.35">
      <c r="A61" s="31">
        <v>2314</v>
      </c>
      <c r="B61" s="75" t="s">
        <v>152</v>
      </c>
      <c r="C61" s="134"/>
      <c r="D61" s="134"/>
      <c r="E61" s="134"/>
    </row>
    <row r="62" spans="1:5" x14ac:dyDescent="0.35">
      <c r="A62" s="31">
        <v>2321</v>
      </c>
      <c r="B62" s="32" t="s">
        <v>139</v>
      </c>
      <c r="C62" s="134"/>
      <c r="D62" s="134">
        <f>6.65/2</f>
        <v>3.3250000000000002</v>
      </c>
      <c r="E62" s="134">
        <v>3.33</v>
      </c>
    </row>
    <row r="63" spans="1:5" x14ac:dyDescent="0.35">
      <c r="A63" s="31">
        <v>2322</v>
      </c>
      <c r="B63" s="32" t="s">
        <v>153</v>
      </c>
      <c r="C63" s="134">
        <f>17.47-0.55</f>
        <v>16.919999999999998</v>
      </c>
      <c r="D63" s="134">
        <f>17.47-0.55</f>
        <v>16.919999999999998</v>
      </c>
      <c r="E63" s="134">
        <f>17.47-0.55</f>
        <v>16.919999999999998</v>
      </c>
    </row>
    <row r="64" spans="1:5" hidden="1" x14ac:dyDescent="0.35">
      <c r="A64" s="31">
        <v>2341</v>
      </c>
      <c r="B64" s="62" t="s">
        <v>140</v>
      </c>
      <c r="C64" s="134"/>
      <c r="D64" s="134"/>
      <c r="E64" s="134"/>
    </row>
    <row r="65" spans="1:7" x14ac:dyDescent="0.35">
      <c r="A65" s="31">
        <v>2350</v>
      </c>
      <c r="B65" s="61" t="s">
        <v>125</v>
      </c>
      <c r="C65" s="134">
        <v>18.21</v>
      </c>
      <c r="D65" s="134">
        <v>18.21</v>
      </c>
      <c r="E65" s="134">
        <v>18.21</v>
      </c>
    </row>
    <row r="66" spans="1:7" hidden="1" x14ac:dyDescent="0.35">
      <c r="A66" s="31">
        <v>2513</v>
      </c>
      <c r="B66" s="61" t="s">
        <v>121</v>
      </c>
      <c r="C66" s="133"/>
      <c r="D66" s="133"/>
      <c r="E66" s="133"/>
    </row>
    <row r="67" spans="1:7" x14ac:dyDescent="0.35">
      <c r="A67" s="31">
        <v>2515</v>
      </c>
      <c r="B67" s="32" t="s">
        <v>155</v>
      </c>
      <c r="C67" s="134">
        <v>1.25</v>
      </c>
      <c r="D67" s="133">
        <f>'[2]4.4.-.4.5.-4.6.'!$X$15*20</f>
        <v>4.4883816463948261</v>
      </c>
      <c r="E67" s="133">
        <v>4.49</v>
      </c>
    </row>
    <row r="68" spans="1:7" x14ac:dyDescent="0.35">
      <c r="A68" s="31">
        <v>2519</v>
      </c>
      <c r="B68" s="32" t="s">
        <v>122</v>
      </c>
      <c r="C68" s="134">
        <f>0.08</f>
        <v>0.08</v>
      </c>
      <c r="D68" s="134">
        <f>0.08</f>
        <v>0.08</v>
      </c>
      <c r="E68" s="134">
        <f>0.08</f>
        <v>0.08</v>
      </c>
    </row>
    <row r="69" spans="1:7" hidden="1" x14ac:dyDescent="0.35">
      <c r="A69" s="31">
        <v>5220</v>
      </c>
      <c r="B69" s="62" t="s">
        <v>128</v>
      </c>
      <c r="C69" s="134"/>
      <c r="D69" s="134"/>
      <c r="E69" s="134"/>
    </row>
    <row r="70" spans="1:7" x14ac:dyDescent="0.35">
      <c r="A70" s="31">
        <v>5238</v>
      </c>
      <c r="B70" s="61" t="s">
        <v>129</v>
      </c>
      <c r="C70" s="133">
        <v>7.21</v>
      </c>
      <c r="D70" s="133">
        <v>7.21</v>
      </c>
      <c r="E70" s="133">
        <v>7.21</v>
      </c>
    </row>
    <row r="71" spans="1:7" x14ac:dyDescent="0.35">
      <c r="A71" s="31">
        <v>5239</v>
      </c>
      <c r="B71" s="61" t="s">
        <v>130</v>
      </c>
      <c r="C71" s="134">
        <v>20.25</v>
      </c>
      <c r="D71" s="134">
        <v>20.25</v>
      </c>
      <c r="E71" s="134">
        <v>20.149999999999999</v>
      </c>
    </row>
    <row r="72" spans="1:7" x14ac:dyDescent="0.35">
      <c r="A72" s="31">
        <v>5250</v>
      </c>
      <c r="B72" s="32" t="s">
        <v>131</v>
      </c>
      <c r="C72" s="134">
        <v>15.27</v>
      </c>
      <c r="D72" s="134">
        <v>15.27</v>
      </c>
      <c r="E72" s="134">
        <v>15.27</v>
      </c>
    </row>
    <row r="73" spans="1:7" x14ac:dyDescent="0.25">
      <c r="A73" s="38"/>
      <c r="B73" s="40" t="s">
        <v>8</v>
      </c>
      <c r="C73" s="37">
        <f>SUM(C39:C72)</f>
        <v>437.28</v>
      </c>
      <c r="D73" s="37">
        <f>SUM(D39:D72)</f>
        <v>440.5183816463948</v>
      </c>
      <c r="E73" s="37">
        <f>SUM(E39:E72)</f>
        <v>440.42999999999995</v>
      </c>
    </row>
    <row r="74" spans="1:7" x14ac:dyDescent="0.25">
      <c r="A74" s="38"/>
      <c r="B74" s="40" t="s">
        <v>29</v>
      </c>
      <c r="C74" s="137">
        <f>C37+C73</f>
        <v>2025.9999999999995</v>
      </c>
      <c r="D74" s="137">
        <f>D37+D73</f>
        <v>2217.0829874171709</v>
      </c>
      <c r="E74" s="137">
        <f>E37+E73</f>
        <v>2216.9999999999995</v>
      </c>
      <c r="F74" s="148"/>
    </row>
    <row r="75" spans="1:7" ht="14.25" customHeight="1" x14ac:dyDescent="0.35">
      <c r="A75" s="15"/>
      <c r="B75" s="25"/>
      <c r="C75" s="26"/>
      <c r="D75" s="26"/>
      <c r="E75" s="26"/>
    </row>
    <row r="76" spans="1:7" ht="14.25" customHeight="1" x14ac:dyDescent="0.25">
      <c r="A76" s="419" t="s">
        <v>57</v>
      </c>
      <c r="B76" s="419"/>
      <c r="C76" s="67">
        <v>20</v>
      </c>
      <c r="D76" s="67">
        <v>20</v>
      </c>
      <c r="E76" s="67">
        <v>20</v>
      </c>
    </row>
    <row r="77" spans="1:7" ht="14.25" customHeight="1" x14ac:dyDescent="0.3">
      <c r="A77" s="419" t="s">
        <v>58</v>
      </c>
      <c r="B77" s="419"/>
      <c r="C77" s="68">
        <f>C74/C76</f>
        <v>101.29999999999998</v>
      </c>
      <c r="D77" s="68">
        <f>D74/D76</f>
        <v>110.85414937085855</v>
      </c>
      <c r="E77" s="68">
        <f>E74/E76</f>
        <v>110.84999999999998</v>
      </c>
      <c r="G77" s="148"/>
    </row>
    <row r="78" spans="1:7" ht="14.25" customHeight="1" x14ac:dyDescent="0.35">
      <c r="A78" s="25"/>
      <c r="B78" s="26"/>
      <c r="C78" s="26"/>
      <c r="D78" s="26"/>
      <c r="E78" s="26"/>
    </row>
    <row r="79" spans="1:7" ht="14.25" customHeight="1" x14ac:dyDescent="0.35">
      <c r="A79" s="430" t="s">
        <v>33</v>
      </c>
      <c r="B79" s="431"/>
      <c r="C79" s="138"/>
      <c r="D79" s="138"/>
      <c r="E79" s="138"/>
    </row>
    <row r="80" spans="1:7" ht="14.25" customHeight="1" x14ac:dyDescent="0.35">
      <c r="A80" s="430" t="s">
        <v>64</v>
      </c>
      <c r="B80" s="431"/>
      <c r="C80" s="138"/>
      <c r="D80" s="138"/>
      <c r="E80" s="138"/>
    </row>
    <row r="81" spans="1:5" ht="14.25" customHeight="1" x14ac:dyDescent="0.35">
      <c r="A81" s="28"/>
      <c r="B81" s="28"/>
      <c r="C81" s="161"/>
      <c r="D81" s="161">
        <f>110.85*20</f>
        <v>2217</v>
      </c>
      <c r="E81" s="161"/>
    </row>
    <row r="82" spans="1:5" ht="14.25" customHeight="1" x14ac:dyDescent="0.35">
      <c r="A82" s="28" t="s">
        <v>34</v>
      </c>
      <c r="B82" s="28"/>
      <c r="C82" s="161"/>
      <c r="D82" s="161"/>
      <c r="E82" s="161"/>
    </row>
    <row r="83" spans="1:5" ht="14.25" customHeight="1" x14ac:dyDescent="0.35">
      <c r="A83" s="28"/>
      <c r="B83" s="28"/>
      <c r="C83" s="30"/>
      <c r="D83" s="30"/>
      <c r="E83" s="30"/>
    </row>
    <row r="84" spans="1:5" ht="14.25" customHeight="1" x14ac:dyDescent="0.35">
      <c r="A84" s="28" t="s">
        <v>177</v>
      </c>
      <c r="B84" s="29"/>
      <c r="C84" s="30"/>
      <c r="D84" s="30"/>
      <c r="E84" s="30"/>
    </row>
    <row r="85" spans="1:5" x14ac:dyDescent="0.35">
      <c r="A85" s="28"/>
      <c r="B85" s="30"/>
      <c r="C85" s="30"/>
      <c r="D85" s="30"/>
      <c r="E85" s="30"/>
    </row>
  </sheetData>
  <mergeCells count="7">
    <mergeCell ref="A7:B7"/>
    <mergeCell ref="A9:B9"/>
    <mergeCell ref="A10:B10"/>
    <mergeCell ref="A79:B79"/>
    <mergeCell ref="A80:B80"/>
    <mergeCell ref="A76:B76"/>
    <mergeCell ref="A77:B77"/>
  </mergeCells>
  <pageMargins left="0.70866141732283461" right="0.70866141732283461" top="0.69" bottom="0.5395833333333333" header="0.31496062992125984" footer="0.31496062992125984"/>
  <pageSetup paperSize="9" scale="70" orientation="portrait" r:id="rId1"/>
  <headerFooter>
    <oddFooter>&amp;C&amp;F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G85"/>
  <sheetViews>
    <sheetView view="pageLayout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2.453125" style="13" customWidth="1"/>
    <col min="2" max="2" width="84.7265625" style="13" customWidth="1"/>
    <col min="3" max="3" width="26.1796875" style="13" hidden="1" customWidth="1"/>
    <col min="4" max="5" width="32.26953125" style="13" hidden="1" customWidth="1"/>
    <col min="6" max="6" width="29.1796875" style="13" hidden="1" customWidth="1"/>
    <col min="7" max="7" width="26.54296875" style="13" customWidth="1"/>
    <col min="8" max="16384" width="9.1796875" style="7"/>
  </cols>
  <sheetData>
    <row r="1" spans="1:7" x14ac:dyDescent="0.35">
      <c r="C1" s="53" t="s">
        <v>10</v>
      </c>
      <c r="D1" s="17" t="s">
        <v>10</v>
      </c>
      <c r="E1" s="17" t="s">
        <v>10</v>
      </c>
      <c r="F1" s="17" t="s">
        <v>10</v>
      </c>
      <c r="G1" s="17" t="s">
        <v>10</v>
      </c>
    </row>
    <row r="2" spans="1:7" x14ac:dyDescent="0.35">
      <c r="C2" s="54" t="s">
        <v>32</v>
      </c>
      <c r="D2" s="14" t="s">
        <v>32</v>
      </c>
      <c r="E2" s="14" t="s">
        <v>32</v>
      </c>
      <c r="F2" s="14" t="s">
        <v>32</v>
      </c>
      <c r="G2" s="14" t="s">
        <v>32</v>
      </c>
    </row>
    <row r="3" spans="1:7" x14ac:dyDescent="0.35">
      <c r="C3" s="55" t="s">
        <v>66</v>
      </c>
      <c r="D3" s="77" t="s">
        <v>66</v>
      </c>
      <c r="E3" s="77" t="s">
        <v>66</v>
      </c>
      <c r="F3" s="77" t="s">
        <v>66</v>
      </c>
      <c r="G3" s="77" t="s">
        <v>66</v>
      </c>
    </row>
    <row r="4" spans="1:7" x14ac:dyDescent="0.35">
      <c r="C4" s="54"/>
      <c r="D4" s="63"/>
      <c r="E4" s="63"/>
      <c r="F4" s="63"/>
      <c r="G4" s="63"/>
    </row>
    <row r="5" spans="1:7" x14ac:dyDescent="0.35">
      <c r="C5" s="54" t="s">
        <v>67</v>
      </c>
      <c r="D5" s="15" t="s">
        <v>178</v>
      </c>
      <c r="E5" s="15" t="s">
        <v>226</v>
      </c>
      <c r="F5" s="15" t="s">
        <v>323</v>
      </c>
      <c r="G5" s="15" t="s">
        <v>333</v>
      </c>
    </row>
    <row r="7" spans="1:7" ht="15" x14ac:dyDescent="0.3">
      <c r="A7" s="416" t="s">
        <v>9</v>
      </c>
      <c r="B7" s="416"/>
      <c r="C7" s="416"/>
      <c r="D7" s="7"/>
      <c r="E7" s="7"/>
      <c r="F7" s="7"/>
      <c r="G7" s="7"/>
    </row>
    <row r="8" spans="1:7" x14ac:dyDescent="0.35">
      <c r="B8" s="18"/>
    </row>
    <row r="9" spans="1:7" x14ac:dyDescent="0.35">
      <c r="A9" s="419" t="s">
        <v>1</v>
      </c>
      <c r="B9" s="419"/>
    </row>
    <row r="10" spans="1:7" x14ac:dyDescent="0.35">
      <c r="A10" s="419" t="s">
        <v>0</v>
      </c>
      <c r="B10" s="419"/>
    </row>
    <row r="11" spans="1:7" x14ac:dyDescent="0.35">
      <c r="A11" s="11"/>
      <c r="B11" s="11" t="s">
        <v>179</v>
      </c>
    </row>
    <row r="12" spans="1:7" x14ac:dyDescent="0.25">
      <c r="A12" s="11"/>
      <c r="B12" s="419" t="s">
        <v>236</v>
      </c>
      <c r="C12" s="419"/>
      <c r="D12" s="7"/>
      <c r="E12" s="7"/>
      <c r="F12" s="7"/>
      <c r="G12" s="7"/>
    </row>
    <row r="13" spans="1:7" x14ac:dyDescent="0.25">
      <c r="A13" s="11"/>
      <c r="B13" s="11" t="s">
        <v>232</v>
      </c>
      <c r="C13" s="11"/>
      <c r="D13" s="7"/>
      <c r="E13" s="7"/>
      <c r="F13" s="7"/>
      <c r="G13" s="7"/>
    </row>
    <row r="14" spans="1:7" x14ac:dyDescent="0.35">
      <c r="A14" s="11" t="s">
        <v>2</v>
      </c>
      <c r="B14" s="11" t="str">
        <f>'4.5.2.'!B14</f>
        <v>2025.gadā un turpmāk</v>
      </c>
    </row>
    <row r="15" spans="1:7" ht="62" x14ac:dyDescent="0.25">
      <c r="A15" s="51" t="s">
        <v>3</v>
      </c>
      <c r="B15" s="51" t="s">
        <v>4</v>
      </c>
      <c r="C15" s="51" t="s">
        <v>63</v>
      </c>
      <c r="D15" s="51" t="s">
        <v>63</v>
      </c>
      <c r="E15" s="51" t="s">
        <v>63</v>
      </c>
      <c r="F15" s="51" t="s">
        <v>63</v>
      </c>
      <c r="G15" s="51" t="s">
        <v>63</v>
      </c>
    </row>
    <row r="16" spans="1:7" ht="15" x14ac:dyDescent="0.25">
      <c r="A16" s="20">
        <v>1</v>
      </c>
      <c r="B16" s="21">
        <v>2</v>
      </c>
      <c r="C16" s="20">
        <v>3</v>
      </c>
      <c r="D16" s="20">
        <v>3</v>
      </c>
      <c r="E16" s="20">
        <v>3</v>
      </c>
      <c r="F16" s="20">
        <v>3</v>
      </c>
      <c r="G16" s="20">
        <v>3</v>
      </c>
    </row>
    <row r="17" spans="1:7" x14ac:dyDescent="0.35">
      <c r="A17" s="20"/>
      <c r="B17" s="22" t="s">
        <v>5</v>
      </c>
      <c r="C17" s="61"/>
      <c r="D17" s="61"/>
      <c r="E17" s="61"/>
      <c r="F17" s="61"/>
      <c r="G17" s="61"/>
    </row>
    <row r="18" spans="1:7" x14ac:dyDescent="0.35">
      <c r="A18" s="31">
        <v>1100</v>
      </c>
      <c r="B18" s="31" t="s">
        <v>132</v>
      </c>
      <c r="C18" s="133">
        <v>1169.1300000000001</v>
      </c>
      <c r="D18" s="133">
        <v>614.04</v>
      </c>
      <c r="E18" s="133">
        <f t="shared" ref="E18:E26" si="0">D18/140*200</f>
        <v>877.2</v>
      </c>
      <c r="F18" s="133">
        <f t="shared" ref="F18:F25" si="1">E18/200*150</f>
        <v>657.9</v>
      </c>
      <c r="G18" s="133">
        <v>657.9</v>
      </c>
    </row>
    <row r="19" spans="1:7" ht="15.75" customHeight="1" x14ac:dyDescent="0.35">
      <c r="A19" s="31">
        <v>1200</v>
      </c>
      <c r="B19" s="61" t="s">
        <v>133</v>
      </c>
      <c r="C19" s="33">
        <v>275.8</v>
      </c>
      <c r="D19" s="133">
        <v>144.85</v>
      </c>
      <c r="E19" s="133">
        <f t="shared" si="0"/>
        <v>206.92857142857144</v>
      </c>
      <c r="F19" s="133">
        <f t="shared" si="1"/>
        <v>155.19642857142858</v>
      </c>
      <c r="G19" s="133">
        <v>155.19999999999999</v>
      </c>
    </row>
    <row r="20" spans="1:7" x14ac:dyDescent="0.35">
      <c r="A20" s="31">
        <v>2210</v>
      </c>
      <c r="B20" s="62" t="s">
        <v>120</v>
      </c>
      <c r="C20" s="33">
        <v>59.19</v>
      </c>
      <c r="D20" s="133">
        <v>27.62</v>
      </c>
      <c r="E20" s="133">
        <f t="shared" si="0"/>
        <v>39.457142857142856</v>
      </c>
      <c r="F20" s="133">
        <f t="shared" si="1"/>
        <v>29.592857142857142</v>
      </c>
      <c r="G20" s="133">
        <v>29.59</v>
      </c>
    </row>
    <row r="21" spans="1:7" x14ac:dyDescent="0.35">
      <c r="A21" s="31">
        <v>2222</v>
      </c>
      <c r="B21" s="62" t="s">
        <v>135</v>
      </c>
      <c r="C21" s="33">
        <v>1474.86</v>
      </c>
      <c r="D21" s="133">
        <v>688.27</v>
      </c>
      <c r="E21" s="133">
        <f t="shared" si="0"/>
        <v>983.24285714285702</v>
      </c>
      <c r="F21" s="133">
        <f t="shared" si="1"/>
        <v>737.43214285714282</v>
      </c>
      <c r="G21" s="133">
        <v>737.43</v>
      </c>
    </row>
    <row r="22" spans="1:7" x14ac:dyDescent="0.35">
      <c r="A22" s="31">
        <v>2223</v>
      </c>
      <c r="B22" s="32" t="s">
        <v>136</v>
      </c>
      <c r="C22" s="33">
        <v>989.66</v>
      </c>
      <c r="D22" s="133">
        <v>983.72</v>
      </c>
      <c r="E22" s="133">
        <f t="shared" si="0"/>
        <v>1405.3142857142857</v>
      </c>
      <c r="F22" s="133">
        <f t="shared" si="1"/>
        <v>1053.9857142857143</v>
      </c>
      <c r="G22" s="133">
        <v>1053.99</v>
      </c>
    </row>
    <row r="23" spans="1:7" x14ac:dyDescent="0.35">
      <c r="A23" s="31">
        <v>2243</v>
      </c>
      <c r="B23" s="151" t="s">
        <v>137</v>
      </c>
      <c r="C23" s="33">
        <v>54.5</v>
      </c>
      <c r="D23" s="133">
        <v>25.43</v>
      </c>
      <c r="E23" s="133">
        <f t="shared" si="0"/>
        <v>36.328571428571429</v>
      </c>
      <c r="F23" s="133">
        <f t="shared" si="1"/>
        <v>27.24642857142857</v>
      </c>
      <c r="G23" s="133">
        <v>27.25</v>
      </c>
    </row>
    <row r="24" spans="1:7" x14ac:dyDescent="0.35">
      <c r="A24" s="31">
        <v>2244</v>
      </c>
      <c r="B24" s="22" t="s">
        <v>138</v>
      </c>
      <c r="C24" s="33">
        <v>1192.57</v>
      </c>
      <c r="D24" s="133">
        <v>723.49</v>
      </c>
      <c r="E24" s="133">
        <f t="shared" si="0"/>
        <v>1033.5571428571429</v>
      </c>
      <c r="F24" s="133">
        <f t="shared" si="1"/>
        <v>775.1678571428572</v>
      </c>
      <c r="G24" s="133">
        <v>775.17</v>
      </c>
    </row>
    <row r="25" spans="1:7" hidden="1" x14ac:dyDescent="0.35">
      <c r="A25" s="31">
        <v>2250</v>
      </c>
      <c r="B25" s="22" t="s">
        <v>124</v>
      </c>
      <c r="C25" s="33">
        <v>0</v>
      </c>
      <c r="D25" s="133">
        <f>C25/300*200</f>
        <v>0</v>
      </c>
      <c r="E25" s="133">
        <f t="shared" si="0"/>
        <v>0</v>
      </c>
      <c r="F25" s="133">
        <f t="shared" si="1"/>
        <v>0</v>
      </c>
      <c r="G25" s="133">
        <v>0</v>
      </c>
    </row>
    <row r="26" spans="1:7" x14ac:dyDescent="0.35">
      <c r="A26" s="31">
        <v>2263</v>
      </c>
      <c r="B26" s="32" t="s">
        <v>149</v>
      </c>
      <c r="C26" s="33">
        <v>505.33</v>
      </c>
      <c r="D26" s="133">
        <v>327.79</v>
      </c>
      <c r="E26" s="133">
        <f t="shared" si="0"/>
        <v>468.2714285714286</v>
      </c>
      <c r="F26" s="373">
        <f>'[2]4.4.-.4.5.-4.6.'!$Y$17*150</f>
        <v>495.15532068799195</v>
      </c>
      <c r="G26" s="133">
        <v>495.16</v>
      </c>
    </row>
    <row r="27" spans="1:7" hidden="1" x14ac:dyDescent="0.35">
      <c r="A27" s="31">
        <v>2311</v>
      </c>
      <c r="B27" s="32" t="s">
        <v>151</v>
      </c>
      <c r="C27" s="33"/>
      <c r="D27" s="133"/>
      <c r="E27" s="133"/>
      <c r="F27" s="133">
        <f t="shared" ref="F27:F33" si="2">E27/200*150</f>
        <v>0</v>
      </c>
      <c r="G27" s="133">
        <v>0</v>
      </c>
    </row>
    <row r="28" spans="1:7" x14ac:dyDescent="0.35">
      <c r="A28" s="31">
        <v>2312</v>
      </c>
      <c r="B28" s="32" t="s">
        <v>116</v>
      </c>
      <c r="C28" s="33">
        <v>150.97</v>
      </c>
      <c r="D28" s="133">
        <v>70.45</v>
      </c>
      <c r="E28" s="133">
        <f>D28/140*200</f>
        <v>100.64285714285714</v>
      </c>
      <c r="F28" s="133">
        <f t="shared" si="2"/>
        <v>75.482142857142861</v>
      </c>
      <c r="G28" s="133">
        <v>75.48</v>
      </c>
    </row>
    <row r="29" spans="1:7" x14ac:dyDescent="0.35">
      <c r="A29" s="31">
        <v>2321</v>
      </c>
      <c r="B29" s="32" t="s">
        <v>139</v>
      </c>
      <c r="C29" s="33">
        <v>2179.88</v>
      </c>
      <c r="D29" s="133">
        <v>1017.28</v>
      </c>
      <c r="E29" s="133">
        <f>D29/140*200</f>
        <v>1453.2571428571428</v>
      </c>
      <c r="F29" s="133">
        <f t="shared" si="2"/>
        <v>1089.9428571428571</v>
      </c>
      <c r="G29" s="133">
        <v>1089.94</v>
      </c>
    </row>
    <row r="30" spans="1:7" x14ac:dyDescent="0.35">
      <c r="A30" s="31">
        <v>2350</v>
      </c>
      <c r="B30" s="61" t="s">
        <v>125</v>
      </c>
      <c r="C30" s="33">
        <v>126.14</v>
      </c>
      <c r="D30" s="133">
        <v>58.87</v>
      </c>
      <c r="E30" s="133">
        <f>D30/140*200</f>
        <v>84.1</v>
      </c>
      <c r="F30" s="133">
        <f t="shared" si="2"/>
        <v>63.074999999999996</v>
      </c>
      <c r="G30" s="133">
        <v>63.08</v>
      </c>
    </row>
    <row r="31" spans="1:7" x14ac:dyDescent="0.35">
      <c r="A31" s="31">
        <v>2361</v>
      </c>
      <c r="B31" s="32" t="s">
        <v>141</v>
      </c>
      <c r="C31" s="33">
        <v>105.93</v>
      </c>
      <c r="D31" s="133">
        <v>49.43</v>
      </c>
      <c r="E31" s="133">
        <f>D31/140*200</f>
        <v>70.614285714285714</v>
      </c>
      <c r="F31" s="133">
        <f t="shared" si="2"/>
        <v>52.960714285714289</v>
      </c>
      <c r="G31" s="133">
        <v>52.96</v>
      </c>
    </row>
    <row r="32" spans="1:7" hidden="1" x14ac:dyDescent="0.35">
      <c r="A32" s="31">
        <v>2362</v>
      </c>
      <c r="B32" s="83" t="s">
        <v>156</v>
      </c>
      <c r="C32" s="33"/>
      <c r="D32" s="133"/>
      <c r="E32" s="133"/>
      <c r="F32" s="133">
        <f t="shared" si="2"/>
        <v>0</v>
      </c>
      <c r="G32" s="133">
        <v>0</v>
      </c>
    </row>
    <row r="33" spans="1:7" hidden="1" x14ac:dyDescent="0.35">
      <c r="A33" s="31">
        <v>2363</v>
      </c>
      <c r="B33" s="62" t="s">
        <v>142</v>
      </c>
      <c r="C33" s="33"/>
      <c r="D33" s="133"/>
      <c r="E33" s="133"/>
      <c r="F33" s="133">
        <f t="shared" si="2"/>
        <v>0</v>
      </c>
      <c r="G33" s="133">
        <v>0</v>
      </c>
    </row>
    <row r="34" spans="1:7" x14ac:dyDescent="0.35">
      <c r="A34" s="31">
        <v>2513</v>
      </c>
      <c r="B34" s="61" t="s">
        <v>121</v>
      </c>
      <c r="C34" s="33">
        <v>237.9</v>
      </c>
      <c r="D34" s="133">
        <v>111.02</v>
      </c>
      <c r="E34" s="133">
        <f>D34/140*200</f>
        <v>158.6</v>
      </c>
      <c r="F34" s="373">
        <f>'[2]4.4.-.4.5.-4.6.'!$Y$19*150</f>
        <v>242.86077399131977</v>
      </c>
      <c r="G34" s="133">
        <v>242.86</v>
      </c>
    </row>
    <row r="35" spans="1:7" x14ac:dyDescent="0.35">
      <c r="A35" s="31">
        <v>2519</v>
      </c>
      <c r="B35" s="32" t="s">
        <v>122</v>
      </c>
      <c r="C35" s="33">
        <v>168.47</v>
      </c>
      <c r="D35" s="133">
        <v>78.62</v>
      </c>
      <c r="E35" s="133">
        <f>D35/140*200</f>
        <v>112.31428571428572</v>
      </c>
      <c r="F35" s="373">
        <f>'[2]4.4.-.4.5.-4.6.'!$Y$18*150</f>
        <v>36.347854042758392</v>
      </c>
      <c r="G35" s="133">
        <v>36.35</v>
      </c>
    </row>
    <row r="36" spans="1:7" x14ac:dyDescent="0.35">
      <c r="A36" s="31">
        <v>5239</v>
      </c>
      <c r="B36" s="61" t="s">
        <v>130</v>
      </c>
      <c r="C36" s="33"/>
      <c r="D36" s="133"/>
      <c r="E36" s="133"/>
      <c r="F36" s="373">
        <f>'[2]4.4.-.4.5.-4.6.'!$Y$23*150</f>
        <v>141.91514125542523</v>
      </c>
      <c r="G36" s="133">
        <v>141.91999999999999</v>
      </c>
    </row>
    <row r="37" spans="1:7" x14ac:dyDescent="0.25">
      <c r="A37" s="31"/>
      <c r="B37" s="36" t="s">
        <v>6</v>
      </c>
      <c r="C37" s="37">
        <f>SUM(C18:C35)</f>
        <v>8690.33</v>
      </c>
      <c r="D37" s="37">
        <f>SUM(D18:D35)</f>
        <v>4920.88</v>
      </c>
      <c r="E37" s="37">
        <f>SUM(E18:E35)</f>
        <v>7029.8285714285712</v>
      </c>
      <c r="F37" s="37">
        <f>SUM(F18:F36)</f>
        <v>5634.2612328346386</v>
      </c>
      <c r="G37" s="37">
        <f>SUM(G18:G36)</f>
        <v>5634.28</v>
      </c>
    </row>
    <row r="38" spans="1:7" x14ac:dyDescent="0.25">
      <c r="A38" s="38"/>
      <c r="B38" s="31" t="s">
        <v>7</v>
      </c>
      <c r="C38" s="33"/>
      <c r="D38" s="33"/>
      <c r="E38" s="33"/>
      <c r="F38" s="33"/>
      <c r="G38" s="33"/>
    </row>
    <row r="39" spans="1:7" x14ac:dyDescent="0.35">
      <c r="A39" s="31">
        <v>1100</v>
      </c>
      <c r="B39" s="31" t="s">
        <v>132</v>
      </c>
      <c r="C39" s="33">
        <v>1137.24</v>
      </c>
      <c r="D39" s="33">
        <v>660.49</v>
      </c>
      <c r="E39" s="133">
        <f>D39/140*200</f>
        <v>943.55714285714282</v>
      </c>
      <c r="F39" s="133">
        <f>E39/200*150</f>
        <v>707.66785714285709</v>
      </c>
      <c r="G39" s="133">
        <v>707.67</v>
      </c>
    </row>
    <row r="40" spans="1:7" ht="15.75" customHeight="1" x14ac:dyDescent="0.35">
      <c r="A40" s="31">
        <v>1200</v>
      </c>
      <c r="B40" s="61" t="s">
        <v>133</v>
      </c>
      <c r="C40" s="33">
        <v>268.27999999999997</v>
      </c>
      <c r="D40" s="33">
        <v>155.81</v>
      </c>
      <c r="E40" s="133">
        <f>D40/140*200</f>
        <v>222.58571428571429</v>
      </c>
      <c r="F40" s="133">
        <f>E40/200*150</f>
        <v>166.93928571428572</v>
      </c>
      <c r="G40" s="133">
        <v>166.94</v>
      </c>
    </row>
    <row r="41" spans="1:7" ht="15.75" hidden="1" customHeight="1" x14ac:dyDescent="0.35">
      <c r="A41" s="31">
        <v>2100</v>
      </c>
      <c r="B41" s="24" t="s">
        <v>45</v>
      </c>
      <c r="C41" s="33"/>
      <c r="D41" s="33"/>
      <c r="E41" s="133"/>
      <c r="F41" s="133">
        <f>E41/200*150</f>
        <v>0</v>
      </c>
      <c r="G41" s="133">
        <v>0</v>
      </c>
    </row>
    <row r="42" spans="1:7" hidden="1" x14ac:dyDescent="0.35">
      <c r="A42" s="31">
        <v>2210</v>
      </c>
      <c r="B42" s="62" t="s">
        <v>120</v>
      </c>
      <c r="C42" s="33">
        <v>33.94</v>
      </c>
      <c r="D42" s="33">
        <v>17.52</v>
      </c>
      <c r="E42" s="133">
        <f>D42/140*200</f>
        <v>25.028571428571428</v>
      </c>
      <c r="F42" s="133">
        <v>0</v>
      </c>
      <c r="G42" s="133">
        <v>0</v>
      </c>
    </row>
    <row r="43" spans="1:7" hidden="1" x14ac:dyDescent="0.35">
      <c r="A43" s="31">
        <v>2222</v>
      </c>
      <c r="B43" s="62" t="s">
        <v>135</v>
      </c>
      <c r="C43" s="33"/>
      <c r="D43" s="33"/>
      <c r="E43" s="133"/>
      <c r="F43" s="133">
        <f>E43/200*150</f>
        <v>0</v>
      </c>
      <c r="G43" s="133">
        <v>0</v>
      </c>
    </row>
    <row r="44" spans="1:7" x14ac:dyDescent="0.35">
      <c r="A44" s="31">
        <v>2223</v>
      </c>
      <c r="B44" s="32" t="s">
        <v>136</v>
      </c>
      <c r="C44" s="33"/>
      <c r="D44" s="33"/>
      <c r="E44" s="133"/>
      <c r="F44" s="133">
        <f>18.77/2</f>
        <v>9.3849999999999998</v>
      </c>
      <c r="G44" s="133">
        <v>9.39</v>
      </c>
    </row>
    <row r="45" spans="1:7" ht="31" x14ac:dyDescent="0.35">
      <c r="A45" s="31">
        <v>2224</v>
      </c>
      <c r="B45" s="62" t="s">
        <v>176</v>
      </c>
      <c r="C45" s="33"/>
      <c r="D45" s="33">
        <v>18.809999999999999</v>
      </c>
      <c r="E45" s="133">
        <f>D45/140*200</f>
        <v>26.871428571428567</v>
      </c>
      <c r="F45" s="133">
        <f t="shared" ref="F45:F61" si="3">E45/200*150</f>
        <v>20.153571428571425</v>
      </c>
      <c r="G45" s="133">
        <v>20.149999999999999</v>
      </c>
    </row>
    <row r="46" spans="1:7" hidden="1" x14ac:dyDescent="0.35">
      <c r="A46" s="31">
        <v>2231</v>
      </c>
      <c r="B46" s="22" t="s">
        <v>126</v>
      </c>
      <c r="C46" s="33"/>
      <c r="D46" s="33"/>
      <c r="E46" s="133"/>
      <c r="F46" s="133">
        <f t="shared" si="3"/>
        <v>0</v>
      </c>
      <c r="G46" s="133">
        <v>0</v>
      </c>
    </row>
    <row r="47" spans="1:7" hidden="1" x14ac:dyDescent="0.35">
      <c r="A47" s="31">
        <v>2235</v>
      </c>
      <c r="B47" s="75" t="s">
        <v>127</v>
      </c>
      <c r="C47" s="33"/>
      <c r="D47" s="33"/>
      <c r="E47" s="133"/>
      <c r="F47" s="133">
        <f t="shared" si="3"/>
        <v>0</v>
      </c>
      <c r="G47" s="133">
        <v>0</v>
      </c>
    </row>
    <row r="48" spans="1:7" x14ac:dyDescent="0.35">
      <c r="A48" s="31">
        <v>2239</v>
      </c>
      <c r="B48" s="32" t="s">
        <v>144</v>
      </c>
      <c r="C48" s="33">
        <v>13.59</v>
      </c>
      <c r="D48" s="33">
        <v>7.01</v>
      </c>
      <c r="E48" s="133">
        <f>D48/140*200</f>
        <v>10.014285714285714</v>
      </c>
      <c r="F48" s="133">
        <f t="shared" si="3"/>
        <v>7.5107142857142861</v>
      </c>
      <c r="G48" s="133">
        <v>7.51</v>
      </c>
    </row>
    <row r="49" spans="1:7" x14ac:dyDescent="0.35">
      <c r="A49" s="31">
        <v>2241</v>
      </c>
      <c r="B49" s="22" t="s">
        <v>123</v>
      </c>
      <c r="C49" s="133">
        <v>2.85</v>
      </c>
      <c r="D49" s="33">
        <v>1.47</v>
      </c>
      <c r="E49" s="133">
        <f>D49/140*200</f>
        <v>2.1</v>
      </c>
      <c r="F49" s="133">
        <f t="shared" si="3"/>
        <v>1.5750000000000002</v>
      </c>
      <c r="G49" s="133">
        <v>1.58</v>
      </c>
    </row>
    <row r="50" spans="1:7" x14ac:dyDescent="0.35">
      <c r="A50" s="31">
        <v>2242</v>
      </c>
      <c r="B50" s="32" t="s">
        <v>145</v>
      </c>
      <c r="C50" s="33">
        <v>11.1</v>
      </c>
      <c r="D50" s="33">
        <v>5.73</v>
      </c>
      <c r="E50" s="133">
        <f>D50/140*200</f>
        <v>8.1857142857142868</v>
      </c>
      <c r="F50" s="133">
        <f t="shared" si="3"/>
        <v>6.1392857142857151</v>
      </c>
      <c r="G50" s="133">
        <v>6.14</v>
      </c>
    </row>
    <row r="51" spans="1:7" x14ac:dyDescent="0.35">
      <c r="A51" s="31">
        <v>2243</v>
      </c>
      <c r="B51" s="32" t="s">
        <v>137</v>
      </c>
      <c r="C51" s="33">
        <v>10.88</v>
      </c>
      <c r="D51" s="33">
        <v>5.62</v>
      </c>
      <c r="E51" s="133">
        <f>D51/140*200</f>
        <v>8.0285714285714285</v>
      </c>
      <c r="F51" s="133">
        <f t="shared" si="3"/>
        <v>6.0214285714285714</v>
      </c>
      <c r="G51" s="133">
        <v>6.02</v>
      </c>
    </row>
    <row r="52" spans="1:7" x14ac:dyDescent="0.35">
      <c r="A52" s="31">
        <v>2244</v>
      </c>
      <c r="B52" s="22" t="s">
        <v>138</v>
      </c>
      <c r="C52" s="33">
        <v>2.42</v>
      </c>
      <c r="D52" s="33">
        <f>1.63+1.07</f>
        <v>2.7</v>
      </c>
      <c r="E52" s="133">
        <f>D52/140*200</f>
        <v>3.8571428571428577</v>
      </c>
      <c r="F52" s="133">
        <f t="shared" si="3"/>
        <v>2.8928571428571432</v>
      </c>
      <c r="G52" s="133">
        <v>2.89</v>
      </c>
    </row>
    <row r="53" spans="1:7" hidden="1" x14ac:dyDescent="0.35">
      <c r="A53" s="31">
        <v>2247</v>
      </c>
      <c r="B53" s="22"/>
      <c r="C53" s="33"/>
      <c r="D53" s="33"/>
      <c r="E53" s="133"/>
      <c r="F53" s="133">
        <f t="shared" si="3"/>
        <v>0</v>
      </c>
      <c r="G53" s="133">
        <v>0</v>
      </c>
    </row>
    <row r="54" spans="1:7" x14ac:dyDescent="0.35">
      <c r="A54" s="31">
        <v>2249</v>
      </c>
      <c r="B54" s="22" t="s">
        <v>171</v>
      </c>
      <c r="C54" s="33">
        <v>223.6</v>
      </c>
      <c r="D54" s="133">
        <v>1.42</v>
      </c>
      <c r="E54" s="133">
        <f>D54/140*200</f>
        <v>2.0285714285714285</v>
      </c>
      <c r="F54" s="133">
        <f t="shared" si="3"/>
        <v>1.5214285714285714</v>
      </c>
      <c r="G54" s="133">
        <v>1.52</v>
      </c>
    </row>
    <row r="55" spans="1:7" x14ac:dyDescent="0.35">
      <c r="A55" s="31">
        <v>2250</v>
      </c>
      <c r="B55" s="22" t="s">
        <v>124</v>
      </c>
      <c r="C55" s="33">
        <v>25.18</v>
      </c>
      <c r="D55" s="33">
        <v>12.98</v>
      </c>
      <c r="E55" s="133">
        <f>D55/140*200</f>
        <v>18.542857142857144</v>
      </c>
      <c r="F55" s="133">
        <f t="shared" si="3"/>
        <v>13.907142857142858</v>
      </c>
      <c r="G55" s="133">
        <v>13.91</v>
      </c>
    </row>
    <row r="56" spans="1:7" x14ac:dyDescent="0.35">
      <c r="A56" s="31">
        <v>2262</v>
      </c>
      <c r="B56" s="32" t="s">
        <v>148</v>
      </c>
      <c r="C56" s="33">
        <v>26.54</v>
      </c>
      <c r="D56" s="33">
        <v>13.7</v>
      </c>
      <c r="E56" s="133">
        <f>D56/140*200</f>
        <v>19.571428571428569</v>
      </c>
      <c r="F56" s="133">
        <f t="shared" si="3"/>
        <v>14.678571428571427</v>
      </c>
      <c r="G56" s="133">
        <v>14.68</v>
      </c>
    </row>
    <row r="57" spans="1:7" hidden="1" x14ac:dyDescent="0.35">
      <c r="A57" s="31">
        <v>2263</v>
      </c>
      <c r="B57" s="32" t="s">
        <v>149</v>
      </c>
      <c r="C57" s="33"/>
      <c r="D57" s="33"/>
      <c r="E57" s="133"/>
      <c r="F57" s="133">
        <f t="shared" si="3"/>
        <v>0</v>
      </c>
      <c r="G57" s="133">
        <v>0</v>
      </c>
    </row>
    <row r="58" spans="1:7" x14ac:dyDescent="0.35">
      <c r="A58" s="31">
        <v>2264</v>
      </c>
      <c r="B58" s="32" t="s">
        <v>173</v>
      </c>
      <c r="C58" s="33">
        <v>0.28000000000000003</v>
      </c>
      <c r="D58" s="33">
        <v>0.14000000000000001</v>
      </c>
      <c r="E58" s="133">
        <f>D58/140*200</f>
        <v>0.2</v>
      </c>
      <c r="F58" s="133">
        <f t="shared" si="3"/>
        <v>0.15</v>
      </c>
      <c r="G58" s="133">
        <v>0.15</v>
      </c>
    </row>
    <row r="59" spans="1:7" x14ac:dyDescent="0.35">
      <c r="A59" s="31">
        <v>2311</v>
      </c>
      <c r="B59" s="32" t="s">
        <v>151</v>
      </c>
      <c r="C59" s="33">
        <v>14.51</v>
      </c>
      <c r="D59" s="33">
        <v>7.49</v>
      </c>
      <c r="E59" s="133">
        <f>D59/140*200</f>
        <v>10.7</v>
      </c>
      <c r="F59" s="133">
        <f t="shared" si="3"/>
        <v>8.0250000000000004</v>
      </c>
      <c r="G59" s="133">
        <v>8.0299999999999994</v>
      </c>
    </row>
    <row r="60" spans="1:7" hidden="1" x14ac:dyDescent="0.35">
      <c r="A60" s="31">
        <v>2312</v>
      </c>
      <c r="B60" s="32" t="s">
        <v>116</v>
      </c>
      <c r="C60" s="33">
        <v>3.27</v>
      </c>
      <c r="D60" s="33"/>
      <c r="E60" s="133">
        <f>D60/140*200</f>
        <v>0</v>
      </c>
      <c r="F60" s="133">
        <f t="shared" si="3"/>
        <v>0</v>
      </c>
      <c r="G60" s="133">
        <v>0</v>
      </c>
    </row>
    <row r="61" spans="1:7" hidden="1" x14ac:dyDescent="0.35">
      <c r="A61" s="31">
        <v>2314</v>
      </c>
      <c r="B61" s="75" t="s">
        <v>152</v>
      </c>
      <c r="C61" s="33"/>
      <c r="D61" s="33"/>
      <c r="E61" s="133"/>
      <c r="F61" s="133">
        <f t="shared" si="3"/>
        <v>0</v>
      </c>
      <c r="G61" s="133">
        <v>0</v>
      </c>
    </row>
    <row r="62" spans="1:7" x14ac:dyDescent="0.35">
      <c r="A62" s="31">
        <v>2321</v>
      </c>
      <c r="B62" s="32" t="s">
        <v>139</v>
      </c>
      <c r="C62" s="33"/>
      <c r="D62" s="33"/>
      <c r="E62" s="133"/>
      <c r="F62" s="133">
        <f>18.77/2</f>
        <v>9.3849999999999998</v>
      </c>
      <c r="G62" s="133">
        <v>9.39</v>
      </c>
    </row>
    <row r="63" spans="1:7" x14ac:dyDescent="0.35">
      <c r="A63" s="31">
        <v>2322</v>
      </c>
      <c r="B63" s="32" t="s">
        <v>153</v>
      </c>
      <c r="C63" s="33">
        <v>67.73</v>
      </c>
      <c r="D63" s="33">
        <v>34.950000000000003</v>
      </c>
      <c r="E63" s="133">
        <f>D63/140*200</f>
        <v>49.928571428571431</v>
      </c>
      <c r="F63" s="133">
        <f>E63/200*150</f>
        <v>37.446428571428577</v>
      </c>
      <c r="G63" s="133">
        <v>37.450000000000003</v>
      </c>
    </row>
    <row r="64" spans="1:7" hidden="1" x14ac:dyDescent="0.35">
      <c r="A64" s="31">
        <v>2341</v>
      </c>
      <c r="B64" s="62" t="s">
        <v>140</v>
      </c>
      <c r="C64" s="33"/>
      <c r="D64" s="33"/>
      <c r="E64" s="133"/>
      <c r="F64" s="133">
        <f>E64/200*150</f>
        <v>0</v>
      </c>
      <c r="G64" s="133">
        <v>0</v>
      </c>
    </row>
    <row r="65" spans="1:7" x14ac:dyDescent="0.35">
      <c r="A65" s="31">
        <v>2350</v>
      </c>
      <c r="B65" s="61" t="s">
        <v>125</v>
      </c>
      <c r="C65" s="33">
        <v>67.66</v>
      </c>
      <c r="D65" s="33">
        <v>34.909999999999997</v>
      </c>
      <c r="E65" s="133">
        <f>D65/140*200</f>
        <v>49.871428571428567</v>
      </c>
      <c r="F65" s="133">
        <f>E65/200*150</f>
        <v>37.403571428571425</v>
      </c>
      <c r="G65" s="133">
        <v>37.4</v>
      </c>
    </row>
    <row r="66" spans="1:7" hidden="1" x14ac:dyDescent="0.35">
      <c r="A66" s="31">
        <v>2513</v>
      </c>
      <c r="B66" s="61" t="s">
        <v>121</v>
      </c>
      <c r="C66" s="33">
        <v>1316.25</v>
      </c>
      <c r="D66" s="33">
        <v>0</v>
      </c>
      <c r="E66" s="133">
        <f>D66/140*200</f>
        <v>0</v>
      </c>
      <c r="F66" s="133">
        <f>E66/200*150</f>
        <v>0</v>
      </c>
      <c r="G66" s="133">
        <v>0</v>
      </c>
    </row>
    <row r="67" spans="1:7" x14ac:dyDescent="0.35">
      <c r="A67" s="31">
        <v>2515</v>
      </c>
      <c r="B67" s="32" t="s">
        <v>155</v>
      </c>
      <c r="C67" s="33">
        <v>4.7</v>
      </c>
      <c r="D67" s="33">
        <v>2.42</v>
      </c>
      <c r="E67" s="133">
        <f>D67/140*200</f>
        <v>3.4571428571428573</v>
      </c>
      <c r="F67" s="373">
        <f>'[2]4.4.-.4.5.-4.6.'!$Y$15*150</f>
        <v>14.426941006269082</v>
      </c>
      <c r="G67" s="133">
        <v>14.43</v>
      </c>
    </row>
    <row r="68" spans="1:7" x14ac:dyDescent="0.35">
      <c r="A68" s="31">
        <v>2519</v>
      </c>
      <c r="B68" s="32" t="s">
        <v>122</v>
      </c>
      <c r="C68" s="33">
        <v>0.21</v>
      </c>
      <c r="D68" s="33">
        <v>0.11</v>
      </c>
      <c r="E68" s="133">
        <f>D68/140*200</f>
        <v>0.15714285714285714</v>
      </c>
      <c r="F68" s="133">
        <f>E68/200*150</f>
        <v>0.11785714285714287</v>
      </c>
      <c r="G68" s="133">
        <v>0.12</v>
      </c>
    </row>
    <row r="69" spans="1:7" hidden="1" x14ac:dyDescent="0.35">
      <c r="A69" s="31">
        <v>5220</v>
      </c>
      <c r="B69" s="62" t="s">
        <v>128</v>
      </c>
      <c r="C69" s="33"/>
      <c r="D69" s="33"/>
      <c r="E69" s="133"/>
      <c r="F69" s="133">
        <f>E69/200*150</f>
        <v>0</v>
      </c>
      <c r="G69" s="133">
        <v>0</v>
      </c>
    </row>
    <row r="70" spans="1:7" x14ac:dyDescent="0.35">
      <c r="A70" s="31">
        <v>5238</v>
      </c>
      <c r="B70" s="61" t="s">
        <v>129</v>
      </c>
      <c r="C70" s="33">
        <v>166.87</v>
      </c>
      <c r="D70" s="33">
        <v>17.23</v>
      </c>
      <c r="E70" s="133">
        <f>D70/140*200</f>
        <v>24.614285714285714</v>
      </c>
      <c r="F70" s="133">
        <f>E70/200*150</f>
        <v>18.460714285714285</v>
      </c>
      <c r="G70" s="133">
        <v>18.46</v>
      </c>
    </row>
    <row r="71" spans="1:7" x14ac:dyDescent="0.35">
      <c r="A71" s="31">
        <v>5239</v>
      </c>
      <c r="B71" s="61" t="s">
        <v>130</v>
      </c>
      <c r="C71" s="33">
        <v>32.729999999999997</v>
      </c>
      <c r="D71" s="33">
        <v>85.92</v>
      </c>
      <c r="E71" s="133">
        <f>D71/140*200</f>
        <v>122.74285714285715</v>
      </c>
      <c r="F71" s="133">
        <f>E71/200*150</f>
        <v>92.057142857142864</v>
      </c>
      <c r="G71" s="133">
        <f>92.06-0.27</f>
        <v>91.79</v>
      </c>
    </row>
    <row r="72" spans="1:7" x14ac:dyDescent="0.35">
      <c r="A72" s="31">
        <v>5250</v>
      </c>
      <c r="B72" s="32" t="s">
        <v>131</v>
      </c>
      <c r="C72" s="33">
        <v>130.97999999999999</v>
      </c>
      <c r="D72" s="33">
        <v>67.290000000000006</v>
      </c>
      <c r="E72" s="133">
        <f>D72/140*200</f>
        <v>96.128571428571448</v>
      </c>
      <c r="F72" s="133">
        <f>E72/200*150</f>
        <v>72.096428571428589</v>
      </c>
      <c r="G72" s="133">
        <v>72.099999999999994</v>
      </c>
    </row>
    <row r="73" spans="1:7" x14ac:dyDescent="0.25">
      <c r="A73" s="38"/>
      <c r="B73" s="40" t="s">
        <v>8</v>
      </c>
      <c r="C73" s="37">
        <f>SUM(C39:C72)</f>
        <v>3560.8099999999995</v>
      </c>
      <c r="D73" s="37">
        <f>SUM(D39:D72)</f>
        <v>1153.72</v>
      </c>
      <c r="E73" s="37">
        <f>SUM(E39:E72)</f>
        <v>1648.1714285714288</v>
      </c>
      <c r="F73" s="37">
        <f>SUM(F39:F72)</f>
        <v>1247.9612267205548</v>
      </c>
      <c r="G73" s="37">
        <f>SUM(G39:G72)</f>
        <v>1247.7199999999996</v>
      </c>
    </row>
    <row r="74" spans="1:7" x14ac:dyDescent="0.25">
      <c r="A74" s="38"/>
      <c r="B74" s="40" t="s">
        <v>29</v>
      </c>
      <c r="C74" s="37">
        <f>C73+C37</f>
        <v>12251.14</v>
      </c>
      <c r="D74" s="37">
        <f>D73+D37</f>
        <v>6074.6</v>
      </c>
      <c r="E74" s="37">
        <f>E73+E37</f>
        <v>8678</v>
      </c>
      <c r="F74" s="37">
        <f>F73+F37</f>
        <v>6882.2224595551934</v>
      </c>
      <c r="G74" s="37">
        <f>G73+G37</f>
        <v>6881.9999999999991</v>
      </c>
    </row>
    <row r="75" spans="1:7" x14ac:dyDescent="0.35">
      <c r="A75" s="15"/>
      <c r="B75" s="25"/>
      <c r="C75" s="59"/>
      <c r="D75" s="59"/>
      <c r="E75" s="59"/>
      <c r="F75" s="59"/>
      <c r="G75" s="59"/>
    </row>
    <row r="76" spans="1:7" ht="15" customHeight="1" x14ac:dyDescent="0.25">
      <c r="A76" s="419" t="s">
        <v>57</v>
      </c>
      <c r="B76" s="419"/>
      <c r="C76" s="19">
        <v>300</v>
      </c>
      <c r="D76" s="67">
        <v>140</v>
      </c>
      <c r="E76" s="67">
        <v>200</v>
      </c>
      <c r="F76" s="67">
        <v>150</v>
      </c>
      <c r="G76" s="67">
        <v>150</v>
      </c>
    </row>
    <row r="77" spans="1:7" ht="15" customHeight="1" x14ac:dyDescent="0.3">
      <c r="A77" s="419" t="s">
        <v>58</v>
      </c>
      <c r="B77" s="419"/>
      <c r="C77" s="23">
        <f>C74/C76</f>
        <v>40.837133333333334</v>
      </c>
      <c r="D77" s="68">
        <f>D74/D76</f>
        <v>43.39</v>
      </c>
      <c r="E77" s="68">
        <f>E74/E76</f>
        <v>43.39</v>
      </c>
      <c r="F77" s="68">
        <f>F74/F76</f>
        <v>45.881483063701289</v>
      </c>
      <c r="G77" s="68">
        <f>G74/G76</f>
        <v>45.879999999999995</v>
      </c>
    </row>
    <row r="78" spans="1:7" x14ac:dyDescent="0.35">
      <c r="A78" s="25"/>
      <c r="B78" s="26"/>
      <c r="C78" s="60"/>
      <c r="D78" s="60"/>
      <c r="E78" s="60"/>
      <c r="F78" s="60"/>
      <c r="G78" s="60"/>
    </row>
    <row r="79" spans="1:7" x14ac:dyDescent="0.35">
      <c r="A79" s="430" t="s">
        <v>33</v>
      </c>
      <c r="B79" s="431"/>
      <c r="C79" s="27"/>
      <c r="D79" s="27"/>
      <c r="E79" s="27"/>
      <c r="F79" s="27"/>
      <c r="G79" s="27"/>
    </row>
    <row r="80" spans="1:7" x14ac:dyDescent="0.35">
      <c r="A80" s="430" t="s">
        <v>64</v>
      </c>
      <c r="B80" s="431"/>
      <c r="C80" s="27"/>
      <c r="D80" s="27"/>
      <c r="E80" s="27"/>
      <c r="F80" s="27"/>
      <c r="G80" s="27"/>
    </row>
    <row r="81" spans="1:7" x14ac:dyDescent="0.35">
      <c r="A81" s="28"/>
      <c r="B81" s="28"/>
      <c r="C81" s="28"/>
      <c r="D81" s="28"/>
      <c r="E81" s="28"/>
      <c r="F81" s="28"/>
      <c r="G81" s="28"/>
    </row>
    <row r="82" spans="1:7" x14ac:dyDescent="0.35">
      <c r="A82" s="28" t="s">
        <v>34</v>
      </c>
      <c r="B82" s="28"/>
      <c r="C82" s="28"/>
      <c r="D82" s="28"/>
      <c r="E82" s="28"/>
      <c r="F82" s="28"/>
      <c r="G82" s="28"/>
    </row>
    <row r="83" spans="1:7" x14ac:dyDescent="0.35">
      <c r="A83" s="28"/>
      <c r="B83" s="28"/>
      <c r="C83" s="28"/>
      <c r="D83" s="81"/>
      <c r="E83" s="81"/>
      <c r="F83" s="81"/>
      <c r="G83" s="81"/>
    </row>
    <row r="84" spans="1:7" x14ac:dyDescent="0.35">
      <c r="A84" s="28" t="s">
        <v>177</v>
      </c>
      <c r="B84" s="29"/>
      <c r="C84" s="28"/>
      <c r="D84" s="28"/>
      <c r="E84" s="28"/>
      <c r="F84" s="28"/>
      <c r="G84" s="28"/>
    </row>
    <row r="85" spans="1:7" x14ac:dyDescent="0.35">
      <c r="A85" s="28"/>
      <c r="B85" s="30"/>
      <c r="C85" s="28"/>
      <c r="D85" s="28"/>
      <c r="E85" s="28"/>
      <c r="F85" s="28"/>
      <c r="G85" s="28"/>
    </row>
  </sheetData>
  <mergeCells count="8">
    <mergeCell ref="A79:B79"/>
    <mergeCell ref="A80:B80"/>
    <mergeCell ref="A7:C7"/>
    <mergeCell ref="A9:B9"/>
    <mergeCell ref="A10:B10"/>
    <mergeCell ref="B12:C12"/>
    <mergeCell ref="A76:B76"/>
    <mergeCell ref="A77:B77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headerFooter>
    <oddFooter>&amp;F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G85"/>
  <sheetViews>
    <sheetView view="pageLayout" topLeftCell="A3" zoomScale="80" zoomScaleNormal="100" zoomScalePageLayoutView="80" workbookViewId="0">
      <selection activeCell="E5" sqref="E5"/>
    </sheetView>
  </sheetViews>
  <sheetFormatPr defaultColWidth="9.1796875" defaultRowHeight="15.5" x14ac:dyDescent="0.35"/>
  <cols>
    <col min="1" max="1" width="12.81640625" style="13" customWidth="1"/>
    <col min="2" max="2" width="84.81640625" style="13" customWidth="1"/>
    <col min="3" max="3" width="31.81640625" style="135" hidden="1" customWidth="1"/>
    <col min="4" max="4" width="29.54296875" style="135" hidden="1" customWidth="1"/>
    <col min="5" max="5" width="26.54296875" style="135" customWidth="1"/>
    <col min="6" max="6" width="10.26953125" style="7" customWidth="1"/>
    <col min="7" max="16384" width="9.1796875" style="7"/>
  </cols>
  <sheetData>
    <row r="1" spans="1:5" x14ac:dyDescent="0.35">
      <c r="C1" s="17" t="s">
        <v>10</v>
      </c>
      <c r="D1" s="17" t="s">
        <v>10</v>
      </c>
      <c r="E1" s="17" t="s">
        <v>10</v>
      </c>
    </row>
    <row r="2" spans="1:5" x14ac:dyDescent="0.35">
      <c r="C2" s="14" t="s">
        <v>32</v>
      </c>
      <c r="D2" s="14" t="s">
        <v>32</v>
      </c>
      <c r="E2" s="14" t="s">
        <v>32</v>
      </c>
    </row>
    <row r="3" spans="1:5" x14ac:dyDescent="0.35">
      <c r="C3" s="77" t="s">
        <v>66</v>
      </c>
      <c r="D3" s="77" t="s">
        <v>66</v>
      </c>
      <c r="E3" s="77" t="s">
        <v>66</v>
      </c>
    </row>
    <row r="4" spans="1:5" x14ac:dyDescent="0.35">
      <c r="C4" s="63"/>
      <c r="D4" s="63"/>
      <c r="E4" s="63"/>
    </row>
    <row r="5" spans="1:5" x14ac:dyDescent="0.35">
      <c r="B5" s="17"/>
      <c r="C5" s="15" t="s">
        <v>226</v>
      </c>
      <c r="D5" s="15" t="s">
        <v>245</v>
      </c>
      <c r="E5" s="15" t="s">
        <v>333</v>
      </c>
    </row>
    <row r="6" spans="1:5" ht="12" customHeight="1" x14ac:dyDescent="0.35"/>
    <row r="7" spans="1:5" x14ac:dyDescent="0.35">
      <c r="A7" s="416" t="s">
        <v>9</v>
      </c>
      <c r="B7" s="416"/>
      <c r="C7" s="139"/>
      <c r="D7" s="139"/>
      <c r="E7" s="139"/>
    </row>
    <row r="8" spans="1:5" ht="13.5" customHeight="1" x14ac:dyDescent="0.35">
      <c r="B8" s="18"/>
    </row>
    <row r="9" spans="1:5" ht="15" customHeight="1" x14ac:dyDescent="0.35">
      <c r="A9" s="419" t="s">
        <v>1</v>
      </c>
      <c r="B9" s="419"/>
    </row>
    <row r="10" spans="1:5" ht="15" customHeight="1" x14ac:dyDescent="0.35">
      <c r="A10" s="419" t="s">
        <v>0</v>
      </c>
      <c r="B10" s="419"/>
    </row>
    <row r="11" spans="1:5" x14ac:dyDescent="0.35">
      <c r="A11" s="11"/>
      <c r="B11" s="11" t="s">
        <v>179</v>
      </c>
    </row>
    <row r="12" spans="1:5" x14ac:dyDescent="0.35">
      <c r="A12" s="11"/>
      <c r="B12" s="11" t="s">
        <v>237</v>
      </c>
      <c r="C12" s="139"/>
      <c r="D12" s="139"/>
      <c r="E12" s="139"/>
    </row>
    <row r="13" spans="1:5" x14ac:dyDescent="0.35">
      <c r="A13" s="11"/>
      <c r="B13" s="11" t="s">
        <v>238</v>
      </c>
      <c r="C13" s="139"/>
      <c r="D13" s="139"/>
      <c r="E13" s="139"/>
    </row>
    <row r="14" spans="1:5" x14ac:dyDescent="0.35">
      <c r="A14" s="11" t="s">
        <v>2</v>
      </c>
      <c r="B14" s="11" t="s">
        <v>250</v>
      </c>
    </row>
    <row r="15" spans="1:5" ht="67.5" customHeight="1" x14ac:dyDescent="0.25">
      <c r="A15" s="51" t="s">
        <v>3</v>
      </c>
      <c r="B15" s="51" t="s">
        <v>4</v>
      </c>
      <c r="C15" s="51" t="s">
        <v>63</v>
      </c>
      <c r="D15" s="51" t="s">
        <v>63</v>
      </c>
      <c r="E15" s="51" t="s">
        <v>63</v>
      </c>
    </row>
    <row r="16" spans="1:5" ht="15" x14ac:dyDescent="0.25">
      <c r="A16" s="20">
        <v>1</v>
      </c>
      <c r="B16" s="21">
        <v>2</v>
      </c>
      <c r="C16" s="20">
        <v>3</v>
      </c>
      <c r="D16" s="20">
        <v>3</v>
      </c>
      <c r="E16" s="20">
        <v>3</v>
      </c>
    </row>
    <row r="17" spans="1:5" x14ac:dyDescent="0.25">
      <c r="A17" s="41"/>
      <c r="B17" s="39" t="s">
        <v>5</v>
      </c>
      <c r="C17" s="35"/>
      <c r="D17" s="35"/>
      <c r="E17" s="35"/>
    </row>
    <row r="18" spans="1:5" ht="15.75" customHeight="1" x14ac:dyDescent="0.35">
      <c r="A18" s="31">
        <v>1100</v>
      </c>
      <c r="B18" s="31" t="s">
        <v>132</v>
      </c>
      <c r="C18" s="133">
        <v>177.98</v>
      </c>
      <c r="D18" s="374">
        <f>C18/30*20</f>
        <v>118.65333333333332</v>
      </c>
      <c r="E18" s="133">
        <v>118.65</v>
      </c>
    </row>
    <row r="19" spans="1:5" ht="15.75" customHeight="1" x14ac:dyDescent="0.35">
      <c r="A19" s="31">
        <v>1200</v>
      </c>
      <c r="B19" s="61" t="s">
        <v>133</v>
      </c>
      <c r="C19" s="133">
        <v>41.99</v>
      </c>
      <c r="D19" s="374">
        <f t="shared" ref="D19:D33" si="0">C19/30*20</f>
        <v>27.993333333333336</v>
      </c>
      <c r="E19" s="133">
        <v>27.99</v>
      </c>
    </row>
    <row r="20" spans="1:5" ht="15.75" customHeight="1" x14ac:dyDescent="0.35">
      <c r="A20" s="31">
        <v>2210</v>
      </c>
      <c r="B20" s="62" t="s">
        <v>120</v>
      </c>
      <c r="C20" s="134">
        <v>10.039999999999999</v>
      </c>
      <c r="D20" s="374">
        <f t="shared" si="0"/>
        <v>6.6933333333333325</v>
      </c>
      <c r="E20" s="133">
        <v>6.69</v>
      </c>
    </row>
    <row r="21" spans="1:5" ht="15.75" customHeight="1" x14ac:dyDescent="0.35">
      <c r="A21" s="31">
        <v>2222</v>
      </c>
      <c r="B21" s="62" t="s">
        <v>135</v>
      </c>
      <c r="C21" s="134">
        <v>237.83</v>
      </c>
      <c r="D21" s="374">
        <f t="shared" si="0"/>
        <v>158.55333333333334</v>
      </c>
      <c r="E21" s="133">
        <v>158.55000000000001</v>
      </c>
    </row>
    <row r="22" spans="1:5" ht="15.75" customHeight="1" x14ac:dyDescent="0.35">
      <c r="A22" s="31">
        <v>2223</v>
      </c>
      <c r="B22" s="32" t="s">
        <v>136</v>
      </c>
      <c r="C22" s="134">
        <v>339.33</v>
      </c>
      <c r="D22" s="374">
        <f t="shared" si="0"/>
        <v>226.22</v>
      </c>
      <c r="E22" s="133">
        <v>226.22</v>
      </c>
    </row>
    <row r="23" spans="1:5" x14ac:dyDescent="0.35">
      <c r="A23" s="31">
        <v>2243</v>
      </c>
      <c r="B23" s="151" t="s">
        <v>137</v>
      </c>
      <c r="C23" s="134">
        <v>12.87</v>
      </c>
      <c r="D23" s="374">
        <f t="shared" si="0"/>
        <v>8.58</v>
      </c>
      <c r="E23" s="133">
        <v>8.58</v>
      </c>
    </row>
    <row r="24" spans="1:5" x14ac:dyDescent="0.35">
      <c r="A24" s="31">
        <v>2244</v>
      </c>
      <c r="B24" s="22" t="s">
        <v>138</v>
      </c>
      <c r="C24" s="134">
        <v>203.91</v>
      </c>
      <c r="D24" s="374">
        <f t="shared" si="0"/>
        <v>135.94</v>
      </c>
      <c r="E24" s="133">
        <v>135.94</v>
      </c>
    </row>
    <row r="25" spans="1:5" hidden="1" x14ac:dyDescent="0.35">
      <c r="A25" s="31">
        <v>2250</v>
      </c>
      <c r="B25" s="62" t="s">
        <v>119</v>
      </c>
      <c r="C25" s="134"/>
      <c r="D25" s="374">
        <f t="shared" si="0"/>
        <v>0</v>
      </c>
      <c r="E25" s="133">
        <v>0</v>
      </c>
    </row>
    <row r="26" spans="1:5" x14ac:dyDescent="0.35">
      <c r="A26" s="31">
        <v>2263</v>
      </c>
      <c r="B26" s="32" t="s">
        <v>149</v>
      </c>
      <c r="C26" s="134">
        <v>61.59</v>
      </c>
      <c r="D26" s="374">
        <f>'4.4.1.'!G26/80/110*40*20</f>
        <v>88.027272727272731</v>
      </c>
      <c r="E26" s="133">
        <v>88.03</v>
      </c>
    </row>
    <row r="27" spans="1:5" hidden="1" x14ac:dyDescent="0.35">
      <c r="A27" s="31">
        <v>2311</v>
      </c>
      <c r="B27" s="32" t="s">
        <v>151</v>
      </c>
      <c r="C27" s="134"/>
      <c r="D27" s="374">
        <f t="shared" si="0"/>
        <v>0</v>
      </c>
      <c r="E27" s="133">
        <v>0</v>
      </c>
    </row>
    <row r="28" spans="1:5" x14ac:dyDescent="0.35">
      <c r="A28" s="31">
        <v>2312</v>
      </c>
      <c r="B28" s="32" t="s">
        <v>116</v>
      </c>
      <c r="C28" s="134">
        <v>28.84</v>
      </c>
      <c r="D28" s="374">
        <f t="shared" si="0"/>
        <v>19.226666666666667</v>
      </c>
      <c r="E28" s="133">
        <v>19.23</v>
      </c>
    </row>
    <row r="29" spans="1:5" x14ac:dyDescent="0.35">
      <c r="A29" s="31">
        <v>2321</v>
      </c>
      <c r="B29" s="32" t="s">
        <v>139</v>
      </c>
      <c r="C29" s="134">
        <v>328.28</v>
      </c>
      <c r="D29" s="374">
        <f t="shared" si="0"/>
        <v>218.85333333333332</v>
      </c>
      <c r="E29" s="133">
        <v>218.85</v>
      </c>
    </row>
    <row r="30" spans="1:5" x14ac:dyDescent="0.35">
      <c r="A30" s="31">
        <v>2350</v>
      </c>
      <c r="B30" s="61" t="s">
        <v>125</v>
      </c>
      <c r="C30" s="134">
        <v>34.25</v>
      </c>
      <c r="D30" s="374">
        <f t="shared" si="0"/>
        <v>22.833333333333332</v>
      </c>
      <c r="E30" s="133">
        <v>22.83</v>
      </c>
    </row>
    <row r="31" spans="1:5" x14ac:dyDescent="0.35">
      <c r="A31" s="31">
        <v>2361</v>
      </c>
      <c r="B31" s="32" t="s">
        <v>141</v>
      </c>
      <c r="C31" s="134">
        <v>28.89</v>
      </c>
      <c r="D31" s="374">
        <f t="shared" si="0"/>
        <v>19.259999999999998</v>
      </c>
      <c r="E31" s="133">
        <v>19.260000000000002</v>
      </c>
    </row>
    <row r="32" spans="1:5" hidden="1" x14ac:dyDescent="0.35">
      <c r="A32" s="31">
        <v>2362</v>
      </c>
      <c r="B32" s="83" t="s">
        <v>156</v>
      </c>
      <c r="C32" s="134"/>
      <c r="D32" s="374">
        <f t="shared" si="0"/>
        <v>0</v>
      </c>
      <c r="E32" s="133">
        <v>0</v>
      </c>
    </row>
    <row r="33" spans="1:5" hidden="1" x14ac:dyDescent="0.35">
      <c r="A33" s="31">
        <v>2363</v>
      </c>
      <c r="B33" s="62" t="s">
        <v>142</v>
      </c>
      <c r="C33" s="134"/>
      <c r="D33" s="374">
        <f t="shared" si="0"/>
        <v>0</v>
      </c>
      <c r="E33" s="133">
        <v>0</v>
      </c>
    </row>
    <row r="34" spans="1:5" x14ac:dyDescent="0.35">
      <c r="A34" s="31">
        <v>2513</v>
      </c>
      <c r="B34" s="61" t="s">
        <v>121</v>
      </c>
      <c r="C34" s="134">
        <v>20.86</v>
      </c>
      <c r="D34" s="374">
        <f>'4.4.1.'!G34/80/110*40*20</f>
        <v>43.175454545454542</v>
      </c>
      <c r="E34" s="133">
        <v>43.18</v>
      </c>
    </row>
    <row r="35" spans="1:5" x14ac:dyDescent="0.35">
      <c r="A35" s="31">
        <v>2519</v>
      </c>
      <c r="B35" s="32" t="s">
        <v>122</v>
      </c>
      <c r="C35" s="134">
        <v>14.77</v>
      </c>
      <c r="D35" s="374">
        <f>'4.4.1.'!G35/80/110*40*20</f>
        <v>6.461818181818181</v>
      </c>
      <c r="E35" s="133">
        <v>6.46</v>
      </c>
    </row>
    <row r="36" spans="1:5" x14ac:dyDescent="0.35">
      <c r="A36" s="31">
        <v>5239</v>
      </c>
      <c r="B36" s="61" t="s">
        <v>130</v>
      </c>
      <c r="C36" s="134"/>
      <c r="D36" s="374">
        <f>'4.4.1.'!G36/80/110*40*20</f>
        <v>25.229090909090907</v>
      </c>
      <c r="E36" s="133">
        <v>25.23</v>
      </c>
    </row>
    <row r="37" spans="1:5" x14ac:dyDescent="0.25">
      <c r="A37" s="31"/>
      <c r="B37" s="36" t="s">
        <v>6</v>
      </c>
      <c r="C37" s="37">
        <f>SUM(C18:C35)</f>
        <v>1541.4299999999998</v>
      </c>
      <c r="D37" s="37">
        <f>SUM(D18:D36)</f>
        <v>1125.7003030303033</v>
      </c>
      <c r="E37" s="37">
        <f>SUM(E18:E36)</f>
        <v>1125.6900000000003</v>
      </c>
    </row>
    <row r="38" spans="1:5" x14ac:dyDescent="0.25">
      <c r="A38" s="38"/>
      <c r="B38" s="31" t="s">
        <v>7</v>
      </c>
      <c r="C38" s="33"/>
      <c r="D38" s="33"/>
      <c r="E38" s="33"/>
    </row>
    <row r="39" spans="1:5" x14ac:dyDescent="0.35">
      <c r="A39" s="31">
        <v>1100</v>
      </c>
      <c r="B39" s="31" t="s">
        <v>132</v>
      </c>
      <c r="C39" s="133">
        <v>221.71</v>
      </c>
      <c r="D39" s="133">
        <f t="shared" ref="D39:D72" si="1">C39/30*20</f>
        <v>147.80666666666667</v>
      </c>
      <c r="E39" s="133">
        <v>147.81</v>
      </c>
    </row>
    <row r="40" spans="1:5" ht="15.75" customHeight="1" x14ac:dyDescent="0.35">
      <c r="A40" s="31">
        <v>1200</v>
      </c>
      <c r="B40" s="61" t="s">
        <v>133</v>
      </c>
      <c r="C40" s="133">
        <v>52.3</v>
      </c>
      <c r="D40" s="133">
        <f t="shared" si="1"/>
        <v>34.86666666666666</v>
      </c>
      <c r="E40" s="133">
        <v>34.869999999999997</v>
      </c>
    </row>
    <row r="41" spans="1:5" ht="15.75" hidden="1" customHeight="1" x14ac:dyDescent="0.35">
      <c r="A41" s="31">
        <v>2100</v>
      </c>
      <c r="B41" s="24" t="s">
        <v>45</v>
      </c>
      <c r="C41" s="133"/>
      <c r="D41" s="133">
        <f t="shared" si="1"/>
        <v>0</v>
      </c>
      <c r="E41" s="133">
        <v>0</v>
      </c>
    </row>
    <row r="42" spans="1:5" ht="15.75" hidden="1" customHeight="1" x14ac:dyDescent="0.35">
      <c r="A42" s="31">
        <v>2210</v>
      </c>
      <c r="B42" s="62" t="s">
        <v>120</v>
      </c>
      <c r="C42" s="134">
        <v>4.99</v>
      </c>
      <c r="D42" s="133">
        <v>0</v>
      </c>
      <c r="E42" s="133">
        <v>0</v>
      </c>
    </row>
    <row r="43" spans="1:5" ht="15.75" hidden="1" customHeight="1" x14ac:dyDescent="0.35">
      <c r="A43" s="31">
        <v>2222</v>
      </c>
      <c r="B43" s="62" t="s">
        <v>135</v>
      </c>
      <c r="C43" s="134"/>
      <c r="D43" s="133">
        <f t="shared" si="1"/>
        <v>0</v>
      </c>
      <c r="E43" s="133">
        <v>0</v>
      </c>
    </row>
    <row r="44" spans="1:5" ht="15.75" customHeight="1" x14ac:dyDescent="0.35">
      <c r="A44" s="31">
        <v>2223</v>
      </c>
      <c r="B44" s="32" t="s">
        <v>136</v>
      </c>
      <c r="C44" s="134"/>
      <c r="D44" s="133">
        <f>3.33/2</f>
        <v>1.665</v>
      </c>
      <c r="E44" s="133">
        <v>1.67</v>
      </c>
    </row>
    <row r="45" spans="1:5" ht="30" customHeight="1" x14ac:dyDescent="0.35">
      <c r="A45" s="31">
        <v>2224</v>
      </c>
      <c r="B45" s="62" t="s">
        <v>176</v>
      </c>
      <c r="C45" s="134">
        <v>29.41</v>
      </c>
      <c r="D45" s="133">
        <f t="shared" si="1"/>
        <v>19.606666666666669</v>
      </c>
      <c r="E45" s="133">
        <v>19.61</v>
      </c>
    </row>
    <row r="46" spans="1:5" hidden="1" x14ac:dyDescent="0.35">
      <c r="A46" s="31">
        <v>2231</v>
      </c>
      <c r="B46" s="22" t="s">
        <v>126</v>
      </c>
      <c r="C46" s="134"/>
      <c r="D46" s="133">
        <f t="shared" si="1"/>
        <v>0</v>
      </c>
      <c r="E46" s="133">
        <v>0</v>
      </c>
    </row>
    <row r="47" spans="1:5" hidden="1" x14ac:dyDescent="0.35">
      <c r="A47" s="31">
        <v>2235</v>
      </c>
      <c r="B47" s="75" t="s">
        <v>127</v>
      </c>
      <c r="C47" s="134"/>
      <c r="D47" s="133">
        <f t="shared" si="1"/>
        <v>0</v>
      </c>
      <c r="E47" s="133">
        <v>0</v>
      </c>
    </row>
    <row r="48" spans="1:5" ht="15.75" customHeight="1" x14ac:dyDescent="0.35">
      <c r="A48" s="31">
        <v>2239</v>
      </c>
      <c r="B48" s="32" t="s">
        <v>144</v>
      </c>
      <c r="C48" s="134">
        <v>2.0099999999999998</v>
      </c>
      <c r="D48" s="133">
        <f t="shared" si="1"/>
        <v>1.3399999999999999</v>
      </c>
      <c r="E48" s="133">
        <v>1.34</v>
      </c>
    </row>
    <row r="49" spans="1:5" x14ac:dyDescent="0.35">
      <c r="A49" s="31">
        <v>2241</v>
      </c>
      <c r="B49" s="22" t="s">
        <v>123</v>
      </c>
      <c r="C49" s="134">
        <v>0.88</v>
      </c>
      <c r="D49" s="133">
        <f t="shared" si="1"/>
        <v>0.58666666666666667</v>
      </c>
      <c r="E49" s="133">
        <v>0.59</v>
      </c>
    </row>
    <row r="50" spans="1:5" x14ac:dyDescent="0.35">
      <c r="A50" s="31">
        <v>2242</v>
      </c>
      <c r="B50" s="32" t="s">
        <v>145</v>
      </c>
      <c r="C50" s="134">
        <v>1.62</v>
      </c>
      <c r="D50" s="374">
        <f t="shared" si="1"/>
        <v>1.08</v>
      </c>
      <c r="E50" s="133">
        <v>1.08</v>
      </c>
    </row>
    <row r="51" spans="1:5" x14ac:dyDescent="0.35">
      <c r="A51" s="31">
        <v>2243</v>
      </c>
      <c r="B51" s="32" t="s">
        <v>137</v>
      </c>
      <c r="C51" s="134">
        <v>5.04</v>
      </c>
      <c r="D51" s="374">
        <f t="shared" si="1"/>
        <v>3.3600000000000003</v>
      </c>
      <c r="E51" s="133">
        <v>3.36</v>
      </c>
    </row>
    <row r="52" spans="1:5" x14ac:dyDescent="0.35">
      <c r="A52" s="31">
        <v>2244</v>
      </c>
      <c r="B52" s="22" t="s">
        <v>138</v>
      </c>
      <c r="C52" s="134">
        <f>3.71+2.84</f>
        <v>6.55</v>
      </c>
      <c r="D52" s="374">
        <f t="shared" si="1"/>
        <v>4.3666666666666663</v>
      </c>
      <c r="E52" s="133">
        <v>4.37</v>
      </c>
    </row>
    <row r="53" spans="1:5" hidden="1" x14ac:dyDescent="0.35">
      <c r="A53" s="31">
        <v>2247</v>
      </c>
      <c r="B53" s="22"/>
      <c r="C53" s="134"/>
      <c r="D53" s="374">
        <f t="shared" si="1"/>
        <v>0</v>
      </c>
      <c r="E53" s="133">
        <v>0</v>
      </c>
    </row>
    <row r="54" spans="1:5" x14ac:dyDescent="0.35">
      <c r="A54" s="31">
        <v>2249</v>
      </c>
      <c r="B54" s="22" t="s">
        <v>171</v>
      </c>
      <c r="C54" s="134">
        <v>2.25</v>
      </c>
      <c r="D54" s="374">
        <f t="shared" si="1"/>
        <v>1.5</v>
      </c>
      <c r="E54" s="133">
        <v>1.5</v>
      </c>
    </row>
    <row r="55" spans="1:5" x14ac:dyDescent="0.35">
      <c r="A55" s="31">
        <v>2250</v>
      </c>
      <c r="B55" s="22" t="s">
        <v>124</v>
      </c>
      <c r="C55" s="134">
        <v>6.32</v>
      </c>
      <c r="D55" s="374">
        <f t="shared" si="1"/>
        <v>4.2133333333333329</v>
      </c>
      <c r="E55" s="133">
        <v>4.21</v>
      </c>
    </row>
    <row r="56" spans="1:5" x14ac:dyDescent="0.35">
      <c r="A56" s="31">
        <v>2262</v>
      </c>
      <c r="B56" s="32" t="s">
        <v>148</v>
      </c>
      <c r="C56" s="133">
        <v>3.9</v>
      </c>
      <c r="D56" s="374">
        <f t="shared" si="1"/>
        <v>2.6</v>
      </c>
      <c r="E56" s="133">
        <v>2.6</v>
      </c>
    </row>
    <row r="57" spans="1:5" hidden="1" x14ac:dyDescent="0.35">
      <c r="A57" s="31">
        <v>2263</v>
      </c>
      <c r="B57" s="32" t="s">
        <v>149</v>
      </c>
      <c r="C57" s="133"/>
      <c r="D57" s="374">
        <f t="shared" si="1"/>
        <v>0</v>
      </c>
      <c r="E57" s="133">
        <v>0</v>
      </c>
    </row>
    <row r="58" spans="1:5" x14ac:dyDescent="0.35">
      <c r="A58" s="31">
        <v>2264</v>
      </c>
      <c r="B58" s="32" t="s">
        <v>173</v>
      </c>
      <c r="C58" s="133">
        <v>0.08</v>
      </c>
      <c r="D58" s="374">
        <f t="shared" si="1"/>
        <v>5.333333333333333E-2</v>
      </c>
      <c r="E58" s="133">
        <v>0.05</v>
      </c>
    </row>
    <row r="59" spans="1:5" x14ac:dyDescent="0.35">
      <c r="A59" s="31">
        <v>2311</v>
      </c>
      <c r="B59" s="32" t="s">
        <v>151</v>
      </c>
      <c r="C59" s="133">
        <f>3.9-0.14</f>
        <v>3.76</v>
      </c>
      <c r="D59" s="374">
        <f t="shared" si="1"/>
        <v>2.5066666666666664</v>
      </c>
      <c r="E59" s="133">
        <v>2.5099999999999998</v>
      </c>
    </row>
    <row r="60" spans="1:5" hidden="1" x14ac:dyDescent="0.35">
      <c r="A60" s="31">
        <v>2312</v>
      </c>
      <c r="B60" s="32" t="s">
        <v>116</v>
      </c>
      <c r="C60" s="133">
        <v>0</v>
      </c>
      <c r="D60" s="374">
        <f t="shared" si="1"/>
        <v>0</v>
      </c>
      <c r="E60" s="133">
        <v>0</v>
      </c>
    </row>
    <row r="61" spans="1:5" hidden="1" x14ac:dyDescent="0.35">
      <c r="A61" s="31">
        <v>2314</v>
      </c>
      <c r="B61" s="75" t="s">
        <v>152</v>
      </c>
      <c r="C61" s="133"/>
      <c r="D61" s="374">
        <f t="shared" si="1"/>
        <v>0</v>
      </c>
      <c r="E61" s="133">
        <v>0</v>
      </c>
    </row>
    <row r="62" spans="1:5" x14ac:dyDescent="0.35">
      <c r="A62" s="31">
        <v>2321</v>
      </c>
      <c r="B62" s="32" t="s">
        <v>139</v>
      </c>
      <c r="C62" s="133"/>
      <c r="D62" s="374">
        <f>3.33/2</f>
        <v>1.665</v>
      </c>
      <c r="E62" s="133">
        <v>1.67</v>
      </c>
    </row>
    <row r="63" spans="1:5" x14ac:dyDescent="0.35">
      <c r="A63" s="31">
        <v>2322</v>
      </c>
      <c r="B63" s="32" t="s">
        <v>153</v>
      </c>
      <c r="C63" s="134">
        <v>10.92</v>
      </c>
      <c r="D63" s="374">
        <f t="shared" si="1"/>
        <v>7.2799999999999994</v>
      </c>
      <c r="E63" s="133">
        <v>7.28</v>
      </c>
    </row>
    <row r="64" spans="1:5" hidden="1" x14ac:dyDescent="0.35">
      <c r="A64" s="31">
        <v>2341</v>
      </c>
      <c r="B64" s="62" t="s">
        <v>140</v>
      </c>
      <c r="C64" s="134"/>
      <c r="D64" s="374">
        <f t="shared" si="1"/>
        <v>0</v>
      </c>
      <c r="E64" s="133">
        <v>0</v>
      </c>
    </row>
    <row r="65" spans="1:7" x14ac:dyDescent="0.35">
      <c r="A65" s="31">
        <v>2350</v>
      </c>
      <c r="B65" s="61" t="s">
        <v>125</v>
      </c>
      <c r="C65" s="134">
        <v>13.66</v>
      </c>
      <c r="D65" s="374">
        <f t="shared" si="1"/>
        <v>9.1066666666666656</v>
      </c>
      <c r="E65" s="133">
        <v>9.11</v>
      </c>
    </row>
    <row r="66" spans="1:7" hidden="1" x14ac:dyDescent="0.35">
      <c r="A66" s="31">
        <v>2513</v>
      </c>
      <c r="B66" s="61" t="s">
        <v>121</v>
      </c>
      <c r="C66" s="133"/>
      <c r="D66" s="374">
        <f t="shared" si="1"/>
        <v>0</v>
      </c>
      <c r="E66" s="133">
        <v>0</v>
      </c>
    </row>
    <row r="67" spans="1:7" x14ac:dyDescent="0.35">
      <c r="A67" s="31">
        <v>2515</v>
      </c>
      <c r="B67" s="32" t="s">
        <v>155</v>
      </c>
      <c r="C67" s="134">
        <v>0.94</v>
      </c>
      <c r="D67" s="374">
        <f>'4.4.1.'!G67/80/110*40*20</f>
        <v>2.5645454545454549</v>
      </c>
      <c r="E67" s="133">
        <v>2.56</v>
      </c>
    </row>
    <row r="68" spans="1:7" x14ac:dyDescent="0.35">
      <c r="A68" s="31">
        <v>2519</v>
      </c>
      <c r="B68" s="32" t="s">
        <v>122</v>
      </c>
      <c r="C68" s="134">
        <v>0.08</v>
      </c>
      <c r="D68" s="374">
        <f t="shared" si="1"/>
        <v>5.333333333333333E-2</v>
      </c>
      <c r="E68" s="133">
        <v>0.05</v>
      </c>
    </row>
    <row r="69" spans="1:7" hidden="1" x14ac:dyDescent="0.35">
      <c r="A69" s="31">
        <v>5220</v>
      </c>
      <c r="B69" s="62" t="s">
        <v>128</v>
      </c>
      <c r="C69" s="134"/>
      <c r="D69" s="374">
        <f t="shared" si="1"/>
        <v>0</v>
      </c>
      <c r="E69" s="133">
        <v>0</v>
      </c>
    </row>
    <row r="70" spans="1:7" x14ac:dyDescent="0.35">
      <c r="A70" s="31">
        <v>5238</v>
      </c>
      <c r="B70" s="61" t="s">
        <v>129</v>
      </c>
      <c r="C70" s="134">
        <v>6.51</v>
      </c>
      <c r="D70" s="374">
        <f t="shared" si="1"/>
        <v>4.34</v>
      </c>
      <c r="E70" s="133">
        <v>4.34</v>
      </c>
    </row>
    <row r="71" spans="1:7" x14ac:dyDescent="0.35">
      <c r="A71" s="31">
        <v>5239</v>
      </c>
      <c r="B71" s="61" t="s">
        <v>130</v>
      </c>
      <c r="C71" s="134">
        <v>15.23</v>
      </c>
      <c r="D71" s="374">
        <f t="shared" si="1"/>
        <v>10.153333333333334</v>
      </c>
      <c r="E71" s="133">
        <v>10.119999999999999</v>
      </c>
    </row>
    <row r="72" spans="1:7" x14ac:dyDescent="0.35">
      <c r="A72" s="31">
        <v>5250</v>
      </c>
      <c r="B72" s="32" t="s">
        <v>131</v>
      </c>
      <c r="C72" s="134">
        <v>11.41</v>
      </c>
      <c r="D72" s="374">
        <f t="shared" si="1"/>
        <v>7.6066666666666674</v>
      </c>
      <c r="E72" s="133">
        <v>7.61</v>
      </c>
      <c r="G72" s="148"/>
    </row>
    <row r="73" spans="1:7" x14ac:dyDescent="0.25">
      <c r="A73" s="38"/>
      <c r="B73" s="40" t="s">
        <v>8</v>
      </c>
      <c r="C73" s="37">
        <f>SUM(C39:C72)</f>
        <v>399.57000000000005</v>
      </c>
      <c r="D73" s="37">
        <f>SUM(D39:D72)</f>
        <v>268.32121212121217</v>
      </c>
      <c r="E73" s="37">
        <f>SUM(E39:E72)</f>
        <v>268.31</v>
      </c>
    </row>
    <row r="74" spans="1:7" x14ac:dyDescent="0.25">
      <c r="A74" s="38"/>
      <c r="B74" s="40" t="s">
        <v>29</v>
      </c>
      <c r="C74" s="137">
        <f>C37+C73</f>
        <v>1941</v>
      </c>
      <c r="D74" s="137">
        <f>D37+D73</f>
        <v>1394.0215151515154</v>
      </c>
      <c r="E74" s="137">
        <f>E37+E73</f>
        <v>1394.0000000000002</v>
      </c>
      <c r="G74" s="148"/>
    </row>
    <row r="75" spans="1:7" ht="15" customHeight="1" x14ac:dyDescent="0.35">
      <c r="A75" s="15"/>
      <c r="B75" s="25"/>
      <c r="C75" s="26"/>
      <c r="D75" s="26"/>
      <c r="E75" s="26"/>
    </row>
    <row r="76" spans="1:7" ht="15" customHeight="1" x14ac:dyDescent="0.25">
      <c r="A76" s="419" t="s">
        <v>57</v>
      </c>
      <c r="B76" s="419"/>
      <c r="C76" s="67">
        <v>30</v>
      </c>
      <c r="D76" s="67">
        <v>20</v>
      </c>
      <c r="E76" s="67">
        <v>20</v>
      </c>
    </row>
    <row r="77" spans="1:7" ht="15" customHeight="1" x14ac:dyDescent="0.3">
      <c r="A77" s="419" t="s">
        <v>58</v>
      </c>
      <c r="B77" s="419"/>
      <c r="C77" s="68">
        <f>C74/C76</f>
        <v>64.7</v>
      </c>
      <c r="D77" s="68">
        <f>D74/D76</f>
        <v>69.701075757575765</v>
      </c>
      <c r="E77" s="68">
        <f>E74/E76</f>
        <v>69.700000000000017</v>
      </c>
    </row>
    <row r="78" spans="1:7" ht="15" customHeight="1" x14ac:dyDescent="0.35">
      <c r="A78" s="25"/>
      <c r="B78" s="26"/>
      <c r="C78" s="26"/>
      <c r="D78" s="26"/>
      <c r="E78" s="26"/>
    </row>
    <row r="79" spans="1:7" ht="15" customHeight="1" x14ac:dyDescent="0.35">
      <c r="A79" s="430" t="s">
        <v>33</v>
      </c>
      <c r="B79" s="417"/>
      <c r="C79" s="138"/>
      <c r="D79" s="138"/>
      <c r="E79" s="138"/>
    </row>
    <row r="80" spans="1:7" ht="15" customHeight="1" x14ac:dyDescent="0.35">
      <c r="A80" s="430" t="s">
        <v>64</v>
      </c>
      <c r="B80" s="417"/>
      <c r="C80" s="138"/>
      <c r="D80" s="138"/>
      <c r="E80" s="138"/>
    </row>
    <row r="81" spans="1:5" ht="15" customHeight="1" x14ac:dyDescent="0.35">
      <c r="A81" s="28"/>
      <c r="B81" s="28"/>
      <c r="C81" s="161"/>
      <c r="D81" s="161"/>
      <c r="E81" s="161"/>
    </row>
    <row r="82" spans="1:5" ht="15" customHeight="1" x14ac:dyDescent="0.35">
      <c r="A82" s="28" t="s">
        <v>34</v>
      </c>
      <c r="B82" s="28"/>
      <c r="C82" s="161"/>
      <c r="D82" s="161"/>
      <c r="E82" s="161"/>
    </row>
    <row r="83" spans="1:5" ht="15" customHeight="1" x14ac:dyDescent="0.35">
      <c r="A83" s="28"/>
      <c r="B83" s="28"/>
      <c r="C83" s="30"/>
      <c r="D83" s="30"/>
      <c r="E83" s="30"/>
    </row>
    <row r="84" spans="1:5" ht="15" customHeight="1" x14ac:dyDescent="0.35">
      <c r="A84" s="28" t="s">
        <v>177</v>
      </c>
      <c r="B84" s="29"/>
      <c r="C84" s="30"/>
      <c r="D84" s="30"/>
      <c r="E84" s="30"/>
    </row>
    <row r="85" spans="1:5" x14ac:dyDescent="0.35">
      <c r="A85" s="28"/>
      <c r="B85" s="30"/>
      <c r="C85" s="154"/>
      <c r="D85" s="154"/>
      <c r="E85" s="154"/>
    </row>
  </sheetData>
  <mergeCells count="7">
    <mergeCell ref="A7:B7"/>
    <mergeCell ref="A9:B9"/>
    <mergeCell ref="A10:B10"/>
    <mergeCell ref="A79:B79"/>
    <mergeCell ref="A80:B80"/>
    <mergeCell ref="A76:B76"/>
    <mergeCell ref="A77:B77"/>
  </mergeCells>
  <pageMargins left="0.70866141732283461" right="0.70866141732283461" top="0.69" bottom="0.5395833333333333" header="0.31496062992125984" footer="0.31496062992125984"/>
  <pageSetup paperSize="9" scale="69" orientation="portrait" r:id="rId1"/>
  <headerFooter>
    <oddFooter>&amp;C&amp;"Times New Roman,Regular"&amp;F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85"/>
  <sheetViews>
    <sheetView view="pageLayout" topLeftCell="A7" zoomScale="80" zoomScaleNormal="100" zoomScalePageLayoutView="80" workbookViewId="0">
      <selection activeCell="B12" sqref="B12"/>
    </sheetView>
  </sheetViews>
  <sheetFormatPr defaultColWidth="9.1796875" defaultRowHeight="15.5" x14ac:dyDescent="0.35"/>
  <cols>
    <col min="1" max="1" width="13.26953125" style="13" customWidth="1"/>
    <col min="2" max="2" width="84.54296875" style="13" customWidth="1"/>
    <col min="3" max="3" width="27" style="13" hidden="1" customWidth="1"/>
    <col min="4" max="5" width="29.7265625" style="13" hidden="1" customWidth="1"/>
    <col min="6" max="6" width="26.81640625" style="13" hidden="1" customWidth="1"/>
    <col min="7" max="7" width="26.81640625" style="13" customWidth="1"/>
    <col min="8" max="16384" width="9.1796875" style="7"/>
  </cols>
  <sheetData>
    <row r="1" spans="1:7" x14ac:dyDescent="0.35">
      <c r="C1" s="53" t="s">
        <v>10</v>
      </c>
      <c r="D1" s="17" t="s">
        <v>10</v>
      </c>
      <c r="E1" s="17" t="s">
        <v>10</v>
      </c>
      <c r="F1" s="17" t="s">
        <v>10</v>
      </c>
      <c r="G1" s="17" t="s">
        <v>10</v>
      </c>
    </row>
    <row r="2" spans="1:7" x14ac:dyDescent="0.35">
      <c r="C2" s="54" t="s">
        <v>32</v>
      </c>
      <c r="D2" s="14" t="s">
        <v>32</v>
      </c>
      <c r="E2" s="14" t="s">
        <v>32</v>
      </c>
      <c r="F2" s="14" t="s">
        <v>32</v>
      </c>
      <c r="G2" s="14" t="s">
        <v>32</v>
      </c>
    </row>
    <row r="3" spans="1:7" x14ac:dyDescent="0.35">
      <c r="C3" s="55" t="s">
        <v>66</v>
      </c>
      <c r="D3" s="77" t="s">
        <v>66</v>
      </c>
      <c r="E3" s="77" t="s">
        <v>66</v>
      </c>
      <c r="F3" s="77" t="s">
        <v>66</v>
      </c>
      <c r="G3" s="77" t="s">
        <v>66</v>
      </c>
    </row>
    <row r="4" spans="1:7" x14ac:dyDescent="0.35">
      <c r="C4" s="54"/>
      <c r="D4" s="63"/>
      <c r="E4" s="63"/>
      <c r="F4" s="63"/>
      <c r="G4" s="63"/>
    </row>
    <row r="5" spans="1:7" x14ac:dyDescent="0.35">
      <c r="C5" s="54" t="s">
        <v>67</v>
      </c>
      <c r="D5" s="15" t="s">
        <v>178</v>
      </c>
      <c r="E5" s="15" t="s">
        <v>226</v>
      </c>
      <c r="F5" s="15" t="s">
        <v>245</v>
      </c>
      <c r="G5" s="15" t="s">
        <v>333</v>
      </c>
    </row>
    <row r="7" spans="1:7" ht="13" x14ac:dyDescent="0.3">
      <c r="A7" s="444" t="s">
        <v>9</v>
      </c>
      <c r="B7" s="445"/>
      <c r="C7" s="445"/>
      <c r="D7" s="7"/>
      <c r="E7" s="7"/>
      <c r="F7" s="7"/>
      <c r="G7" s="7"/>
    </row>
    <row r="8" spans="1:7" x14ac:dyDescent="0.35">
      <c r="B8" s="18"/>
    </row>
    <row r="9" spans="1:7" x14ac:dyDescent="0.35">
      <c r="A9" s="419" t="s">
        <v>1</v>
      </c>
      <c r="B9" s="419"/>
    </row>
    <row r="10" spans="1:7" x14ac:dyDescent="0.35">
      <c r="A10" s="419" t="s">
        <v>0</v>
      </c>
      <c r="B10" s="419"/>
    </row>
    <row r="11" spans="1:7" x14ac:dyDescent="0.35">
      <c r="A11" s="11"/>
      <c r="B11" s="11" t="s">
        <v>179</v>
      </c>
    </row>
    <row r="12" spans="1:7" x14ac:dyDescent="0.35">
      <c r="A12" s="11"/>
      <c r="B12" s="13" t="s">
        <v>222</v>
      </c>
    </row>
    <row r="13" spans="1:7" x14ac:dyDescent="0.35">
      <c r="A13" s="11" t="s">
        <v>2</v>
      </c>
      <c r="B13" s="11" t="str">
        <f>'4.6.2.'!B14</f>
        <v>2025.gadā un turpmāk</v>
      </c>
    </row>
    <row r="14" spans="1:7" hidden="1" x14ac:dyDescent="0.35">
      <c r="B14" s="136"/>
    </row>
    <row r="15" spans="1:7" ht="62" x14ac:dyDescent="0.25">
      <c r="A15" s="51" t="s">
        <v>3</v>
      </c>
      <c r="B15" s="51" t="s">
        <v>4</v>
      </c>
      <c r="C15" s="51" t="s">
        <v>63</v>
      </c>
      <c r="D15" s="51" t="s">
        <v>63</v>
      </c>
      <c r="E15" s="51" t="s">
        <v>63</v>
      </c>
      <c r="F15" s="51" t="s">
        <v>63</v>
      </c>
      <c r="G15" s="51" t="s">
        <v>63</v>
      </c>
    </row>
    <row r="16" spans="1:7" ht="15" x14ac:dyDescent="0.25">
      <c r="A16" s="20">
        <v>1</v>
      </c>
      <c r="B16" s="21">
        <v>2</v>
      </c>
      <c r="C16" s="20">
        <v>3</v>
      </c>
      <c r="D16" s="20">
        <v>3</v>
      </c>
      <c r="E16" s="20">
        <v>3</v>
      </c>
      <c r="F16" s="20">
        <v>3</v>
      </c>
      <c r="G16" s="20">
        <v>3</v>
      </c>
    </row>
    <row r="17" spans="1:7" x14ac:dyDescent="0.25">
      <c r="A17" s="41"/>
      <c r="B17" s="39" t="s">
        <v>5</v>
      </c>
      <c r="C17" s="31"/>
      <c r="D17" s="31"/>
      <c r="E17" s="31"/>
      <c r="F17" s="31"/>
      <c r="G17" s="31"/>
    </row>
    <row r="18" spans="1:7" x14ac:dyDescent="0.25">
      <c r="A18" s="31">
        <v>1100</v>
      </c>
      <c r="B18" s="31" t="s">
        <v>132</v>
      </c>
      <c r="C18" s="33">
        <v>1053.98</v>
      </c>
      <c r="D18" s="33">
        <v>499.45</v>
      </c>
      <c r="E18" s="33">
        <f t="shared" ref="E18:E26" si="0">D18/400*100</f>
        <v>124.86249999999998</v>
      </c>
      <c r="F18" s="33">
        <f>E18</f>
        <v>124.86249999999998</v>
      </c>
      <c r="G18" s="33">
        <v>124.86</v>
      </c>
    </row>
    <row r="19" spans="1:7" ht="15.75" customHeight="1" x14ac:dyDescent="0.35">
      <c r="A19" s="31">
        <v>1200</v>
      </c>
      <c r="B19" s="61" t="s">
        <v>133</v>
      </c>
      <c r="C19" s="33">
        <v>248.63</v>
      </c>
      <c r="D19" s="33">
        <v>117.82</v>
      </c>
      <c r="E19" s="33">
        <f t="shared" si="0"/>
        <v>29.454999999999998</v>
      </c>
      <c r="F19" s="33">
        <f t="shared" ref="F19:G33" si="1">E19</f>
        <v>29.454999999999998</v>
      </c>
      <c r="G19" s="33">
        <v>29.46</v>
      </c>
    </row>
    <row r="20" spans="1:7" x14ac:dyDescent="0.35">
      <c r="A20" s="31">
        <v>2210</v>
      </c>
      <c r="B20" s="62" t="s">
        <v>120</v>
      </c>
      <c r="C20" s="33">
        <v>53.39</v>
      </c>
      <c r="D20" s="33">
        <v>22.48</v>
      </c>
      <c r="E20" s="33">
        <f t="shared" si="0"/>
        <v>5.62</v>
      </c>
      <c r="F20" s="33">
        <f t="shared" si="1"/>
        <v>5.62</v>
      </c>
      <c r="G20" s="33">
        <v>5.62</v>
      </c>
    </row>
    <row r="21" spans="1:7" x14ac:dyDescent="0.35">
      <c r="A21" s="31">
        <v>2222</v>
      </c>
      <c r="B21" s="62" t="s">
        <v>135</v>
      </c>
      <c r="C21" s="33">
        <v>1785.65</v>
      </c>
      <c r="D21" s="33">
        <f>751.85</f>
        <v>751.85</v>
      </c>
      <c r="E21" s="33">
        <f t="shared" si="0"/>
        <v>187.96250000000001</v>
      </c>
      <c r="F21" s="33">
        <f t="shared" si="1"/>
        <v>187.96250000000001</v>
      </c>
      <c r="G21" s="33">
        <v>187.96</v>
      </c>
    </row>
    <row r="22" spans="1:7" x14ac:dyDescent="0.25">
      <c r="A22" s="31">
        <v>2223</v>
      </c>
      <c r="B22" s="32" t="s">
        <v>136</v>
      </c>
      <c r="C22" s="33">
        <v>1178.33</v>
      </c>
      <c r="D22" s="33">
        <v>1421.16</v>
      </c>
      <c r="E22" s="33">
        <f t="shared" si="0"/>
        <v>355.29</v>
      </c>
      <c r="F22" s="33">
        <f t="shared" si="1"/>
        <v>355.29</v>
      </c>
      <c r="G22" s="33">
        <v>355.29</v>
      </c>
    </row>
    <row r="23" spans="1:7" x14ac:dyDescent="0.25">
      <c r="A23" s="31">
        <v>2243</v>
      </c>
      <c r="B23" s="151" t="s">
        <v>137</v>
      </c>
      <c r="C23" s="33">
        <v>49.11</v>
      </c>
      <c r="D23" s="33">
        <v>20.68</v>
      </c>
      <c r="E23" s="33">
        <f t="shared" si="0"/>
        <v>5.17</v>
      </c>
      <c r="F23" s="33">
        <f t="shared" si="1"/>
        <v>5.17</v>
      </c>
      <c r="G23" s="33">
        <v>5.17</v>
      </c>
    </row>
    <row r="24" spans="1:7" x14ac:dyDescent="0.35">
      <c r="A24" s="31">
        <v>2244</v>
      </c>
      <c r="B24" s="22" t="s">
        <v>138</v>
      </c>
      <c r="C24" s="33">
        <v>1436.36</v>
      </c>
      <c r="D24" s="33">
        <v>1300.78</v>
      </c>
      <c r="E24" s="33">
        <f t="shared" si="0"/>
        <v>325.19499999999999</v>
      </c>
      <c r="F24" s="33">
        <f t="shared" si="1"/>
        <v>325.19499999999999</v>
      </c>
      <c r="G24" s="33">
        <v>325.2</v>
      </c>
    </row>
    <row r="25" spans="1:7" hidden="1" x14ac:dyDescent="0.25">
      <c r="A25" s="31">
        <v>2250</v>
      </c>
      <c r="B25" s="32"/>
      <c r="C25" s="33">
        <v>0</v>
      </c>
      <c r="D25" s="33">
        <f>C25/950*400</f>
        <v>0</v>
      </c>
      <c r="E25" s="33">
        <f t="shared" si="0"/>
        <v>0</v>
      </c>
      <c r="F25" s="33">
        <f t="shared" si="1"/>
        <v>0</v>
      </c>
      <c r="G25" s="33">
        <f t="shared" si="1"/>
        <v>0</v>
      </c>
    </row>
    <row r="26" spans="1:7" x14ac:dyDescent="0.25">
      <c r="A26" s="31">
        <v>2263</v>
      </c>
      <c r="B26" s="32" t="s">
        <v>149</v>
      </c>
      <c r="C26" s="33">
        <v>455.53</v>
      </c>
      <c r="D26" s="33">
        <v>411.8</v>
      </c>
      <c r="E26" s="33">
        <f t="shared" si="0"/>
        <v>102.95</v>
      </c>
      <c r="F26" s="33">
        <f>'[2]4.4.-.4.5.-4.6.'!$AA$17*100</f>
        <v>149.92202765275309</v>
      </c>
      <c r="G26" s="33">
        <v>149.91999999999999</v>
      </c>
    </row>
    <row r="27" spans="1:7" hidden="1" x14ac:dyDescent="0.25">
      <c r="A27" s="31">
        <v>2311</v>
      </c>
      <c r="B27" s="32"/>
      <c r="C27" s="33"/>
      <c r="D27" s="33"/>
      <c r="E27" s="33"/>
      <c r="F27" s="33">
        <f t="shared" si="1"/>
        <v>0</v>
      </c>
      <c r="G27" s="33">
        <f t="shared" si="1"/>
        <v>0</v>
      </c>
    </row>
    <row r="28" spans="1:7" x14ac:dyDescent="0.25">
      <c r="A28" s="31">
        <v>2312</v>
      </c>
      <c r="B28" s="32" t="s">
        <v>116</v>
      </c>
      <c r="C28" s="33">
        <v>136.07</v>
      </c>
      <c r="D28" s="33">
        <v>57.29</v>
      </c>
      <c r="E28" s="33">
        <f>D28/400*100</f>
        <v>14.3225</v>
      </c>
      <c r="F28" s="33">
        <f t="shared" si="1"/>
        <v>14.3225</v>
      </c>
      <c r="G28" s="33">
        <v>14.32</v>
      </c>
    </row>
    <row r="29" spans="1:7" x14ac:dyDescent="0.25">
      <c r="A29" s="31">
        <v>2321</v>
      </c>
      <c r="B29" s="32" t="s">
        <v>139</v>
      </c>
      <c r="C29" s="33">
        <v>2812.72</v>
      </c>
      <c r="D29" s="33">
        <v>1056.78</v>
      </c>
      <c r="E29" s="33">
        <f>D29/400*100</f>
        <v>264.19499999999999</v>
      </c>
      <c r="F29" s="33">
        <f t="shared" si="1"/>
        <v>264.19499999999999</v>
      </c>
      <c r="G29" s="33">
        <v>264.2</v>
      </c>
    </row>
    <row r="30" spans="1:7" x14ac:dyDescent="0.35">
      <c r="A30" s="31">
        <v>2350</v>
      </c>
      <c r="B30" s="61" t="s">
        <v>125</v>
      </c>
      <c r="C30" s="33">
        <v>113.77</v>
      </c>
      <c r="D30" s="33">
        <v>47.9</v>
      </c>
      <c r="E30" s="33">
        <f>D30/400*100</f>
        <v>11.975</v>
      </c>
      <c r="F30" s="33">
        <f t="shared" si="1"/>
        <v>11.975</v>
      </c>
      <c r="G30" s="33">
        <v>11.98</v>
      </c>
    </row>
    <row r="31" spans="1:7" x14ac:dyDescent="0.25">
      <c r="A31" s="31">
        <v>2361</v>
      </c>
      <c r="B31" s="32" t="s">
        <v>141</v>
      </c>
      <c r="C31" s="33">
        <v>95.52</v>
      </c>
      <c r="D31" s="33">
        <v>40.22</v>
      </c>
      <c r="E31" s="33">
        <f>D31/400*100</f>
        <v>10.055</v>
      </c>
      <c r="F31" s="33">
        <f t="shared" si="1"/>
        <v>10.055</v>
      </c>
      <c r="G31" s="33">
        <v>10.06</v>
      </c>
    </row>
    <row r="32" spans="1:7" hidden="1" x14ac:dyDescent="0.25">
      <c r="A32" s="31">
        <v>2362</v>
      </c>
      <c r="B32" s="32"/>
      <c r="C32" s="33"/>
      <c r="D32" s="33"/>
      <c r="E32" s="33"/>
      <c r="F32" s="33">
        <f t="shared" si="1"/>
        <v>0</v>
      </c>
      <c r="G32" s="33">
        <f t="shared" si="1"/>
        <v>0</v>
      </c>
    </row>
    <row r="33" spans="1:8" hidden="1" x14ac:dyDescent="0.25">
      <c r="A33" s="31">
        <v>2363</v>
      </c>
      <c r="B33" s="32"/>
      <c r="C33" s="33"/>
      <c r="D33" s="33"/>
      <c r="E33" s="33"/>
      <c r="F33" s="33">
        <f t="shared" si="1"/>
        <v>0</v>
      </c>
      <c r="G33" s="33">
        <f t="shared" si="1"/>
        <v>0</v>
      </c>
    </row>
    <row r="34" spans="1:8" x14ac:dyDescent="0.35">
      <c r="A34" s="31">
        <v>2513</v>
      </c>
      <c r="B34" s="61" t="s">
        <v>121</v>
      </c>
      <c r="C34" s="33">
        <v>214.47</v>
      </c>
      <c r="D34" s="33">
        <v>90.3</v>
      </c>
      <c r="E34" s="33">
        <f>D34/400*100</f>
        <v>22.574999999999999</v>
      </c>
      <c r="F34" s="33">
        <f>'[2]4.4.-.4.5.-4.6.'!$AA$19*100</f>
        <v>73.532845458482925</v>
      </c>
      <c r="G34" s="33">
        <v>73.53</v>
      </c>
    </row>
    <row r="35" spans="1:8" x14ac:dyDescent="0.25">
      <c r="A35" s="31">
        <v>2519</v>
      </c>
      <c r="B35" s="32" t="s">
        <v>122</v>
      </c>
      <c r="C35" s="33">
        <v>151.84</v>
      </c>
      <c r="D35" s="33">
        <v>63.93</v>
      </c>
      <c r="E35" s="33">
        <f>D35/400*100</f>
        <v>15.9825</v>
      </c>
      <c r="F35" s="33">
        <f>'[2]4.4.-.4.5.-4.6.'!$AA$18*100</f>
        <v>11.005322474057403</v>
      </c>
      <c r="G35" s="33">
        <v>11.01</v>
      </c>
    </row>
    <row r="36" spans="1:8" x14ac:dyDescent="0.35">
      <c r="A36" s="31">
        <v>5239</v>
      </c>
      <c r="B36" s="61" t="s">
        <v>130</v>
      </c>
      <c r="C36" s="33"/>
      <c r="D36" s="33"/>
      <c r="E36" s="33"/>
      <c r="F36" s="33">
        <f>'[2]4.4.-.4.5.-4.6.'!$AA$23*100</f>
        <v>42.96875110233708</v>
      </c>
      <c r="G36" s="33">
        <v>42.97</v>
      </c>
    </row>
    <row r="37" spans="1:8" x14ac:dyDescent="0.25">
      <c r="A37" s="31"/>
      <c r="B37" s="36" t="s">
        <v>6</v>
      </c>
      <c r="C37" s="37">
        <f>SUM(C18:C35)</f>
        <v>9785.369999999999</v>
      </c>
      <c r="D37" s="37">
        <f>SUM(D18:D35)</f>
        <v>5902.4400000000005</v>
      </c>
      <c r="E37" s="37">
        <f>SUM(E18:E35)</f>
        <v>1475.6100000000001</v>
      </c>
      <c r="F37" s="37">
        <f>SUM(F18:F36)</f>
        <v>1611.5314466876305</v>
      </c>
      <c r="G37" s="37">
        <f>SUM(G18:G36)</f>
        <v>1611.55</v>
      </c>
    </row>
    <row r="38" spans="1:8" x14ac:dyDescent="0.25">
      <c r="A38" s="38"/>
      <c r="B38" s="31" t="s">
        <v>7</v>
      </c>
      <c r="C38" s="33"/>
      <c r="D38" s="33"/>
      <c r="E38" s="33"/>
      <c r="F38" s="33"/>
      <c r="G38" s="33"/>
    </row>
    <row r="39" spans="1:8" x14ac:dyDescent="0.25">
      <c r="A39" s="31">
        <v>1100</v>
      </c>
      <c r="B39" s="31" t="s">
        <v>132</v>
      </c>
      <c r="C39" s="33">
        <v>1530.48</v>
      </c>
      <c r="D39" s="33">
        <v>725.26</v>
      </c>
      <c r="E39" s="33">
        <f>D39/400*100</f>
        <v>181.315</v>
      </c>
      <c r="F39" s="375">
        <f t="shared" ref="F39:G72" si="2">E39</f>
        <v>181.315</v>
      </c>
      <c r="G39" s="33">
        <v>181.32</v>
      </c>
      <c r="H39" s="376"/>
    </row>
    <row r="40" spans="1:8" ht="15.75" customHeight="1" x14ac:dyDescent="0.35">
      <c r="A40" s="31">
        <v>1200</v>
      </c>
      <c r="B40" s="61" t="s">
        <v>133</v>
      </c>
      <c r="C40" s="33">
        <v>361.04</v>
      </c>
      <c r="D40" s="33">
        <v>171.09</v>
      </c>
      <c r="E40" s="33">
        <f>D40/400*100</f>
        <v>42.772500000000001</v>
      </c>
      <c r="F40" s="375">
        <f t="shared" si="2"/>
        <v>42.772500000000001</v>
      </c>
      <c r="G40" s="33">
        <v>42.77</v>
      </c>
      <c r="H40" s="376"/>
    </row>
    <row r="41" spans="1:8" ht="15.75" hidden="1" customHeight="1" x14ac:dyDescent="0.35">
      <c r="A41" s="31">
        <v>2100</v>
      </c>
      <c r="B41" s="61"/>
      <c r="C41" s="33"/>
      <c r="D41" s="33"/>
      <c r="E41" s="33"/>
      <c r="F41" s="375">
        <f t="shared" si="2"/>
        <v>0</v>
      </c>
      <c r="G41" s="33">
        <f t="shared" si="2"/>
        <v>0</v>
      </c>
      <c r="H41" s="376"/>
    </row>
    <row r="42" spans="1:8" hidden="1" x14ac:dyDescent="0.35">
      <c r="A42" s="31">
        <v>2210</v>
      </c>
      <c r="B42" s="62" t="s">
        <v>120</v>
      </c>
      <c r="C42" s="33">
        <v>45.73</v>
      </c>
      <c r="D42" s="33">
        <v>19.25</v>
      </c>
      <c r="E42" s="33">
        <f>D42/400*100</f>
        <v>4.8125</v>
      </c>
      <c r="F42" s="375">
        <v>0</v>
      </c>
      <c r="G42" s="33">
        <v>0</v>
      </c>
      <c r="H42" s="376"/>
    </row>
    <row r="43" spans="1:8" hidden="1" x14ac:dyDescent="0.35">
      <c r="A43" s="31">
        <v>2222</v>
      </c>
      <c r="B43" s="62"/>
      <c r="C43" s="33"/>
      <c r="D43" s="33"/>
      <c r="E43" s="33"/>
      <c r="F43" s="375">
        <f t="shared" si="2"/>
        <v>0</v>
      </c>
      <c r="G43" s="33">
        <f t="shared" si="2"/>
        <v>0</v>
      </c>
      <c r="H43" s="376"/>
    </row>
    <row r="44" spans="1:8" x14ac:dyDescent="0.25">
      <c r="A44" s="31">
        <v>2223</v>
      </c>
      <c r="B44" s="32" t="s">
        <v>136</v>
      </c>
      <c r="C44" s="33"/>
      <c r="D44" s="33"/>
      <c r="E44" s="33"/>
      <c r="F44" s="375">
        <f>4.81/2</f>
        <v>2.4049999999999998</v>
      </c>
      <c r="G44" s="33">
        <v>2.41</v>
      </c>
      <c r="H44" s="376"/>
    </row>
    <row r="45" spans="1:8" ht="31" x14ac:dyDescent="0.35">
      <c r="A45" s="31">
        <v>2224</v>
      </c>
      <c r="B45" s="62" t="s">
        <v>176</v>
      </c>
      <c r="C45" s="33"/>
      <c r="D45" s="33">
        <v>24.3</v>
      </c>
      <c r="E45" s="33">
        <f>D45/400*100</f>
        <v>6.0750000000000002</v>
      </c>
      <c r="F45" s="375">
        <f t="shared" si="2"/>
        <v>6.0750000000000002</v>
      </c>
      <c r="G45" s="33">
        <v>6.08</v>
      </c>
      <c r="H45" s="376"/>
    </row>
    <row r="46" spans="1:8" hidden="1" x14ac:dyDescent="0.35">
      <c r="A46" s="31">
        <v>2231</v>
      </c>
      <c r="B46" s="62"/>
      <c r="C46" s="33"/>
      <c r="D46" s="33"/>
      <c r="E46" s="33"/>
      <c r="F46" s="375">
        <f t="shared" si="2"/>
        <v>0</v>
      </c>
      <c r="G46" s="33">
        <f t="shared" si="2"/>
        <v>0</v>
      </c>
      <c r="H46" s="376"/>
    </row>
    <row r="47" spans="1:8" hidden="1" x14ac:dyDescent="0.35">
      <c r="A47" s="31">
        <v>2235</v>
      </c>
      <c r="B47" s="62"/>
      <c r="C47" s="33"/>
      <c r="D47" s="33"/>
      <c r="E47" s="33"/>
      <c r="F47" s="375">
        <f t="shared" si="2"/>
        <v>0</v>
      </c>
      <c r="G47" s="33">
        <f t="shared" si="2"/>
        <v>0</v>
      </c>
      <c r="H47" s="376"/>
    </row>
    <row r="48" spans="1:8" x14ac:dyDescent="0.25">
      <c r="A48" s="31">
        <v>2239</v>
      </c>
      <c r="B48" s="32" t="s">
        <v>144</v>
      </c>
      <c r="C48" s="33">
        <v>18.47</v>
      </c>
      <c r="D48" s="33">
        <v>7.78</v>
      </c>
      <c r="E48" s="33">
        <f>D48/400*100</f>
        <v>1.9450000000000003</v>
      </c>
      <c r="F48" s="375">
        <f t="shared" si="2"/>
        <v>1.9450000000000003</v>
      </c>
      <c r="G48" s="33">
        <v>1.95</v>
      </c>
      <c r="H48" s="376"/>
    </row>
    <row r="49" spans="1:8" x14ac:dyDescent="0.35">
      <c r="A49" s="31">
        <v>2241</v>
      </c>
      <c r="B49" s="22" t="s">
        <v>123</v>
      </c>
      <c r="C49" s="33">
        <v>4.7300000000000004</v>
      </c>
      <c r="D49" s="33">
        <v>2.99</v>
      </c>
      <c r="E49" s="33">
        <f>D49/400*100</f>
        <v>0.74750000000000005</v>
      </c>
      <c r="F49" s="375">
        <f t="shared" si="2"/>
        <v>0.74750000000000005</v>
      </c>
      <c r="G49" s="33">
        <v>0.75</v>
      </c>
      <c r="H49" s="376"/>
    </row>
    <row r="50" spans="1:8" x14ac:dyDescent="0.25">
      <c r="A50" s="31">
        <v>2242</v>
      </c>
      <c r="B50" s="32" t="s">
        <v>145</v>
      </c>
      <c r="C50" s="33">
        <v>14.87</v>
      </c>
      <c r="D50" s="33">
        <v>6.26</v>
      </c>
      <c r="E50" s="33">
        <f>D50/400*100</f>
        <v>1.5650000000000002</v>
      </c>
      <c r="F50" s="375">
        <f t="shared" si="2"/>
        <v>1.5650000000000002</v>
      </c>
      <c r="G50" s="33">
        <v>1.57</v>
      </c>
      <c r="H50" s="376"/>
    </row>
    <row r="51" spans="1:8" x14ac:dyDescent="0.25">
      <c r="A51" s="31">
        <v>2243</v>
      </c>
      <c r="B51" s="32" t="s">
        <v>137</v>
      </c>
      <c r="C51" s="33">
        <v>14.64</v>
      </c>
      <c r="D51" s="33">
        <v>7.16</v>
      </c>
      <c r="E51" s="33">
        <f>D51/400*100</f>
        <v>1.79</v>
      </c>
      <c r="F51" s="375">
        <f t="shared" si="2"/>
        <v>1.79</v>
      </c>
      <c r="G51" s="33">
        <v>1.79</v>
      </c>
      <c r="H51" s="376"/>
    </row>
    <row r="52" spans="1:8" x14ac:dyDescent="0.35">
      <c r="A52" s="31">
        <v>2244</v>
      </c>
      <c r="B52" s="22" t="s">
        <v>138</v>
      </c>
      <c r="C52" s="33">
        <v>4.7300000000000004</v>
      </c>
      <c r="D52" s="33">
        <f>4.29+1.9+1.87</f>
        <v>8.0599999999999987</v>
      </c>
      <c r="E52" s="33">
        <f>D52/400*100</f>
        <v>2.0149999999999997</v>
      </c>
      <c r="F52" s="375">
        <f t="shared" si="2"/>
        <v>2.0149999999999997</v>
      </c>
      <c r="G52" s="33">
        <v>2.02</v>
      </c>
      <c r="H52" s="376"/>
    </row>
    <row r="53" spans="1:8" hidden="1" x14ac:dyDescent="0.35">
      <c r="A53" s="31">
        <v>2247</v>
      </c>
      <c r="B53" s="22"/>
      <c r="C53" s="33"/>
      <c r="D53" s="33"/>
      <c r="E53" s="33"/>
      <c r="F53" s="375">
        <f t="shared" si="2"/>
        <v>0</v>
      </c>
      <c r="G53" s="33">
        <f t="shared" si="2"/>
        <v>0</v>
      </c>
      <c r="H53" s="376"/>
    </row>
    <row r="54" spans="1:8" x14ac:dyDescent="0.35">
      <c r="A54" s="31">
        <v>2249</v>
      </c>
      <c r="B54" s="22" t="s">
        <v>171</v>
      </c>
      <c r="C54" s="33">
        <v>201.63</v>
      </c>
      <c r="D54" s="33">
        <v>84.9</v>
      </c>
      <c r="E54" s="33">
        <f>D54/400*100</f>
        <v>21.225000000000001</v>
      </c>
      <c r="F54" s="375">
        <f t="shared" si="2"/>
        <v>21.225000000000001</v>
      </c>
      <c r="G54" s="33">
        <v>21.23</v>
      </c>
      <c r="H54" s="376"/>
    </row>
    <row r="55" spans="1:8" x14ac:dyDescent="0.35">
      <c r="A55" s="31">
        <v>2250</v>
      </c>
      <c r="B55" s="22" t="s">
        <v>124</v>
      </c>
      <c r="C55" s="33">
        <v>34.020000000000003</v>
      </c>
      <c r="D55" s="33">
        <v>14.42</v>
      </c>
      <c r="E55" s="33">
        <f>D55/400*100</f>
        <v>3.605</v>
      </c>
      <c r="F55" s="375">
        <f t="shared" si="2"/>
        <v>3.605</v>
      </c>
      <c r="G55" s="33">
        <v>3.61</v>
      </c>
      <c r="H55" s="376"/>
    </row>
    <row r="56" spans="1:8" x14ac:dyDescent="0.25">
      <c r="A56" s="31">
        <v>2262</v>
      </c>
      <c r="B56" s="32" t="s">
        <v>148</v>
      </c>
      <c r="C56" s="33">
        <v>35.6</v>
      </c>
      <c r="D56" s="33">
        <v>14.99</v>
      </c>
      <c r="E56" s="33">
        <f>D56/400*100</f>
        <v>3.7475000000000001</v>
      </c>
      <c r="F56" s="375">
        <f t="shared" si="2"/>
        <v>3.7475000000000001</v>
      </c>
      <c r="G56" s="33">
        <v>3.75</v>
      </c>
      <c r="H56" s="376"/>
    </row>
    <row r="57" spans="1:8" hidden="1" x14ac:dyDescent="0.25">
      <c r="A57" s="31">
        <v>2263</v>
      </c>
      <c r="B57" s="32"/>
      <c r="C57" s="33"/>
      <c r="D57" s="33"/>
      <c r="E57" s="33"/>
      <c r="F57" s="375">
        <f t="shared" si="2"/>
        <v>0</v>
      </c>
      <c r="G57" s="33">
        <f t="shared" si="2"/>
        <v>0</v>
      </c>
      <c r="H57" s="376"/>
    </row>
    <row r="58" spans="1:8" x14ac:dyDescent="0.25">
      <c r="A58" s="31">
        <v>2264</v>
      </c>
      <c r="B58" s="32" t="s">
        <v>173</v>
      </c>
      <c r="C58" s="33">
        <v>0.23</v>
      </c>
      <c r="D58" s="33">
        <v>0.1</v>
      </c>
      <c r="E58" s="33">
        <f>D58/400*100</f>
        <v>2.5000000000000001E-2</v>
      </c>
      <c r="F58" s="375">
        <f t="shared" si="2"/>
        <v>2.5000000000000001E-2</v>
      </c>
      <c r="G58" s="33">
        <v>0.03</v>
      </c>
      <c r="H58" s="376"/>
    </row>
    <row r="59" spans="1:8" x14ac:dyDescent="0.25">
      <c r="A59" s="31">
        <v>2311</v>
      </c>
      <c r="B59" s="32" t="s">
        <v>151</v>
      </c>
      <c r="C59" s="33">
        <v>19.600000000000001</v>
      </c>
      <c r="D59" s="33">
        <v>8.25</v>
      </c>
      <c r="E59" s="33">
        <f>D59/400*100</f>
        <v>2.0625</v>
      </c>
      <c r="F59" s="375">
        <f t="shared" si="2"/>
        <v>2.0625</v>
      </c>
      <c r="G59" s="33">
        <v>2.06</v>
      </c>
      <c r="H59" s="376"/>
    </row>
    <row r="60" spans="1:8" ht="15.75" hidden="1" customHeight="1" x14ac:dyDescent="0.25">
      <c r="A60" s="31">
        <v>2312</v>
      </c>
      <c r="B60" s="32" t="s">
        <v>116</v>
      </c>
      <c r="C60" s="33">
        <v>4.51</v>
      </c>
      <c r="D60" s="33">
        <v>0</v>
      </c>
      <c r="E60" s="33">
        <f>D60/400*100</f>
        <v>0</v>
      </c>
      <c r="F60" s="375">
        <f t="shared" si="2"/>
        <v>0</v>
      </c>
      <c r="G60" s="33">
        <v>0</v>
      </c>
      <c r="H60" s="376"/>
    </row>
    <row r="61" spans="1:8" hidden="1" x14ac:dyDescent="0.25">
      <c r="A61" s="31">
        <v>2314</v>
      </c>
      <c r="B61" s="32"/>
      <c r="C61" s="33"/>
      <c r="D61" s="33"/>
      <c r="E61" s="33"/>
      <c r="F61" s="375">
        <f t="shared" si="2"/>
        <v>0</v>
      </c>
      <c r="G61" s="33">
        <f t="shared" si="2"/>
        <v>0</v>
      </c>
      <c r="H61" s="376"/>
    </row>
    <row r="62" spans="1:8" x14ac:dyDescent="0.25">
      <c r="A62" s="31">
        <v>2321</v>
      </c>
      <c r="B62" s="32" t="s">
        <v>139</v>
      </c>
      <c r="C62" s="33"/>
      <c r="D62" s="33"/>
      <c r="E62" s="33"/>
      <c r="F62" s="375">
        <f>4.81/2</f>
        <v>2.4049999999999998</v>
      </c>
      <c r="G62" s="33">
        <f>2.41+0.29</f>
        <v>2.7</v>
      </c>
      <c r="H62" s="376"/>
    </row>
    <row r="63" spans="1:8" x14ac:dyDescent="0.25">
      <c r="A63" s="31">
        <v>2322</v>
      </c>
      <c r="B63" s="32" t="s">
        <v>153</v>
      </c>
      <c r="C63" s="33">
        <v>91.24</v>
      </c>
      <c r="D63" s="33">
        <v>46.1</v>
      </c>
      <c r="E63" s="33">
        <f>D63/400*100</f>
        <v>11.525</v>
      </c>
      <c r="F63" s="375">
        <f t="shared" si="2"/>
        <v>11.525</v>
      </c>
      <c r="G63" s="33">
        <v>11.53</v>
      </c>
      <c r="H63" s="376"/>
    </row>
    <row r="64" spans="1:8" hidden="1" x14ac:dyDescent="0.25">
      <c r="A64" s="31">
        <v>2341</v>
      </c>
      <c r="B64" s="32"/>
      <c r="C64" s="33"/>
      <c r="D64" s="33"/>
      <c r="E64" s="33"/>
      <c r="F64" s="375">
        <f t="shared" si="2"/>
        <v>0</v>
      </c>
      <c r="G64" s="33">
        <f t="shared" si="2"/>
        <v>0</v>
      </c>
      <c r="H64" s="376"/>
    </row>
    <row r="65" spans="1:8" x14ac:dyDescent="0.35">
      <c r="A65" s="31">
        <v>2350</v>
      </c>
      <c r="B65" s="61" t="s">
        <v>125</v>
      </c>
      <c r="C65" s="33">
        <v>94.4</v>
      </c>
      <c r="D65" s="33">
        <v>39.75</v>
      </c>
      <c r="E65" s="33">
        <f>D65/400*100</f>
        <v>9.9375</v>
      </c>
      <c r="F65" s="375">
        <f t="shared" si="2"/>
        <v>9.9375</v>
      </c>
      <c r="G65" s="33">
        <v>9.94</v>
      </c>
      <c r="H65" s="376"/>
    </row>
    <row r="66" spans="1:8" hidden="1" x14ac:dyDescent="0.25">
      <c r="A66" s="31">
        <v>2513</v>
      </c>
      <c r="B66" s="32"/>
      <c r="C66" s="33">
        <v>1531.88</v>
      </c>
      <c r="D66" s="33">
        <v>0</v>
      </c>
      <c r="E66" s="33">
        <f>D66/400*100</f>
        <v>0</v>
      </c>
      <c r="F66" s="375">
        <f t="shared" si="2"/>
        <v>0</v>
      </c>
      <c r="G66" s="33">
        <f t="shared" si="2"/>
        <v>0</v>
      </c>
      <c r="H66" s="376"/>
    </row>
    <row r="67" spans="1:8" x14ac:dyDescent="0.25">
      <c r="A67" s="31">
        <v>2515</v>
      </c>
      <c r="B67" s="32" t="s">
        <v>155</v>
      </c>
      <c r="C67" s="33">
        <v>6.31</v>
      </c>
      <c r="D67" s="33">
        <v>2.66</v>
      </c>
      <c r="E67" s="33">
        <f>D67/400*100</f>
        <v>0.66500000000000004</v>
      </c>
      <c r="F67" s="375">
        <f>'[2]4.4.-.4.5.-4.6.'!$AA$15*100</f>
        <v>4.3681571380092494</v>
      </c>
      <c r="G67" s="33">
        <v>4.37</v>
      </c>
      <c r="H67" s="376"/>
    </row>
    <row r="68" spans="1:8" x14ac:dyDescent="0.25">
      <c r="A68" s="31">
        <v>2519</v>
      </c>
      <c r="B68" s="32" t="s">
        <v>122</v>
      </c>
      <c r="C68" s="33">
        <v>0.23</v>
      </c>
      <c r="D68" s="33">
        <v>0.1</v>
      </c>
      <c r="E68" s="33">
        <f>D68/400*100</f>
        <v>2.5000000000000001E-2</v>
      </c>
      <c r="F68" s="375">
        <f t="shared" si="2"/>
        <v>2.5000000000000001E-2</v>
      </c>
      <c r="G68" s="33">
        <v>0.03</v>
      </c>
      <c r="H68" s="376"/>
    </row>
    <row r="69" spans="1:8" hidden="1" x14ac:dyDescent="0.25">
      <c r="A69" s="31">
        <v>5220</v>
      </c>
      <c r="B69" s="32"/>
      <c r="C69" s="33"/>
      <c r="D69" s="33"/>
      <c r="E69" s="33"/>
      <c r="F69" s="375">
        <f t="shared" si="2"/>
        <v>0</v>
      </c>
      <c r="G69" s="33">
        <f t="shared" si="2"/>
        <v>0</v>
      </c>
      <c r="H69" s="376"/>
    </row>
    <row r="70" spans="1:8" x14ac:dyDescent="0.35">
      <c r="A70" s="31">
        <v>5238</v>
      </c>
      <c r="B70" s="61" t="s">
        <v>129</v>
      </c>
      <c r="C70" s="33">
        <v>220.33</v>
      </c>
      <c r="D70" s="33">
        <v>23.19</v>
      </c>
      <c r="E70" s="33">
        <f>D70/400*100</f>
        <v>5.7975000000000003</v>
      </c>
      <c r="F70" s="375">
        <f t="shared" si="2"/>
        <v>5.7975000000000003</v>
      </c>
      <c r="G70" s="33">
        <v>5.8</v>
      </c>
      <c r="H70" s="376"/>
    </row>
    <row r="71" spans="1:8" x14ac:dyDescent="0.35">
      <c r="A71" s="31">
        <v>5239</v>
      </c>
      <c r="B71" s="61" t="s">
        <v>130</v>
      </c>
      <c r="C71" s="33">
        <v>55.08</v>
      </c>
      <c r="D71" s="33">
        <v>92.77</v>
      </c>
      <c r="E71" s="33">
        <f>D71/400*100</f>
        <v>23.192499999999999</v>
      </c>
      <c r="F71" s="375">
        <f t="shared" si="2"/>
        <v>23.192499999999999</v>
      </c>
      <c r="G71" s="33">
        <v>23.19</v>
      </c>
      <c r="H71" s="376"/>
    </row>
    <row r="72" spans="1:8" x14ac:dyDescent="0.25">
      <c r="A72" s="31">
        <v>5250</v>
      </c>
      <c r="B72" s="32" t="s">
        <v>131</v>
      </c>
      <c r="C72" s="33">
        <v>176.18</v>
      </c>
      <c r="D72" s="33">
        <v>74.180000000000007</v>
      </c>
      <c r="E72" s="33">
        <f>D72/400*100</f>
        <v>18.545000000000002</v>
      </c>
      <c r="F72" s="375">
        <f t="shared" si="2"/>
        <v>18.545000000000002</v>
      </c>
      <c r="G72" s="33">
        <v>18.55</v>
      </c>
      <c r="H72" s="376"/>
    </row>
    <row r="73" spans="1:8" x14ac:dyDescent="0.25">
      <c r="A73" s="38"/>
      <c r="B73" s="40" t="s">
        <v>8</v>
      </c>
      <c r="C73" s="37">
        <f>SUM(C39:C72)</f>
        <v>4465.93</v>
      </c>
      <c r="D73" s="37">
        <f>SUM(D39:D72)</f>
        <v>1373.56</v>
      </c>
      <c r="E73" s="37">
        <f>SUM(E39:E72)</f>
        <v>343.39</v>
      </c>
      <c r="F73" s="37">
        <f>SUM(F39:F72)</f>
        <v>347.09065713800913</v>
      </c>
      <c r="G73" s="37">
        <f>SUM(G39:G72)</f>
        <v>347.44999999999993</v>
      </c>
    </row>
    <row r="74" spans="1:8" x14ac:dyDescent="0.25">
      <c r="A74" s="38"/>
      <c r="B74" s="40" t="s">
        <v>29</v>
      </c>
      <c r="C74" s="37">
        <f>C73+C37</f>
        <v>14251.3</v>
      </c>
      <c r="D74" s="37">
        <f>D73+D37</f>
        <v>7276</v>
      </c>
      <c r="E74" s="37">
        <f>E73+E37</f>
        <v>1819</v>
      </c>
      <c r="F74" s="37">
        <f>F73+F37</f>
        <v>1958.6221038256397</v>
      </c>
      <c r="G74" s="37">
        <f>G73+G37</f>
        <v>1959</v>
      </c>
    </row>
    <row r="75" spans="1:8" x14ac:dyDescent="0.35">
      <c r="A75" s="15"/>
      <c r="B75" s="25"/>
      <c r="C75" s="59"/>
      <c r="D75" s="59"/>
      <c r="E75" s="59"/>
      <c r="F75" s="59"/>
      <c r="G75" s="59"/>
    </row>
    <row r="76" spans="1:8" ht="15" customHeight="1" x14ac:dyDescent="0.25">
      <c r="A76" s="419" t="s">
        <v>57</v>
      </c>
      <c r="B76" s="419"/>
      <c r="C76" s="19">
        <v>950</v>
      </c>
      <c r="D76" s="67">
        <v>400</v>
      </c>
      <c r="E76" s="67">
        <v>100</v>
      </c>
      <c r="F76" s="67">
        <v>100</v>
      </c>
      <c r="G76" s="67">
        <v>100</v>
      </c>
    </row>
    <row r="77" spans="1:8" ht="15" customHeight="1" x14ac:dyDescent="0.3">
      <c r="A77" s="419" t="s">
        <v>58</v>
      </c>
      <c r="B77" s="419"/>
      <c r="C77" s="23">
        <f>C74/C76</f>
        <v>15.00136842105263</v>
      </c>
      <c r="D77" s="68">
        <f>D74/D76</f>
        <v>18.190000000000001</v>
      </c>
      <c r="E77" s="68">
        <f>E74/E76</f>
        <v>18.190000000000001</v>
      </c>
      <c r="F77" s="68">
        <f>F74/F76</f>
        <v>19.586221038256397</v>
      </c>
      <c r="G77" s="68">
        <f>G74/G76</f>
        <v>19.59</v>
      </c>
    </row>
    <row r="78" spans="1:8" ht="15" customHeight="1" x14ac:dyDescent="0.35">
      <c r="A78" s="11"/>
      <c r="B78" s="11"/>
      <c r="C78" s="59"/>
      <c r="D78" s="59"/>
      <c r="E78" s="59"/>
      <c r="F78" s="59"/>
      <c r="G78" s="59"/>
    </row>
    <row r="79" spans="1:8" x14ac:dyDescent="0.35">
      <c r="A79" s="430" t="s">
        <v>33</v>
      </c>
      <c r="B79" s="431"/>
      <c r="C79" s="27"/>
      <c r="D79" s="27"/>
      <c r="E79" s="27"/>
      <c r="F79" s="27"/>
      <c r="G79" s="27"/>
    </row>
    <row r="80" spans="1:8" x14ac:dyDescent="0.35">
      <c r="A80" s="430" t="s">
        <v>64</v>
      </c>
      <c r="B80" s="431"/>
      <c r="C80" s="27"/>
      <c r="D80" s="85"/>
      <c r="E80" s="85"/>
      <c r="F80" s="85"/>
      <c r="G80" s="85"/>
    </row>
    <row r="81" spans="1:7" x14ac:dyDescent="0.35">
      <c r="A81" s="28"/>
      <c r="B81" s="28"/>
      <c r="C81" s="28"/>
      <c r="D81" s="28"/>
      <c r="E81" s="28"/>
      <c r="F81" s="28"/>
      <c r="G81" s="28"/>
    </row>
    <row r="82" spans="1:7" x14ac:dyDescent="0.35">
      <c r="A82" s="28" t="s">
        <v>34</v>
      </c>
      <c r="B82" s="28"/>
      <c r="C82" s="28"/>
      <c r="D82" s="28"/>
      <c r="E82" s="28"/>
      <c r="F82" s="28"/>
      <c r="G82" s="28"/>
    </row>
    <row r="83" spans="1:7" x14ac:dyDescent="0.35">
      <c r="A83" s="28"/>
      <c r="B83" s="28"/>
      <c r="C83" s="28"/>
      <c r="D83" s="28"/>
      <c r="E83" s="28"/>
      <c r="F83" s="28"/>
      <c r="G83" s="81"/>
    </row>
    <row r="84" spans="1:7" x14ac:dyDescent="0.35">
      <c r="A84" s="28" t="s">
        <v>177</v>
      </c>
      <c r="B84" s="29"/>
      <c r="C84" s="28"/>
      <c r="D84" s="28"/>
      <c r="E84" s="28"/>
      <c r="F84" s="28"/>
      <c r="G84" s="28"/>
    </row>
    <row r="85" spans="1:7" x14ac:dyDescent="0.35">
      <c r="A85" s="28"/>
      <c r="B85" s="30"/>
      <c r="C85" s="28"/>
      <c r="D85" s="28"/>
      <c r="E85" s="28"/>
      <c r="F85" s="28"/>
      <c r="G85" s="28"/>
    </row>
  </sheetData>
  <mergeCells count="7">
    <mergeCell ref="A7:C7"/>
    <mergeCell ref="A80:B80"/>
    <mergeCell ref="A9:B9"/>
    <mergeCell ref="A10:B10"/>
    <mergeCell ref="A76:B76"/>
    <mergeCell ref="A77:B77"/>
    <mergeCell ref="A79:B79"/>
  </mergeCells>
  <pageMargins left="0.70866141732283472" right="0.70866141732283472" top="0.55879629629629635" bottom="0.74803149606299213" header="0.31496062992125984" footer="0.31496062992125984"/>
  <pageSetup paperSize="9" scale="69" orientation="portrait" r:id="rId1"/>
  <headerFooter>
    <oddFooter>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G95"/>
  <sheetViews>
    <sheetView view="pageLayout" zoomScale="80" zoomScaleNormal="100" zoomScalePageLayoutView="80" workbookViewId="0">
      <selection activeCell="B12" sqref="B12:F12"/>
    </sheetView>
  </sheetViews>
  <sheetFormatPr defaultColWidth="9.1796875" defaultRowHeight="15.5" x14ac:dyDescent="0.35"/>
  <cols>
    <col min="1" max="1" width="12.81640625" style="13" customWidth="1"/>
    <col min="2" max="2" width="84.7265625" style="13" customWidth="1"/>
    <col min="3" max="3" width="7.26953125" style="13" hidden="1" customWidth="1"/>
    <col min="4" max="4" width="10.7265625" style="13" hidden="1" customWidth="1"/>
    <col min="5" max="5" width="31.54296875" style="13" hidden="1" customWidth="1"/>
    <col min="6" max="6" width="27.1796875" style="13" customWidth="1"/>
    <col min="7" max="16384" width="9.1796875" style="16"/>
  </cols>
  <sheetData>
    <row r="1" spans="1:6" x14ac:dyDescent="0.35">
      <c r="E1" s="17" t="s">
        <v>10</v>
      </c>
      <c r="F1" s="17" t="s">
        <v>10</v>
      </c>
    </row>
    <row r="2" spans="1:6" x14ac:dyDescent="0.35">
      <c r="E2" s="14" t="s">
        <v>32</v>
      </c>
      <c r="F2" s="14" t="s">
        <v>32</v>
      </c>
    </row>
    <row r="3" spans="1:6" x14ac:dyDescent="0.35">
      <c r="E3" s="77" t="s">
        <v>66</v>
      </c>
      <c r="F3" s="77" t="s">
        <v>66</v>
      </c>
    </row>
    <row r="4" spans="1:6" x14ac:dyDescent="0.35">
      <c r="E4" s="54"/>
      <c r="F4" s="54"/>
    </row>
    <row r="5" spans="1:6" x14ac:dyDescent="0.35">
      <c r="E5" s="15" t="s">
        <v>226</v>
      </c>
      <c r="F5" s="15" t="s">
        <v>333</v>
      </c>
    </row>
    <row r="7" spans="1:6" x14ac:dyDescent="0.35">
      <c r="A7" s="416" t="s">
        <v>9</v>
      </c>
      <c r="B7" s="416"/>
      <c r="C7" s="416"/>
      <c r="D7" s="416"/>
      <c r="E7" s="416"/>
      <c r="F7" s="70"/>
    </row>
    <row r="8" spans="1:6" hidden="1" x14ac:dyDescent="0.35">
      <c r="B8" s="18"/>
      <c r="C8" s="18"/>
      <c r="D8" s="18"/>
    </row>
    <row r="9" spans="1:6" ht="15" customHeight="1" x14ac:dyDescent="0.35">
      <c r="A9" s="419" t="s">
        <v>1</v>
      </c>
      <c r="B9" s="419"/>
      <c r="C9" s="11"/>
      <c r="D9" s="11"/>
    </row>
    <row r="10" spans="1:6" ht="15" customHeight="1" x14ac:dyDescent="0.35">
      <c r="A10" s="419" t="s">
        <v>0</v>
      </c>
      <c r="B10" s="419"/>
      <c r="C10" s="11"/>
      <c r="D10" s="11"/>
    </row>
    <row r="11" spans="1:6" x14ac:dyDescent="0.35">
      <c r="A11" s="11"/>
      <c r="B11" s="11" t="s">
        <v>179</v>
      </c>
      <c r="C11" s="11"/>
      <c r="D11" s="11"/>
    </row>
    <row r="12" spans="1:6" ht="21.75" customHeight="1" x14ac:dyDescent="0.35">
      <c r="A12" s="11"/>
      <c r="B12" s="419" t="s">
        <v>357</v>
      </c>
      <c r="C12" s="419"/>
      <c r="D12" s="419"/>
      <c r="E12" s="419"/>
      <c r="F12" s="446"/>
    </row>
    <row r="13" spans="1:6" hidden="1" x14ac:dyDescent="0.35">
      <c r="C13" s="11"/>
      <c r="D13" s="11"/>
    </row>
    <row r="14" spans="1:6" ht="15" customHeight="1" x14ac:dyDescent="0.35">
      <c r="A14" s="11" t="s">
        <v>2</v>
      </c>
      <c r="B14" s="11" t="str">
        <f>'4.7.'!B13</f>
        <v>2025.gadā un turpmāk</v>
      </c>
      <c r="C14" s="136"/>
      <c r="D14" s="136"/>
    </row>
    <row r="15" spans="1:6" ht="62" x14ac:dyDescent="0.35">
      <c r="A15" s="51" t="s">
        <v>3</v>
      </c>
      <c r="B15" s="51" t="s">
        <v>4</v>
      </c>
      <c r="C15" s="176"/>
      <c r="D15" s="185"/>
      <c r="E15" s="51" t="s">
        <v>63</v>
      </c>
      <c r="F15" s="51" t="s">
        <v>63</v>
      </c>
    </row>
    <row r="16" spans="1:6" x14ac:dyDescent="0.35">
      <c r="A16" s="20">
        <v>1</v>
      </c>
      <c r="B16" s="166">
        <v>2</v>
      </c>
      <c r="C16" s="156"/>
      <c r="D16" s="178">
        <f>95.42/5.45</f>
        <v>17.508256880733946</v>
      </c>
      <c r="E16" s="20">
        <v>3</v>
      </c>
      <c r="F16" s="20">
        <v>3</v>
      </c>
    </row>
    <row r="17" spans="1:6" x14ac:dyDescent="0.35">
      <c r="A17" s="41"/>
      <c r="B17" s="167" t="s">
        <v>5</v>
      </c>
      <c r="C17" s="165"/>
      <c r="D17" s="25"/>
      <c r="E17" s="31"/>
      <c r="F17" s="31"/>
    </row>
    <row r="18" spans="1:6" x14ac:dyDescent="0.35">
      <c r="A18" s="31">
        <v>1100</v>
      </c>
      <c r="B18" s="168" t="s">
        <v>132</v>
      </c>
      <c r="C18" s="43"/>
      <c r="D18" s="43" t="e">
        <f>'4.9.'!#REF!*'4.8.'!D16</f>
        <v>#REF!</v>
      </c>
      <c r="E18" s="33">
        <v>342.29</v>
      </c>
      <c r="F18" s="33">
        <f>'4.9.'!D18/100*20*15</f>
        <v>588.24</v>
      </c>
    </row>
    <row r="19" spans="1:6" ht="17.25" customHeight="1" x14ac:dyDescent="0.35">
      <c r="A19" s="31">
        <v>1200</v>
      </c>
      <c r="B19" s="169" t="s">
        <v>133</v>
      </c>
      <c r="C19" s="25"/>
      <c r="D19" s="25" t="e">
        <f>D18*0.2359</f>
        <v>#REF!</v>
      </c>
      <c r="E19" s="33">
        <v>80.75</v>
      </c>
      <c r="F19" s="33">
        <v>138.77000000000001</v>
      </c>
    </row>
    <row r="20" spans="1:6" x14ac:dyDescent="0.35">
      <c r="A20" s="31">
        <v>2210</v>
      </c>
      <c r="B20" s="170" t="s">
        <v>120</v>
      </c>
      <c r="C20" s="179"/>
      <c r="D20" s="179" t="e">
        <f>'4.9.'!#REF!*'4.8.'!D16</f>
        <v>#REF!</v>
      </c>
      <c r="E20" s="33">
        <v>1.31</v>
      </c>
      <c r="F20" s="33">
        <f>'4.9.'!D20/100*20*15</f>
        <v>1.98</v>
      </c>
    </row>
    <row r="21" spans="1:6" x14ac:dyDescent="0.35">
      <c r="A21" s="31">
        <v>2222</v>
      </c>
      <c r="B21" s="170" t="s">
        <v>135</v>
      </c>
      <c r="C21" s="179"/>
      <c r="D21" s="179" t="e">
        <f>'4.9.'!#REF!*'4.8.'!D16</f>
        <v>#REF!</v>
      </c>
      <c r="E21" s="33">
        <v>61.93</v>
      </c>
      <c r="F21" s="33">
        <f>'4.9.'!D21/100*20*15</f>
        <v>34.890000000000008</v>
      </c>
    </row>
    <row r="22" spans="1:6" x14ac:dyDescent="0.35">
      <c r="A22" s="31">
        <v>2223</v>
      </c>
      <c r="B22" s="171" t="s">
        <v>136</v>
      </c>
      <c r="C22" s="180"/>
      <c r="D22" s="180" t="e">
        <f>'4.9.'!#REF!*'4.8.'!D16</f>
        <v>#REF!</v>
      </c>
      <c r="E22" s="33">
        <v>117.87</v>
      </c>
      <c r="F22" s="33">
        <f>'4.9.'!D22/100*20*15</f>
        <v>114.09000000000002</v>
      </c>
    </row>
    <row r="23" spans="1:6" x14ac:dyDescent="0.35">
      <c r="A23" s="31">
        <v>2243</v>
      </c>
      <c r="B23" s="172" t="s">
        <v>137</v>
      </c>
      <c r="C23" s="181"/>
      <c r="D23" s="181" t="e">
        <f>'4.9.'!#REF!*'4.8.'!D16</f>
        <v>#REF!</v>
      </c>
      <c r="E23" s="33">
        <v>0.53</v>
      </c>
      <c r="F23" s="33">
        <f>'4.9.'!D23/100*20*15</f>
        <v>4.7100000000000009</v>
      </c>
    </row>
    <row r="24" spans="1:6" x14ac:dyDescent="0.35">
      <c r="A24" s="31">
        <v>2244</v>
      </c>
      <c r="B24" s="173" t="s">
        <v>138</v>
      </c>
      <c r="C24" s="18"/>
      <c r="D24" s="18" t="e">
        <f>'4.9.'!#REF!*'4.8.'!D16</f>
        <v>#REF!</v>
      </c>
      <c r="E24" s="33">
        <v>112.93</v>
      </c>
      <c r="F24" s="33">
        <f>'4.9.'!D24/100*20*15</f>
        <v>190.32</v>
      </c>
    </row>
    <row r="25" spans="1:6" hidden="1" x14ac:dyDescent="0.35">
      <c r="A25" s="31">
        <v>2250</v>
      </c>
      <c r="B25" s="173"/>
      <c r="C25" s="18"/>
      <c r="D25" s="18"/>
      <c r="E25" s="33"/>
      <c r="F25" s="33">
        <f>'4.9.'!D25/100*20*15</f>
        <v>0</v>
      </c>
    </row>
    <row r="26" spans="1:6" x14ac:dyDescent="0.35">
      <c r="A26" s="31">
        <v>2263</v>
      </c>
      <c r="B26" s="171" t="s">
        <v>149</v>
      </c>
      <c r="C26" s="180"/>
      <c r="D26" s="180" t="e">
        <f>'4.9.'!#REF!*'4.8.'!D16</f>
        <v>#REF!</v>
      </c>
      <c r="E26" s="33">
        <v>93.76</v>
      </c>
      <c r="F26" s="33">
        <f>'4.9.'!D26/100*20*15</f>
        <v>181.89000000000001</v>
      </c>
    </row>
    <row r="27" spans="1:6" hidden="1" x14ac:dyDescent="0.35">
      <c r="A27" s="31">
        <v>2311</v>
      </c>
      <c r="B27" s="171"/>
      <c r="C27" s="180"/>
      <c r="D27" s="180"/>
      <c r="E27" s="33"/>
      <c r="F27" s="33">
        <f>'4.9.'!D27/100*20*15</f>
        <v>0</v>
      </c>
    </row>
    <row r="28" spans="1:6" x14ac:dyDescent="0.35">
      <c r="A28" s="31">
        <v>2312</v>
      </c>
      <c r="B28" s="171" t="s">
        <v>116</v>
      </c>
      <c r="C28" s="180"/>
      <c r="D28" s="180" t="e">
        <f>'4.9.'!#REF!*'4.8.'!D16</f>
        <v>#REF!</v>
      </c>
      <c r="E28" s="33">
        <v>62.5</v>
      </c>
      <c r="F28" s="33">
        <f>'4.9.'!D28/100*20*15</f>
        <v>81.150000000000006</v>
      </c>
    </row>
    <row r="29" spans="1:6" x14ac:dyDescent="0.35">
      <c r="A29" s="31">
        <v>2321</v>
      </c>
      <c r="B29" s="171" t="s">
        <v>139</v>
      </c>
      <c r="C29" s="180"/>
      <c r="D29" s="180" t="e">
        <f>'4.9.'!#REF!*'4.8.'!D16</f>
        <v>#REF!</v>
      </c>
      <c r="E29" s="33">
        <v>104</v>
      </c>
      <c r="F29" s="33">
        <f>'4.9.'!D29/100*20*15</f>
        <v>130.56</v>
      </c>
    </row>
    <row r="30" spans="1:6" x14ac:dyDescent="0.35">
      <c r="A30" s="31">
        <v>2350</v>
      </c>
      <c r="B30" s="169" t="s">
        <v>125</v>
      </c>
      <c r="C30" s="25"/>
      <c r="D30" s="25" t="e">
        <f>'4.9.'!#REF!*'4.8.'!D16</f>
        <v>#REF!</v>
      </c>
      <c r="E30" s="33">
        <v>40.71</v>
      </c>
      <c r="F30" s="33">
        <f>'4.9.'!D30/100*20*15</f>
        <v>3.2100000000000004</v>
      </c>
    </row>
    <row r="31" spans="1:6" x14ac:dyDescent="0.35">
      <c r="A31" s="31">
        <v>2361</v>
      </c>
      <c r="B31" s="171" t="s">
        <v>141</v>
      </c>
      <c r="C31" s="180"/>
      <c r="D31" s="180" t="e">
        <f>'4.9.'!#REF!*'4.8.'!D16</f>
        <v>#REF!</v>
      </c>
      <c r="E31" s="33">
        <v>51.47</v>
      </c>
      <c r="F31" s="33">
        <f>'4.9.'!D31/100*20*15</f>
        <v>16.830000000000002</v>
      </c>
    </row>
    <row r="32" spans="1:6" hidden="1" x14ac:dyDescent="0.35">
      <c r="A32" s="31">
        <v>2362</v>
      </c>
      <c r="B32" s="171"/>
      <c r="C32" s="180"/>
      <c r="D32" s="180"/>
      <c r="E32" s="33"/>
      <c r="F32" s="33">
        <f>'4.9.'!D32/100*20*15</f>
        <v>0</v>
      </c>
    </row>
    <row r="33" spans="1:6" hidden="1" x14ac:dyDescent="0.35">
      <c r="A33" s="31">
        <v>2363</v>
      </c>
      <c r="B33" s="171"/>
      <c r="C33" s="180"/>
      <c r="D33" s="180"/>
      <c r="E33" s="33"/>
      <c r="F33" s="33">
        <f>'4.9.'!D33/100*20*15</f>
        <v>0</v>
      </c>
    </row>
    <row r="34" spans="1:6" x14ac:dyDescent="0.35">
      <c r="A34" s="31">
        <v>2513</v>
      </c>
      <c r="B34" s="169" t="s">
        <v>121</v>
      </c>
      <c r="C34" s="25"/>
      <c r="D34" s="25" t="e">
        <f>'4.9.'!#REF!*'4.8.'!D16</f>
        <v>#REF!</v>
      </c>
      <c r="E34" s="33">
        <v>25.84</v>
      </c>
      <c r="F34" s="33">
        <f>'4.9.'!D34/100*20*15</f>
        <v>93.3</v>
      </c>
    </row>
    <row r="35" spans="1:6" x14ac:dyDescent="0.35">
      <c r="A35" s="31">
        <v>2519</v>
      </c>
      <c r="B35" s="171" t="s">
        <v>122</v>
      </c>
      <c r="C35" s="180"/>
      <c r="D35" s="180" t="e">
        <f>'4.9.'!#REF!*'4.8.'!D16</f>
        <v>#REF!</v>
      </c>
      <c r="E35" s="33">
        <v>10.029999999999999</v>
      </c>
      <c r="F35" s="33">
        <f>'4.9.'!D35/100*20*15</f>
        <v>13.710000000000003</v>
      </c>
    </row>
    <row r="36" spans="1:6" x14ac:dyDescent="0.35">
      <c r="A36" s="31">
        <v>5239</v>
      </c>
      <c r="B36" s="169" t="s">
        <v>130</v>
      </c>
      <c r="C36" s="180"/>
      <c r="D36" s="180"/>
      <c r="E36" s="33"/>
      <c r="F36" s="33">
        <f>'4.9.'!D36/100*20*15</f>
        <v>39.6</v>
      </c>
    </row>
    <row r="37" spans="1:6" x14ac:dyDescent="0.35">
      <c r="A37" s="31"/>
      <c r="B37" s="174" t="s">
        <v>6</v>
      </c>
      <c r="C37" s="182"/>
      <c r="D37" s="182" t="e">
        <f>SUM(D18:D35)</f>
        <v>#REF!</v>
      </c>
      <c r="E37" s="37">
        <f>SUM(E18:E35)</f>
        <v>1105.92</v>
      </c>
      <c r="F37" s="37">
        <f>SUM(F18:F36)</f>
        <v>1633.25</v>
      </c>
    </row>
    <row r="38" spans="1:6" x14ac:dyDescent="0.35">
      <c r="A38" s="38"/>
      <c r="B38" s="168" t="s">
        <v>7</v>
      </c>
      <c r="C38" s="43"/>
      <c r="D38" s="43"/>
      <c r="E38" s="33"/>
      <c r="F38" s="33"/>
    </row>
    <row r="39" spans="1:6" x14ac:dyDescent="0.35">
      <c r="A39" s="31">
        <v>1100</v>
      </c>
      <c r="B39" s="168" t="s">
        <v>132</v>
      </c>
      <c r="C39" s="183" t="e">
        <f>'4.9.'!#REF!</f>
        <v>#REF!</v>
      </c>
      <c r="D39" s="43" t="e">
        <f t="shared" ref="D39:D72" si="0">C39*$D$16</f>
        <v>#REF!</v>
      </c>
      <c r="E39" s="33">
        <v>60.57</v>
      </c>
      <c r="F39" s="33">
        <f>'4.9.'!D39/100*20*15</f>
        <v>61.44</v>
      </c>
    </row>
    <row r="40" spans="1:6" x14ac:dyDescent="0.35">
      <c r="A40" s="31">
        <v>1200</v>
      </c>
      <c r="B40" s="169" t="s">
        <v>133</v>
      </c>
      <c r="C40" s="183" t="e">
        <f>'4.9.'!#REF!</f>
        <v>#REF!</v>
      </c>
      <c r="D40" s="43" t="e">
        <f t="shared" si="0"/>
        <v>#REF!</v>
      </c>
      <c r="E40" s="33">
        <v>14.29</v>
      </c>
      <c r="F40" s="33">
        <f>'4.9.'!D40/100*20*15</f>
        <v>14.490000000000002</v>
      </c>
    </row>
    <row r="41" spans="1:6" hidden="1" x14ac:dyDescent="0.35">
      <c r="A41" s="31">
        <v>2100</v>
      </c>
      <c r="B41" s="169"/>
      <c r="C41" s="183"/>
      <c r="D41" s="43"/>
      <c r="E41" s="33"/>
      <c r="F41" s="33">
        <f>'4.9.'!D41/100*20*15</f>
        <v>0</v>
      </c>
    </row>
    <row r="42" spans="1:6" hidden="1" x14ac:dyDescent="0.35">
      <c r="A42" s="31">
        <v>2210</v>
      </c>
      <c r="B42" s="170" t="s">
        <v>120</v>
      </c>
      <c r="C42" s="183" t="e">
        <f>'4.9.'!#REF!</f>
        <v>#REF!</v>
      </c>
      <c r="D42" s="43" t="e">
        <f t="shared" si="0"/>
        <v>#REF!</v>
      </c>
      <c r="E42" s="33">
        <v>1.26</v>
      </c>
      <c r="F42" s="33">
        <f>'4.9.'!D42/100*20*15</f>
        <v>0</v>
      </c>
    </row>
    <row r="43" spans="1:6" hidden="1" x14ac:dyDescent="0.35">
      <c r="A43" s="31">
        <v>2222</v>
      </c>
      <c r="B43" s="170"/>
      <c r="C43" s="183"/>
      <c r="D43" s="43"/>
      <c r="E43" s="33"/>
      <c r="F43" s="33">
        <f>'4.9.'!D43/100*20*15</f>
        <v>0</v>
      </c>
    </row>
    <row r="44" spans="1:6" x14ac:dyDescent="0.35">
      <c r="A44" s="31">
        <v>2223</v>
      </c>
      <c r="B44" s="171" t="s">
        <v>136</v>
      </c>
      <c r="C44" s="183"/>
      <c r="D44" s="43"/>
      <c r="E44" s="33"/>
      <c r="F44" s="33">
        <f>'4.9.'!D44/100*20*15</f>
        <v>0.66</v>
      </c>
    </row>
    <row r="45" spans="1:6" ht="31" x14ac:dyDescent="0.35">
      <c r="A45" s="31">
        <v>2224</v>
      </c>
      <c r="B45" s="170" t="s">
        <v>176</v>
      </c>
      <c r="C45" s="183" t="e">
        <f>'4.9.'!#REF!</f>
        <v>#REF!</v>
      </c>
      <c r="D45" s="43" t="e">
        <f t="shared" si="0"/>
        <v>#REF!</v>
      </c>
      <c r="E45" s="33">
        <f>18.36-10</f>
        <v>8.36</v>
      </c>
      <c r="F45" s="33">
        <f>'4.9.'!D45/100*20*15</f>
        <v>14.190000000000001</v>
      </c>
    </row>
    <row r="46" spans="1:6" hidden="1" x14ac:dyDescent="0.35">
      <c r="A46" s="31">
        <v>2231</v>
      </c>
      <c r="B46" s="170"/>
      <c r="C46" s="183"/>
      <c r="D46" s="43"/>
      <c r="E46" s="33"/>
      <c r="F46" s="33">
        <f>'4.9.'!D46/100*20*15</f>
        <v>0</v>
      </c>
    </row>
    <row r="47" spans="1:6" hidden="1" x14ac:dyDescent="0.35">
      <c r="A47" s="31">
        <v>2235</v>
      </c>
      <c r="B47" s="170"/>
      <c r="C47" s="183"/>
      <c r="D47" s="43"/>
      <c r="E47" s="33"/>
      <c r="F47" s="33">
        <f>'4.9.'!D47/100*20*15</f>
        <v>0</v>
      </c>
    </row>
    <row r="48" spans="1:6" x14ac:dyDescent="0.35">
      <c r="A48" s="31">
        <v>2239</v>
      </c>
      <c r="B48" s="171" t="s">
        <v>144</v>
      </c>
      <c r="C48" s="183" t="e">
        <f>'4.9.'!#REF!</f>
        <v>#REF!</v>
      </c>
      <c r="D48" s="43" t="e">
        <f t="shared" si="0"/>
        <v>#REF!</v>
      </c>
      <c r="E48" s="33">
        <v>1.89</v>
      </c>
      <c r="F48" s="33">
        <f>'4.9.'!D48/100*20*15</f>
        <v>1.92</v>
      </c>
    </row>
    <row r="49" spans="1:6" x14ac:dyDescent="0.35">
      <c r="A49" s="31">
        <v>2241</v>
      </c>
      <c r="B49" s="173" t="s">
        <v>123</v>
      </c>
      <c r="C49" s="183" t="e">
        <f>'4.9.'!#REF!</f>
        <v>#REF!</v>
      </c>
      <c r="D49" s="43" t="e">
        <f t="shared" si="0"/>
        <v>#REF!</v>
      </c>
      <c r="E49" s="33">
        <v>0.18</v>
      </c>
      <c r="F49" s="33">
        <f>'4.9.'!D49/100*20*15</f>
        <v>0.17999999999999997</v>
      </c>
    </row>
    <row r="50" spans="1:6" x14ac:dyDescent="0.35">
      <c r="A50" s="31">
        <v>2242</v>
      </c>
      <c r="B50" s="171" t="s">
        <v>145</v>
      </c>
      <c r="C50" s="183" t="e">
        <f>'4.9.'!#REF!</f>
        <v>#REF!</v>
      </c>
      <c r="D50" s="43" t="e">
        <f t="shared" si="0"/>
        <v>#REF!</v>
      </c>
      <c r="E50" s="33">
        <v>0.79</v>
      </c>
      <c r="F50" s="33">
        <f>'4.9.'!D50/100*20*15</f>
        <v>0.81</v>
      </c>
    </row>
    <row r="51" spans="1:6" x14ac:dyDescent="0.35">
      <c r="A51" s="31">
        <v>2243</v>
      </c>
      <c r="B51" s="171" t="s">
        <v>137</v>
      </c>
      <c r="C51" s="183" t="e">
        <f>'4.9.'!#REF!</f>
        <v>#REF!</v>
      </c>
      <c r="D51" s="43" t="e">
        <f t="shared" si="0"/>
        <v>#REF!</v>
      </c>
      <c r="E51" s="33">
        <v>0.79</v>
      </c>
      <c r="F51" s="33">
        <f>'4.9.'!D51/100*20*15</f>
        <v>0.81</v>
      </c>
    </row>
    <row r="52" spans="1:6" x14ac:dyDescent="0.35">
      <c r="A52" s="31">
        <v>2244</v>
      </c>
      <c r="B52" s="173" t="s">
        <v>138</v>
      </c>
      <c r="C52" s="183" t="e">
        <f>'4.9.'!#REF!</f>
        <v>#REF!</v>
      </c>
      <c r="D52" s="43" t="e">
        <f t="shared" si="0"/>
        <v>#REF!</v>
      </c>
      <c r="E52" s="33">
        <f>0.55+5.49+8+2</f>
        <v>16.04</v>
      </c>
      <c r="F52" s="33">
        <f>'4.9.'!D52/100*20*15</f>
        <v>16.799999999999997</v>
      </c>
    </row>
    <row r="53" spans="1:6" hidden="1" x14ac:dyDescent="0.35">
      <c r="A53" s="31">
        <v>2247</v>
      </c>
      <c r="B53" s="173"/>
      <c r="C53" s="183"/>
      <c r="D53" s="43"/>
      <c r="E53" s="33"/>
      <c r="F53" s="33">
        <f>'4.9.'!D53/100*20*15</f>
        <v>0</v>
      </c>
    </row>
    <row r="54" spans="1:6" x14ac:dyDescent="0.35">
      <c r="A54" s="31">
        <v>2249</v>
      </c>
      <c r="B54" s="173" t="s">
        <v>171</v>
      </c>
      <c r="C54" s="183" t="e">
        <f>'4.9.'!#REF!</f>
        <v>#REF!</v>
      </c>
      <c r="D54" s="43" t="e">
        <f t="shared" si="0"/>
        <v>#REF!</v>
      </c>
      <c r="E54" s="33">
        <v>0.53</v>
      </c>
      <c r="F54" s="33">
        <f>'4.9.'!D54/100*20*15</f>
        <v>0.53999999999999992</v>
      </c>
    </row>
    <row r="55" spans="1:6" x14ac:dyDescent="0.35">
      <c r="A55" s="31">
        <v>2250</v>
      </c>
      <c r="B55" s="173" t="s">
        <v>124</v>
      </c>
      <c r="C55" s="183" t="e">
        <f>'4.9.'!#REF!</f>
        <v>#REF!</v>
      </c>
      <c r="D55" s="43" t="e">
        <f t="shared" si="0"/>
        <v>#REF!</v>
      </c>
      <c r="E55" s="33">
        <v>15.97</v>
      </c>
      <c r="F55" s="33">
        <f>'4.9.'!D55/100*20*15</f>
        <v>16.200000000000003</v>
      </c>
    </row>
    <row r="56" spans="1:6" x14ac:dyDescent="0.35">
      <c r="A56" s="31">
        <v>2262</v>
      </c>
      <c r="B56" s="171" t="s">
        <v>148</v>
      </c>
      <c r="C56" s="183" t="e">
        <f>'4.9.'!#REF!</f>
        <v>#REF!</v>
      </c>
      <c r="D56" s="43" t="e">
        <f t="shared" si="0"/>
        <v>#REF!</v>
      </c>
      <c r="E56" s="33">
        <v>1.58</v>
      </c>
      <c r="F56" s="33">
        <f>'4.9.'!D56/100*20*15</f>
        <v>1.5899999999999999</v>
      </c>
    </row>
    <row r="57" spans="1:6" hidden="1" x14ac:dyDescent="0.35">
      <c r="A57" s="31">
        <v>2263</v>
      </c>
      <c r="B57" s="171"/>
      <c r="C57" s="183"/>
      <c r="D57" s="43"/>
      <c r="E57" s="33"/>
      <c r="F57" s="33">
        <f>'4.9.'!D57/100*20*15</f>
        <v>0</v>
      </c>
    </row>
    <row r="58" spans="1:6" x14ac:dyDescent="0.35">
      <c r="A58" s="31">
        <v>2264</v>
      </c>
      <c r="B58" s="171" t="s">
        <v>173</v>
      </c>
      <c r="C58" s="183" t="e">
        <f>'4.9.'!#REF!</f>
        <v>#REF!</v>
      </c>
      <c r="D58" s="43" t="e">
        <f t="shared" si="0"/>
        <v>#REF!</v>
      </c>
      <c r="E58" s="33">
        <v>0.03</v>
      </c>
      <c r="F58" s="33">
        <f>'4.9.'!D58/100*20*15</f>
        <v>0.42000000000000004</v>
      </c>
    </row>
    <row r="59" spans="1:6" x14ac:dyDescent="0.35">
      <c r="A59" s="31">
        <v>2311</v>
      </c>
      <c r="B59" s="171" t="s">
        <v>151</v>
      </c>
      <c r="C59" s="183" t="e">
        <f>'4.9.'!#REF!</f>
        <v>#REF!</v>
      </c>
      <c r="D59" s="43" t="e">
        <f t="shared" si="0"/>
        <v>#REF!</v>
      </c>
      <c r="E59" s="33">
        <v>0.74</v>
      </c>
      <c r="F59" s="33">
        <f>'4.9.'!D59/100*20*15</f>
        <v>0.75</v>
      </c>
    </row>
    <row r="60" spans="1:6" hidden="1" x14ac:dyDescent="0.35">
      <c r="A60" s="31">
        <v>2312</v>
      </c>
      <c r="B60" s="171" t="s">
        <v>116</v>
      </c>
      <c r="C60" s="183" t="e">
        <f>'4.9.'!#REF!</f>
        <v>#REF!</v>
      </c>
      <c r="D60" s="43" t="e">
        <f t="shared" si="0"/>
        <v>#REF!</v>
      </c>
      <c r="E60" s="33">
        <v>0</v>
      </c>
      <c r="F60" s="33">
        <f>'4.9.'!D60/100*20*15</f>
        <v>0</v>
      </c>
    </row>
    <row r="61" spans="1:6" hidden="1" x14ac:dyDescent="0.35">
      <c r="A61" s="31">
        <v>2314</v>
      </c>
      <c r="B61" s="171"/>
      <c r="C61" s="183"/>
      <c r="D61" s="43"/>
      <c r="E61" s="33"/>
      <c r="F61" s="33">
        <f>'4.9.'!D61/100*20*15</f>
        <v>0</v>
      </c>
    </row>
    <row r="62" spans="1:6" x14ac:dyDescent="0.35">
      <c r="A62" s="31">
        <v>2321</v>
      </c>
      <c r="B62" s="171" t="s">
        <v>139</v>
      </c>
      <c r="C62" s="183"/>
      <c r="D62" s="43"/>
      <c r="E62" s="33"/>
      <c r="F62" s="33">
        <v>0.67</v>
      </c>
    </row>
    <row r="63" spans="1:6" x14ac:dyDescent="0.35">
      <c r="A63" s="31">
        <v>2322</v>
      </c>
      <c r="B63" s="171" t="s">
        <v>153</v>
      </c>
      <c r="C63" s="183" t="e">
        <f>'4.9.'!#REF!</f>
        <v>#REF!</v>
      </c>
      <c r="D63" s="43" t="e">
        <f t="shared" si="0"/>
        <v>#REF!</v>
      </c>
      <c r="E63" s="33">
        <v>2.78</v>
      </c>
      <c r="F63" s="33">
        <f>'4.9.'!D63/100*20*15</f>
        <v>2.8199999999999994</v>
      </c>
    </row>
    <row r="64" spans="1:6" hidden="1" x14ac:dyDescent="0.35">
      <c r="A64" s="31">
        <v>2341</v>
      </c>
      <c r="B64" s="171"/>
      <c r="C64" s="183"/>
      <c r="D64" s="43"/>
      <c r="E64" s="33"/>
      <c r="F64" s="33">
        <f>'4.9.'!D64/100*20*15</f>
        <v>0</v>
      </c>
    </row>
    <row r="65" spans="1:7" x14ac:dyDescent="0.35">
      <c r="A65" s="31">
        <v>2350</v>
      </c>
      <c r="B65" s="169" t="s">
        <v>125</v>
      </c>
      <c r="C65" s="183" t="e">
        <f>'4.9.'!#REF!</f>
        <v>#REF!</v>
      </c>
      <c r="D65" s="43" t="e">
        <f t="shared" si="0"/>
        <v>#REF!</v>
      </c>
      <c r="E65" s="33">
        <v>3.68</v>
      </c>
      <c r="F65" s="33">
        <f>'4.9.'!D65/100*20*15</f>
        <v>3.7199999999999998</v>
      </c>
    </row>
    <row r="66" spans="1:7" hidden="1" x14ac:dyDescent="0.35">
      <c r="A66" s="31">
        <v>2513</v>
      </c>
      <c r="B66" s="171"/>
      <c r="C66" s="183" t="e">
        <f>'4.9.'!#REF!</f>
        <v>#REF!</v>
      </c>
      <c r="D66" s="43" t="e">
        <f t="shared" si="0"/>
        <v>#REF!</v>
      </c>
      <c r="E66" s="33">
        <v>0</v>
      </c>
      <c r="F66" s="33">
        <f>'4.9.'!D66/100*20*15</f>
        <v>0</v>
      </c>
    </row>
    <row r="67" spans="1:7" x14ac:dyDescent="0.35">
      <c r="A67" s="31">
        <v>2515</v>
      </c>
      <c r="B67" s="171" t="s">
        <v>155</v>
      </c>
      <c r="C67" s="183" t="e">
        <f>'4.9.'!#REF!</f>
        <v>#REF!</v>
      </c>
      <c r="D67" s="43" t="e">
        <f t="shared" si="0"/>
        <v>#REF!</v>
      </c>
      <c r="E67" s="33">
        <v>0.23</v>
      </c>
      <c r="F67" s="33">
        <f>'4.9.'!D67/100*20*15</f>
        <v>6.48</v>
      </c>
    </row>
    <row r="68" spans="1:7" hidden="1" x14ac:dyDescent="0.35">
      <c r="A68" s="31">
        <v>2519</v>
      </c>
      <c r="B68" s="171" t="s">
        <v>122</v>
      </c>
      <c r="C68" s="183" t="e">
        <f>'4.9.'!#REF!</f>
        <v>#REF!</v>
      </c>
      <c r="D68" s="43" t="e">
        <f t="shared" si="0"/>
        <v>#REF!</v>
      </c>
      <c r="E68" s="33">
        <v>0.03</v>
      </c>
      <c r="F68" s="33">
        <f>'4.9.'!D68/100*20*15</f>
        <v>0</v>
      </c>
    </row>
    <row r="69" spans="1:7" hidden="1" x14ac:dyDescent="0.35">
      <c r="A69" s="31">
        <v>5220</v>
      </c>
      <c r="B69" s="171"/>
      <c r="C69" s="183"/>
      <c r="D69" s="43"/>
      <c r="E69" s="33"/>
      <c r="F69" s="33">
        <f>'4.9.'!D69/100*20*15</f>
        <v>0</v>
      </c>
    </row>
    <row r="70" spans="1:7" x14ac:dyDescent="0.35">
      <c r="A70" s="31">
        <v>5238</v>
      </c>
      <c r="B70" s="169" t="s">
        <v>129</v>
      </c>
      <c r="C70" s="183" t="e">
        <f>'4.9.'!#REF!</f>
        <v>#REF!</v>
      </c>
      <c r="D70" s="43" t="e">
        <f t="shared" si="0"/>
        <v>#REF!</v>
      </c>
      <c r="E70" s="33">
        <v>31.17</v>
      </c>
      <c r="F70" s="33">
        <f>'4.9.'!D70/100*20*15</f>
        <v>31.619999999999994</v>
      </c>
    </row>
    <row r="71" spans="1:7" x14ac:dyDescent="0.35">
      <c r="A71" s="31">
        <v>5239</v>
      </c>
      <c r="B71" s="169" t="s">
        <v>130</v>
      </c>
      <c r="C71" s="183" t="e">
        <f>'4.9.'!#REF!</f>
        <v>#REF!</v>
      </c>
      <c r="D71" s="43" t="e">
        <f t="shared" si="0"/>
        <v>#REF!</v>
      </c>
      <c r="E71" s="33">
        <v>124.4</v>
      </c>
      <c r="F71" s="33">
        <f>'4.9.'!D71/100*20*15</f>
        <v>139.97999999999996</v>
      </c>
    </row>
    <row r="72" spans="1:7" x14ac:dyDescent="0.35">
      <c r="A72" s="31">
        <v>5250</v>
      </c>
      <c r="B72" s="171" t="s">
        <v>131</v>
      </c>
      <c r="C72" s="183" t="e">
        <f>'4.9.'!#REF!</f>
        <v>#REF!</v>
      </c>
      <c r="D72" s="43" t="e">
        <f t="shared" si="0"/>
        <v>#REF!</v>
      </c>
      <c r="E72" s="33">
        <v>74.569999999999993</v>
      </c>
      <c r="F72" s="33">
        <f>'4.9.'!D72/100*20*15</f>
        <v>75.66</v>
      </c>
    </row>
    <row r="73" spans="1:7" x14ac:dyDescent="0.35">
      <c r="A73" s="38"/>
      <c r="B73" s="175" t="s">
        <v>8</v>
      </c>
      <c r="C73" s="178">
        <f>E73/15</f>
        <v>23.992000000000004</v>
      </c>
      <c r="D73" s="184" t="e">
        <f>SUM(D39:D72)</f>
        <v>#REF!</v>
      </c>
      <c r="E73" s="37">
        <f>SUM(E39:E72)</f>
        <v>359.88000000000005</v>
      </c>
      <c r="F73" s="37">
        <f>SUM(F39:F72)</f>
        <v>391.74999999999989</v>
      </c>
    </row>
    <row r="74" spans="1:7" ht="15" customHeight="1" x14ac:dyDescent="0.35">
      <c r="A74" s="38"/>
      <c r="B74" s="40" t="s">
        <v>29</v>
      </c>
      <c r="C74" s="177"/>
      <c r="D74" s="186"/>
      <c r="E74" s="37">
        <f>E73+E37</f>
        <v>1465.8000000000002</v>
      </c>
      <c r="F74" s="37">
        <f>F73+F37</f>
        <v>2025</v>
      </c>
      <c r="G74" s="164"/>
    </row>
    <row r="75" spans="1:7" ht="15" customHeight="1" x14ac:dyDescent="0.35">
      <c r="A75" s="15"/>
      <c r="B75" s="25"/>
      <c r="C75" s="25"/>
      <c r="D75" s="25"/>
      <c r="E75" s="59"/>
      <c r="F75" s="59"/>
      <c r="G75" s="164"/>
    </row>
    <row r="76" spans="1:7" ht="15.75" customHeight="1" x14ac:dyDescent="0.35">
      <c r="A76" s="419" t="s">
        <v>57</v>
      </c>
      <c r="B76" s="419"/>
      <c r="C76" s="11"/>
      <c r="D76" s="11"/>
      <c r="E76" s="67">
        <v>15</v>
      </c>
      <c r="F76" s="67">
        <v>15</v>
      </c>
    </row>
    <row r="77" spans="1:7" ht="15" customHeight="1" x14ac:dyDescent="0.35">
      <c r="A77" s="419" t="s">
        <v>58</v>
      </c>
      <c r="B77" s="419"/>
      <c r="C77" s="11"/>
      <c r="D77" s="11"/>
      <c r="E77" s="68">
        <f>(E74/E76)</f>
        <v>97.720000000000013</v>
      </c>
      <c r="F77" s="68">
        <f>(F74/F76)</f>
        <v>135</v>
      </c>
    </row>
    <row r="78" spans="1:7" ht="15" customHeight="1" x14ac:dyDescent="0.35">
      <c r="A78" s="25"/>
      <c r="B78" s="26"/>
      <c r="C78" s="26"/>
      <c r="D78" s="26"/>
    </row>
    <row r="79" spans="1:7" x14ac:dyDescent="0.35">
      <c r="A79" s="417" t="s">
        <v>33</v>
      </c>
      <c r="B79" s="417"/>
      <c r="C79" s="80"/>
      <c r="D79" s="143"/>
      <c r="E79" s="27"/>
      <c r="F79" s="27"/>
    </row>
    <row r="80" spans="1:7" x14ac:dyDescent="0.35">
      <c r="A80" s="417" t="s">
        <v>64</v>
      </c>
      <c r="B80" s="417"/>
      <c r="C80" s="80"/>
      <c r="D80" s="143"/>
      <c r="E80" s="27"/>
      <c r="F80" s="27"/>
    </row>
    <row r="81" spans="1:6" x14ac:dyDescent="0.35">
      <c r="A81" s="29"/>
      <c r="B81" s="29"/>
      <c r="C81" s="29"/>
      <c r="D81" s="28"/>
      <c r="E81" s="28"/>
      <c r="F81" s="28"/>
    </row>
    <row r="82" spans="1:6" x14ac:dyDescent="0.35">
      <c r="A82" s="28" t="s">
        <v>34</v>
      </c>
      <c r="B82" s="28"/>
      <c r="C82" s="28"/>
      <c r="D82" s="28"/>
      <c r="E82" s="28"/>
      <c r="F82" s="28"/>
    </row>
    <row r="83" spans="1:6" x14ac:dyDescent="0.35">
      <c r="A83" s="28"/>
      <c r="B83" s="28"/>
      <c r="C83" s="28"/>
      <c r="D83" s="28"/>
      <c r="E83" s="28"/>
      <c r="F83" s="28"/>
    </row>
    <row r="84" spans="1:6" x14ac:dyDescent="0.35">
      <c r="A84" s="28" t="s">
        <v>177</v>
      </c>
      <c r="B84" s="29"/>
      <c r="C84" s="29"/>
      <c r="D84" s="29"/>
      <c r="E84" s="28"/>
      <c r="F84" s="28"/>
    </row>
    <row r="85" spans="1:6" x14ac:dyDescent="0.35">
      <c r="A85" s="28"/>
      <c r="B85" s="30"/>
      <c r="C85" s="30"/>
      <c r="D85" s="30"/>
      <c r="E85" s="28"/>
      <c r="F85" s="28"/>
    </row>
    <row r="88" spans="1:6" x14ac:dyDescent="0.35">
      <c r="A88" s="447"/>
      <c r="B88" s="447"/>
      <c r="C88" s="73"/>
      <c r="D88" s="73"/>
      <c r="E88" s="135"/>
      <c r="F88" s="135"/>
    </row>
    <row r="89" spans="1:6" x14ac:dyDescent="0.35">
      <c r="A89" s="73"/>
      <c r="B89" s="73"/>
      <c r="C89" s="73"/>
      <c r="D89" s="73"/>
    </row>
    <row r="90" spans="1:6" x14ac:dyDescent="0.35">
      <c r="A90" s="73"/>
      <c r="B90" s="73"/>
      <c r="C90" s="73"/>
      <c r="D90" s="73"/>
    </row>
    <row r="91" spans="1:6" x14ac:dyDescent="0.35">
      <c r="A91" s="447"/>
      <c r="B91" s="447"/>
      <c r="C91" s="73"/>
      <c r="D91" s="73"/>
    </row>
    <row r="92" spans="1:6" x14ac:dyDescent="0.35">
      <c r="A92" s="73"/>
      <c r="B92" s="73"/>
      <c r="C92" s="73"/>
      <c r="D92" s="73"/>
    </row>
    <row r="93" spans="1:6" x14ac:dyDescent="0.35">
      <c r="A93" s="447"/>
      <c r="B93" s="447"/>
      <c r="C93" s="73"/>
      <c r="D93" s="73"/>
    </row>
    <row r="94" spans="1:6" x14ac:dyDescent="0.35">
      <c r="A94" s="448"/>
      <c r="B94" s="447"/>
      <c r="C94" s="73"/>
      <c r="D94" s="73"/>
    </row>
    <row r="95" spans="1:6" x14ac:dyDescent="0.35">
      <c r="A95" s="447"/>
      <c r="B95" s="447"/>
      <c r="C95" s="73"/>
      <c r="D95" s="73"/>
    </row>
  </sheetData>
  <mergeCells count="13">
    <mergeCell ref="A95:B95"/>
    <mergeCell ref="A79:B79"/>
    <mergeCell ref="A80:B80"/>
    <mergeCell ref="A88:B88"/>
    <mergeCell ref="A91:B91"/>
    <mergeCell ref="A93:B93"/>
    <mergeCell ref="A94:B94"/>
    <mergeCell ref="A77:B77"/>
    <mergeCell ref="A7:E7"/>
    <mergeCell ref="A9:B9"/>
    <mergeCell ref="A10:B10"/>
    <mergeCell ref="A76:B76"/>
    <mergeCell ref="B12:F12"/>
  </mergeCells>
  <pageMargins left="0.70866141732283472" right="0.70866141732283472" top="0.63275462962962958" bottom="0.49305555555555558" header="0.31496062992125984" footer="0.31496062992125984"/>
  <pageSetup paperSize="9" scale="71" fitToHeight="0" orientation="portrait" r:id="rId1"/>
  <headerFooter>
    <oddFooter>&amp;F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E95"/>
  <sheetViews>
    <sheetView view="pageLayout" topLeftCell="A34" zoomScale="80" zoomScaleNormal="100" zoomScalePageLayoutView="80" workbookViewId="0">
      <selection activeCell="B12" sqref="B12:D12"/>
    </sheetView>
  </sheetViews>
  <sheetFormatPr defaultColWidth="9.1796875" defaultRowHeight="15.5" x14ac:dyDescent="0.35"/>
  <cols>
    <col min="1" max="1" width="14.54296875" style="13" customWidth="1"/>
    <col min="2" max="2" width="84.7265625" style="13" customWidth="1"/>
    <col min="3" max="3" width="9" style="13" hidden="1" customWidth="1"/>
    <col min="4" max="4" width="26.453125" style="13" customWidth="1"/>
    <col min="5" max="16384" width="9.1796875" style="16"/>
  </cols>
  <sheetData>
    <row r="1" spans="1:4" x14ac:dyDescent="0.35">
      <c r="C1" s="17"/>
    </row>
    <row r="2" spans="1:4" x14ac:dyDescent="0.35">
      <c r="C2" s="14"/>
      <c r="D2" s="17" t="s">
        <v>10</v>
      </c>
    </row>
    <row r="3" spans="1:4" x14ac:dyDescent="0.35">
      <c r="C3" s="77"/>
      <c r="D3" s="14" t="s">
        <v>32</v>
      </c>
    </row>
    <row r="4" spans="1:4" x14ac:dyDescent="0.35">
      <c r="C4" s="54"/>
      <c r="D4" s="77" t="s">
        <v>66</v>
      </c>
    </row>
    <row r="5" spans="1:4" x14ac:dyDescent="0.35">
      <c r="C5" s="15"/>
      <c r="D5" s="15" t="s">
        <v>333</v>
      </c>
    </row>
    <row r="7" spans="1:4" x14ac:dyDescent="0.35">
      <c r="A7" s="416" t="s">
        <v>9</v>
      </c>
      <c r="B7" s="416"/>
      <c r="C7" s="16"/>
      <c r="D7" s="16"/>
    </row>
    <row r="8" spans="1:4" hidden="1" x14ac:dyDescent="0.35">
      <c r="B8" s="18"/>
    </row>
    <row r="9" spans="1:4" ht="15.75" customHeight="1" x14ac:dyDescent="0.35">
      <c r="A9" s="419" t="s">
        <v>1</v>
      </c>
      <c r="B9" s="419"/>
    </row>
    <row r="10" spans="1:4" ht="15.75" customHeight="1" x14ac:dyDescent="0.35">
      <c r="A10" s="419" t="s">
        <v>0</v>
      </c>
      <c r="B10" s="419"/>
    </row>
    <row r="11" spans="1:4" ht="15.75" customHeight="1" x14ac:dyDescent="0.35">
      <c r="A11" s="11"/>
      <c r="B11" s="11" t="s">
        <v>179</v>
      </c>
    </row>
    <row r="12" spans="1:4" ht="34.5" customHeight="1" x14ac:dyDescent="0.35">
      <c r="A12" s="11"/>
      <c r="B12" s="419" t="s">
        <v>356</v>
      </c>
      <c r="C12" s="445"/>
      <c r="D12" s="445"/>
    </row>
    <row r="13" spans="1:4" ht="15.75" customHeight="1" x14ac:dyDescent="0.35">
      <c r="A13" s="11" t="s">
        <v>2</v>
      </c>
      <c r="B13" s="11" t="str">
        <f>'4.8.'!B14</f>
        <v>2025.gadā un turpmāk</v>
      </c>
    </row>
    <row r="14" spans="1:4" hidden="1" x14ac:dyDescent="0.35">
      <c r="B14" s="136"/>
    </row>
    <row r="15" spans="1:4" ht="62" x14ac:dyDescent="0.35">
      <c r="A15" s="51" t="s">
        <v>3</v>
      </c>
      <c r="B15" s="51" t="s">
        <v>4</v>
      </c>
      <c r="C15" s="51"/>
      <c r="D15" s="51" t="s">
        <v>63</v>
      </c>
    </row>
    <row r="16" spans="1:4" x14ac:dyDescent="0.35">
      <c r="A16" s="20">
        <v>1</v>
      </c>
      <c r="B16" s="21">
        <v>2</v>
      </c>
      <c r="C16" s="20"/>
      <c r="D16" s="20">
        <v>3</v>
      </c>
    </row>
    <row r="17" spans="1:4" x14ac:dyDescent="0.35">
      <c r="A17" s="41"/>
      <c r="B17" s="39" t="s">
        <v>5</v>
      </c>
      <c r="C17" s="31"/>
      <c r="D17" s="31"/>
    </row>
    <row r="18" spans="1:4" ht="15.75" customHeight="1" x14ac:dyDescent="0.35">
      <c r="A18" s="31">
        <v>1100</v>
      </c>
      <c r="B18" s="31" t="s">
        <v>132</v>
      </c>
      <c r="C18" s="33">
        <f>1.86317+0.09764</f>
        <v>1.9608099999999999</v>
      </c>
      <c r="D18" s="33">
        <v>196.08</v>
      </c>
    </row>
    <row r="19" spans="1:4" ht="15.75" customHeight="1" x14ac:dyDescent="0.35">
      <c r="A19" s="31">
        <v>1200</v>
      </c>
      <c r="B19" s="61" t="s">
        <v>133</v>
      </c>
      <c r="C19" s="33">
        <f>C18*0.2359</f>
        <v>0.46255507899999998</v>
      </c>
      <c r="D19" s="33">
        <v>46.26</v>
      </c>
    </row>
    <row r="20" spans="1:4" ht="15.75" customHeight="1" x14ac:dyDescent="0.35">
      <c r="A20" s="31">
        <v>2210</v>
      </c>
      <c r="B20" s="62" t="s">
        <v>120</v>
      </c>
      <c r="C20" s="304">
        <f>0.00663</f>
        <v>6.6299999999999996E-3</v>
      </c>
      <c r="D20" s="33">
        <v>0.66</v>
      </c>
    </row>
    <row r="21" spans="1:4" ht="15.75" customHeight="1" x14ac:dyDescent="0.35">
      <c r="A21" s="31">
        <v>2222</v>
      </c>
      <c r="B21" s="62" t="s">
        <v>135</v>
      </c>
      <c r="C21" s="33">
        <v>0.11629</v>
      </c>
      <c r="D21" s="33">
        <v>11.63</v>
      </c>
    </row>
    <row r="22" spans="1:4" ht="15.75" customHeight="1" x14ac:dyDescent="0.35">
      <c r="A22" s="31">
        <v>2223</v>
      </c>
      <c r="B22" s="32" t="s">
        <v>136</v>
      </c>
      <c r="C22" s="33">
        <f>0.35+0.03097</f>
        <v>0.38096999999999998</v>
      </c>
      <c r="D22" s="33">
        <v>38.03</v>
      </c>
    </row>
    <row r="23" spans="1:4" ht="15.75" customHeight="1" x14ac:dyDescent="0.35">
      <c r="A23" s="31">
        <v>2243</v>
      </c>
      <c r="B23" s="151" t="s">
        <v>137</v>
      </c>
      <c r="C23" s="33">
        <f>0.01571</f>
        <v>1.5709999999999998E-2</v>
      </c>
      <c r="D23" s="33">
        <v>1.57</v>
      </c>
    </row>
    <row r="24" spans="1:4" ht="15.75" customHeight="1" x14ac:dyDescent="0.35">
      <c r="A24" s="31">
        <v>2244</v>
      </c>
      <c r="B24" s="22" t="s">
        <v>138</v>
      </c>
      <c r="C24" s="33">
        <f>0.62+0.0129</f>
        <v>0.63290000000000002</v>
      </c>
      <c r="D24" s="33">
        <v>63.44</v>
      </c>
    </row>
    <row r="25" spans="1:4" ht="15.75" customHeight="1" x14ac:dyDescent="0.35">
      <c r="A25" s="31">
        <v>2250</v>
      </c>
      <c r="B25" s="32" t="s">
        <v>11</v>
      </c>
      <c r="C25" s="33"/>
      <c r="D25" s="33"/>
    </row>
    <row r="26" spans="1:4" ht="15.75" customHeight="1" x14ac:dyDescent="0.35">
      <c r="A26" s="31">
        <v>2263</v>
      </c>
      <c r="B26" s="32" t="s">
        <v>149</v>
      </c>
      <c r="C26" s="33">
        <v>0.60629999999999995</v>
      </c>
      <c r="D26" s="33">
        <v>60.63</v>
      </c>
    </row>
    <row r="27" spans="1:4" ht="15.75" hidden="1" customHeight="1" x14ac:dyDescent="0.35">
      <c r="A27" s="31">
        <v>2311</v>
      </c>
      <c r="B27" s="32"/>
      <c r="C27" s="33"/>
      <c r="D27" s="33"/>
    </row>
    <row r="28" spans="1:4" ht="15.75" customHeight="1" x14ac:dyDescent="0.35">
      <c r="A28" s="31">
        <v>2312</v>
      </c>
      <c r="B28" s="32" t="s">
        <v>116</v>
      </c>
      <c r="C28" s="33">
        <v>0.27024999999999999</v>
      </c>
      <c r="D28" s="33">
        <v>27.05</v>
      </c>
    </row>
    <row r="29" spans="1:4" ht="15.75" customHeight="1" x14ac:dyDescent="0.35">
      <c r="A29" s="31">
        <v>2321</v>
      </c>
      <c r="B29" s="32" t="s">
        <v>139</v>
      </c>
      <c r="C29" s="33">
        <f>0.38+0.05343</f>
        <v>0.43342999999999998</v>
      </c>
      <c r="D29" s="33">
        <v>43.52</v>
      </c>
    </row>
    <row r="30" spans="1:4" ht="15.75" customHeight="1" x14ac:dyDescent="0.35">
      <c r="A30" s="31">
        <v>2350</v>
      </c>
      <c r="B30" s="61" t="s">
        <v>125</v>
      </c>
      <c r="C30" s="33">
        <v>1.069E-2</v>
      </c>
      <c r="D30" s="33">
        <v>1.07</v>
      </c>
    </row>
    <row r="31" spans="1:4" ht="15.75" customHeight="1" x14ac:dyDescent="0.35">
      <c r="A31" s="142">
        <v>2361</v>
      </c>
      <c r="B31" s="32" t="s">
        <v>141</v>
      </c>
      <c r="C31" s="33" t="s">
        <v>243</v>
      </c>
      <c r="D31" s="33">
        <v>5.61</v>
      </c>
    </row>
    <row r="32" spans="1:4" ht="15.75" hidden="1" customHeight="1" x14ac:dyDescent="0.35">
      <c r="A32" s="142">
        <v>2362</v>
      </c>
      <c r="B32" s="32"/>
      <c r="C32" s="33"/>
      <c r="D32" s="33"/>
    </row>
    <row r="33" spans="1:4" ht="15.75" hidden="1" customHeight="1" x14ac:dyDescent="0.35">
      <c r="A33" s="142">
        <v>2363</v>
      </c>
      <c r="B33" s="32"/>
      <c r="C33" s="33"/>
      <c r="D33" s="33"/>
    </row>
    <row r="34" spans="1:4" ht="15.75" customHeight="1" x14ac:dyDescent="0.35">
      <c r="A34" s="31">
        <v>2513</v>
      </c>
      <c r="B34" s="61" t="s">
        <v>121</v>
      </c>
      <c r="C34" s="33">
        <v>0.31096000000000001</v>
      </c>
      <c r="D34" s="33">
        <v>31.1</v>
      </c>
    </row>
    <row r="35" spans="1:4" ht="15.75" customHeight="1" x14ac:dyDescent="0.35">
      <c r="A35" s="31">
        <v>2519</v>
      </c>
      <c r="B35" s="32" t="s">
        <v>122</v>
      </c>
      <c r="C35" s="33">
        <v>4.5679999999999998E-2</v>
      </c>
      <c r="D35" s="33">
        <v>4.57</v>
      </c>
    </row>
    <row r="36" spans="1:4" ht="15.75" customHeight="1" x14ac:dyDescent="0.35">
      <c r="A36" s="31">
        <v>5239</v>
      </c>
      <c r="B36" s="61" t="s">
        <v>130</v>
      </c>
      <c r="C36" s="33">
        <v>0.13200999999999999</v>
      </c>
      <c r="D36" s="33">
        <v>13.2</v>
      </c>
    </row>
    <row r="37" spans="1:4" ht="15.75" customHeight="1" x14ac:dyDescent="0.35">
      <c r="A37" s="31"/>
      <c r="B37" s="36" t="s">
        <v>6</v>
      </c>
      <c r="C37" s="37"/>
      <c r="D37" s="37">
        <f>SUM(D18:D36)</f>
        <v>544.42000000000007</v>
      </c>
    </row>
    <row r="38" spans="1:4" ht="15.75" customHeight="1" x14ac:dyDescent="0.35">
      <c r="A38" s="38"/>
      <c r="B38" s="31" t="s">
        <v>7</v>
      </c>
      <c r="C38" s="33"/>
      <c r="D38" s="33"/>
    </row>
    <row r="39" spans="1:4" ht="15.75" customHeight="1" x14ac:dyDescent="0.35">
      <c r="A39" s="31">
        <v>1100</v>
      </c>
      <c r="B39" s="31" t="s">
        <v>132</v>
      </c>
      <c r="C39" s="33"/>
      <c r="D39" s="33">
        <f>20.48</f>
        <v>20.48</v>
      </c>
    </row>
    <row r="40" spans="1:4" ht="15.75" customHeight="1" x14ac:dyDescent="0.35">
      <c r="A40" s="31">
        <v>1200</v>
      </c>
      <c r="B40" s="61" t="s">
        <v>133</v>
      </c>
      <c r="C40" s="33"/>
      <c r="D40" s="33">
        <v>4.83</v>
      </c>
    </row>
    <row r="41" spans="1:4" ht="15.75" hidden="1" customHeight="1" x14ac:dyDescent="0.35">
      <c r="A41" s="31">
        <v>2100</v>
      </c>
      <c r="B41" s="61"/>
      <c r="C41" s="33"/>
      <c r="D41" s="33"/>
    </row>
    <row r="42" spans="1:4" ht="15.75" hidden="1" customHeight="1" x14ac:dyDescent="0.35">
      <c r="A42" s="31">
        <v>2210</v>
      </c>
      <c r="B42" s="62" t="s">
        <v>120</v>
      </c>
      <c r="C42" s="33"/>
      <c r="D42" s="33"/>
    </row>
    <row r="43" spans="1:4" ht="15.75" hidden="1" customHeight="1" x14ac:dyDescent="0.35">
      <c r="A43" s="31">
        <v>2222</v>
      </c>
      <c r="B43" s="62"/>
      <c r="C43" s="33"/>
      <c r="D43" s="33"/>
    </row>
    <row r="44" spans="1:4" ht="15.75" customHeight="1" x14ac:dyDescent="0.35">
      <c r="A44" s="31">
        <v>2223</v>
      </c>
      <c r="B44" s="32" t="s">
        <v>136</v>
      </c>
      <c r="C44" s="33"/>
      <c r="D44" s="33">
        <v>0.22</v>
      </c>
    </row>
    <row r="45" spans="1:4" ht="30.75" customHeight="1" x14ac:dyDescent="0.35">
      <c r="A45" s="31">
        <v>2224</v>
      </c>
      <c r="B45" s="62" t="s">
        <v>176</v>
      </c>
      <c r="C45" s="33"/>
      <c r="D45" s="33">
        <v>4.7300000000000004</v>
      </c>
    </row>
    <row r="46" spans="1:4" ht="15.75" hidden="1" customHeight="1" x14ac:dyDescent="0.35">
      <c r="A46" s="31">
        <v>2231</v>
      </c>
      <c r="B46" s="62"/>
      <c r="C46" s="33"/>
      <c r="D46" s="33"/>
    </row>
    <row r="47" spans="1:4" ht="15.75" hidden="1" customHeight="1" x14ac:dyDescent="0.35">
      <c r="A47" s="31">
        <v>2235</v>
      </c>
      <c r="B47" s="62"/>
      <c r="C47" s="33"/>
      <c r="D47" s="33"/>
    </row>
    <row r="48" spans="1:4" ht="15.75" customHeight="1" x14ac:dyDescent="0.35">
      <c r="A48" s="31">
        <v>2239</v>
      </c>
      <c r="B48" s="32" t="s">
        <v>144</v>
      </c>
      <c r="C48" s="33"/>
      <c r="D48" s="33">
        <v>0.64</v>
      </c>
    </row>
    <row r="49" spans="1:4" ht="15.75" customHeight="1" x14ac:dyDescent="0.35">
      <c r="A49" s="31">
        <v>2241</v>
      </c>
      <c r="B49" s="22" t="s">
        <v>123</v>
      </c>
      <c r="C49" s="33"/>
      <c r="D49" s="33">
        <v>0.06</v>
      </c>
    </row>
    <row r="50" spans="1:4" ht="15.75" customHeight="1" x14ac:dyDescent="0.35">
      <c r="A50" s="31">
        <v>2242</v>
      </c>
      <c r="B50" s="32" t="s">
        <v>145</v>
      </c>
      <c r="C50" s="33"/>
      <c r="D50" s="33">
        <v>0.27</v>
      </c>
    </row>
    <row r="51" spans="1:4" ht="15.75" customHeight="1" x14ac:dyDescent="0.35">
      <c r="A51" s="31">
        <v>2243</v>
      </c>
      <c r="B51" s="32" t="s">
        <v>137</v>
      </c>
      <c r="C51" s="33"/>
      <c r="D51" s="33">
        <v>0.27</v>
      </c>
    </row>
    <row r="52" spans="1:4" ht="15.75" customHeight="1" x14ac:dyDescent="0.35">
      <c r="A52" s="31">
        <v>2244</v>
      </c>
      <c r="B52" s="22" t="s">
        <v>138</v>
      </c>
      <c r="C52" s="33"/>
      <c r="D52" s="33">
        <v>5.6</v>
      </c>
    </row>
    <row r="53" spans="1:4" ht="15.75" hidden="1" customHeight="1" x14ac:dyDescent="0.35">
      <c r="A53" s="31">
        <v>2247</v>
      </c>
      <c r="B53" s="22"/>
      <c r="C53" s="33"/>
      <c r="D53" s="33"/>
    </row>
    <row r="54" spans="1:4" ht="15.75" customHeight="1" x14ac:dyDescent="0.35">
      <c r="A54" s="31">
        <v>2249</v>
      </c>
      <c r="B54" s="22" t="s">
        <v>171</v>
      </c>
      <c r="C54" s="33"/>
      <c r="D54" s="33">
        <v>0.18</v>
      </c>
    </row>
    <row r="55" spans="1:4" ht="15.75" customHeight="1" x14ac:dyDescent="0.35">
      <c r="A55" s="31">
        <v>2250</v>
      </c>
      <c r="B55" s="22" t="s">
        <v>124</v>
      </c>
      <c r="C55" s="33"/>
      <c r="D55" s="33">
        <v>5.4</v>
      </c>
    </row>
    <row r="56" spans="1:4" ht="15.75" customHeight="1" x14ac:dyDescent="0.35">
      <c r="A56" s="31">
        <v>2262</v>
      </c>
      <c r="B56" s="32" t="s">
        <v>148</v>
      </c>
      <c r="C56" s="33"/>
      <c r="D56" s="33">
        <v>0.53</v>
      </c>
    </row>
    <row r="57" spans="1:4" ht="15.75" hidden="1" customHeight="1" x14ac:dyDescent="0.35">
      <c r="A57" s="31">
        <v>2263</v>
      </c>
      <c r="B57" s="32"/>
      <c r="C57" s="33"/>
      <c r="D57" s="33"/>
    </row>
    <row r="58" spans="1:4" ht="15.75" customHeight="1" x14ac:dyDescent="0.35">
      <c r="A58" s="31">
        <v>2264</v>
      </c>
      <c r="B58" s="32" t="s">
        <v>173</v>
      </c>
      <c r="C58" s="33"/>
      <c r="D58" s="33">
        <v>0.14000000000000001</v>
      </c>
    </row>
    <row r="59" spans="1:4" ht="15.75" customHeight="1" x14ac:dyDescent="0.35">
      <c r="A59" s="31">
        <v>2311</v>
      </c>
      <c r="B59" s="32" t="s">
        <v>151</v>
      </c>
      <c r="C59" s="33"/>
      <c r="D59" s="33">
        <v>0.25</v>
      </c>
    </row>
    <row r="60" spans="1:4" ht="15.75" hidden="1" customHeight="1" x14ac:dyDescent="0.35">
      <c r="A60" s="31">
        <v>2312</v>
      </c>
      <c r="B60" s="32" t="s">
        <v>116</v>
      </c>
      <c r="C60" s="33"/>
      <c r="D60" s="33">
        <v>0</v>
      </c>
    </row>
    <row r="61" spans="1:4" ht="15.75" hidden="1" customHeight="1" x14ac:dyDescent="0.35">
      <c r="A61" s="31">
        <v>2314</v>
      </c>
      <c r="B61" s="32"/>
      <c r="C61" s="33"/>
      <c r="D61" s="33"/>
    </row>
    <row r="62" spans="1:4" ht="15.75" customHeight="1" x14ac:dyDescent="0.35">
      <c r="A62" s="31">
        <v>2321</v>
      </c>
      <c r="B62" s="32" t="s">
        <v>139</v>
      </c>
      <c r="C62" s="33"/>
      <c r="D62" s="33">
        <v>0.22</v>
      </c>
    </row>
    <row r="63" spans="1:4" ht="15.75" customHeight="1" x14ac:dyDescent="0.35">
      <c r="A63" s="31">
        <v>2322</v>
      </c>
      <c r="B63" s="32" t="s">
        <v>153</v>
      </c>
      <c r="C63" s="33"/>
      <c r="D63" s="33">
        <v>0.94</v>
      </c>
    </row>
    <row r="64" spans="1:4" ht="15.75" hidden="1" customHeight="1" x14ac:dyDescent="0.35">
      <c r="A64" s="31">
        <v>2341</v>
      </c>
      <c r="B64" s="32"/>
      <c r="C64" s="33"/>
      <c r="D64" s="33"/>
    </row>
    <row r="65" spans="1:5" ht="15.75" customHeight="1" x14ac:dyDescent="0.35">
      <c r="A65" s="31">
        <v>2350</v>
      </c>
      <c r="B65" s="61" t="s">
        <v>125</v>
      </c>
      <c r="C65" s="33"/>
      <c r="D65" s="33">
        <v>1.24</v>
      </c>
    </row>
    <row r="66" spans="1:5" ht="15.75" hidden="1" customHeight="1" x14ac:dyDescent="0.35">
      <c r="A66" s="31">
        <v>2513</v>
      </c>
      <c r="B66" s="32"/>
      <c r="C66" s="33"/>
      <c r="D66" s="33">
        <v>0</v>
      </c>
    </row>
    <row r="67" spans="1:5" ht="15.75" customHeight="1" x14ac:dyDescent="0.35">
      <c r="A67" s="31">
        <v>2515</v>
      </c>
      <c r="B67" s="32" t="s">
        <v>155</v>
      </c>
      <c r="C67" s="33"/>
      <c r="D67" s="33">
        <v>2.16</v>
      </c>
    </row>
    <row r="68" spans="1:5" ht="15.75" customHeight="1" x14ac:dyDescent="0.35">
      <c r="A68" s="31">
        <v>2519</v>
      </c>
      <c r="B68" s="32" t="s">
        <v>122</v>
      </c>
      <c r="C68" s="33"/>
      <c r="D68" s="33">
        <v>0</v>
      </c>
    </row>
    <row r="69" spans="1:5" ht="15.75" hidden="1" customHeight="1" x14ac:dyDescent="0.35">
      <c r="A69" s="31">
        <v>5220</v>
      </c>
      <c r="B69" s="32"/>
      <c r="C69" s="33"/>
      <c r="D69" s="33"/>
    </row>
    <row r="70" spans="1:5" ht="15.75" customHeight="1" x14ac:dyDescent="0.35">
      <c r="A70" s="31">
        <v>5238</v>
      </c>
      <c r="B70" s="61" t="s">
        <v>129</v>
      </c>
      <c r="C70" s="33"/>
      <c r="D70" s="33">
        <v>10.54</v>
      </c>
    </row>
    <row r="71" spans="1:5" ht="15.75" customHeight="1" x14ac:dyDescent="0.35">
      <c r="A71" s="31">
        <v>5239</v>
      </c>
      <c r="B71" s="61" t="s">
        <v>130</v>
      </c>
      <c r="C71" s="33"/>
      <c r="D71" s="33">
        <f>56.91-5-5.23-0.02</f>
        <v>46.659999999999989</v>
      </c>
    </row>
    <row r="72" spans="1:5" ht="15.75" customHeight="1" x14ac:dyDescent="0.35">
      <c r="A72" s="31">
        <v>5250</v>
      </c>
      <c r="B72" s="32" t="s">
        <v>131</v>
      </c>
      <c r="C72" s="33"/>
      <c r="D72" s="33">
        <v>25.22</v>
      </c>
    </row>
    <row r="73" spans="1:5" ht="15.75" customHeight="1" x14ac:dyDescent="0.35">
      <c r="A73" s="38"/>
      <c r="B73" s="40" t="s">
        <v>8</v>
      </c>
      <c r="C73" s="37"/>
      <c r="D73" s="37">
        <f>SUM(D39:D72)</f>
        <v>130.57999999999998</v>
      </c>
      <c r="E73" s="164"/>
    </row>
    <row r="74" spans="1:5" ht="15.75" customHeight="1" x14ac:dyDescent="0.35">
      <c r="A74" s="38"/>
      <c r="B74" s="40" t="s">
        <v>29</v>
      </c>
      <c r="C74" s="37"/>
      <c r="D74" s="37">
        <f>D73+D37</f>
        <v>675</v>
      </c>
    </row>
    <row r="75" spans="1:5" x14ac:dyDescent="0.35">
      <c r="A75" s="15"/>
      <c r="B75" s="25"/>
      <c r="C75" s="59"/>
      <c r="D75" s="59"/>
    </row>
    <row r="76" spans="1:5" ht="15" customHeight="1" x14ac:dyDescent="0.35">
      <c r="A76" s="419" t="s">
        <v>57</v>
      </c>
      <c r="B76" s="419"/>
      <c r="C76" s="67"/>
      <c r="D76" s="67">
        <v>100</v>
      </c>
    </row>
    <row r="77" spans="1:5" ht="15" customHeight="1" x14ac:dyDescent="0.35">
      <c r="A77" s="419" t="s">
        <v>58</v>
      </c>
      <c r="B77" s="419"/>
      <c r="C77" s="68"/>
      <c r="D77" s="68">
        <f>(D74/D76)</f>
        <v>6.75</v>
      </c>
    </row>
    <row r="78" spans="1:5" x14ac:dyDescent="0.35">
      <c r="A78" s="25"/>
      <c r="B78" s="26"/>
    </row>
    <row r="79" spans="1:5" x14ac:dyDescent="0.35">
      <c r="A79" s="430" t="s">
        <v>33</v>
      </c>
      <c r="B79" s="431"/>
      <c r="C79" s="27"/>
      <c r="D79" s="27"/>
      <c r="E79" s="164"/>
    </row>
    <row r="80" spans="1:5" x14ac:dyDescent="0.35">
      <c r="A80" s="430" t="s">
        <v>64</v>
      </c>
      <c r="B80" s="431"/>
      <c r="C80" s="27"/>
      <c r="D80" s="27"/>
    </row>
    <row r="81" spans="1:4" x14ac:dyDescent="0.35">
      <c r="A81" s="28"/>
      <c r="B81" s="28"/>
      <c r="C81" s="81"/>
      <c r="D81" s="81"/>
    </row>
    <row r="82" spans="1:4" x14ac:dyDescent="0.35">
      <c r="A82" s="28" t="s">
        <v>34</v>
      </c>
      <c r="B82" s="28"/>
      <c r="C82" s="28"/>
      <c r="D82" s="28"/>
    </row>
    <row r="83" spans="1:4" x14ac:dyDescent="0.35">
      <c r="A83" s="28"/>
      <c r="B83" s="28"/>
      <c r="C83" s="28"/>
      <c r="D83" s="28"/>
    </row>
    <row r="84" spans="1:4" x14ac:dyDescent="0.35">
      <c r="A84" s="28" t="s">
        <v>177</v>
      </c>
      <c r="B84" s="29"/>
      <c r="C84" s="28"/>
      <c r="D84" s="28"/>
    </row>
    <row r="85" spans="1:4" x14ac:dyDescent="0.35">
      <c r="A85" s="28"/>
      <c r="B85" s="30"/>
      <c r="C85" s="28"/>
      <c r="D85" s="28"/>
    </row>
    <row r="88" spans="1:4" x14ac:dyDescent="0.35">
      <c r="A88" s="447"/>
      <c r="B88" s="447"/>
      <c r="C88" s="135"/>
      <c r="D88" s="135"/>
    </row>
    <row r="89" spans="1:4" x14ac:dyDescent="0.35">
      <c r="A89" s="73"/>
      <c r="B89" s="73"/>
    </row>
    <row r="90" spans="1:4" x14ac:dyDescent="0.35">
      <c r="A90" s="73"/>
      <c r="B90" s="73"/>
    </row>
    <row r="91" spans="1:4" x14ac:dyDescent="0.35">
      <c r="A91" s="447"/>
      <c r="B91" s="447"/>
    </row>
    <row r="92" spans="1:4" x14ac:dyDescent="0.35">
      <c r="A92" s="73"/>
      <c r="B92" s="73"/>
    </row>
    <row r="93" spans="1:4" x14ac:dyDescent="0.35">
      <c r="A93" s="447"/>
      <c r="B93" s="447"/>
    </row>
    <row r="94" spans="1:4" x14ac:dyDescent="0.35">
      <c r="A94" s="448"/>
      <c r="B94" s="447"/>
    </row>
    <row r="95" spans="1:4" x14ac:dyDescent="0.35">
      <c r="A95" s="447"/>
      <c r="B95" s="447"/>
    </row>
  </sheetData>
  <mergeCells count="13">
    <mergeCell ref="A7:B7"/>
    <mergeCell ref="A9:B9"/>
    <mergeCell ref="A10:B10"/>
    <mergeCell ref="A91:B91"/>
    <mergeCell ref="A93:B93"/>
    <mergeCell ref="A94:B94"/>
    <mergeCell ref="B12:D12"/>
    <mergeCell ref="A95:B95"/>
    <mergeCell ref="A76:B76"/>
    <mergeCell ref="A77:B77"/>
    <mergeCell ref="A79:B79"/>
    <mergeCell ref="A80:B80"/>
    <mergeCell ref="A88:B88"/>
  </mergeCells>
  <pageMargins left="0.70866141732283472" right="0.70866141732283472" top="0.4375" bottom="0.49421296296296297" header="0.31496062992125984" footer="0.31496062992125984"/>
  <pageSetup paperSize="9" scale="70" fitToHeight="0" orientation="portrait" r:id="rId1"/>
  <headerFooter>
    <oddFooter>&amp;F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J86"/>
  <sheetViews>
    <sheetView view="pageLayout" zoomScale="80" zoomScaleNormal="100" zoomScalePageLayoutView="80" workbookViewId="0">
      <selection activeCell="B12" sqref="B12"/>
    </sheetView>
  </sheetViews>
  <sheetFormatPr defaultColWidth="9.1796875" defaultRowHeight="15.5" x14ac:dyDescent="0.35"/>
  <cols>
    <col min="1" max="1" width="12.81640625" style="13" customWidth="1"/>
    <col min="2" max="2" width="84.7265625" style="13" customWidth="1"/>
    <col min="3" max="4" width="9.1796875" style="13" hidden="1" customWidth="1"/>
    <col min="5" max="6" width="9.453125" style="13" hidden="1" customWidth="1"/>
    <col min="7" max="7" width="26.54296875" style="135" customWidth="1"/>
    <col min="8" max="16384" width="9.1796875" style="7"/>
  </cols>
  <sheetData>
    <row r="1" spans="1:7" x14ac:dyDescent="0.35">
      <c r="G1" s="17" t="s">
        <v>10</v>
      </c>
    </row>
    <row r="2" spans="1:7" x14ac:dyDescent="0.35">
      <c r="G2" s="14" t="s">
        <v>32</v>
      </c>
    </row>
    <row r="3" spans="1:7" x14ac:dyDescent="0.35">
      <c r="G3" s="77" t="s">
        <v>66</v>
      </c>
    </row>
    <row r="4" spans="1:7" ht="10.5" customHeight="1" x14ac:dyDescent="0.35">
      <c r="G4" s="54"/>
    </row>
    <row r="5" spans="1:7" x14ac:dyDescent="0.35">
      <c r="B5" s="17"/>
      <c r="C5" s="17"/>
      <c r="D5" s="17"/>
      <c r="E5" s="17"/>
      <c r="F5" s="17"/>
      <c r="G5" s="15" t="s">
        <v>333</v>
      </c>
    </row>
    <row r="7" spans="1:7" x14ac:dyDescent="0.35">
      <c r="A7" s="416" t="s">
        <v>9</v>
      </c>
      <c r="B7" s="416"/>
      <c r="C7" s="70"/>
      <c r="D7" s="70"/>
      <c r="E7" s="70"/>
      <c r="F7" s="70"/>
      <c r="G7" s="139"/>
    </row>
    <row r="8" spans="1:7" ht="12.75" customHeight="1" x14ac:dyDescent="0.35">
      <c r="B8" s="18"/>
      <c r="C8" s="18"/>
      <c r="D8" s="18"/>
      <c r="E8" s="18"/>
      <c r="F8" s="18"/>
    </row>
    <row r="9" spans="1:7" ht="15" customHeight="1" x14ac:dyDescent="0.35">
      <c r="A9" s="419" t="s">
        <v>1</v>
      </c>
      <c r="B9" s="419"/>
      <c r="C9" s="11"/>
      <c r="D9" s="11"/>
      <c r="E9" s="11"/>
      <c r="F9" s="11"/>
    </row>
    <row r="10" spans="1:7" ht="15" customHeight="1" x14ac:dyDescent="0.35">
      <c r="A10" s="419" t="s">
        <v>0</v>
      </c>
      <c r="B10" s="419"/>
      <c r="C10" s="11"/>
      <c r="D10" s="11"/>
      <c r="E10" s="11"/>
      <c r="F10" s="11"/>
    </row>
    <row r="11" spans="1:7" x14ac:dyDescent="0.35">
      <c r="A11" s="11"/>
      <c r="B11" s="11" t="s">
        <v>179</v>
      </c>
      <c r="C11" s="11"/>
      <c r="D11" s="11"/>
      <c r="E11" s="11"/>
      <c r="F11" s="11"/>
    </row>
    <row r="12" spans="1:7" x14ac:dyDescent="0.35">
      <c r="A12" s="11"/>
      <c r="B12" s="11" t="s">
        <v>345</v>
      </c>
      <c r="C12" s="11"/>
      <c r="D12" s="11"/>
      <c r="E12" s="11"/>
      <c r="F12" s="11"/>
      <c r="G12" s="139"/>
    </row>
    <row r="13" spans="1:7" x14ac:dyDescent="0.35">
      <c r="A13" s="11" t="s">
        <v>2</v>
      </c>
      <c r="B13" s="11" t="s">
        <v>250</v>
      </c>
      <c r="C13" s="11">
        <v>101.93</v>
      </c>
      <c r="D13" s="11"/>
      <c r="E13" s="11"/>
      <c r="F13" s="11"/>
    </row>
    <row r="14" spans="1:7" hidden="1" x14ac:dyDescent="0.35">
      <c r="B14" s="136"/>
      <c r="C14" s="136"/>
      <c r="D14" s="136"/>
      <c r="E14" s="136"/>
      <c r="F14" s="136"/>
    </row>
    <row r="15" spans="1:7" ht="62.25" customHeight="1" x14ac:dyDescent="0.25">
      <c r="A15" s="51" t="s">
        <v>3</v>
      </c>
      <c r="B15" s="51" t="s">
        <v>4</v>
      </c>
      <c r="C15" s="51">
        <v>101.93</v>
      </c>
      <c r="D15" s="51">
        <v>82.72</v>
      </c>
      <c r="E15" s="51">
        <v>45.88</v>
      </c>
      <c r="F15" s="379">
        <f>C15*2+D15*2+E15*2</f>
        <v>461.06</v>
      </c>
      <c r="G15" s="51" t="s">
        <v>63</v>
      </c>
    </row>
    <row r="16" spans="1:7" ht="15" x14ac:dyDescent="0.25">
      <c r="A16" s="20">
        <v>1</v>
      </c>
      <c r="B16" s="21">
        <v>2</v>
      </c>
      <c r="C16" s="306" t="s">
        <v>210</v>
      </c>
      <c r="D16" s="21" t="s">
        <v>212</v>
      </c>
      <c r="E16" s="21" t="s">
        <v>214</v>
      </c>
      <c r="F16" s="21" t="s">
        <v>244</v>
      </c>
      <c r="G16" s="20">
        <v>3</v>
      </c>
    </row>
    <row r="17" spans="1:7" x14ac:dyDescent="0.25">
      <c r="A17" s="41"/>
      <c r="B17" s="39" t="s">
        <v>5</v>
      </c>
      <c r="C17" s="39"/>
      <c r="D17" s="39"/>
      <c r="E17" s="39"/>
      <c r="F17" s="39"/>
      <c r="G17" s="35"/>
    </row>
    <row r="18" spans="1:7" ht="17.25" customHeight="1" x14ac:dyDescent="0.35">
      <c r="A18" s="31">
        <v>1100</v>
      </c>
      <c r="B18" s="31" t="s">
        <v>132</v>
      </c>
      <c r="C18" s="31">
        <f>'4.4.1.'!G18/110</f>
        <v>10.867699999999999</v>
      </c>
      <c r="D18" s="31">
        <f>'4.5.1.'!F18/150</f>
        <v>7.0410252513333322</v>
      </c>
      <c r="E18" s="31">
        <f>'4.6.1.'!F18/150</f>
        <v>4.3860000000000001</v>
      </c>
      <c r="F18" s="31">
        <f>C18*2+D18*2+E18*2</f>
        <v>44.589450502666658</v>
      </c>
      <c r="G18" s="133">
        <v>222.95</v>
      </c>
    </row>
    <row r="19" spans="1:7" x14ac:dyDescent="0.35">
      <c r="A19" s="31">
        <v>1200</v>
      </c>
      <c r="B19" s="61" t="s">
        <v>133</v>
      </c>
      <c r="C19" s="31">
        <f>'4.4.1.'!G19/110</f>
        <v>2.5636999999999999</v>
      </c>
      <c r="D19" s="31">
        <f>'4.5.1.'!F19/150</f>
        <v>1.6611565923333333</v>
      </c>
      <c r="E19" s="31">
        <f>'4.6.1.'!F19/150</f>
        <v>1.0346428571428572</v>
      </c>
      <c r="F19" s="31">
        <f t="shared" ref="F19:F74" si="0">C19*2+D19*2+E19*2</f>
        <v>10.518998898952381</v>
      </c>
      <c r="G19" s="133">
        <v>52.59</v>
      </c>
    </row>
    <row r="20" spans="1:7" ht="15.75" customHeight="1" x14ac:dyDescent="0.35">
      <c r="A20" s="31">
        <v>2210</v>
      </c>
      <c r="B20" s="62" t="s">
        <v>120</v>
      </c>
      <c r="C20" s="31">
        <f>'4.4.1.'!G20/110</f>
        <v>0.46600000000000003</v>
      </c>
      <c r="D20" s="31">
        <f>'4.5.1.'!F20/150</f>
        <v>0.39719009733333321</v>
      </c>
      <c r="E20" s="31">
        <f>'4.6.1.'!F20/150</f>
        <v>0.19728571428571429</v>
      </c>
      <c r="F20" s="31">
        <f t="shared" si="0"/>
        <v>2.1209516232380952</v>
      </c>
      <c r="G20" s="133">
        <f>2.12*5</f>
        <v>10.600000000000001</v>
      </c>
    </row>
    <row r="21" spans="1:7" ht="15.75" customHeight="1" x14ac:dyDescent="0.35">
      <c r="A21" s="31">
        <v>2222</v>
      </c>
      <c r="B21" s="62" t="s">
        <v>135</v>
      </c>
      <c r="C21" s="31">
        <f>'4.4.1.'!G21/110</f>
        <v>7.7264999999999997</v>
      </c>
      <c r="D21" s="31">
        <f>'4.5.1.'!F21/150</f>
        <v>9.4087371363333343</v>
      </c>
      <c r="E21" s="31">
        <f>'4.6.1.'!F21/150</f>
        <v>4.9162142857142852</v>
      </c>
      <c r="F21" s="31">
        <f t="shared" si="0"/>
        <v>44.10290284409524</v>
      </c>
      <c r="G21" s="133">
        <f>44.1*5</f>
        <v>220.5</v>
      </c>
    </row>
    <row r="22" spans="1:7" ht="15.75" customHeight="1" x14ac:dyDescent="0.35">
      <c r="A22" s="31">
        <v>2223</v>
      </c>
      <c r="B22" s="32" t="s">
        <v>136</v>
      </c>
      <c r="C22" s="31">
        <f>'4.4.1.'!G22/110</f>
        <v>14.8025</v>
      </c>
      <c r="D22" s="31">
        <f>'4.5.1.'!F22/150</f>
        <v>13.424154953</v>
      </c>
      <c r="E22" s="31">
        <f>'4.6.1.'!F22/150</f>
        <v>7.0265714285714287</v>
      </c>
      <c r="F22" s="31">
        <f t="shared" si="0"/>
        <v>70.50645276314286</v>
      </c>
      <c r="G22" s="133">
        <f>70.51*5</f>
        <v>352.55</v>
      </c>
    </row>
    <row r="23" spans="1:7" x14ac:dyDescent="0.35">
      <c r="A23" s="31">
        <v>2243</v>
      </c>
      <c r="B23" s="151" t="s">
        <v>137</v>
      </c>
      <c r="C23" s="31">
        <f>'4.4.1.'!G23/110</f>
        <v>0.42880000000000001</v>
      </c>
      <c r="D23" s="31">
        <f>'4.5.1.'!F23/150</f>
        <v>0.5091470669999999</v>
      </c>
      <c r="E23" s="31">
        <f>'4.6.1.'!F23/150</f>
        <v>0.18164285714285713</v>
      </c>
      <c r="F23" s="31">
        <f t="shared" si="0"/>
        <v>2.2391798482857141</v>
      </c>
      <c r="G23" s="133">
        <f>2.24*5</f>
        <v>11.200000000000001</v>
      </c>
    </row>
    <row r="24" spans="1:7" x14ac:dyDescent="0.35">
      <c r="A24" s="31">
        <v>2244</v>
      </c>
      <c r="B24" s="22" t="s">
        <v>138</v>
      </c>
      <c r="C24" s="31">
        <f>'4.4.1.'!G24/110</f>
        <v>11.834000000000001</v>
      </c>
      <c r="D24" s="31">
        <f>'4.5.1.'!F24/150</f>
        <v>8.0668359309999982</v>
      </c>
      <c r="E24" s="31">
        <f>'4.6.1.'!F24/150</f>
        <v>5.1677857142857144</v>
      </c>
      <c r="F24" s="31">
        <f t="shared" si="0"/>
        <v>50.137243290571426</v>
      </c>
      <c r="G24" s="133">
        <f>50.14*5</f>
        <v>250.7</v>
      </c>
    </row>
    <row r="25" spans="1:7" hidden="1" x14ac:dyDescent="0.35">
      <c r="A25" s="31">
        <v>2250</v>
      </c>
      <c r="B25" s="32"/>
      <c r="C25" s="31">
        <f>'4.4.1.'!G25/110</f>
        <v>0</v>
      </c>
      <c r="D25" s="31">
        <f>'4.5.1.'!F25/150</f>
        <v>0</v>
      </c>
      <c r="E25" s="31">
        <f>'4.6.1.'!F25/150</f>
        <v>0</v>
      </c>
      <c r="F25" s="31">
        <f t="shared" si="0"/>
        <v>0</v>
      </c>
      <c r="G25" s="133">
        <f>F25*5</f>
        <v>0</v>
      </c>
    </row>
    <row r="26" spans="1:7" x14ac:dyDescent="0.35">
      <c r="A26" s="31">
        <v>2263</v>
      </c>
      <c r="B26" s="32" t="s">
        <v>149</v>
      </c>
      <c r="C26" s="31">
        <f>'4.4.1.'!G26/110</f>
        <v>8.8027272727272727</v>
      </c>
      <c r="D26" s="31">
        <f>'4.5.1.'!F26/150</f>
        <v>5.2236395950000007</v>
      </c>
      <c r="E26" s="31">
        <f>'4.6.1.'!F26/150</f>
        <v>3.3010354712532797</v>
      </c>
      <c r="F26" s="31">
        <f t="shared" si="0"/>
        <v>34.654804677961103</v>
      </c>
      <c r="G26" s="133">
        <v>173.27</v>
      </c>
    </row>
    <row r="27" spans="1:7" hidden="1" x14ac:dyDescent="0.35">
      <c r="A27" s="31">
        <v>2311</v>
      </c>
      <c r="B27" s="32"/>
      <c r="C27" s="31">
        <f>'4.4.1.'!G27/110</f>
        <v>0</v>
      </c>
      <c r="D27" s="31">
        <f>'4.5.1.'!F27/150</f>
        <v>0</v>
      </c>
      <c r="E27" s="31">
        <f>'4.6.1.'!F27/150</f>
        <v>0</v>
      </c>
      <c r="F27" s="31">
        <f t="shared" si="0"/>
        <v>0</v>
      </c>
      <c r="G27" s="133">
        <f>F27*5</f>
        <v>0</v>
      </c>
    </row>
    <row r="28" spans="1:7" x14ac:dyDescent="0.35">
      <c r="A28" s="31">
        <v>2312</v>
      </c>
      <c r="B28" s="32" t="s">
        <v>116</v>
      </c>
      <c r="C28" s="31">
        <f>'4.4.1.'!G28/110</f>
        <v>1.1876</v>
      </c>
      <c r="D28" s="31">
        <f>'4.5.1.'!F28/150</f>
        <v>1.1409325106666668</v>
      </c>
      <c r="E28" s="31">
        <f>'4.6.1.'!F28/150</f>
        <v>0.50321428571428573</v>
      </c>
      <c r="F28" s="31">
        <f t="shared" si="0"/>
        <v>5.6634935927619052</v>
      </c>
      <c r="G28" s="133">
        <f>5.66*5</f>
        <v>28.3</v>
      </c>
    </row>
    <row r="29" spans="1:7" x14ac:dyDescent="0.35">
      <c r="A29" s="31">
        <v>2321</v>
      </c>
      <c r="B29" s="32" t="s">
        <v>139</v>
      </c>
      <c r="C29" s="31">
        <f>'4.4.1.'!G29/110</f>
        <v>13.632200000000001</v>
      </c>
      <c r="D29" s="31">
        <f>'4.5.1.'!F29/150</f>
        <v>12.987008481333332</v>
      </c>
      <c r="E29" s="31">
        <f>'4.6.1.'!F29/150</f>
        <v>7.266285714285714</v>
      </c>
      <c r="F29" s="31">
        <f t="shared" si="0"/>
        <v>67.770988391238092</v>
      </c>
      <c r="G29" s="133">
        <f>67.77*5</f>
        <v>338.84999999999997</v>
      </c>
    </row>
    <row r="30" spans="1:7" x14ac:dyDescent="0.35">
      <c r="A30" s="31">
        <v>2350</v>
      </c>
      <c r="B30" s="61" t="s">
        <v>125</v>
      </c>
      <c r="C30" s="31">
        <f>'4.4.1.'!G30/110</f>
        <v>0.99280000000000002</v>
      </c>
      <c r="D30" s="31">
        <f>'4.5.1.'!F30/150</f>
        <v>1.3549562583333332</v>
      </c>
      <c r="E30" s="31">
        <f>'4.6.1.'!F30/150</f>
        <v>0.42049999999999998</v>
      </c>
      <c r="F30" s="31">
        <f t="shared" si="0"/>
        <v>5.5365125166666669</v>
      </c>
      <c r="G30" s="133">
        <f>5.54*5</f>
        <v>27.7</v>
      </c>
    </row>
    <row r="31" spans="1:7" x14ac:dyDescent="0.35">
      <c r="A31" s="31">
        <v>2361</v>
      </c>
      <c r="B31" s="32" t="s">
        <v>141</v>
      </c>
      <c r="C31" s="31">
        <f>'4.4.1.'!G31/110</f>
        <v>0.83389999999999997</v>
      </c>
      <c r="D31" s="31">
        <f>'4.5.1.'!F31/150</f>
        <v>1.1429105489999998</v>
      </c>
      <c r="E31" s="31">
        <f>'4.6.1.'!F31/150</f>
        <v>0.35307142857142859</v>
      </c>
      <c r="F31" s="31">
        <f t="shared" si="0"/>
        <v>4.6597639551428562</v>
      </c>
      <c r="G31" s="133">
        <f>4.66*5</f>
        <v>23.3</v>
      </c>
    </row>
    <row r="32" spans="1:7" hidden="1" x14ac:dyDescent="0.35">
      <c r="A32" s="31">
        <v>2362</v>
      </c>
      <c r="B32" s="32"/>
      <c r="C32" s="31">
        <f>'4.4.1.'!G32/110</f>
        <v>0</v>
      </c>
      <c r="D32" s="31">
        <f>'4.5.1.'!F32/150</f>
        <v>0</v>
      </c>
      <c r="E32" s="31">
        <f>'4.6.1.'!F32/150</f>
        <v>0</v>
      </c>
      <c r="F32" s="31">
        <f t="shared" si="0"/>
        <v>0</v>
      </c>
      <c r="G32" s="133">
        <f>F32*5</f>
        <v>0</v>
      </c>
    </row>
    <row r="33" spans="1:7" hidden="1" x14ac:dyDescent="0.35">
      <c r="A33" s="31">
        <v>2363</v>
      </c>
      <c r="B33" s="32"/>
      <c r="C33" s="31">
        <f>'4.4.1.'!G33/110</f>
        <v>0</v>
      </c>
      <c r="D33" s="31">
        <f>'4.5.1.'!F33/150</f>
        <v>0</v>
      </c>
      <c r="E33" s="31">
        <f>'4.6.1.'!F33/150</f>
        <v>0</v>
      </c>
      <c r="F33" s="31">
        <f t="shared" si="0"/>
        <v>0</v>
      </c>
      <c r="G33" s="133">
        <f>F33*5</f>
        <v>0</v>
      </c>
    </row>
    <row r="34" spans="1:7" x14ac:dyDescent="0.35">
      <c r="A34" s="31">
        <v>2513</v>
      </c>
      <c r="B34" s="61" t="s">
        <v>121</v>
      </c>
      <c r="C34" s="31">
        <f>'4.4.1.'!G34/110</f>
        <v>4.3175454545454546</v>
      </c>
      <c r="D34" s="31">
        <f>'4.5.1.'!F34/150</f>
        <v>2.5620811245000001</v>
      </c>
      <c r="E34" s="31">
        <f>'4.6.1.'!F34/150</f>
        <v>1.6190718266087984</v>
      </c>
      <c r="F34" s="31">
        <f t="shared" si="0"/>
        <v>16.997396811308509</v>
      </c>
      <c r="G34" s="133">
        <f>17*5</f>
        <v>85</v>
      </c>
    </row>
    <row r="35" spans="1:7" x14ac:dyDescent="0.35">
      <c r="A35" s="31">
        <v>2519</v>
      </c>
      <c r="B35" s="32" t="s">
        <v>122</v>
      </c>
      <c r="C35" s="31">
        <f>'4.4.1.'!G35/110</f>
        <v>0.64618181818181819</v>
      </c>
      <c r="D35" s="31">
        <f>'4.5.1.'!F35/150</f>
        <v>0.38345172199999994</v>
      </c>
      <c r="E35" s="31">
        <f>'4.6.1.'!F35/150</f>
        <v>0.24231902695172261</v>
      </c>
      <c r="F35" s="31">
        <f t="shared" si="0"/>
        <v>2.5439051342670815</v>
      </c>
      <c r="G35" s="133">
        <f>2.54*5</f>
        <v>12.7</v>
      </c>
    </row>
    <row r="36" spans="1:7" x14ac:dyDescent="0.35">
      <c r="A36" s="31">
        <v>5239</v>
      </c>
      <c r="B36" s="61" t="s">
        <v>130</v>
      </c>
      <c r="C36" s="31">
        <f>'4.4.1.'!G36/110</f>
        <v>2.5229090909090908</v>
      </c>
      <c r="D36" s="31">
        <f>'4.5.1.'!F36/150</f>
        <v>1.497123268</v>
      </c>
      <c r="E36" s="31">
        <f>'4.6.1.'!F36/150</f>
        <v>0.94610094170283487</v>
      </c>
      <c r="F36" s="31">
        <f t="shared" si="0"/>
        <v>9.9322666012238514</v>
      </c>
      <c r="G36" s="133">
        <f>9.93*5</f>
        <v>49.65</v>
      </c>
    </row>
    <row r="37" spans="1:7" x14ac:dyDescent="0.3">
      <c r="A37" s="31"/>
      <c r="B37" s="36" t="s">
        <v>6</v>
      </c>
      <c r="C37" s="31">
        <f>'4.4.1.'!G37/110</f>
        <v>81.62527272727273</v>
      </c>
      <c r="D37" s="31">
        <f>'4.5.1.'!F37/150</f>
        <v>66.800350537166651</v>
      </c>
      <c r="E37" s="31">
        <f>'4.6.1.'!F37/150</f>
        <v>37.561741552230927</v>
      </c>
      <c r="F37" s="31">
        <f t="shared" si="0"/>
        <v>371.97472963334059</v>
      </c>
      <c r="G37" s="23">
        <f>SUM(G18:G36)</f>
        <v>1859.8600000000001</v>
      </c>
    </row>
    <row r="38" spans="1:7" x14ac:dyDescent="0.35">
      <c r="A38" s="38"/>
      <c r="B38" s="31" t="s">
        <v>7</v>
      </c>
      <c r="C38" s="31">
        <f>'4.4.1.'!G38/110</f>
        <v>0</v>
      </c>
      <c r="D38" s="31">
        <f>'4.5.1.'!F38/150</f>
        <v>0</v>
      </c>
      <c r="E38" s="31">
        <f>'4.6.1.'!F38/150</f>
        <v>0</v>
      </c>
      <c r="F38" s="31">
        <f t="shared" si="0"/>
        <v>0</v>
      </c>
      <c r="G38" s="133"/>
    </row>
    <row r="39" spans="1:7" x14ac:dyDescent="0.35">
      <c r="A39" s="31">
        <v>1100</v>
      </c>
      <c r="B39" s="31" t="s">
        <v>132</v>
      </c>
      <c r="C39" s="31">
        <f>'4.4.1.'!G39/110</f>
        <v>10.4953</v>
      </c>
      <c r="D39" s="31">
        <f>'4.5.1.'!F39/150</f>
        <v>8.771017577666667</v>
      </c>
      <c r="E39" s="31">
        <f>'4.6.1.'!F39/150</f>
        <v>4.7177857142857142</v>
      </c>
      <c r="F39" s="31">
        <f t="shared" si="0"/>
        <v>47.968206583904767</v>
      </c>
      <c r="G39" s="133">
        <f>47.97*5</f>
        <v>239.85</v>
      </c>
    </row>
    <row r="40" spans="1:7" ht="15.75" customHeight="1" x14ac:dyDescent="0.35">
      <c r="A40" s="31">
        <v>1200</v>
      </c>
      <c r="B40" s="61" t="s">
        <v>133</v>
      </c>
      <c r="C40" s="31">
        <f>'4.4.1.'!G40/110</f>
        <v>2.4758</v>
      </c>
      <c r="D40" s="31">
        <f>'4.5.1.'!F40/150</f>
        <v>2.0690280966666661</v>
      </c>
      <c r="E40" s="31">
        <f>'4.6.1.'!F40/150</f>
        <v>1.1129285714285715</v>
      </c>
      <c r="F40" s="31">
        <f t="shared" si="0"/>
        <v>11.315513336190476</v>
      </c>
      <c r="G40" s="133">
        <v>56.58</v>
      </c>
    </row>
    <row r="41" spans="1:7" ht="15.75" hidden="1" customHeight="1" x14ac:dyDescent="0.35">
      <c r="A41" s="31">
        <v>2100</v>
      </c>
      <c r="B41" s="61"/>
      <c r="C41" s="31">
        <f>'4.4.1.'!G41/110</f>
        <v>0</v>
      </c>
      <c r="D41" s="31">
        <f>'4.5.1.'!F41/150</f>
        <v>0</v>
      </c>
      <c r="E41" s="31">
        <f>'4.6.1.'!F41/150</f>
        <v>0</v>
      </c>
      <c r="F41" s="31">
        <f t="shared" si="0"/>
        <v>0</v>
      </c>
      <c r="G41" s="133">
        <f>F41*5</f>
        <v>0</v>
      </c>
    </row>
    <row r="42" spans="1:7" ht="15.75" hidden="1" customHeight="1" x14ac:dyDescent="0.35">
      <c r="A42" s="31">
        <v>2210</v>
      </c>
      <c r="B42" s="62" t="s">
        <v>120</v>
      </c>
      <c r="C42" s="31">
        <f>'4.4.1.'!G42/110</f>
        <v>0</v>
      </c>
      <c r="D42" s="31">
        <f>'4.5.1.'!F42/150</f>
        <v>0</v>
      </c>
      <c r="E42" s="31">
        <f>'4.6.1.'!F42/150</f>
        <v>0</v>
      </c>
      <c r="F42" s="31">
        <f t="shared" si="0"/>
        <v>0</v>
      </c>
      <c r="G42" s="133">
        <f>F42*5</f>
        <v>0</v>
      </c>
    </row>
    <row r="43" spans="1:7" ht="15.75" hidden="1" customHeight="1" x14ac:dyDescent="0.35">
      <c r="A43" s="31">
        <v>2222</v>
      </c>
      <c r="B43" s="62"/>
      <c r="C43" s="31">
        <f>'4.4.1.'!G43/110</f>
        <v>0</v>
      </c>
      <c r="D43" s="31">
        <f>'4.5.1.'!F43/150</f>
        <v>0</v>
      </c>
      <c r="E43" s="31">
        <f>'4.6.1.'!F43/150</f>
        <v>0</v>
      </c>
      <c r="F43" s="31">
        <f t="shared" si="0"/>
        <v>0</v>
      </c>
      <c r="G43" s="133">
        <f>F43*5</f>
        <v>0</v>
      </c>
    </row>
    <row r="44" spans="1:7" ht="15.75" customHeight="1" x14ac:dyDescent="0.35">
      <c r="A44" s="31">
        <v>2223</v>
      </c>
      <c r="B44" s="32" t="s">
        <v>136</v>
      </c>
      <c r="C44" s="31">
        <f>'4.4.1.'!G44/110</f>
        <v>4.3636363636363633E-2</v>
      </c>
      <c r="D44" s="31">
        <f>'4.5.1.'!F44/150</f>
        <v>9.8699999999999996E-2</v>
      </c>
      <c r="E44" s="31">
        <f>'4.6.1.'!F44/150</f>
        <v>6.2566666666666659E-2</v>
      </c>
      <c r="F44" s="31">
        <f t="shared" si="0"/>
        <v>0.40980606060606056</v>
      </c>
      <c r="G44" s="133">
        <v>2.0499999999999998</v>
      </c>
    </row>
    <row r="45" spans="1:7" ht="31.5" customHeight="1" x14ac:dyDescent="0.35">
      <c r="A45" s="31">
        <v>2224</v>
      </c>
      <c r="B45" s="62" t="s">
        <v>176</v>
      </c>
      <c r="C45" s="31">
        <f>'4.4.1.'!G45/110</f>
        <v>0.24299999999999999</v>
      </c>
      <c r="D45" s="31">
        <f>'4.5.1.'!F45/150</f>
        <v>1.1634821476666668</v>
      </c>
      <c r="E45" s="31">
        <f>'4.6.1.'!F45/150</f>
        <v>0.13435714285714284</v>
      </c>
      <c r="F45" s="31">
        <f t="shared" si="0"/>
        <v>3.0816785810476195</v>
      </c>
      <c r="G45" s="133">
        <f>3.08*5</f>
        <v>15.4</v>
      </c>
    </row>
    <row r="46" spans="1:7" hidden="1" x14ac:dyDescent="0.35">
      <c r="A46" s="31">
        <v>2231</v>
      </c>
      <c r="B46" s="62"/>
      <c r="C46" s="31">
        <f>'4.4.1.'!G46/110</f>
        <v>0</v>
      </c>
      <c r="D46" s="31">
        <f>'4.5.1.'!F46/150</f>
        <v>0</v>
      </c>
      <c r="E46" s="31">
        <f>'4.6.1.'!F46/150</f>
        <v>0</v>
      </c>
      <c r="F46" s="31">
        <f t="shared" si="0"/>
        <v>0</v>
      </c>
      <c r="G46" s="133">
        <f>F46*5</f>
        <v>0</v>
      </c>
    </row>
    <row r="47" spans="1:7" hidden="1" x14ac:dyDescent="0.35">
      <c r="A47" s="31">
        <v>2235</v>
      </c>
      <c r="B47" s="62"/>
      <c r="C47" s="31">
        <f>'4.4.1.'!G47/110</f>
        <v>0</v>
      </c>
      <c r="D47" s="31">
        <f>'4.5.1.'!F47/150</f>
        <v>0</v>
      </c>
      <c r="E47" s="31">
        <f>'4.6.1.'!F47/150</f>
        <v>0</v>
      </c>
      <c r="F47" s="31">
        <f t="shared" si="0"/>
        <v>0</v>
      </c>
      <c r="G47" s="133">
        <f>F47*5</f>
        <v>0</v>
      </c>
    </row>
    <row r="48" spans="1:7" ht="15.75" customHeight="1" x14ac:dyDescent="0.35">
      <c r="A48" s="31">
        <v>2239</v>
      </c>
      <c r="B48" s="32" t="s">
        <v>144</v>
      </c>
      <c r="C48" s="31">
        <f>'4.4.1.'!G48/110</f>
        <v>0.1065</v>
      </c>
      <c r="D48" s="31">
        <f>'4.5.1.'!F48/150</f>
        <v>7.9517140999999986E-2</v>
      </c>
      <c r="E48" s="31">
        <f>'4.6.1.'!F48/150</f>
        <v>5.0071428571428572E-2</v>
      </c>
      <c r="F48" s="31">
        <f t="shared" si="0"/>
        <v>0.47217713914285714</v>
      </c>
      <c r="G48" s="133">
        <f>0.47*5</f>
        <v>2.3499999999999996</v>
      </c>
    </row>
    <row r="49" spans="1:7" x14ac:dyDescent="0.35">
      <c r="A49" s="31">
        <v>2241</v>
      </c>
      <c r="B49" s="22" t="s">
        <v>123</v>
      </c>
      <c r="C49" s="31">
        <f>'4.4.1.'!G49/110</f>
        <v>1.7809999999999999</v>
      </c>
      <c r="D49" s="31">
        <f>'4.5.1.'!F49/150</f>
        <v>3.481347466666667E-2</v>
      </c>
      <c r="E49" s="31">
        <f>'4.6.1.'!F49/150</f>
        <v>1.0500000000000001E-2</v>
      </c>
      <c r="F49" s="31">
        <f t="shared" si="0"/>
        <v>3.652626949333333</v>
      </c>
      <c r="G49" s="133">
        <f>3.65*5</f>
        <v>18.25</v>
      </c>
    </row>
    <row r="50" spans="1:7" x14ac:dyDescent="0.35">
      <c r="A50" s="31">
        <v>2242</v>
      </c>
      <c r="B50" s="32" t="s">
        <v>145</v>
      </c>
      <c r="C50" s="31">
        <f>'4.4.1.'!G50/110</f>
        <v>8.6800000000000002E-2</v>
      </c>
      <c r="D50" s="31">
        <f>'4.5.1.'!F50/150</f>
        <v>6.4088442000000009E-2</v>
      </c>
      <c r="E50" s="31">
        <f>'4.6.1.'!F50/150</f>
        <v>4.0928571428571432E-2</v>
      </c>
      <c r="F50" s="31">
        <f t="shared" si="0"/>
        <v>0.38363402685714287</v>
      </c>
      <c r="G50" s="133">
        <f>0.38*5</f>
        <v>1.9</v>
      </c>
    </row>
    <row r="51" spans="1:7" x14ac:dyDescent="0.35">
      <c r="A51" s="31">
        <v>2243</v>
      </c>
      <c r="B51" s="32" t="s">
        <v>137</v>
      </c>
      <c r="C51" s="31">
        <f>'4.4.1.'!G51/110</f>
        <v>0.1048</v>
      </c>
      <c r="D51" s="31">
        <f>'4.5.1.'!F51/150</f>
        <v>0.19938626400000001</v>
      </c>
      <c r="E51" s="31">
        <f>'4.6.1.'!F51/150</f>
        <v>4.014285714285714E-2</v>
      </c>
      <c r="F51" s="31">
        <f t="shared" si="0"/>
        <v>0.68865824228571437</v>
      </c>
      <c r="G51" s="133">
        <f>0.69*5</f>
        <v>3.4499999999999997</v>
      </c>
    </row>
    <row r="52" spans="1:7" x14ac:dyDescent="0.35">
      <c r="A52" s="31">
        <v>2244</v>
      </c>
      <c r="B52" s="22" t="s">
        <v>138</v>
      </c>
      <c r="C52" s="31">
        <f>'4.4.1.'!G52/110</f>
        <v>0.21509999999999999</v>
      </c>
      <c r="D52" s="31">
        <f>'4.5.1.'!F52/150</f>
        <v>0.25912302166666668</v>
      </c>
      <c r="E52" s="31">
        <f>'4.6.1.'!F52/150</f>
        <v>1.9285714285714288E-2</v>
      </c>
      <c r="F52" s="31">
        <f t="shared" si="0"/>
        <v>0.98701747190476186</v>
      </c>
      <c r="G52" s="133">
        <f>0.99*5</f>
        <v>4.95</v>
      </c>
    </row>
    <row r="53" spans="1:7" hidden="1" x14ac:dyDescent="0.35">
      <c r="A53" s="31">
        <v>2247</v>
      </c>
      <c r="B53" s="22"/>
      <c r="C53" s="31">
        <f>'4.4.1.'!G53/110</f>
        <v>0</v>
      </c>
      <c r="D53" s="31">
        <f>'4.5.1.'!F53/150</f>
        <v>0</v>
      </c>
      <c r="E53" s="31">
        <f>'4.6.1.'!F53/150</f>
        <v>0</v>
      </c>
      <c r="F53" s="31">
        <f t="shared" si="0"/>
        <v>0</v>
      </c>
      <c r="G53" s="133">
        <f>F53*5</f>
        <v>0</v>
      </c>
    </row>
    <row r="54" spans="1:7" x14ac:dyDescent="0.35">
      <c r="A54" s="31">
        <v>2249</v>
      </c>
      <c r="B54" s="22" t="s">
        <v>171</v>
      </c>
      <c r="C54" s="31">
        <f>'4.4.1.'!G54/110</f>
        <v>2.2799999999999997E-2</v>
      </c>
      <c r="D54" s="31">
        <f>'4.5.1.'!F54/150</f>
        <v>8.9011725E-2</v>
      </c>
      <c r="E54" s="31">
        <f>'4.6.1.'!F54/150</f>
        <v>1.0142857142857143E-2</v>
      </c>
      <c r="F54" s="31">
        <f t="shared" si="0"/>
        <v>0.2439091642857143</v>
      </c>
      <c r="G54" s="133">
        <f>0.24*5</f>
        <v>1.2</v>
      </c>
    </row>
    <row r="55" spans="1:7" x14ac:dyDescent="0.35">
      <c r="A55" s="31">
        <v>2250</v>
      </c>
      <c r="B55" s="22" t="s">
        <v>124</v>
      </c>
      <c r="C55" s="31">
        <f>'4.4.1.'!G55/110</f>
        <v>0.1996</v>
      </c>
      <c r="D55" s="31">
        <f>'4.5.1.'!F55/150</f>
        <v>0.25002404533333328</v>
      </c>
      <c r="E55" s="31">
        <f>'4.6.1.'!F55/150</f>
        <v>9.2714285714285721E-2</v>
      </c>
      <c r="F55" s="31">
        <f t="shared" si="0"/>
        <v>1.0846766620952379</v>
      </c>
      <c r="G55" s="133">
        <f>1.08*5</f>
        <v>5.4</v>
      </c>
    </row>
    <row r="56" spans="1:7" x14ac:dyDescent="0.35">
      <c r="A56" s="31">
        <v>2262</v>
      </c>
      <c r="B56" s="32" t="s">
        <v>148</v>
      </c>
      <c r="C56" s="31">
        <f>'4.4.1.'!G56/110</f>
        <v>0.20699999999999999</v>
      </c>
      <c r="D56" s="31">
        <f>'4.5.1.'!F56/150</f>
        <v>0.15428698999999998</v>
      </c>
      <c r="E56" s="31">
        <f>'4.6.1.'!F56/150</f>
        <v>9.7857142857142851E-2</v>
      </c>
      <c r="F56" s="31">
        <f t="shared" si="0"/>
        <v>0.91828826571428568</v>
      </c>
      <c r="G56" s="133">
        <v>4.59</v>
      </c>
    </row>
    <row r="57" spans="1:7" hidden="1" x14ac:dyDescent="0.35">
      <c r="A57" s="31">
        <v>2263</v>
      </c>
      <c r="B57" s="32"/>
      <c r="C57" s="31">
        <f>'4.4.1.'!G57/110</f>
        <v>0</v>
      </c>
      <c r="D57" s="31">
        <f>'4.5.1.'!F57/150</f>
        <v>0</v>
      </c>
      <c r="E57" s="31">
        <f>'4.6.1.'!F57/150</f>
        <v>0</v>
      </c>
      <c r="F57" s="31">
        <f t="shared" si="0"/>
        <v>0</v>
      </c>
      <c r="G57" s="133">
        <f>F57*5</f>
        <v>0</v>
      </c>
    </row>
    <row r="58" spans="1:7" x14ac:dyDescent="0.35">
      <c r="A58" s="31">
        <v>2264</v>
      </c>
      <c r="B58" s="32" t="s">
        <v>173</v>
      </c>
      <c r="C58" s="31">
        <f>'4.4.1.'!G58/110</f>
        <v>2E-3</v>
      </c>
      <c r="D58" s="31">
        <f>'4.5.1.'!F58/150</f>
        <v>3.1648613333333329E-3</v>
      </c>
      <c r="E58" s="31">
        <f>'4.6.1.'!F58/150</f>
        <v>1E-3</v>
      </c>
      <c r="F58" s="31">
        <f t="shared" si="0"/>
        <v>1.2329722666666666E-2</v>
      </c>
      <c r="G58" s="133">
        <f>0.01*5</f>
        <v>0.05</v>
      </c>
    </row>
    <row r="59" spans="1:7" x14ac:dyDescent="0.35">
      <c r="A59" s="31">
        <v>2311</v>
      </c>
      <c r="B59" s="32" t="s">
        <v>151</v>
      </c>
      <c r="C59" s="31">
        <f>'4.4.1.'!G59/110</f>
        <v>0.11310000000000001</v>
      </c>
      <c r="D59" s="31">
        <f>'4.5.1.'!F59/150</f>
        <v>0.14874848266666665</v>
      </c>
      <c r="E59" s="31">
        <f>'4.6.1.'!F59/150</f>
        <v>5.3499999999999999E-2</v>
      </c>
      <c r="F59" s="31">
        <f t="shared" si="0"/>
        <v>0.6306969653333333</v>
      </c>
      <c r="G59" s="133">
        <f>0.63*5</f>
        <v>3.15</v>
      </c>
    </row>
    <row r="60" spans="1:7" hidden="1" x14ac:dyDescent="0.35">
      <c r="A60" s="31">
        <v>2312</v>
      </c>
      <c r="B60" s="32" t="s">
        <v>116</v>
      </c>
      <c r="C60" s="31">
        <f>'4.4.1.'!G60/110</f>
        <v>0</v>
      </c>
      <c r="D60" s="31">
        <f>'4.5.1.'!F60/150</f>
        <v>0</v>
      </c>
      <c r="E60" s="31">
        <f>'4.6.1.'!F60/150</f>
        <v>0</v>
      </c>
      <c r="F60" s="31">
        <f t="shared" si="0"/>
        <v>0</v>
      </c>
      <c r="G60" s="133">
        <f>F60*5</f>
        <v>0</v>
      </c>
    </row>
    <row r="61" spans="1:7" hidden="1" x14ac:dyDescent="0.35">
      <c r="A61" s="31">
        <v>2314</v>
      </c>
      <c r="B61" s="32"/>
      <c r="C61" s="31">
        <f>'4.4.1.'!G61/110</f>
        <v>0</v>
      </c>
      <c r="D61" s="31">
        <f>'4.5.1.'!F61/150</f>
        <v>0</v>
      </c>
      <c r="E61" s="31">
        <f>'4.6.1.'!F61/150</f>
        <v>0</v>
      </c>
      <c r="F61" s="31">
        <f t="shared" si="0"/>
        <v>0</v>
      </c>
      <c r="G61" s="133">
        <f>F61*5</f>
        <v>0</v>
      </c>
    </row>
    <row r="62" spans="1:7" x14ac:dyDescent="0.35">
      <c r="A62" s="31">
        <v>2321</v>
      </c>
      <c r="B62" s="32" t="s">
        <v>139</v>
      </c>
      <c r="C62" s="31">
        <f>'4.4.1.'!G62/110</f>
        <v>4.3727272727272726E-2</v>
      </c>
      <c r="D62" s="31">
        <f>'4.5.1.'!F62/150</f>
        <v>9.8699999999999996E-2</v>
      </c>
      <c r="E62" s="31">
        <f>'4.6.1.'!F62/150</f>
        <v>6.2566666666666659E-2</v>
      </c>
      <c r="F62" s="31">
        <f t="shared" si="0"/>
        <v>0.40998787878787879</v>
      </c>
      <c r="G62" s="133">
        <v>2.06</v>
      </c>
    </row>
    <row r="63" spans="1:7" x14ac:dyDescent="0.35">
      <c r="A63" s="31">
        <v>2322</v>
      </c>
      <c r="B63" s="32" t="s">
        <v>153</v>
      </c>
      <c r="C63" s="31">
        <f>'4.4.1.'!G63/110</f>
        <v>0.63490000000000002</v>
      </c>
      <c r="D63" s="31">
        <f>'4.5.1.'!F63/150</f>
        <v>0.43200357200000006</v>
      </c>
      <c r="E63" s="31">
        <f>'4.6.1.'!F63/150</f>
        <v>0.24964285714285717</v>
      </c>
      <c r="F63" s="31">
        <f t="shared" si="0"/>
        <v>2.6330928582857149</v>
      </c>
      <c r="G63" s="133">
        <f>2.63*5</f>
        <v>13.149999999999999</v>
      </c>
    </row>
    <row r="64" spans="1:7" hidden="1" x14ac:dyDescent="0.35">
      <c r="A64" s="31">
        <v>2341</v>
      </c>
      <c r="B64" s="32"/>
      <c r="C64" s="31">
        <f>'4.4.1.'!G64/110</f>
        <v>0</v>
      </c>
      <c r="D64" s="31">
        <f>'4.5.1.'!F64/150</f>
        <v>0</v>
      </c>
      <c r="E64" s="31">
        <f>'4.6.1.'!F64/150</f>
        <v>0</v>
      </c>
      <c r="F64" s="31">
        <f t="shared" si="0"/>
        <v>0</v>
      </c>
      <c r="G64" s="133">
        <f>F64*5</f>
        <v>0</v>
      </c>
    </row>
    <row r="65" spans="1:10" x14ac:dyDescent="0.35">
      <c r="A65" s="31">
        <v>2350</v>
      </c>
      <c r="B65" s="61" t="s">
        <v>125</v>
      </c>
      <c r="C65" s="31">
        <f>'4.4.1.'!G65/110</f>
        <v>0.53090000000000004</v>
      </c>
      <c r="D65" s="31">
        <f>'4.5.1.'!F65/150</f>
        <v>0.54040007266666656</v>
      </c>
      <c r="E65" s="31">
        <f>'4.6.1.'!F65/150</f>
        <v>0.24935714285714283</v>
      </c>
      <c r="F65" s="31">
        <f t="shared" si="0"/>
        <v>2.6413144310476189</v>
      </c>
      <c r="G65" s="133">
        <f>2.64*5</f>
        <v>13.200000000000001</v>
      </c>
    </row>
    <row r="66" spans="1:10" hidden="1" x14ac:dyDescent="0.35">
      <c r="A66" s="31">
        <v>2513</v>
      </c>
      <c r="B66" s="32"/>
      <c r="C66" s="31">
        <f>'4.4.1.'!G66/110</f>
        <v>0</v>
      </c>
      <c r="D66" s="31">
        <f>'4.5.1.'!F66/150</f>
        <v>0</v>
      </c>
      <c r="E66" s="31">
        <f>'4.6.1.'!F66/150</f>
        <v>0</v>
      </c>
      <c r="F66" s="31">
        <f t="shared" si="0"/>
        <v>0</v>
      </c>
      <c r="G66" s="133">
        <f>F66*5</f>
        <v>0</v>
      </c>
    </row>
    <row r="67" spans="1:10" x14ac:dyDescent="0.35">
      <c r="A67" s="31">
        <v>2515</v>
      </c>
      <c r="B67" s="32" t="s">
        <v>155</v>
      </c>
      <c r="C67" s="31">
        <f>'4.4.1.'!G67/110</f>
        <v>0.25645454545454544</v>
      </c>
      <c r="D67" s="31">
        <f>'4.5.1.'!F67/150</f>
        <v>0.15218307650000001</v>
      </c>
      <c r="E67" s="31">
        <f>'4.6.1.'!F67/150</f>
        <v>9.6179606708460555E-2</v>
      </c>
      <c r="F67" s="31">
        <f t="shared" si="0"/>
        <v>1.0096344573260121</v>
      </c>
      <c r="G67" s="133">
        <v>5.05</v>
      </c>
    </row>
    <row r="68" spans="1:10" x14ac:dyDescent="0.35">
      <c r="A68" s="31">
        <v>2519</v>
      </c>
      <c r="B68" s="32" t="s">
        <v>122</v>
      </c>
      <c r="C68" s="31">
        <f>'4.4.1.'!G68/110</f>
        <v>1.7272727272727272E-3</v>
      </c>
      <c r="D68" s="31">
        <f>'4.5.1.'!F68/150</f>
        <v>3.1648613333333329E-3</v>
      </c>
      <c r="E68" s="31">
        <f>'4.6.1.'!F68/150</f>
        <v>7.8571428571428575E-4</v>
      </c>
      <c r="F68" s="31">
        <f t="shared" si="0"/>
        <v>1.1355696692640692E-2</v>
      </c>
      <c r="G68" s="133">
        <v>0.06</v>
      </c>
    </row>
    <row r="69" spans="1:10" hidden="1" x14ac:dyDescent="0.35">
      <c r="A69" s="31">
        <v>5220</v>
      </c>
      <c r="B69" s="32"/>
      <c r="C69" s="31">
        <f>'4.4.1.'!G69/110</f>
        <v>0</v>
      </c>
      <c r="D69" s="31">
        <f>'4.5.1.'!F69/150</f>
        <v>0</v>
      </c>
      <c r="E69" s="31">
        <f>'4.6.1.'!F69/150</f>
        <v>0</v>
      </c>
      <c r="F69" s="31">
        <f t="shared" si="0"/>
        <v>0</v>
      </c>
      <c r="G69" s="133">
        <f>F69*5</f>
        <v>0</v>
      </c>
    </row>
    <row r="70" spans="1:10" x14ac:dyDescent="0.35">
      <c r="A70" s="31">
        <v>5238</v>
      </c>
      <c r="B70" s="61" t="s">
        <v>129</v>
      </c>
      <c r="C70" s="31">
        <f>'4.4.1.'!G70/110</f>
        <v>0.253</v>
      </c>
      <c r="D70" s="31">
        <f>'4.5.1.'!F70/150</f>
        <v>0.25754059099999999</v>
      </c>
      <c r="E70" s="31">
        <f>'4.6.1.'!F70/150</f>
        <v>0.12307142857142857</v>
      </c>
      <c r="F70" s="31">
        <f t="shared" si="0"/>
        <v>1.2672240391428573</v>
      </c>
      <c r="G70" s="133">
        <f>1.27*5</f>
        <v>6.35</v>
      </c>
    </row>
    <row r="71" spans="1:10" x14ac:dyDescent="0.35">
      <c r="A71" s="31">
        <v>5239</v>
      </c>
      <c r="B71" s="61" t="s">
        <v>130</v>
      </c>
      <c r="C71" s="31">
        <f>'4.4.1.'!G71/110</f>
        <v>1.4215</v>
      </c>
      <c r="D71" s="31">
        <f>'4.5.1.'!F71/150</f>
        <v>0.60251047633333332</v>
      </c>
      <c r="E71" s="31">
        <f>'4.6.1.'!F71/150</f>
        <v>0.61371428571428577</v>
      </c>
      <c r="F71" s="31">
        <f t="shared" si="0"/>
        <v>5.2754495240952384</v>
      </c>
      <c r="G71" s="133">
        <f>5.28*5</f>
        <v>26.400000000000002</v>
      </c>
    </row>
    <row r="72" spans="1:10" x14ac:dyDescent="0.35">
      <c r="A72" s="31">
        <v>5250</v>
      </c>
      <c r="B72" s="32" t="s">
        <v>131</v>
      </c>
      <c r="C72" s="31">
        <f>'4.4.1.'!G72/110</f>
        <v>1.0661</v>
      </c>
      <c r="D72" s="31">
        <f>'4.5.1.'!F72/150</f>
        <v>0.45138834766666669</v>
      </c>
      <c r="E72" s="31">
        <f>'4.6.1.'!F72/150</f>
        <v>0.48064285714285726</v>
      </c>
      <c r="F72" s="31">
        <f t="shared" si="0"/>
        <v>3.9962624096190478</v>
      </c>
      <c r="G72" s="133">
        <f>4*5</f>
        <v>20</v>
      </c>
    </row>
    <row r="73" spans="1:10" x14ac:dyDescent="0.3">
      <c r="A73" s="38"/>
      <c r="B73" s="40" t="s">
        <v>8</v>
      </c>
      <c r="C73" s="31">
        <f>'4.4.1.'!G73/110</f>
        <v>20.304727272727273</v>
      </c>
      <c r="D73" s="31">
        <f>'4.5.1.'!F73/150</f>
        <v>15.922283267166668</v>
      </c>
      <c r="E73" s="31">
        <f>'4.6.1.'!F73/150</f>
        <v>8.3197415114703652</v>
      </c>
      <c r="F73" s="31">
        <f t="shared" si="0"/>
        <v>89.093504102728616</v>
      </c>
      <c r="G73" s="23">
        <f>SUM(G39:G72)</f>
        <v>445.43999999999988</v>
      </c>
    </row>
    <row r="74" spans="1:10" x14ac:dyDescent="0.3">
      <c r="A74" s="38"/>
      <c r="B74" s="40" t="s">
        <v>29</v>
      </c>
      <c r="C74" s="31">
        <f>'4.4.1.'!G74/110</f>
        <v>101.93</v>
      </c>
      <c r="D74" s="31">
        <f>'4.5.1.'!F74/150</f>
        <v>82.722633804333327</v>
      </c>
      <c r="E74" s="31">
        <f>'4.6.1.'!F74/150</f>
        <v>45.881483063701289</v>
      </c>
      <c r="F74" s="31">
        <f t="shared" si="0"/>
        <v>461.06823373606926</v>
      </c>
      <c r="G74" s="23">
        <f>G37+G73</f>
        <v>2305.3000000000002</v>
      </c>
    </row>
    <row r="75" spans="1:10" ht="15" customHeight="1" x14ac:dyDescent="0.35">
      <c r="A75" s="15"/>
      <c r="B75" s="25"/>
      <c r="C75" s="25"/>
      <c r="D75" s="25"/>
      <c r="E75" s="25"/>
      <c r="F75" s="25"/>
      <c r="G75" s="26"/>
    </row>
    <row r="76" spans="1:10" ht="15" customHeight="1" x14ac:dyDescent="0.25">
      <c r="A76" s="419" t="s">
        <v>57</v>
      </c>
      <c r="B76" s="419"/>
      <c r="C76" s="11"/>
      <c r="D76" s="11"/>
      <c r="E76" s="11"/>
      <c r="F76" s="11"/>
      <c r="G76" s="67">
        <v>5</v>
      </c>
    </row>
    <row r="77" spans="1:10" ht="15" customHeight="1" x14ac:dyDescent="0.3">
      <c r="A77" s="419" t="s">
        <v>58</v>
      </c>
      <c r="B77" s="419"/>
      <c r="C77" s="11"/>
      <c r="D77" s="11"/>
      <c r="E77" s="11"/>
      <c r="F77" s="11"/>
      <c r="G77" s="68">
        <f>G74/G76</f>
        <v>461.06000000000006</v>
      </c>
      <c r="H77" s="148"/>
      <c r="J77" s="148"/>
    </row>
    <row r="78" spans="1:10" ht="15" customHeight="1" x14ac:dyDescent="0.35">
      <c r="A78" s="25"/>
      <c r="B78" s="26"/>
      <c r="C78" s="26"/>
      <c r="D78" s="26"/>
      <c r="E78" s="26"/>
      <c r="F78" s="26"/>
      <c r="G78" s="26"/>
      <c r="J78" s="148"/>
    </row>
    <row r="79" spans="1:10" ht="15" customHeight="1" x14ac:dyDescent="0.35">
      <c r="A79" s="430" t="s">
        <v>33</v>
      </c>
      <c r="B79" s="417"/>
      <c r="C79" s="80"/>
      <c r="D79" s="80"/>
      <c r="E79" s="80"/>
      <c r="F79" s="80"/>
      <c r="G79" s="138"/>
      <c r="I79" s="308"/>
      <c r="J79" s="148"/>
    </row>
    <row r="80" spans="1:10" ht="15" customHeight="1" x14ac:dyDescent="0.35">
      <c r="A80" s="430" t="s">
        <v>64</v>
      </c>
      <c r="B80" s="417"/>
      <c r="C80" s="80"/>
      <c r="D80" s="80"/>
      <c r="E80" s="80"/>
      <c r="F80" s="80"/>
      <c r="G80" s="380"/>
      <c r="I80" s="308"/>
    </row>
    <row r="81" spans="1:9" ht="15" customHeight="1" x14ac:dyDescent="0.35">
      <c r="A81" s="28"/>
      <c r="B81" s="28"/>
      <c r="C81" s="28"/>
      <c r="D81" s="28"/>
      <c r="E81" s="28"/>
      <c r="F81" s="28"/>
      <c r="G81" s="161"/>
    </row>
    <row r="82" spans="1:9" ht="15" customHeight="1" x14ac:dyDescent="0.35">
      <c r="A82" s="28" t="s">
        <v>34</v>
      </c>
      <c r="B82" s="28"/>
      <c r="C82" s="28"/>
      <c r="D82" s="28"/>
      <c r="E82" s="28"/>
      <c r="F82" s="28"/>
      <c r="G82" s="154"/>
    </row>
    <row r="83" spans="1:9" ht="15" customHeight="1" x14ac:dyDescent="0.35">
      <c r="A83" s="28"/>
      <c r="B83" s="28"/>
      <c r="C83" s="28"/>
      <c r="D83" s="28"/>
      <c r="E83" s="28"/>
      <c r="F83" s="28"/>
      <c r="G83" s="154"/>
      <c r="H83" s="148"/>
      <c r="I83" s="148"/>
    </row>
    <row r="84" spans="1:9" x14ac:dyDescent="0.35">
      <c r="A84" s="28" t="s">
        <v>177</v>
      </c>
      <c r="B84" s="29"/>
      <c r="C84" s="29"/>
      <c r="D84" s="29"/>
      <c r="E84" s="29"/>
      <c r="F84" s="29"/>
      <c r="G84" s="154"/>
    </row>
    <row r="85" spans="1:9" x14ac:dyDescent="0.35">
      <c r="A85" s="28"/>
      <c r="B85" s="30"/>
      <c r="C85" s="30"/>
      <c r="D85" s="30"/>
      <c r="E85" s="30"/>
      <c r="F85" s="30"/>
      <c r="G85" s="154"/>
    </row>
    <row r="86" spans="1:9" x14ac:dyDescent="0.35">
      <c r="G86" s="307"/>
    </row>
  </sheetData>
  <mergeCells count="7">
    <mergeCell ref="A79:B79"/>
    <mergeCell ref="A7:B7"/>
    <mergeCell ref="A9:B9"/>
    <mergeCell ref="A80:B80"/>
    <mergeCell ref="A10:B10"/>
    <mergeCell ref="A76:B76"/>
    <mergeCell ref="A77:B77"/>
  </mergeCells>
  <pageMargins left="0.70866141732283461" right="0.70866141732283461" top="0.55879629629629635" bottom="0.55057870370370365" header="0.31496062992125984" footer="0.16"/>
  <pageSetup paperSize="9" scale="71" fitToHeight="0" orientation="portrait" r:id="rId1"/>
  <headerFooter>
    <oddFooter>&amp;C&amp;"Times New Roman,Regular"&amp;F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I105"/>
  <sheetViews>
    <sheetView view="pageLayout" zoomScale="80" zoomScaleNormal="100" zoomScalePageLayoutView="80" workbookViewId="0">
      <selection activeCell="B12" sqref="B12:G12"/>
    </sheetView>
  </sheetViews>
  <sheetFormatPr defaultColWidth="9.1796875" defaultRowHeight="15.5" x14ac:dyDescent="0.35"/>
  <cols>
    <col min="1" max="1" width="12.81640625" style="13" customWidth="1"/>
    <col min="2" max="2" width="84.54296875" style="13" customWidth="1"/>
    <col min="3" max="6" width="10" style="13" hidden="1" customWidth="1"/>
    <col min="7" max="7" width="26.54296875" style="13" customWidth="1"/>
    <col min="8" max="16384" width="9.1796875" style="7"/>
  </cols>
  <sheetData>
    <row r="1" spans="1:7" x14ac:dyDescent="0.35">
      <c r="G1" s="17" t="s">
        <v>10</v>
      </c>
    </row>
    <row r="2" spans="1:7" x14ac:dyDescent="0.35">
      <c r="G2" s="14" t="s">
        <v>32</v>
      </c>
    </row>
    <row r="3" spans="1:7" x14ac:dyDescent="0.35">
      <c r="G3" s="77" t="s">
        <v>66</v>
      </c>
    </row>
    <row r="4" spans="1:7" ht="13.5" customHeight="1" x14ac:dyDescent="0.35">
      <c r="G4" s="54"/>
    </row>
    <row r="5" spans="1:7" x14ac:dyDescent="0.35">
      <c r="B5" s="17"/>
      <c r="C5" s="17"/>
      <c r="D5" s="17"/>
      <c r="E5" s="17"/>
      <c r="F5" s="17"/>
      <c r="G5" s="15" t="s">
        <v>333</v>
      </c>
    </row>
    <row r="7" spans="1:7" ht="15" x14ac:dyDescent="0.3">
      <c r="A7" s="416" t="s">
        <v>9</v>
      </c>
      <c r="B7" s="416"/>
      <c r="C7" s="416"/>
      <c r="D7" s="416"/>
      <c r="E7" s="416"/>
      <c r="F7" s="416"/>
      <c r="G7" s="416"/>
    </row>
    <row r="8" spans="1:7" ht="11.25" customHeight="1" x14ac:dyDescent="0.35">
      <c r="B8" s="18"/>
      <c r="C8" s="18"/>
      <c r="D8" s="18"/>
      <c r="E8" s="18"/>
      <c r="F8" s="18"/>
    </row>
    <row r="9" spans="1:7" x14ac:dyDescent="0.35">
      <c r="A9" s="419" t="s">
        <v>1</v>
      </c>
      <c r="B9" s="419"/>
      <c r="C9" s="11"/>
      <c r="D9" s="11"/>
      <c r="E9" s="11"/>
      <c r="F9" s="11"/>
    </row>
    <row r="10" spans="1:7" ht="15.75" customHeight="1" x14ac:dyDescent="0.35">
      <c r="A10" s="419" t="s">
        <v>0</v>
      </c>
      <c r="B10" s="419"/>
      <c r="C10" s="377"/>
      <c r="D10" s="11"/>
      <c r="E10" s="11"/>
      <c r="F10" s="11"/>
    </row>
    <row r="11" spans="1:7" ht="15.75" customHeight="1" x14ac:dyDescent="0.35">
      <c r="A11" s="11"/>
      <c r="B11" s="11" t="s">
        <v>179</v>
      </c>
      <c r="C11" s="378"/>
      <c r="D11" s="378"/>
      <c r="E11" s="378"/>
      <c r="F11" s="11"/>
    </row>
    <row r="12" spans="1:7" x14ac:dyDescent="0.25">
      <c r="A12" s="11"/>
      <c r="B12" s="419" t="s">
        <v>346</v>
      </c>
      <c r="C12" s="419"/>
      <c r="D12" s="419"/>
      <c r="E12" s="419"/>
      <c r="F12" s="419"/>
      <c r="G12" s="419"/>
    </row>
    <row r="13" spans="1:7" hidden="1" x14ac:dyDescent="0.35"/>
    <row r="14" spans="1:7" x14ac:dyDescent="0.35">
      <c r="A14" s="11" t="s">
        <v>2</v>
      </c>
      <c r="B14" s="11" t="s">
        <v>250</v>
      </c>
      <c r="C14" s="11"/>
      <c r="D14" s="11"/>
      <c r="E14" s="11"/>
      <c r="F14" s="11"/>
    </row>
    <row r="15" spans="1:7" ht="62" x14ac:dyDescent="0.25">
      <c r="A15" s="51" t="s">
        <v>3</v>
      </c>
      <c r="B15" s="51" t="s">
        <v>4</v>
      </c>
      <c r="C15" s="51">
        <v>190.25</v>
      </c>
      <c r="D15" s="51">
        <v>110.85</v>
      </c>
      <c r="E15" s="51">
        <v>69.7</v>
      </c>
      <c r="F15" s="51">
        <f>C15*2+D15*2+E15*2</f>
        <v>741.6</v>
      </c>
      <c r="G15" s="51" t="s">
        <v>63</v>
      </c>
    </row>
    <row r="16" spans="1:7" ht="15" x14ac:dyDescent="0.25">
      <c r="A16" s="20">
        <v>1</v>
      </c>
      <c r="B16" s="21">
        <v>2</v>
      </c>
      <c r="C16" s="21" t="s">
        <v>211</v>
      </c>
      <c r="D16" s="21" t="s">
        <v>213</v>
      </c>
      <c r="E16" s="21" t="s">
        <v>188</v>
      </c>
      <c r="F16" s="21" t="s">
        <v>244</v>
      </c>
      <c r="G16" s="20">
        <v>3</v>
      </c>
    </row>
    <row r="17" spans="1:7" x14ac:dyDescent="0.25">
      <c r="A17" s="41"/>
      <c r="B17" s="39" t="s">
        <v>5</v>
      </c>
      <c r="C17" s="39"/>
      <c r="D17" s="39"/>
      <c r="E17" s="39"/>
      <c r="F17" s="39"/>
      <c r="G17" s="31"/>
    </row>
    <row r="18" spans="1:7" x14ac:dyDescent="0.25">
      <c r="A18" s="31">
        <v>1100</v>
      </c>
      <c r="B18" s="31" t="s">
        <v>132</v>
      </c>
      <c r="C18" s="31">
        <f>'4.4.2.'!E18/20</f>
        <v>15.771000000000001</v>
      </c>
      <c r="D18" s="31">
        <f>'4.5.2.'!D18/20</f>
        <v>8.8989999999999991</v>
      </c>
      <c r="E18" s="31">
        <f>'4.6.2.'!D18/20</f>
        <v>5.9326666666666661</v>
      </c>
      <c r="F18" s="31">
        <f>C18*2+D18*2+E18*2</f>
        <v>61.205333333333336</v>
      </c>
      <c r="G18" s="33">
        <f>61.21*5</f>
        <v>306.05</v>
      </c>
    </row>
    <row r="19" spans="1:7" ht="15.75" customHeight="1" x14ac:dyDescent="0.35">
      <c r="A19" s="31">
        <v>1200</v>
      </c>
      <c r="B19" s="61" t="s">
        <v>133</v>
      </c>
      <c r="C19" s="31">
        <f>'4.4.2.'!E19/20</f>
        <v>3.7204999999999999</v>
      </c>
      <c r="D19" s="31">
        <f>'4.5.2.'!D19/20</f>
        <v>2.0994999999999999</v>
      </c>
      <c r="E19" s="31">
        <f>'4.6.2.'!D19/20</f>
        <v>1.3996666666666668</v>
      </c>
      <c r="F19" s="31">
        <f t="shared" ref="F19:F74" si="0">C19*2+D19*2+E19*2</f>
        <v>14.439333333333334</v>
      </c>
      <c r="G19" s="33">
        <v>72.2</v>
      </c>
    </row>
    <row r="20" spans="1:7" x14ac:dyDescent="0.35">
      <c r="A20" s="31">
        <v>2210</v>
      </c>
      <c r="B20" s="62" t="s">
        <v>120</v>
      </c>
      <c r="C20" s="31">
        <f>'4.4.2.'!E20/20</f>
        <v>0.77750000000000008</v>
      </c>
      <c r="D20" s="31">
        <f>'4.5.2.'!D20/20</f>
        <v>0.502</v>
      </c>
      <c r="E20" s="31">
        <f>'4.6.2.'!D20/20</f>
        <v>0.33466666666666661</v>
      </c>
      <c r="F20" s="31">
        <f t="shared" si="0"/>
        <v>3.2283333333333335</v>
      </c>
      <c r="G20" s="33">
        <f>3.23*5</f>
        <v>16.149999999999999</v>
      </c>
    </row>
    <row r="21" spans="1:7" x14ac:dyDescent="0.35">
      <c r="A21" s="31">
        <v>2222</v>
      </c>
      <c r="B21" s="62" t="s">
        <v>135</v>
      </c>
      <c r="C21" s="31">
        <f>'4.4.2.'!E21/20</f>
        <v>17.771000000000001</v>
      </c>
      <c r="D21" s="31">
        <f>'4.5.2.'!D21/20</f>
        <v>14.276499999999999</v>
      </c>
      <c r="E21" s="31">
        <f>'4.6.2.'!D21/20</f>
        <v>7.9276666666666671</v>
      </c>
      <c r="F21" s="31">
        <f t="shared" si="0"/>
        <v>79.950333333333333</v>
      </c>
      <c r="G21" s="33">
        <f>79.95*5</f>
        <v>399.75</v>
      </c>
    </row>
    <row r="22" spans="1:7" x14ac:dyDescent="0.25">
      <c r="A22" s="31">
        <v>2223</v>
      </c>
      <c r="B22" s="32" t="s">
        <v>136</v>
      </c>
      <c r="C22" s="31">
        <f>'4.4.2.'!E22/20</f>
        <v>40.801499999999997</v>
      </c>
      <c r="D22" s="31">
        <f>'4.5.2.'!D22/20</f>
        <v>16.9665</v>
      </c>
      <c r="E22" s="31">
        <f>'4.6.2.'!D22/20</f>
        <v>11.311</v>
      </c>
      <c r="F22" s="31">
        <f t="shared" si="0"/>
        <v>138.15800000000002</v>
      </c>
      <c r="G22" s="33">
        <f>138.16*5</f>
        <v>690.8</v>
      </c>
    </row>
    <row r="23" spans="1:7" x14ac:dyDescent="0.25">
      <c r="A23" s="31">
        <v>2243</v>
      </c>
      <c r="B23" s="151" t="s">
        <v>137</v>
      </c>
      <c r="C23" s="31">
        <f>'4.4.2.'!E23/20</f>
        <v>0.85749999999999993</v>
      </c>
      <c r="D23" s="31">
        <f>'4.5.2.'!D23/20</f>
        <v>0.64349999999999996</v>
      </c>
      <c r="E23" s="31">
        <f>'4.6.2.'!D23/20</f>
        <v>0.42899999999999999</v>
      </c>
      <c r="F23" s="31">
        <f t="shared" si="0"/>
        <v>3.86</v>
      </c>
      <c r="G23" s="33">
        <f>3.86*5</f>
        <v>19.3</v>
      </c>
    </row>
    <row r="24" spans="1:7" x14ac:dyDescent="0.35">
      <c r="A24" s="31">
        <v>2244</v>
      </c>
      <c r="B24" s="22" t="s">
        <v>138</v>
      </c>
      <c r="C24" s="31">
        <f>'4.4.2.'!E24/20</f>
        <v>11.83</v>
      </c>
      <c r="D24" s="31">
        <f>'4.5.2.'!D24/20</f>
        <v>10.195499999999999</v>
      </c>
      <c r="E24" s="31">
        <f>'4.6.2.'!D24/20</f>
        <v>6.7969999999999997</v>
      </c>
      <c r="F24" s="31">
        <f t="shared" si="0"/>
        <v>57.645000000000003</v>
      </c>
      <c r="G24" s="33">
        <f>57.65*5</f>
        <v>288.25</v>
      </c>
    </row>
    <row r="25" spans="1:7" hidden="1" x14ac:dyDescent="0.35">
      <c r="A25" s="31">
        <v>2250</v>
      </c>
      <c r="B25" s="22"/>
      <c r="C25" s="31">
        <f>'4.4.2.'!E25/20</f>
        <v>0</v>
      </c>
      <c r="D25" s="31">
        <f>'4.5.2.'!D25/20</f>
        <v>0</v>
      </c>
      <c r="E25" s="31">
        <f>'4.6.2.'!D25/20</f>
        <v>0</v>
      </c>
      <c r="F25" s="31">
        <f t="shared" si="0"/>
        <v>0</v>
      </c>
      <c r="G25" s="33">
        <f>F25*5</f>
        <v>0</v>
      </c>
    </row>
    <row r="26" spans="1:7" x14ac:dyDescent="0.25">
      <c r="A26" s="31">
        <v>2263</v>
      </c>
      <c r="B26" s="32" t="s">
        <v>149</v>
      </c>
      <c r="C26" s="31">
        <f>'4.4.2.'!E26/20</f>
        <v>10.453238636363636</v>
      </c>
      <c r="D26" s="31">
        <f>'4.5.2.'!D26/20</f>
        <v>7.7024160995909856</v>
      </c>
      <c r="E26" s="31">
        <f>'4.6.2.'!D26/20</f>
        <v>4.4013636363636364</v>
      </c>
      <c r="F26" s="31">
        <f t="shared" si="0"/>
        <v>45.114036744636515</v>
      </c>
      <c r="G26" s="33">
        <f>45.11*5</f>
        <v>225.55</v>
      </c>
    </row>
    <row r="27" spans="1:7" hidden="1" x14ac:dyDescent="0.25">
      <c r="A27" s="31">
        <v>2311</v>
      </c>
      <c r="B27" s="32"/>
      <c r="C27" s="31">
        <f>'4.4.2.'!E27/20</f>
        <v>0</v>
      </c>
      <c r="D27" s="31">
        <f>'4.5.2.'!D27/20</f>
        <v>0</v>
      </c>
      <c r="E27" s="31">
        <f>'4.6.2.'!D27/20</f>
        <v>0</v>
      </c>
      <c r="F27" s="31">
        <f t="shared" si="0"/>
        <v>0</v>
      </c>
      <c r="G27" s="33">
        <f>F27*5</f>
        <v>0</v>
      </c>
    </row>
    <row r="28" spans="1:7" x14ac:dyDescent="0.25">
      <c r="A28" s="31">
        <v>2312</v>
      </c>
      <c r="B28" s="32" t="s">
        <v>116</v>
      </c>
      <c r="C28" s="31">
        <f>'4.4.2.'!E28/20</f>
        <v>2.7315</v>
      </c>
      <c r="D28" s="31">
        <f>'4.5.2.'!D28/20</f>
        <v>1.1419999999999999</v>
      </c>
      <c r="E28" s="31">
        <f>'4.6.2.'!D28/20</f>
        <v>0.96133333333333337</v>
      </c>
      <c r="F28" s="31">
        <f t="shared" si="0"/>
        <v>9.6696666666666662</v>
      </c>
      <c r="G28" s="33">
        <f>9.67*5</f>
        <v>48.35</v>
      </c>
    </row>
    <row r="29" spans="1:7" x14ac:dyDescent="0.25">
      <c r="A29" s="31">
        <v>2321</v>
      </c>
      <c r="B29" s="32" t="s">
        <v>139</v>
      </c>
      <c r="C29" s="31">
        <f>'4.4.2.'!E29/20</f>
        <v>37.575499999999998</v>
      </c>
      <c r="D29" s="31">
        <f>'4.5.2.'!D29/20</f>
        <v>16.413999999999998</v>
      </c>
      <c r="E29" s="31">
        <f>'4.6.2.'!D29/20</f>
        <v>10.942666666666666</v>
      </c>
      <c r="F29" s="31">
        <f t="shared" si="0"/>
        <v>129.86433333333332</v>
      </c>
      <c r="G29" s="33">
        <f>129.86*5</f>
        <v>649.30000000000007</v>
      </c>
    </row>
    <row r="30" spans="1:7" x14ac:dyDescent="0.35">
      <c r="A30" s="31">
        <v>2350</v>
      </c>
      <c r="B30" s="61" t="s">
        <v>125</v>
      </c>
      <c r="C30" s="31">
        <f>'4.4.2.'!E30/20</f>
        <v>2.2835000000000001</v>
      </c>
      <c r="D30" s="31">
        <f>'4.5.2.'!D30/20</f>
        <v>1.7124999999999999</v>
      </c>
      <c r="E30" s="31">
        <f>'4.6.2.'!D30/20</f>
        <v>1.1416666666666666</v>
      </c>
      <c r="F30" s="31">
        <f t="shared" si="0"/>
        <v>10.275333333333332</v>
      </c>
      <c r="G30" s="33">
        <f>10.28*5</f>
        <v>51.4</v>
      </c>
    </row>
    <row r="31" spans="1:7" x14ac:dyDescent="0.25">
      <c r="A31" s="31">
        <v>2361</v>
      </c>
      <c r="B31" s="32" t="s">
        <v>141</v>
      </c>
      <c r="C31" s="31">
        <f>'4.4.2.'!E31/20</f>
        <v>3.3354999999999997</v>
      </c>
      <c r="D31" s="31">
        <f>'4.5.2.'!D31/20</f>
        <v>1.7240000000000002</v>
      </c>
      <c r="E31" s="31">
        <f>'4.6.2.'!D31/20</f>
        <v>0.96299999999999986</v>
      </c>
      <c r="F31" s="31">
        <f t="shared" si="0"/>
        <v>12.045</v>
      </c>
      <c r="G31" s="33">
        <f>12.05*5</f>
        <v>60.25</v>
      </c>
    </row>
    <row r="32" spans="1:7" hidden="1" x14ac:dyDescent="0.25">
      <c r="A32" s="31">
        <v>2362</v>
      </c>
      <c r="B32" s="32"/>
      <c r="C32" s="31">
        <f>'4.4.2.'!E32/20</f>
        <v>0</v>
      </c>
      <c r="D32" s="31">
        <f>'4.5.2.'!D32/20</f>
        <v>0</v>
      </c>
      <c r="E32" s="31">
        <f>'4.6.2.'!D32/20</f>
        <v>0</v>
      </c>
      <c r="F32" s="31">
        <f t="shared" si="0"/>
        <v>0</v>
      </c>
      <c r="G32" s="33">
        <f>F32*5</f>
        <v>0</v>
      </c>
    </row>
    <row r="33" spans="1:7" hidden="1" x14ac:dyDescent="0.25">
      <c r="A33" s="31">
        <v>2363</v>
      </c>
      <c r="B33" s="32"/>
      <c r="C33" s="31">
        <f>'4.4.2.'!E33/20</f>
        <v>0</v>
      </c>
      <c r="D33" s="31">
        <f>'4.5.2.'!D33/20</f>
        <v>0</v>
      </c>
      <c r="E33" s="31">
        <f>'4.6.2.'!D33/20</f>
        <v>0</v>
      </c>
      <c r="F33" s="31">
        <f t="shared" si="0"/>
        <v>0</v>
      </c>
      <c r="G33" s="33">
        <f>F33*5</f>
        <v>0</v>
      </c>
    </row>
    <row r="34" spans="1:7" x14ac:dyDescent="0.35">
      <c r="A34" s="31">
        <v>2513</v>
      </c>
      <c r="B34" s="61" t="s">
        <v>121</v>
      </c>
      <c r="C34" s="31">
        <f>'4.4.2.'!E34/20</f>
        <v>5.127085227272727</v>
      </c>
      <c r="D34" s="31">
        <f>'4.5.2.'!D34/20</f>
        <v>3.7778342620871959</v>
      </c>
      <c r="E34" s="31">
        <f>'4.6.2.'!D34/20</f>
        <v>2.1587727272727273</v>
      </c>
      <c r="F34" s="31">
        <f t="shared" si="0"/>
        <v>22.127384433265298</v>
      </c>
      <c r="G34" s="33">
        <f>22.13*5</f>
        <v>110.64999999999999</v>
      </c>
    </row>
    <row r="35" spans="1:7" x14ac:dyDescent="0.25">
      <c r="A35" s="31">
        <v>2519</v>
      </c>
      <c r="B35" s="32" t="s">
        <v>122</v>
      </c>
      <c r="C35" s="31">
        <f>'4.4.2.'!E35/20</f>
        <v>0.76734090909090913</v>
      </c>
      <c r="D35" s="31">
        <f>'4.5.2.'!D35/20</f>
        <v>0.56541106288735288</v>
      </c>
      <c r="E35" s="31">
        <f>'4.6.2.'!D35/20</f>
        <v>0.32309090909090904</v>
      </c>
      <c r="F35" s="31">
        <f t="shared" si="0"/>
        <v>3.311685762138342</v>
      </c>
      <c r="G35" s="33">
        <f>3.31*5</f>
        <v>16.55</v>
      </c>
    </row>
    <row r="36" spans="1:7" x14ac:dyDescent="0.35">
      <c r="A36" s="31">
        <v>5239</v>
      </c>
      <c r="B36" s="61" t="s">
        <v>130</v>
      </c>
      <c r="C36" s="31">
        <f>'4.4.2.'!E36/20</f>
        <v>2.996</v>
      </c>
      <c r="D36" s="31">
        <f>'4.5.2.'!D36/20</f>
        <v>2.2075688639732811</v>
      </c>
      <c r="E36" s="31">
        <f>'4.6.2.'!D36/20</f>
        <v>1.2614545454545454</v>
      </c>
      <c r="F36" s="31">
        <f t="shared" si="0"/>
        <v>12.930046818855653</v>
      </c>
      <c r="G36" s="33">
        <f>12.93*5</f>
        <v>64.650000000000006</v>
      </c>
    </row>
    <row r="37" spans="1:7" x14ac:dyDescent="0.25">
      <c r="A37" s="31"/>
      <c r="B37" s="36" t="s">
        <v>6</v>
      </c>
      <c r="C37" s="31">
        <f>'4.4.2.'!E37/20</f>
        <v>156.79866477272728</v>
      </c>
      <c r="D37" s="31">
        <f>'4.5.2.'!D37/20</f>
        <v>88.828230288538805</v>
      </c>
      <c r="E37" s="31">
        <f>'4.6.2.'!D37/20</f>
        <v>56.285015151515168</v>
      </c>
      <c r="F37" s="31">
        <f t="shared" si="0"/>
        <v>603.82382042556253</v>
      </c>
      <c r="G37" s="37">
        <f>SUM(G18:G36)</f>
        <v>3019.2000000000003</v>
      </c>
    </row>
    <row r="38" spans="1:7" x14ac:dyDescent="0.25">
      <c r="A38" s="38"/>
      <c r="B38" s="31" t="s">
        <v>7</v>
      </c>
      <c r="C38" s="31">
        <f>'4.4.2.'!E38/20</f>
        <v>0</v>
      </c>
      <c r="D38" s="31">
        <f>'4.5.2.'!D38/20</f>
        <v>0</v>
      </c>
      <c r="E38" s="31">
        <f>'4.6.2.'!D38/20</f>
        <v>0</v>
      </c>
      <c r="F38" s="31">
        <f t="shared" si="0"/>
        <v>0</v>
      </c>
      <c r="G38" s="33"/>
    </row>
    <row r="39" spans="1:7" x14ac:dyDescent="0.25">
      <c r="A39" s="31">
        <v>1100</v>
      </c>
      <c r="B39" s="31" t="s">
        <v>132</v>
      </c>
      <c r="C39" s="31">
        <f>'4.4.2.'!E39/20</f>
        <v>17.288</v>
      </c>
      <c r="D39" s="31">
        <f>'4.5.2.'!D39/20</f>
        <v>11.423</v>
      </c>
      <c r="E39" s="31">
        <f>'4.6.2.'!D39/20</f>
        <v>7.3903333333333334</v>
      </c>
      <c r="F39" s="31">
        <f t="shared" si="0"/>
        <v>72.202666666666659</v>
      </c>
      <c r="G39" s="33">
        <f>72.2*5</f>
        <v>361</v>
      </c>
    </row>
    <row r="40" spans="1:7" ht="15.75" customHeight="1" x14ac:dyDescent="0.35">
      <c r="A40" s="31">
        <v>1200</v>
      </c>
      <c r="B40" s="61" t="s">
        <v>133</v>
      </c>
      <c r="C40" s="31">
        <f>'4.4.2.'!E40/20</f>
        <v>4.0780000000000003</v>
      </c>
      <c r="D40" s="31">
        <f>'4.5.2.'!D40/20</f>
        <v>2.6945000000000001</v>
      </c>
      <c r="E40" s="31">
        <f>'4.6.2.'!D40/20</f>
        <v>1.743333333333333</v>
      </c>
      <c r="F40" s="31">
        <f t="shared" si="0"/>
        <v>17.031666666666666</v>
      </c>
      <c r="G40" s="33">
        <v>85.16</v>
      </c>
    </row>
    <row r="41" spans="1:7" ht="15.75" hidden="1" customHeight="1" x14ac:dyDescent="0.35">
      <c r="A41" s="31">
        <v>2100</v>
      </c>
      <c r="B41" s="61"/>
      <c r="C41" s="31">
        <f>'4.4.2.'!E41/20</f>
        <v>0</v>
      </c>
      <c r="D41" s="31">
        <f>'4.5.2.'!D41/20</f>
        <v>0</v>
      </c>
      <c r="E41" s="31">
        <f>'4.6.2.'!D41/20</f>
        <v>0</v>
      </c>
      <c r="F41" s="31">
        <f t="shared" si="0"/>
        <v>0</v>
      </c>
      <c r="G41" s="33">
        <f>F41*5</f>
        <v>0</v>
      </c>
    </row>
    <row r="42" spans="1:7" hidden="1" x14ac:dyDescent="0.35">
      <c r="A42" s="31">
        <v>2210</v>
      </c>
      <c r="B42" s="62" t="s">
        <v>120</v>
      </c>
      <c r="C42" s="31">
        <f>'4.4.2.'!E42/20</f>
        <v>0</v>
      </c>
      <c r="D42" s="31">
        <f>'4.5.2.'!D42/20</f>
        <v>0</v>
      </c>
      <c r="E42" s="31">
        <f>'4.6.2.'!D42/20</f>
        <v>0</v>
      </c>
      <c r="F42" s="31">
        <f t="shared" si="0"/>
        <v>0</v>
      </c>
      <c r="G42" s="33">
        <f>F42*5</f>
        <v>0</v>
      </c>
    </row>
    <row r="43" spans="1:7" hidden="1" x14ac:dyDescent="0.35">
      <c r="A43" s="31">
        <v>2222</v>
      </c>
      <c r="B43" s="62" t="s">
        <v>135</v>
      </c>
      <c r="C43" s="31">
        <f>'4.4.2.'!E43/20</f>
        <v>0</v>
      </c>
      <c r="D43" s="31">
        <f>'4.5.2.'!D43/20</f>
        <v>0</v>
      </c>
      <c r="E43" s="31">
        <f>'4.6.2.'!D43/20</f>
        <v>0</v>
      </c>
      <c r="F43" s="31">
        <f t="shared" si="0"/>
        <v>0</v>
      </c>
      <c r="G43" s="33">
        <f>F43*5</f>
        <v>0</v>
      </c>
    </row>
    <row r="44" spans="1:7" x14ac:dyDescent="0.25">
      <c r="A44" s="31">
        <v>2223</v>
      </c>
      <c r="B44" s="32" t="s">
        <v>136</v>
      </c>
      <c r="C44" s="31">
        <f>'4.4.2.'!E44/20</f>
        <v>7.0999999999999994E-2</v>
      </c>
      <c r="D44" s="31">
        <f>'4.5.2.'!D44/20</f>
        <v>0.16625000000000001</v>
      </c>
      <c r="E44" s="31">
        <f>'4.6.2.'!D44/20</f>
        <v>8.3250000000000005E-2</v>
      </c>
      <c r="F44" s="31">
        <f t="shared" si="0"/>
        <v>0.64100000000000001</v>
      </c>
      <c r="G44" s="33">
        <f>0.64*5</f>
        <v>3.2</v>
      </c>
    </row>
    <row r="45" spans="1:7" ht="31" x14ac:dyDescent="0.35">
      <c r="A45" s="31">
        <v>2224</v>
      </c>
      <c r="B45" s="62" t="s">
        <v>176</v>
      </c>
      <c r="C45" s="31">
        <f>'4.4.2.'!E45/20</f>
        <v>0.48600000000000004</v>
      </c>
      <c r="D45" s="31">
        <f>'4.5.2.'!D45/20</f>
        <v>1.4704999999999999</v>
      </c>
      <c r="E45" s="31">
        <f>'4.6.2.'!D45/20</f>
        <v>0.9803333333333335</v>
      </c>
      <c r="F45" s="31">
        <f t="shared" si="0"/>
        <v>5.8736666666666668</v>
      </c>
      <c r="G45" s="33">
        <f>5.87*5</f>
        <v>29.35</v>
      </c>
    </row>
    <row r="46" spans="1:7" hidden="1" x14ac:dyDescent="0.35">
      <c r="A46" s="31">
        <v>2231</v>
      </c>
      <c r="B46" s="62"/>
      <c r="C46" s="31">
        <f>'4.4.2.'!E46/20</f>
        <v>0</v>
      </c>
      <c r="D46" s="31">
        <f>'4.5.2.'!D46/20</f>
        <v>0</v>
      </c>
      <c r="E46" s="31">
        <f>'4.6.2.'!D46/20</f>
        <v>0</v>
      </c>
      <c r="F46" s="31">
        <f t="shared" si="0"/>
        <v>0</v>
      </c>
      <c r="G46" s="33">
        <f>F46*5</f>
        <v>0</v>
      </c>
    </row>
    <row r="47" spans="1:7" hidden="1" x14ac:dyDescent="0.35">
      <c r="A47" s="31">
        <v>2235</v>
      </c>
      <c r="B47" s="62"/>
      <c r="C47" s="31">
        <f>'4.4.2.'!E47/20</f>
        <v>0</v>
      </c>
      <c r="D47" s="31">
        <f>'4.5.2.'!D47/20</f>
        <v>0</v>
      </c>
      <c r="E47" s="31">
        <f>'4.6.2.'!D47/20</f>
        <v>0</v>
      </c>
      <c r="F47" s="31">
        <f t="shared" si="0"/>
        <v>0</v>
      </c>
      <c r="G47" s="33">
        <f>F47*5</f>
        <v>0</v>
      </c>
    </row>
    <row r="48" spans="1:7" x14ac:dyDescent="0.25">
      <c r="A48" s="31">
        <v>2239</v>
      </c>
      <c r="B48" s="32" t="s">
        <v>144</v>
      </c>
      <c r="C48" s="31">
        <f>'4.4.2.'!E48/20</f>
        <v>0.17549999999999999</v>
      </c>
      <c r="D48" s="31">
        <f>'4.5.2.'!D48/20</f>
        <v>0.13400000000000001</v>
      </c>
      <c r="E48" s="31">
        <f>'4.6.2.'!D48/20</f>
        <v>6.699999999999999E-2</v>
      </c>
      <c r="F48" s="31">
        <f t="shared" si="0"/>
        <v>0.753</v>
      </c>
      <c r="G48" s="33">
        <f>0.75*5</f>
        <v>3.75</v>
      </c>
    </row>
    <row r="49" spans="1:7" x14ac:dyDescent="0.35">
      <c r="A49" s="31">
        <v>2241</v>
      </c>
      <c r="B49" s="22" t="s">
        <v>123</v>
      </c>
      <c r="C49" s="31">
        <f>'4.4.2.'!E49/20</f>
        <v>2.9335</v>
      </c>
      <c r="D49" s="31">
        <f>'4.5.2.'!D49/20</f>
        <v>3.85E-2</v>
      </c>
      <c r="E49" s="31">
        <f>'4.6.2.'!D49/20</f>
        <v>2.9333333333333333E-2</v>
      </c>
      <c r="F49" s="31">
        <f t="shared" si="0"/>
        <v>6.0026666666666664</v>
      </c>
      <c r="G49" s="33">
        <f>6*5</f>
        <v>30</v>
      </c>
    </row>
    <row r="50" spans="1:7" x14ac:dyDescent="0.25">
      <c r="A50" s="31">
        <v>2242</v>
      </c>
      <c r="B50" s="32" t="s">
        <v>145</v>
      </c>
      <c r="C50" s="31">
        <f>'4.4.2.'!E50/20</f>
        <v>0.14299999999999999</v>
      </c>
      <c r="D50" s="31">
        <f>'4.5.2.'!D50/20</f>
        <v>0.10800000000000001</v>
      </c>
      <c r="E50" s="31">
        <f>'4.6.2.'!D50/20</f>
        <v>5.4000000000000006E-2</v>
      </c>
      <c r="F50" s="31">
        <f t="shared" si="0"/>
        <v>0.61</v>
      </c>
      <c r="G50" s="33">
        <f>0.61*5</f>
        <v>3.05</v>
      </c>
    </row>
    <row r="51" spans="1:7" x14ac:dyDescent="0.25">
      <c r="A51" s="31">
        <v>2243</v>
      </c>
      <c r="B51" s="32" t="s">
        <v>137</v>
      </c>
      <c r="C51" s="31">
        <f>'4.4.2.'!E51/20</f>
        <v>1.0925</v>
      </c>
      <c r="D51" s="31">
        <f>'4.5.2.'!D51/20</f>
        <v>0.41500000000000004</v>
      </c>
      <c r="E51" s="31">
        <f>'4.6.2.'!D51/20</f>
        <v>0.16800000000000001</v>
      </c>
      <c r="F51" s="31">
        <f t="shared" si="0"/>
        <v>3.351</v>
      </c>
      <c r="G51" s="33">
        <f>3.35*5</f>
        <v>16.75</v>
      </c>
    </row>
    <row r="52" spans="1:7" x14ac:dyDescent="0.35">
      <c r="A52" s="31">
        <v>2244</v>
      </c>
      <c r="B52" s="22" t="s">
        <v>138</v>
      </c>
      <c r="C52" s="31">
        <f>'4.4.2.'!E52/20</f>
        <v>0.35050000000000003</v>
      </c>
      <c r="D52" s="31">
        <f>'4.5.2.'!D52/20</f>
        <v>0.34750000000000003</v>
      </c>
      <c r="E52" s="31">
        <f>'4.6.2.'!D52/20</f>
        <v>0.21833333333333332</v>
      </c>
      <c r="F52" s="31">
        <f t="shared" si="0"/>
        <v>1.8326666666666669</v>
      </c>
      <c r="G52" s="33">
        <f>1.83*5</f>
        <v>9.15</v>
      </c>
    </row>
    <row r="53" spans="1:7" hidden="1" x14ac:dyDescent="0.35">
      <c r="A53" s="31">
        <v>2247</v>
      </c>
      <c r="B53" s="22"/>
      <c r="C53" s="31">
        <f>'4.4.2.'!E53/20</f>
        <v>0</v>
      </c>
      <c r="D53" s="31">
        <f>'4.5.2.'!D53/20</f>
        <v>0</v>
      </c>
      <c r="E53" s="31">
        <f>'4.6.2.'!D53/20</f>
        <v>0</v>
      </c>
      <c r="F53" s="31">
        <f t="shared" si="0"/>
        <v>0</v>
      </c>
      <c r="G53" s="33">
        <f>F53*5</f>
        <v>0</v>
      </c>
    </row>
    <row r="54" spans="1:7" x14ac:dyDescent="0.35">
      <c r="A54" s="31">
        <v>2249</v>
      </c>
      <c r="B54" s="22" t="s">
        <v>171</v>
      </c>
      <c r="C54" s="31">
        <f>'4.4.2.'!E54/20</f>
        <v>3.7499999999999999E-2</v>
      </c>
      <c r="D54" s="31">
        <f>'4.5.2.'!D54/20</f>
        <v>2.7500000000000004E-2</v>
      </c>
      <c r="E54" s="31">
        <f>'4.6.2.'!D54/20</f>
        <v>7.4999999999999997E-2</v>
      </c>
      <c r="F54" s="31">
        <f t="shared" si="0"/>
        <v>0.28000000000000003</v>
      </c>
      <c r="G54" s="33">
        <f>0.28*5</f>
        <v>1.4000000000000001</v>
      </c>
    </row>
    <row r="55" spans="1:7" x14ac:dyDescent="0.35">
      <c r="A55" s="31">
        <v>2250</v>
      </c>
      <c r="B55" s="22" t="s">
        <v>124</v>
      </c>
      <c r="C55" s="31">
        <f>'4.4.2.'!E55/20</f>
        <v>0.32850000000000001</v>
      </c>
      <c r="D55" s="31">
        <f>'4.5.2.'!D55/20</f>
        <v>0.38849999999999996</v>
      </c>
      <c r="E55" s="31">
        <f>'4.6.2.'!D55/20</f>
        <v>0.21066666666666664</v>
      </c>
      <c r="F55" s="31">
        <f t="shared" si="0"/>
        <v>1.8553333333333333</v>
      </c>
      <c r="G55" s="33">
        <f>1.86*5</f>
        <v>9.3000000000000007</v>
      </c>
    </row>
    <row r="56" spans="1:7" x14ac:dyDescent="0.25">
      <c r="A56" s="31">
        <v>2262</v>
      </c>
      <c r="B56" s="32" t="s">
        <v>148</v>
      </c>
      <c r="C56" s="31">
        <f>'4.4.2.'!E56/20</f>
        <v>0.34100000000000003</v>
      </c>
      <c r="D56" s="31">
        <f>'4.5.2.'!D56/20</f>
        <v>0.26</v>
      </c>
      <c r="E56" s="31">
        <f>'4.6.2.'!D56/20</f>
        <v>0.13</v>
      </c>
      <c r="F56" s="31">
        <f t="shared" si="0"/>
        <v>1.462</v>
      </c>
      <c r="G56" s="33">
        <f>1.46*5</f>
        <v>7.3</v>
      </c>
    </row>
    <row r="57" spans="1:7" hidden="1" x14ac:dyDescent="0.25">
      <c r="A57" s="31">
        <v>2263</v>
      </c>
      <c r="B57" s="32"/>
      <c r="C57" s="31">
        <f>'4.4.2.'!E57/20</f>
        <v>0</v>
      </c>
      <c r="D57" s="31">
        <f>'4.5.2.'!D57/20</f>
        <v>0</v>
      </c>
      <c r="E57" s="31">
        <f>'4.6.2.'!D57/20</f>
        <v>0</v>
      </c>
      <c r="F57" s="31">
        <f t="shared" si="0"/>
        <v>0</v>
      </c>
      <c r="G57" s="33">
        <f>F57*5</f>
        <v>0</v>
      </c>
    </row>
    <row r="58" spans="1:7" x14ac:dyDescent="0.25">
      <c r="A58" s="31">
        <v>2264</v>
      </c>
      <c r="B58" s="32" t="s">
        <v>173</v>
      </c>
      <c r="C58" s="31">
        <f>'4.4.2.'!E58/20</f>
        <v>3.5000000000000005E-3</v>
      </c>
      <c r="D58" s="31">
        <f>'4.5.2.'!D58/20</f>
        <v>5.0000000000000001E-3</v>
      </c>
      <c r="E58" s="31">
        <f>'4.6.2.'!D58/20</f>
        <v>2.6666666666666666E-3</v>
      </c>
      <c r="F58" s="31">
        <f t="shared" si="0"/>
        <v>2.2333333333333334E-2</v>
      </c>
      <c r="G58" s="33">
        <f>0.02*5</f>
        <v>0.1</v>
      </c>
    </row>
    <row r="59" spans="1:7" x14ac:dyDescent="0.25">
      <c r="A59" s="31">
        <v>2311</v>
      </c>
      <c r="B59" s="32" t="s">
        <v>151</v>
      </c>
      <c r="C59" s="31">
        <f>'4.4.2.'!E59/20</f>
        <v>0.186</v>
      </c>
      <c r="D59" s="31">
        <f>'4.5.2.'!D59/20</f>
        <v>0.26</v>
      </c>
      <c r="E59" s="31">
        <f>'4.6.2.'!D59/20</f>
        <v>0.12533333333333332</v>
      </c>
      <c r="F59" s="31">
        <f t="shared" si="0"/>
        <v>1.1426666666666667</v>
      </c>
      <c r="G59" s="33">
        <f>1.14*5</f>
        <v>5.6999999999999993</v>
      </c>
    </row>
    <row r="60" spans="1:7" hidden="1" x14ac:dyDescent="0.25">
      <c r="A60" s="31">
        <v>2312</v>
      </c>
      <c r="B60" s="32" t="s">
        <v>116</v>
      </c>
      <c r="C60" s="31">
        <f>'4.4.2.'!E60/20</f>
        <v>0</v>
      </c>
      <c r="D60" s="31">
        <f>'4.5.2.'!D60/20</f>
        <v>0</v>
      </c>
      <c r="E60" s="31">
        <f>'4.6.2.'!D60/20</f>
        <v>0</v>
      </c>
      <c r="F60" s="31">
        <f t="shared" si="0"/>
        <v>0</v>
      </c>
      <c r="G60" s="33">
        <f>F60*5</f>
        <v>0</v>
      </c>
    </row>
    <row r="61" spans="1:7" hidden="1" x14ac:dyDescent="0.25">
      <c r="A61" s="31">
        <v>2314</v>
      </c>
      <c r="B61" s="32"/>
      <c r="C61" s="31">
        <f>'4.4.2.'!E61/20</f>
        <v>0</v>
      </c>
      <c r="D61" s="31">
        <f>'4.5.2.'!D61/20</f>
        <v>0</v>
      </c>
      <c r="E61" s="31">
        <f>'4.6.2.'!D61/20</f>
        <v>0</v>
      </c>
      <c r="F61" s="31">
        <f t="shared" si="0"/>
        <v>0</v>
      </c>
      <c r="G61" s="33">
        <f>F61*5</f>
        <v>0</v>
      </c>
    </row>
    <row r="62" spans="1:7" x14ac:dyDescent="0.25">
      <c r="A62" s="31">
        <v>2321</v>
      </c>
      <c r="B62" s="32" t="s">
        <v>139</v>
      </c>
      <c r="C62" s="31">
        <f>'4.4.2.'!E62/20</f>
        <v>7.2750000000000009E-2</v>
      </c>
      <c r="D62" s="31">
        <f>'4.5.2.'!D62/20</f>
        <v>0.16625000000000001</v>
      </c>
      <c r="E62" s="31">
        <f>'4.6.2.'!D62/20</f>
        <v>8.3250000000000005E-2</v>
      </c>
      <c r="F62" s="31">
        <f t="shared" si="0"/>
        <v>0.64450000000000007</v>
      </c>
      <c r="G62" s="33">
        <f>0.64*5</f>
        <v>3.2</v>
      </c>
    </row>
    <row r="63" spans="1:7" x14ac:dyDescent="0.25">
      <c r="A63" s="31">
        <v>2322</v>
      </c>
      <c r="B63" s="32" t="s">
        <v>153</v>
      </c>
      <c r="C63" s="31">
        <f>'4.4.2.'!E63/20</f>
        <v>0.1835</v>
      </c>
      <c r="D63" s="31">
        <f>'4.5.2.'!D63/20</f>
        <v>0.84599999999999986</v>
      </c>
      <c r="E63" s="31">
        <f>'4.6.2.'!D63/20</f>
        <v>0.36399999999999999</v>
      </c>
      <c r="F63" s="31">
        <f t="shared" si="0"/>
        <v>2.7869999999999999</v>
      </c>
      <c r="G63" s="33">
        <f>2.79*5</f>
        <v>13.95</v>
      </c>
    </row>
    <row r="64" spans="1:7" hidden="1" x14ac:dyDescent="0.25">
      <c r="A64" s="31">
        <v>2341</v>
      </c>
      <c r="B64" s="32"/>
      <c r="C64" s="31">
        <f>'4.4.2.'!E64/20</f>
        <v>0</v>
      </c>
      <c r="D64" s="31">
        <f>'4.5.2.'!D64/20</f>
        <v>0</v>
      </c>
      <c r="E64" s="31">
        <f>'4.6.2.'!D64/20</f>
        <v>0</v>
      </c>
      <c r="F64" s="31">
        <f t="shared" si="0"/>
        <v>0</v>
      </c>
      <c r="G64" s="33">
        <f>F64*5</f>
        <v>0</v>
      </c>
    </row>
    <row r="65" spans="1:9" x14ac:dyDescent="0.35">
      <c r="A65" s="31">
        <v>2350</v>
      </c>
      <c r="B65" s="61" t="s">
        <v>125</v>
      </c>
      <c r="C65" s="31">
        <f>'4.4.2.'!E65/20</f>
        <v>0.87200000000000011</v>
      </c>
      <c r="D65" s="31">
        <f>'4.5.2.'!D65/20</f>
        <v>0.91050000000000009</v>
      </c>
      <c r="E65" s="31">
        <f>'4.6.2.'!D65/20</f>
        <v>0.45533333333333326</v>
      </c>
      <c r="F65" s="31">
        <f t="shared" si="0"/>
        <v>4.4756666666666671</v>
      </c>
      <c r="G65" s="33">
        <f>4.48*5</f>
        <v>22.400000000000002</v>
      </c>
    </row>
    <row r="66" spans="1:9" hidden="1" x14ac:dyDescent="0.25">
      <c r="A66" s="31">
        <v>2513</v>
      </c>
      <c r="B66" s="32"/>
      <c r="C66" s="31">
        <f>'4.4.2.'!E66/20</f>
        <v>0</v>
      </c>
      <c r="D66" s="31">
        <f>'4.5.2.'!D66/20</f>
        <v>0</v>
      </c>
      <c r="E66" s="31">
        <f>'4.6.2.'!D66/20</f>
        <v>0</v>
      </c>
      <c r="F66" s="31">
        <f t="shared" si="0"/>
        <v>0</v>
      </c>
      <c r="G66" s="33">
        <f>F66*5</f>
        <v>0</v>
      </c>
    </row>
    <row r="67" spans="1:9" x14ac:dyDescent="0.25">
      <c r="A67" s="31">
        <v>2515</v>
      </c>
      <c r="B67" s="32" t="s">
        <v>155</v>
      </c>
      <c r="C67" s="31">
        <f>'4.4.2.'!E67/20</f>
        <v>0.30453977272727273</v>
      </c>
      <c r="D67" s="31">
        <f>'4.5.2.'!D67/20</f>
        <v>0.22441908231974131</v>
      </c>
      <c r="E67" s="31">
        <f>'4.6.2.'!D67/20</f>
        <v>0.12822727272727275</v>
      </c>
      <c r="F67" s="31">
        <f t="shared" si="0"/>
        <v>1.3143722555485735</v>
      </c>
      <c r="G67" s="33">
        <f>1.31*5</f>
        <v>6.5500000000000007</v>
      </c>
    </row>
    <row r="68" spans="1:9" x14ac:dyDescent="0.25">
      <c r="A68" s="31">
        <v>2519</v>
      </c>
      <c r="B68" s="32" t="s">
        <v>122</v>
      </c>
      <c r="C68" s="31">
        <f>'4.4.2.'!E68/20</f>
        <v>3.0000000000000001E-3</v>
      </c>
      <c r="D68" s="31">
        <f>'4.5.2.'!D68/20</f>
        <v>4.0000000000000001E-3</v>
      </c>
      <c r="E68" s="31">
        <f>'4.6.2.'!D68/20</f>
        <v>2.6666666666666666E-3</v>
      </c>
      <c r="F68" s="31">
        <f t="shared" si="0"/>
        <v>1.9333333333333334E-2</v>
      </c>
      <c r="G68" s="33">
        <f>0.02*5</f>
        <v>0.1</v>
      </c>
    </row>
    <row r="69" spans="1:9" hidden="1" x14ac:dyDescent="0.25">
      <c r="A69" s="31">
        <v>5220</v>
      </c>
      <c r="B69" s="32"/>
      <c r="C69" s="31">
        <f>'4.4.2.'!E69/20</f>
        <v>0</v>
      </c>
      <c r="D69" s="31">
        <f>'4.5.2.'!D69/20</f>
        <v>0</v>
      </c>
      <c r="E69" s="31">
        <f>'4.6.2.'!D69/20</f>
        <v>0</v>
      </c>
      <c r="F69" s="31">
        <f t="shared" si="0"/>
        <v>0</v>
      </c>
      <c r="G69" s="33">
        <f>F69*5</f>
        <v>0</v>
      </c>
    </row>
    <row r="70" spans="1:9" x14ac:dyDescent="0.35">
      <c r="A70" s="31">
        <v>5238</v>
      </c>
      <c r="B70" s="61" t="s">
        <v>129</v>
      </c>
      <c r="C70" s="31">
        <f>'4.4.2.'!E70/20</f>
        <v>0.40499999999999997</v>
      </c>
      <c r="D70" s="31">
        <f>'4.5.2.'!D70/20</f>
        <v>0.36049999999999999</v>
      </c>
      <c r="E70" s="31">
        <f>'4.6.2.'!D70/20</f>
        <v>0.217</v>
      </c>
      <c r="F70" s="31">
        <f t="shared" si="0"/>
        <v>1.9649999999999999</v>
      </c>
      <c r="G70" s="33">
        <f>1.97*5</f>
        <v>9.85</v>
      </c>
    </row>
    <row r="71" spans="1:9" x14ac:dyDescent="0.35">
      <c r="A71" s="31">
        <v>5239</v>
      </c>
      <c r="B71" s="61" t="s">
        <v>130</v>
      </c>
      <c r="C71" s="31">
        <f>'4.4.2.'!E71/20</f>
        <v>2.3410000000000002</v>
      </c>
      <c r="D71" s="31">
        <f>'4.5.2.'!D71/20</f>
        <v>1.0125</v>
      </c>
      <c r="E71" s="31">
        <f>'4.6.2.'!D71/20</f>
        <v>0.50766666666666671</v>
      </c>
      <c r="F71" s="31">
        <f t="shared" si="0"/>
        <v>7.7223333333333342</v>
      </c>
      <c r="G71" s="33">
        <f>7.72*5-0.06</f>
        <v>38.54</v>
      </c>
    </row>
    <row r="72" spans="1:9" x14ac:dyDescent="0.25">
      <c r="A72" s="31">
        <v>5250</v>
      </c>
      <c r="B72" s="32" t="s">
        <v>131</v>
      </c>
      <c r="C72" s="31">
        <f>'4.4.2.'!E72/20</f>
        <v>1.7550000000000001</v>
      </c>
      <c r="D72" s="31">
        <f>'4.5.2.'!D72/20</f>
        <v>0.76349999999999996</v>
      </c>
      <c r="E72" s="31">
        <f>'4.6.2.'!D72/20</f>
        <v>0.38033333333333336</v>
      </c>
      <c r="F72" s="31">
        <f t="shared" si="0"/>
        <v>5.7976666666666663</v>
      </c>
      <c r="G72" s="33">
        <f>5.8*5</f>
        <v>29</v>
      </c>
    </row>
    <row r="73" spans="1:9" x14ac:dyDescent="0.25">
      <c r="A73" s="38"/>
      <c r="B73" s="40" t="s">
        <v>8</v>
      </c>
      <c r="C73" s="31">
        <f>'4.4.2.'!E73/20</f>
        <v>33.451289772727286</v>
      </c>
      <c r="D73" s="31">
        <f>'4.5.2.'!D73/20</f>
        <v>22.025919082319739</v>
      </c>
      <c r="E73" s="31">
        <f>'4.6.2.'!D73/20</f>
        <v>13.416060606060608</v>
      </c>
      <c r="F73" s="31">
        <f t="shared" si="0"/>
        <v>137.78653892221527</v>
      </c>
      <c r="G73" s="37">
        <f>SUM(G39:G72)</f>
        <v>688.8</v>
      </c>
    </row>
    <row r="74" spans="1:9" x14ac:dyDescent="0.25">
      <c r="A74" s="38"/>
      <c r="B74" s="40" t="s">
        <v>29</v>
      </c>
      <c r="C74" s="31">
        <f>'4.4.2.'!E74/20</f>
        <v>190.24995454545456</v>
      </c>
      <c r="D74" s="31">
        <f>'4.5.2.'!D74/20</f>
        <v>110.85414937085855</v>
      </c>
      <c r="E74" s="31">
        <f>'4.6.2.'!D74/20</f>
        <v>69.701075757575765</v>
      </c>
      <c r="F74" s="31">
        <f t="shared" si="0"/>
        <v>741.61035934777772</v>
      </c>
      <c r="G74" s="37">
        <f>G37+G73</f>
        <v>3708</v>
      </c>
    </row>
    <row r="75" spans="1:9" x14ac:dyDescent="0.35">
      <c r="A75" s="15"/>
      <c r="B75" s="25"/>
      <c r="C75" s="25"/>
      <c r="D75" s="25"/>
      <c r="E75" s="25"/>
      <c r="F75" s="25"/>
    </row>
    <row r="76" spans="1:9" x14ac:dyDescent="0.25">
      <c r="A76" s="419" t="s">
        <v>57</v>
      </c>
      <c r="B76" s="419"/>
      <c r="C76" s="11"/>
      <c r="D76" s="11"/>
      <c r="E76" s="11"/>
      <c r="F76" s="11"/>
      <c r="G76" s="67">
        <v>5</v>
      </c>
    </row>
    <row r="77" spans="1:9" x14ac:dyDescent="0.3">
      <c r="A77" s="419" t="s">
        <v>58</v>
      </c>
      <c r="B77" s="419"/>
      <c r="C77" s="11"/>
      <c r="D77" s="11"/>
      <c r="E77" s="11"/>
      <c r="F77" s="11"/>
      <c r="G77" s="68">
        <f>G74/G76</f>
        <v>741.6</v>
      </c>
    </row>
    <row r="78" spans="1:9" x14ac:dyDescent="0.35">
      <c r="A78" s="25"/>
      <c r="B78" s="26"/>
      <c r="C78" s="26"/>
      <c r="D78" s="26"/>
      <c r="E78" s="26"/>
      <c r="F78" s="26"/>
    </row>
    <row r="79" spans="1:9" x14ac:dyDescent="0.35">
      <c r="A79" s="430" t="s">
        <v>33</v>
      </c>
      <c r="B79" s="417"/>
      <c r="C79" s="80"/>
      <c r="D79" s="80"/>
      <c r="E79" s="80"/>
      <c r="F79" s="143"/>
      <c r="G79" s="27"/>
      <c r="I79" s="148"/>
    </row>
    <row r="80" spans="1:9" x14ac:dyDescent="0.35">
      <c r="A80" s="430" t="s">
        <v>64</v>
      </c>
      <c r="B80" s="417"/>
      <c r="C80" s="80"/>
      <c r="D80" s="80"/>
      <c r="E80" s="80"/>
      <c r="F80" s="143"/>
      <c r="G80" s="27"/>
      <c r="I80" s="148"/>
    </row>
    <row r="81" spans="1:9" hidden="1" x14ac:dyDescent="0.35">
      <c r="A81" s="28"/>
      <c r="B81" s="28"/>
      <c r="C81" s="29"/>
      <c r="D81" s="29"/>
      <c r="E81" s="29"/>
      <c r="F81" s="28"/>
      <c r="G81" s="28"/>
      <c r="I81" s="148"/>
    </row>
    <row r="82" spans="1:9" x14ac:dyDescent="0.35">
      <c r="A82" s="28" t="s">
        <v>34</v>
      </c>
      <c r="B82" s="28"/>
      <c r="C82" s="28"/>
      <c r="D82" s="28"/>
      <c r="E82" s="28"/>
      <c r="F82" s="28"/>
      <c r="G82" s="309"/>
      <c r="H82" s="310"/>
    </row>
    <row r="83" spans="1:9" x14ac:dyDescent="0.35">
      <c r="A83" s="28"/>
      <c r="B83" s="28"/>
      <c r="C83" s="28"/>
      <c r="D83" s="28"/>
      <c r="E83" s="28"/>
      <c r="F83" s="28"/>
      <c r="G83" s="309"/>
      <c r="H83" s="308"/>
    </row>
    <row r="84" spans="1:9" x14ac:dyDescent="0.35">
      <c r="A84" s="28" t="s">
        <v>177</v>
      </c>
      <c r="B84" s="29"/>
      <c r="C84" s="29"/>
      <c r="D84" s="29"/>
      <c r="E84" s="29"/>
      <c r="F84" s="29"/>
      <c r="G84" s="309"/>
      <c r="H84" s="310"/>
      <c r="I84" s="148"/>
    </row>
    <row r="85" spans="1:9" x14ac:dyDescent="0.35">
      <c r="A85" s="28"/>
      <c r="B85" s="30"/>
      <c r="C85" s="30"/>
      <c r="D85" s="30"/>
      <c r="E85" s="30"/>
      <c r="F85" s="30"/>
      <c r="G85" s="309"/>
      <c r="H85" s="308"/>
    </row>
    <row r="101" ht="15.75" customHeight="1" x14ac:dyDescent="0.35"/>
    <row r="102" ht="15.75" customHeight="1" x14ac:dyDescent="0.35"/>
    <row r="104" ht="15.75" customHeight="1" x14ac:dyDescent="0.35"/>
    <row r="105" ht="15.75" customHeight="1" x14ac:dyDescent="0.35"/>
  </sheetData>
  <mergeCells count="8">
    <mergeCell ref="A80:B80"/>
    <mergeCell ref="A7:G7"/>
    <mergeCell ref="A9:B9"/>
    <mergeCell ref="B12:G12"/>
    <mergeCell ref="A76:B76"/>
    <mergeCell ref="A77:B77"/>
    <mergeCell ref="A79:B79"/>
    <mergeCell ref="A10:B10"/>
  </mergeCells>
  <pageMargins left="0.7" right="0.7" top="0.55000000000000004" bottom="0.41666666666666669" header="0.3" footer="0.3"/>
  <pageSetup paperSize="9" scale="72" fitToHeight="0" orientation="portrait" r:id="rId1"/>
  <headerFooter>
    <oddFooter>&amp;F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L87"/>
  <sheetViews>
    <sheetView view="pageLayout" topLeftCell="A2" zoomScale="80" zoomScaleNormal="70" zoomScalePageLayoutView="80" workbookViewId="0">
      <selection activeCell="B12" sqref="B12:G12"/>
    </sheetView>
  </sheetViews>
  <sheetFormatPr defaultColWidth="9.1796875" defaultRowHeight="15.5" x14ac:dyDescent="0.35"/>
  <cols>
    <col min="1" max="1" width="12.81640625" style="16" customWidth="1"/>
    <col min="2" max="2" width="84.54296875" style="16" customWidth="1"/>
    <col min="3" max="4" width="7.81640625" style="263" hidden="1" customWidth="1"/>
    <col min="5" max="5" width="31.7265625" style="16" hidden="1" customWidth="1"/>
    <col min="6" max="6" width="26.453125" style="16" hidden="1" customWidth="1"/>
    <col min="7" max="7" width="26.453125" style="16" customWidth="1"/>
    <col min="8" max="8" width="12.54296875" style="16" customWidth="1"/>
    <col min="9" max="11" width="9.1796875" style="187" customWidth="1"/>
    <col min="12" max="12" width="9.1796875" style="187" hidden="1" customWidth="1"/>
    <col min="13" max="16384" width="9.1796875" style="187"/>
  </cols>
  <sheetData>
    <row r="1" spans="1:8" s="4" customFormat="1" ht="14.25" customHeight="1" x14ac:dyDescent="0.35">
      <c r="A1" s="13"/>
      <c r="B1" s="14"/>
      <c r="C1" s="214"/>
      <c r="D1" s="241"/>
      <c r="E1" s="17" t="s">
        <v>10</v>
      </c>
      <c r="F1" s="17" t="s">
        <v>10</v>
      </c>
      <c r="G1" s="17" t="s">
        <v>10</v>
      </c>
      <c r="H1" s="14"/>
    </row>
    <row r="2" spans="1:8" s="4" customFormat="1" ht="14.25" customHeight="1" x14ac:dyDescent="0.35">
      <c r="A2" s="13"/>
      <c r="B2" s="60"/>
      <c r="C2" s="216"/>
      <c r="D2" s="214"/>
      <c r="E2" s="14" t="s">
        <v>32</v>
      </c>
      <c r="F2" s="14" t="s">
        <v>32</v>
      </c>
      <c r="G2" s="14" t="s">
        <v>32</v>
      </c>
      <c r="H2" s="15"/>
    </row>
    <row r="3" spans="1:8" s="4" customFormat="1" ht="14.25" customHeight="1" x14ac:dyDescent="0.35">
      <c r="A3" s="13"/>
      <c r="B3" s="60"/>
      <c r="C3" s="216"/>
      <c r="D3" s="260"/>
      <c r="E3" s="77" t="s">
        <v>66</v>
      </c>
      <c r="F3" s="77" t="s">
        <v>66</v>
      </c>
      <c r="G3" s="77" t="s">
        <v>66</v>
      </c>
      <c r="H3" s="188"/>
    </row>
    <row r="4" spans="1:8" s="4" customFormat="1" x14ac:dyDescent="0.35">
      <c r="A4" s="13"/>
      <c r="B4" s="14"/>
      <c r="C4" s="214"/>
      <c r="D4" s="261"/>
      <c r="E4" s="54"/>
      <c r="F4" s="54"/>
      <c r="G4" s="54"/>
      <c r="H4" s="15"/>
    </row>
    <row r="5" spans="1:8" s="4" customFormat="1" ht="14.25" customHeight="1" x14ac:dyDescent="0.35">
      <c r="A5" s="13"/>
      <c r="B5" s="71"/>
      <c r="C5" s="215"/>
      <c r="D5" s="262"/>
      <c r="E5" s="15" t="s">
        <v>226</v>
      </c>
      <c r="F5" s="15" t="s">
        <v>263</v>
      </c>
      <c r="G5" s="15" t="s">
        <v>333</v>
      </c>
      <c r="H5" s="15"/>
    </row>
    <row r="6" spans="1:8" hidden="1" x14ac:dyDescent="0.35">
      <c r="A6" s="13"/>
      <c r="B6" s="14"/>
      <c r="C6" s="214"/>
    </row>
    <row r="7" spans="1:8" ht="15" x14ac:dyDescent="0.3">
      <c r="A7" s="416" t="s">
        <v>9</v>
      </c>
      <c r="B7" s="416"/>
      <c r="C7" s="416"/>
      <c r="D7" s="416"/>
      <c r="E7" s="416"/>
      <c r="F7" s="416"/>
      <c r="G7" s="416"/>
      <c r="H7" s="70"/>
    </row>
    <row r="8" spans="1:8" ht="15" x14ac:dyDescent="0.3">
      <c r="A8" s="70"/>
      <c r="B8" s="70"/>
      <c r="C8" s="218"/>
      <c r="D8" s="218"/>
      <c r="E8" s="70"/>
      <c r="F8" s="70"/>
      <c r="G8" s="70"/>
      <c r="H8" s="70"/>
    </row>
    <row r="9" spans="1:8" ht="15" customHeight="1" x14ac:dyDescent="0.35">
      <c r="A9" s="419" t="s">
        <v>1</v>
      </c>
      <c r="B9" s="419"/>
      <c r="C9" s="220"/>
    </row>
    <row r="10" spans="1:8" ht="15" customHeight="1" x14ac:dyDescent="0.35">
      <c r="A10" s="419" t="s">
        <v>0</v>
      </c>
      <c r="B10" s="419"/>
      <c r="C10" s="220"/>
    </row>
    <row r="11" spans="1:8" ht="15" customHeight="1" x14ac:dyDescent="0.35">
      <c r="A11" s="11"/>
      <c r="B11" s="11" t="s">
        <v>179</v>
      </c>
      <c r="C11" s="220"/>
    </row>
    <row r="12" spans="1:8" ht="45" customHeight="1" x14ac:dyDescent="0.3">
      <c r="A12" s="11"/>
      <c r="B12" s="450" t="s">
        <v>347</v>
      </c>
      <c r="C12" s="451"/>
      <c r="D12" s="451"/>
      <c r="E12" s="451"/>
      <c r="F12" s="451"/>
      <c r="G12" s="451"/>
      <c r="H12" s="11"/>
    </row>
    <row r="13" spans="1:8" ht="15" hidden="1" customHeight="1" x14ac:dyDescent="0.35">
      <c r="C13" s="220"/>
    </row>
    <row r="14" spans="1:8" x14ac:dyDescent="0.35">
      <c r="A14" s="11" t="s">
        <v>2</v>
      </c>
      <c r="B14" s="11" t="s">
        <v>250</v>
      </c>
      <c r="C14" s="220"/>
    </row>
    <row r="15" spans="1:8" ht="60.75" customHeight="1" x14ac:dyDescent="0.3">
      <c r="A15" s="51" t="s">
        <v>3</v>
      </c>
      <c r="B15" s="51" t="s">
        <v>4</v>
      </c>
      <c r="C15" s="51"/>
      <c r="D15" s="51"/>
      <c r="E15" s="51" t="s">
        <v>63</v>
      </c>
      <c r="F15" s="51" t="s">
        <v>63</v>
      </c>
      <c r="G15" s="51" t="s">
        <v>63</v>
      </c>
      <c r="H15" s="187"/>
    </row>
    <row r="16" spans="1:8" ht="15" x14ac:dyDescent="0.3">
      <c r="A16" s="20">
        <v>1</v>
      </c>
      <c r="B16" s="21">
        <v>2</v>
      </c>
      <c r="C16" s="224"/>
      <c r="D16" s="224"/>
      <c r="E16" s="21">
        <v>3</v>
      </c>
      <c r="F16" s="21">
        <v>3</v>
      </c>
      <c r="G16" s="21">
        <v>3</v>
      </c>
      <c r="H16" s="187"/>
    </row>
    <row r="17" spans="1:8" x14ac:dyDescent="0.3">
      <c r="A17" s="41"/>
      <c r="B17" s="39" t="s">
        <v>5</v>
      </c>
      <c r="C17" s="242">
        <v>2023</v>
      </c>
      <c r="D17" s="264"/>
      <c r="E17" s="35"/>
      <c r="F17" s="35"/>
      <c r="G17" s="35"/>
      <c r="H17" s="187"/>
    </row>
    <row r="18" spans="1:8" x14ac:dyDescent="0.3">
      <c r="A18" s="31">
        <v>1100</v>
      </c>
      <c r="B18" s="31" t="s">
        <v>132</v>
      </c>
      <c r="C18" s="265">
        <v>8.3168716924613069</v>
      </c>
      <c r="D18" s="265"/>
      <c r="E18" s="33">
        <v>1215.53</v>
      </c>
      <c r="F18" s="33">
        <f>E18/130*300</f>
        <v>2805.0692307692307</v>
      </c>
      <c r="G18" s="33">
        <v>2805.07</v>
      </c>
      <c r="H18" s="187"/>
    </row>
    <row r="19" spans="1:8" x14ac:dyDescent="0.35">
      <c r="A19" s="31">
        <v>1200</v>
      </c>
      <c r="B19" s="61" t="s">
        <v>133</v>
      </c>
      <c r="C19" s="265">
        <f>C18*0.2359</f>
        <v>1.9619500322516223</v>
      </c>
      <c r="D19" s="265"/>
      <c r="E19" s="33">
        <v>286.74</v>
      </c>
      <c r="F19" s="33">
        <v>661.72</v>
      </c>
      <c r="G19" s="33">
        <v>661.72</v>
      </c>
      <c r="H19" s="187"/>
    </row>
    <row r="20" spans="1:8" hidden="1" x14ac:dyDescent="0.35">
      <c r="A20" s="31">
        <v>2210</v>
      </c>
      <c r="B20" s="61"/>
      <c r="C20" s="265"/>
      <c r="D20" s="265"/>
      <c r="E20" s="33"/>
      <c r="F20" s="33">
        <f>E20/130*300</f>
        <v>0</v>
      </c>
      <c r="G20" s="33">
        <f>F20/130*300</f>
        <v>0</v>
      </c>
      <c r="H20" s="187"/>
    </row>
    <row r="21" spans="1:8" x14ac:dyDescent="0.35">
      <c r="A21" s="31">
        <v>2222</v>
      </c>
      <c r="B21" s="62" t="s">
        <v>135</v>
      </c>
      <c r="C21" s="265">
        <v>0.27219670494258608</v>
      </c>
      <c r="D21" s="265"/>
      <c r="E21" s="33">
        <v>34.82</v>
      </c>
      <c r="F21" s="33">
        <f>E21/130*300</f>
        <v>80.353846153846149</v>
      </c>
      <c r="G21" s="33">
        <v>80.349999999999994</v>
      </c>
      <c r="H21" s="187"/>
    </row>
    <row r="22" spans="1:8" x14ac:dyDescent="0.3">
      <c r="A22" s="31">
        <v>2223</v>
      </c>
      <c r="B22" s="32" t="s">
        <v>136</v>
      </c>
      <c r="C22" s="265">
        <v>0.54961557663504745</v>
      </c>
      <c r="D22" s="265"/>
      <c r="E22" s="33">
        <v>69.75</v>
      </c>
      <c r="F22" s="33">
        <f>E29/130*300</f>
        <v>113.28461538461539</v>
      </c>
      <c r="G22" s="33">
        <v>113.28</v>
      </c>
      <c r="H22" s="187"/>
    </row>
    <row r="23" spans="1:8" x14ac:dyDescent="0.3">
      <c r="A23" s="31">
        <v>2243</v>
      </c>
      <c r="B23" s="32" t="s">
        <v>137</v>
      </c>
      <c r="C23" s="265">
        <v>4.8118148369292721E-2</v>
      </c>
      <c r="D23" s="265"/>
      <c r="E23" s="33">
        <v>6.21</v>
      </c>
      <c r="F23" s="33">
        <f>E23/130*300</f>
        <v>14.330769230769231</v>
      </c>
      <c r="G23" s="33">
        <v>14.33</v>
      </c>
      <c r="H23" s="187"/>
    </row>
    <row r="24" spans="1:8" x14ac:dyDescent="0.35">
      <c r="A24" s="31">
        <v>2244</v>
      </c>
      <c r="B24" s="22" t="s">
        <v>138</v>
      </c>
      <c r="C24" s="265">
        <v>0.6579759327401502</v>
      </c>
      <c r="D24" s="265"/>
      <c r="E24" s="33">
        <v>83.69</v>
      </c>
      <c r="F24" s="107">
        <f>'[2]4.4.-.4.5.-4.6.'!$S$16*20*300</f>
        <v>532.6046187643999</v>
      </c>
      <c r="G24" s="33">
        <v>532.6</v>
      </c>
      <c r="H24" s="187"/>
    </row>
    <row r="25" spans="1:8" hidden="1" x14ac:dyDescent="0.35">
      <c r="A25" s="31">
        <v>2250</v>
      </c>
      <c r="B25" s="22"/>
      <c r="C25" s="265"/>
      <c r="D25" s="265"/>
      <c r="E25" s="33"/>
      <c r="F25" s="33">
        <f>E25/130*300</f>
        <v>0</v>
      </c>
      <c r="G25" s="33">
        <f>F25/130*300</f>
        <v>0</v>
      </c>
      <c r="H25" s="187"/>
    </row>
    <row r="26" spans="1:8" x14ac:dyDescent="0.35">
      <c r="A26" s="31">
        <v>2263</v>
      </c>
      <c r="B26" s="62" t="s">
        <v>149</v>
      </c>
      <c r="D26" s="265"/>
      <c r="E26" s="107"/>
      <c r="F26" s="107">
        <f>'[2]4.4.-.4.5.-4.6.'!$N$17*300</f>
        <v>181.88856060606062</v>
      </c>
      <c r="G26" s="33">
        <v>181.89</v>
      </c>
      <c r="H26" s="187"/>
    </row>
    <row r="27" spans="1:8" x14ac:dyDescent="0.3">
      <c r="A27" s="31">
        <v>2311</v>
      </c>
      <c r="B27" s="32" t="s">
        <v>151</v>
      </c>
      <c r="C27" s="265">
        <v>0.30557164253619568</v>
      </c>
      <c r="D27" s="265"/>
      <c r="E27" s="33">
        <v>38.51</v>
      </c>
      <c r="F27" s="33">
        <f>E27/130*300</f>
        <v>88.869230769230768</v>
      </c>
      <c r="G27" s="33">
        <v>88.87</v>
      </c>
      <c r="H27" s="187"/>
    </row>
    <row r="28" spans="1:8" x14ac:dyDescent="0.3">
      <c r="A28" s="31">
        <v>2312</v>
      </c>
      <c r="B28" s="32" t="s">
        <v>116</v>
      </c>
      <c r="C28" s="265">
        <v>0.36158858572875252</v>
      </c>
      <c r="D28" s="265"/>
      <c r="E28" s="33">
        <v>46.57</v>
      </c>
      <c r="F28" s="33">
        <f>E28/130*300</f>
        <v>107.46923076923078</v>
      </c>
      <c r="G28" s="33">
        <v>107.47</v>
      </c>
      <c r="H28" s="187"/>
    </row>
    <row r="29" spans="1:8" x14ac:dyDescent="0.3">
      <c r="A29" s="31">
        <v>2321</v>
      </c>
      <c r="B29" s="32" t="s">
        <v>139</v>
      </c>
      <c r="C29" s="265">
        <v>0.38585280518421283</v>
      </c>
      <c r="D29" s="265"/>
      <c r="E29" s="33">
        <v>49.09</v>
      </c>
      <c r="F29" s="33">
        <f>E22/130*300</f>
        <v>160.96153846153845</v>
      </c>
      <c r="G29" s="33">
        <v>160.96</v>
      </c>
      <c r="H29" s="187"/>
    </row>
    <row r="30" spans="1:8" x14ac:dyDescent="0.35">
      <c r="A30" s="31">
        <v>2350</v>
      </c>
      <c r="B30" s="61" t="s">
        <v>125</v>
      </c>
      <c r="C30" s="265">
        <v>0.18701369566052103</v>
      </c>
      <c r="D30" s="265"/>
      <c r="E30" s="33">
        <v>23.98</v>
      </c>
      <c r="F30" s="33">
        <f t="shared" ref="F30:F35" si="0">E30/130*300</f>
        <v>55.338461538461537</v>
      </c>
      <c r="G30" s="33">
        <v>55.34</v>
      </c>
      <c r="H30" s="187"/>
    </row>
    <row r="31" spans="1:8" x14ac:dyDescent="0.35">
      <c r="A31" s="31">
        <v>2361</v>
      </c>
      <c r="B31" s="61" t="s">
        <v>141</v>
      </c>
      <c r="C31" s="265">
        <v>5.4458312531203187E-2</v>
      </c>
      <c r="D31" s="265"/>
      <c r="E31" s="33">
        <v>6.86</v>
      </c>
      <c r="F31" s="33">
        <f t="shared" si="0"/>
        <v>15.830769230769231</v>
      </c>
      <c r="G31" s="33">
        <v>15.83</v>
      </c>
      <c r="H31" s="187"/>
    </row>
    <row r="32" spans="1:8" ht="15" customHeight="1" x14ac:dyDescent="0.3">
      <c r="A32" s="31">
        <v>2362</v>
      </c>
      <c r="B32" s="32" t="s">
        <v>170</v>
      </c>
      <c r="C32" s="265">
        <v>4.8496533819285675E-2</v>
      </c>
      <c r="D32" s="264"/>
      <c r="E32" s="33">
        <v>6.33</v>
      </c>
      <c r="F32" s="33">
        <f t="shared" si="0"/>
        <v>14.607692307692309</v>
      </c>
      <c r="G32" s="33">
        <v>14.61</v>
      </c>
      <c r="H32" s="187"/>
    </row>
    <row r="33" spans="1:9" x14ac:dyDescent="0.35">
      <c r="A33" s="31">
        <v>2363</v>
      </c>
      <c r="B33" s="62" t="s">
        <v>142</v>
      </c>
      <c r="C33" s="265">
        <v>5.58</v>
      </c>
      <c r="D33" s="265"/>
      <c r="E33" s="33">
        <f>5.58*130</f>
        <v>725.4</v>
      </c>
      <c r="F33" s="33">
        <f t="shared" si="0"/>
        <v>1674</v>
      </c>
      <c r="G33" s="33">
        <v>1674</v>
      </c>
      <c r="H33" s="187"/>
    </row>
    <row r="34" spans="1:9" hidden="1" x14ac:dyDescent="0.35">
      <c r="A34" s="31">
        <v>2513</v>
      </c>
      <c r="B34" s="62"/>
      <c r="C34" s="265"/>
      <c r="D34" s="265"/>
      <c r="E34" s="33"/>
      <c r="F34" s="33">
        <f t="shared" si="0"/>
        <v>0</v>
      </c>
      <c r="G34" s="33">
        <f>F34/130*300</f>
        <v>0</v>
      </c>
      <c r="H34" s="187"/>
    </row>
    <row r="35" spans="1:9" hidden="1" x14ac:dyDescent="0.35">
      <c r="A35" s="31">
        <v>2519</v>
      </c>
      <c r="B35" s="62"/>
      <c r="C35" s="265"/>
      <c r="D35" s="265"/>
      <c r="E35" s="33"/>
      <c r="F35" s="33">
        <f t="shared" si="0"/>
        <v>0</v>
      </c>
      <c r="G35" s="33">
        <f>F35/130*300</f>
        <v>0</v>
      </c>
      <c r="H35" s="187"/>
    </row>
    <row r="36" spans="1:9" x14ac:dyDescent="0.35">
      <c r="A36" s="31">
        <v>5239</v>
      </c>
      <c r="B36" s="61" t="s">
        <v>130</v>
      </c>
      <c r="C36" s="265">
        <v>0.45337909012476479</v>
      </c>
      <c r="D36" s="265"/>
      <c r="E36" s="33">
        <v>0</v>
      </c>
      <c r="F36" s="33">
        <v>0</v>
      </c>
      <c r="G36" s="33">
        <f>30.67+16.75+13.8+2.08+3.37+9.26</f>
        <v>75.930000000000007</v>
      </c>
      <c r="H36" s="187"/>
    </row>
    <row r="37" spans="1:9" x14ac:dyDescent="0.3">
      <c r="A37" s="31"/>
      <c r="B37" s="36" t="s">
        <v>6</v>
      </c>
      <c r="C37" s="266">
        <f>SUM(C18:C36)</f>
        <v>19.18308875298494</v>
      </c>
      <c r="D37" s="266"/>
      <c r="E37" s="37">
        <f>SUM(E18:E33)</f>
        <v>2593.4799999999996</v>
      </c>
      <c r="F37" s="37">
        <f>SUM(F18:F36)</f>
        <v>6506.328563985845</v>
      </c>
      <c r="G37" s="37">
        <f>SUM(G18:G36)</f>
        <v>6582.2500000000009</v>
      </c>
      <c r="H37" s="187"/>
      <c r="I37" s="281"/>
    </row>
    <row r="38" spans="1:9" x14ac:dyDescent="0.3">
      <c r="A38" s="38"/>
      <c r="B38" s="31" t="s">
        <v>7</v>
      </c>
      <c r="C38" s="264"/>
      <c r="D38" s="264"/>
      <c r="E38" s="35"/>
      <c r="F38" s="35"/>
      <c r="G38" s="35"/>
      <c r="H38" s="187"/>
    </row>
    <row r="39" spans="1:9" x14ac:dyDescent="0.35">
      <c r="A39" s="31">
        <v>1100</v>
      </c>
      <c r="B39" s="22" t="s">
        <v>132</v>
      </c>
      <c r="C39" s="225"/>
      <c r="D39" s="228">
        <v>0.48549999999999999</v>
      </c>
      <c r="E39" s="33">
        <v>608.82000000000005</v>
      </c>
      <c r="F39" s="33">
        <f t="shared" ref="F39:F57" si="1">E39/130*300</f>
        <v>1404.969230769231</v>
      </c>
      <c r="G39" s="33">
        <v>1404.97</v>
      </c>
      <c r="H39" s="187"/>
    </row>
    <row r="40" spans="1:9" x14ac:dyDescent="0.35">
      <c r="A40" s="31">
        <v>1200</v>
      </c>
      <c r="B40" s="22" t="s">
        <v>133</v>
      </c>
      <c r="C40" s="225"/>
      <c r="D40" s="228">
        <f>D39*0.2359</f>
        <v>0.11452944999999999</v>
      </c>
      <c r="E40" s="33">
        <v>143.62</v>
      </c>
      <c r="F40" s="33">
        <f t="shared" si="1"/>
        <v>331.43076923076922</v>
      </c>
      <c r="G40" s="33">
        <v>331.43</v>
      </c>
      <c r="H40" s="187"/>
    </row>
    <row r="41" spans="1:9" hidden="1" x14ac:dyDescent="0.3">
      <c r="A41" s="31">
        <v>2100</v>
      </c>
      <c r="B41" s="24" t="s">
        <v>45</v>
      </c>
      <c r="C41" s="254"/>
      <c r="D41" s="228">
        <v>1.1659999999999999E-3</v>
      </c>
      <c r="E41" s="33">
        <v>1.46</v>
      </c>
      <c r="F41" s="33">
        <f t="shared" si="1"/>
        <v>3.3692307692307688</v>
      </c>
      <c r="G41" s="33">
        <v>0</v>
      </c>
      <c r="H41" s="187"/>
    </row>
    <row r="42" spans="1:9" x14ac:dyDescent="0.35">
      <c r="A42" s="34">
        <v>2210</v>
      </c>
      <c r="B42" s="62" t="s">
        <v>120</v>
      </c>
      <c r="C42" s="252"/>
      <c r="D42" s="228">
        <v>7.6E-3</v>
      </c>
      <c r="E42" s="33">
        <v>9.5299999999999994</v>
      </c>
      <c r="F42" s="33">
        <f t="shared" si="1"/>
        <v>21.992307692307691</v>
      </c>
      <c r="G42" s="33">
        <v>21.99</v>
      </c>
      <c r="H42" s="187"/>
    </row>
    <row r="43" spans="1:9" x14ac:dyDescent="0.35">
      <c r="A43" s="31">
        <v>2222</v>
      </c>
      <c r="B43" s="62" t="s">
        <v>135</v>
      </c>
      <c r="C43" s="252"/>
      <c r="D43" s="228">
        <f>0.0095*1.15</f>
        <v>1.0924999999999999E-2</v>
      </c>
      <c r="E43" s="33">
        <v>13.7</v>
      </c>
      <c r="F43" s="33">
        <f t="shared" si="1"/>
        <v>31.615384615384613</v>
      </c>
      <c r="G43" s="33">
        <v>31.62</v>
      </c>
      <c r="H43" s="187"/>
    </row>
    <row r="44" spans="1:9" x14ac:dyDescent="0.35">
      <c r="A44" s="31">
        <v>2223</v>
      </c>
      <c r="B44" s="62" t="s">
        <v>136</v>
      </c>
      <c r="C44" s="252"/>
      <c r="D44" s="228">
        <f>0.01902*2.13</f>
        <v>4.0512599999999996E-2</v>
      </c>
      <c r="E44" s="33">
        <v>50.8</v>
      </c>
      <c r="F44" s="33">
        <f t="shared" si="1"/>
        <v>117.23076923076923</v>
      </c>
      <c r="G44" s="33">
        <v>117.23</v>
      </c>
      <c r="H44" s="187"/>
    </row>
    <row r="45" spans="1:9" ht="30.75" customHeight="1" x14ac:dyDescent="0.35">
      <c r="A45" s="31">
        <v>2224</v>
      </c>
      <c r="B45" s="62" t="s">
        <v>143</v>
      </c>
      <c r="C45" s="252"/>
      <c r="D45" s="228">
        <f>0.00495*1.15</f>
        <v>5.6924999999999996E-3</v>
      </c>
      <c r="E45" s="33">
        <v>7.14</v>
      </c>
      <c r="F45" s="33">
        <f t="shared" si="1"/>
        <v>16.476923076923075</v>
      </c>
      <c r="G45" s="33">
        <v>16.48</v>
      </c>
      <c r="H45" s="187"/>
    </row>
    <row r="46" spans="1:9" ht="15" hidden="1" customHeight="1" x14ac:dyDescent="0.35">
      <c r="A46" s="31">
        <v>2231</v>
      </c>
      <c r="B46" s="22" t="s">
        <v>126</v>
      </c>
      <c r="C46" s="225"/>
      <c r="D46" s="228">
        <v>1.5499999999999999E-3</v>
      </c>
      <c r="E46" s="33">
        <v>1.94</v>
      </c>
      <c r="F46" s="33">
        <f t="shared" si="1"/>
        <v>4.476923076923077</v>
      </c>
      <c r="G46" s="33">
        <v>0</v>
      </c>
      <c r="H46" s="187"/>
    </row>
    <row r="47" spans="1:9" ht="15" hidden="1" customHeight="1" x14ac:dyDescent="0.3">
      <c r="A47" s="31">
        <v>2235</v>
      </c>
      <c r="B47" s="75" t="s">
        <v>127</v>
      </c>
      <c r="C47" s="255"/>
      <c r="D47" s="228">
        <v>1.65E-3</v>
      </c>
      <c r="E47" s="33">
        <v>2.0699999999999998</v>
      </c>
      <c r="F47" s="33">
        <f t="shared" si="1"/>
        <v>4.7769230769230768</v>
      </c>
      <c r="G47" s="33">
        <v>0</v>
      </c>
      <c r="H47" s="187"/>
    </row>
    <row r="48" spans="1:9" x14ac:dyDescent="0.35">
      <c r="A48" s="31">
        <v>2239</v>
      </c>
      <c r="B48" s="22" t="s">
        <v>144</v>
      </c>
      <c r="C48" s="225"/>
      <c r="D48" s="228">
        <v>4.4099999999999999E-3</v>
      </c>
      <c r="E48" s="33">
        <v>5.53</v>
      </c>
      <c r="F48" s="33">
        <f t="shared" si="1"/>
        <v>12.761538461538462</v>
      </c>
      <c r="G48" s="33">
        <v>12.76</v>
      </c>
      <c r="H48" s="187"/>
    </row>
    <row r="49" spans="1:8" ht="15" customHeight="1" x14ac:dyDescent="0.35">
      <c r="A49" s="31">
        <v>2241</v>
      </c>
      <c r="B49" s="22" t="s">
        <v>123</v>
      </c>
      <c r="C49" s="225"/>
      <c r="D49" s="228">
        <v>1.6500000000000001E-2</v>
      </c>
      <c r="E49" s="33">
        <f>20.69+0.33</f>
        <v>21.02</v>
      </c>
      <c r="F49" s="33">
        <f t="shared" si="1"/>
        <v>48.507692307692309</v>
      </c>
      <c r="G49" s="33">
        <v>48.51</v>
      </c>
      <c r="H49" s="187"/>
    </row>
    <row r="50" spans="1:8" ht="15" customHeight="1" x14ac:dyDescent="0.35">
      <c r="A50" s="31">
        <v>2242</v>
      </c>
      <c r="B50" s="62" t="s">
        <v>145</v>
      </c>
      <c r="C50" s="252"/>
      <c r="D50" s="228">
        <v>2.2599999999999999E-3</v>
      </c>
      <c r="E50" s="33">
        <v>2.83</v>
      </c>
      <c r="F50" s="33">
        <f t="shared" si="1"/>
        <v>6.5307692307692307</v>
      </c>
      <c r="G50" s="33">
        <v>6.53</v>
      </c>
      <c r="H50" s="187"/>
    </row>
    <row r="51" spans="1:8" ht="16.5" customHeight="1" x14ac:dyDescent="0.35">
      <c r="A51" s="31">
        <v>2243</v>
      </c>
      <c r="B51" s="22" t="s">
        <v>137</v>
      </c>
      <c r="C51" s="225"/>
      <c r="D51" s="228">
        <v>3.2599999999999997E-2</v>
      </c>
      <c r="E51" s="33">
        <v>40.880000000000003</v>
      </c>
      <c r="F51" s="33">
        <f t="shared" si="1"/>
        <v>94.338461538461544</v>
      </c>
      <c r="G51" s="33">
        <v>94.34</v>
      </c>
      <c r="H51" s="187"/>
    </row>
    <row r="52" spans="1:8" ht="15" customHeight="1" x14ac:dyDescent="0.35">
      <c r="A52" s="31">
        <v>2244</v>
      </c>
      <c r="B52" s="22" t="s">
        <v>138</v>
      </c>
      <c r="C52" s="225"/>
      <c r="D52" s="228">
        <f>0.20397-0.09084</f>
        <v>0.11313000000000001</v>
      </c>
      <c r="E52" s="33">
        <v>141.87</v>
      </c>
      <c r="F52" s="33">
        <f t="shared" si="1"/>
        <v>327.39230769230767</v>
      </c>
      <c r="G52" s="33">
        <v>327.39</v>
      </c>
      <c r="H52" s="187"/>
    </row>
    <row r="53" spans="1:8" hidden="1" x14ac:dyDescent="0.35">
      <c r="A53" s="31">
        <v>2247</v>
      </c>
      <c r="B53" s="22" t="s">
        <v>146</v>
      </c>
      <c r="C53" s="225"/>
      <c r="D53" s="228">
        <v>7.1900000000000002E-4</v>
      </c>
      <c r="E53" s="33">
        <v>0.9</v>
      </c>
      <c r="F53" s="33">
        <f t="shared" si="1"/>
        <v>2.0769230769230771</v>
      </c>
      <c r="G53" s="33">
        <v>0</v>
      </c>
      <c r="H53" s="187"/>
    </row>
    <row r="54" spans="1:8" x14ac:dyDescent="0.35">
      <c r="A54" s="31">
        <v>2249</v>
      </c>
      <c r="B54" s="22" t="s">
        <v>171</v>
      </c>
      <c r="C54" s="225"/>
      <c r="D54" s="228">
        <v>2.32E-4</v>
      </c>
      <c r="E54" s="33">
        <v>0.28999999999999998</v>
      </c>
      <c r="F54" s="33">
        <f t="shared" si="1"/>
        <v>0.66923076923076918</v>
      </c>
      <c r="G54" s="33">
        <v>0.67</v>
      </c>
      <c r="H54" s="187"/>
    </row>
    <row r="55" spans="1:8" ht="15" customHeight="1" x14ac:dyDescent="0.35">
      <c r="A55" s="31">
        <v>2250</v>
      </c>
      <c r="B55" s="22" t="s">
        <v>124</v>
      </c>
      <c r="C55" s="225"/>
      <c r="D55" s="228">
        <f>0.024026-0.005</f>
        <v>1.9025999999999998E-2</v>
      </c>
      <c r="E55" s="33">
        <v>23.86</v>
      </c>
      <c r="F55" s="33">
        <f t="shared" si="1"/>
        <v>55.061538461538461</v>
      </c>
      <c r="G55" s="33">
        <v>55.06</v>
      </c>
      <c r="H55" s="187"/>
    </row>
    <row r="56" spans="1:8" ht="15" hidden="1" customHeight="1" x14ac:dyDescent="0.35">
      <c r="A56" s="31">
        <v>2261</v>
      </c>
      <c r="B56" s="62" t="s">
        <v>99</v>
      </c>
      <c r="C56" s="252"/>
      <c r="D56" s="228">
        <v>0</v>
      </c>
      <c r="E56" s="33">
        <f>1254*D56</f>
        <v>0</v>
      </c>
      <c r="F56" s="33">
        <f t="shared" si="1"/>
        <v>0</v>
      </c>
      <c r="G56" s="33">
        <f>F56/130*300</f>
        <v>0</v>
      </c>
      <c r="H56" s="187"/>
    </row>
    <row r="57" spans="1:8" x14ac:dyDescent="0.35">
      <c r="A57" s="31">
        <v>2262</v>
      </c>
      <c r="B57" s="62" t="s">
        <v>148</v>
      </c>
      <c r="C57" s="252"/>
      <c r="D57" s="228">
        <v>6.2599999999999999E-3</v>
      </c>
      <c r="E57" s="33">
        <v>7.85</v>
      </c>
      <c r="F57" s="33">
        <f t="shared" si="1"/>
        <v>18.115384615384617</v>
      </c>
      <c r="G57" s="33">
        <v>18.12</v>
      </c>
      <c r="H57" s="187"/>
    </row>
    <row r="58" spans="1:8" hidden="1" x14ac:dyDescent="0.35">
      <c r="A58" s="31">
        <v>2263</v>
      </c>
      <c r="B58" s="62" t="s">
        <v>149</v>
      </c>
      <c r="C58" s="252"/>
      <c r="D58" s="228">
        <v>4.58E-2</v>
      </c>
      <c r="E58" s="33">
        <v>57.43</v>
      </c>
      <c r="H58" s="187"/>
    </row>
    <row r="59" spans="1:8" ht="15" customHeight="1" x14ac:dyDescent="0.35">
      <c r="A59" s="31">
        <v>2264</v>
      </c>
      <c r="B59" s="22" t="s">
        <v>150</v>
      </c>
      <c r="C59" s="225"/>
      <c r="D59" s="228">
        <v>1.49E-3</v>
      </c>
      <c r="E59" s="33">
        <v>1.87</v>
      </c>
      <c r="F59" s="33">
        <f t="shared" ref="F59:F66" si="2">E59/130*300</f>
        <v>4.3153846153846152</v>
      </c>
      <c r="G59" s="33">
        <v>4.32</v>
      </c>
      <c r="H59" s="187"/>
    </row>
    <row r="60" spans="1:8" ht="15" hidden="1" customHeight="1" x14ac:dyDescent="0.35">
      <c r="A60" s="31">
        <v>2311</v>
      </c>
      <c r="B60" s="62" t="s">
        <v>151</v>
      </c>
      <c r="C60" s="252"/>
      <c r="D60" s="228">
        <v>4.7699999999999999E-3</v>
      </c>
      <c r="E60" s="33">
        <v>5.98</v>
      </c>
      <c r="F60" s="33">
        <f t="shared" si="2"/>
        <v>13.800000000000002</v>
      </c>
      <c r="G60" s="33">
        <v>0</v>
      </c>
      <c r="H60" s="187"/>
    </row>
    <row r="61" spans="1:8" ht="15" hidden="1" customHeight="1" x14ac:dyDescent="0.35">
      <c r="A61" s="31">
        <v>2312</v>
      </c>
      <c r="B61" s="62" t="s">
        <v>116</v>
      </c>
      <c r="C61" s="252"/>
      <c r="D61" s="228">
        <v>5.79E-3</v>
      </c>
      <c r="E61" s="33">
        <v>7.26</v>
      </c>
      <c r="F61" s="33">
        <f t="shared" si="2"/>
        <v>16.753846153846155</v>
      </c>
      <c r="G61" s="33">
        <v>0</v>
      </c>
      <c r="H61" s="187"/>
    </row>
    <row r="62" spans="1:8" ht="15" customHeight="1" x14ac:dyDescent="0.3">
      <c r="A62" s="31">
        <v>2314</v>
      </c>
      <c r="B62" s="75" t="s">
        <v>152</v>
      </c>
      <c r="C62" s="255"/>
      <c r="D62" s="228">
        <v>2.2200000000000002E-3</v>
      </c>
      <c r="E62" s="33">
        <v>2.78</v>
      </c>
      <c r="F62" s="33">
        <f t="shared" si="2"/>
        <v>6.4153846153846148</v>
      </c>
      <c r="G62" s="33">
        <v>6.42</v>
      </c>
      <c r="H62" s="187"/>
    </row>
    <row r="63" spans="1:8" ht="15" customHeight="1" x14ac:dyDescent="0.35">
      <c r="A63" s="31">
        <v>2321</v>
      </c>
      <c r="B63" s="62" t="s">
        <v>139</v>
      </c>
      <c r="C63" s="252"/>
      <c r="D63" s="228">
        <f>0.0198*1.2+0.005</f>
        <v>2.8760000000000001E-2</v>
      </c>
      <c r="E63" s="33">
        <v>36.07</v>
      </c>
      <c r="F63" s="33">
        <f t="shared" si="2"/>
        <v>83.23846153846155</v>
      </c>
      <c r="G63" s="33">
        <v>83.24</v>
      </c>
      <c r="H63" s="187"/>
    </row>
    <row r="64" spans="1:8" x14ac:dyDescent="0.35">
      <c r="A64" s="31">
        <v>2322</v>
      </c>
      <c r="B64" s="62" t="s">
        <v>153</v>
      </c>
      <c r="C64" s="252"/>
      <c r="D64" s="228">
        <f>0.0035*1.2</f>
        <v>4.1999999999999997E-3</v>
      </c>
      <c r="E64" s="33">
        <f>5.27+0.2</f>
        <v>5.47</v>
      </c>
      <c r="F64" s="33">
        <f t="shared" si="2"/>
        <v>12.623076923076923</v>
      </c>
      <c r="G64" s="33">
        <v>12.62</v>
      </c>
      <c r="H64" s="187"/>
    </row>
    <row r="65" spans="1:8" ht="15" hidden="1" customHeight="1" x14ac:dyDescent="0.35">
      <c r="A65" s="31">
        <v>2341</v>
      </c>
      <c r="B65" s="62" t="s">
        <v>140</v>
      </c>
      <c r="C65" s="252"/>
      <c r="D65" s="228"/>
      <c r="E65" s="33">
        <f>1254*D65</f>
        <v>0</v>
      </c>
      <c r="F65" s="33">
        <f t="shared" si="2"/>
        <v>0</v>
      </c>
      <c r="G65" s="33">
        <v>0</v>
      </c>
      <c r="H65" s="187"/>
    </row>
    <row r="66" spans="1:8" ht="15" customHeight="1" x14ac:dyDescent="0.35">
      <c r="A66" s="31">
        <v>2350</v>
      </c>
      <c r="B66" s="61" t="s">
        <v>125</v>
      </c>
      <c r="C66" s="228"/>
      <c r="D66" s="228">
        <v>8.5000000000000006E-3</v>
      </c>
      <c r="E66" s="33">
        <v>10.66</v>
      </c>
      <c r="F66" s="33">
        <f t="shared" si="2"/>
        <v>24.6</v>
      </c>
      <c r="G66" s="33">
        <v>24.6</v>
      </c>
      <c r="H66" s="187"/>
    </row>
    <row r="67" spans="1:8" ht="15" customHeight="1" x14ac:dyDescent="0.35">
      <c r="A67" s="31">
        <v>2513</v>
      </c>
      <c r="B67" s="61" t="s">
        <v>121</v>
      </c>
      <c r="C67" s="228"/>
      <c r="D67" s="228">
        <v>1.4599999999999999E-3</v>
      </c>
      <c r="E67" s="33">
        <v>1.83</v>
      </c>
      <c r="F67" s="107">
        <f>'[2]4.4.-.4.5.-4.6.'!$N$19*300</f>
        <v>93.287582943872536</v>
      </c>
      <c r="G67" s="33">
        <v>93.29</v>
      </c>
      <c r="H67" s="187"/>
    </row>
    <row r="68" spans="1:8" x14ac:dyDescent="0.35">
      <c r="A68" s="31">
        <v>2515</v>
      </c>
      <c r="B68" s="62" t="s">
        <v>155</v>
      </c>
      <c r="C68" s="252"/>
      <c r="D68" s="228">
        <v>1.9E-3</v>
      </c>
      <c r="E68" s="33">
        <v>2.38</v>
      </c>
      <c r="F68" s="107">
        <f>'[2]4.4.-.4.5.-4.6.'!$S$15*20*300</f>
        <v>19.235921341692112</v>
      </c>
      <c r="G68" s="33">
        <v>19.239999999999998</v>
      </c>
      <c r="H68" s="187"/>
    </row>
    <row r="69" spans="1:8" x14ac:dyDescent="0.35">
      <c r="A69" s="31">
        <v>2519</v>
      </c>
      <c r="B69" s="62" t="s">
        <v>122</v>
      </c>
      <c r="C69" s="252"/>
      <c r="D69" s="228">
        <v>2E-3</v>
      </c>
      <c r="E69" s="33">
        <v>2.5099999999999998</v>
      </c>
      <c r="F69" s="107">
        <f>'[2]4.4.-.4.5.-4.6.'!$S$18*20*300</f>
        <v>48.463805390344525</v>
      </c>
      <c r="G69" s="33">
        <v>48.46</v>
      </c>
      <c r="H69" s="187"/>
    </row>
    <row r="70" spans="1:8" hidden="1" x14ac:dyDescent="0.35">
      <c r="A70" s="31">
        <v>5220</v>
      </c>
      <c r="B70" s="62" t="s">
        <v>128</v>
      </c>
      <c r="C70" s="252"/>
      <c r="D70" s="228">
        <v>1.06E-2</v>
      </c>
      <c r="E70" s="33">
        <v>13.29</v>
      </c>
      <c r="F70" s="33">
        <f>E70/130*300</f>
        <v>30.669230769230765</v>
      </c>
      <c r="G70" s="33">
        <v>0</v>
      </c>
      <c r="H70" s="187"/>
    </row>
    <row r="71" spans="1:8" x14ac:dyDescent="0.35">
      <c r="A71" s="31">
        <v>5238</v>
      </c>
      <c r="B71" s="61" t="s">
        <v>129</v>
      </c>
      <c r="C71" s="228"/>
      <c r="D71" s="228">
        <v>1.65E-3</v>
      </c>
      <c r="E71" s="33">
        <v>2.0699999999999998</v>
      </c>
      <c r="F71" s="33">
        <f>E71/130*300</f>
        <v>4.7769230769230768</v>
      </c>
      <c r="G71" s="33">
        <v>4.78</v>
      </c>
      <c r="H71" s="187"/>
    </row>
    <row r="72" spans="1:8" x14ac:dyDescent="0.35">
      <c r="A72" s="31">
        <v>5239</v>
      </c>
      <c r="B72" s="61" t="s">
        <v>130</v>
      </c>
      <c r="C72" s="228"/>
      <c r="D72" s="228">
        <v>9.5399999999999999E-3</v>
      </c>
      <c r="E72" s="33">
        <v>11.96</v>
      </c>
      <c r="F72" s="33">
        <f>E72/130*300+6-0.31</f>
        <v>33.290000000000006</v>
      </c>
      <c r="G72" s="33">
        <v>33.26</v>
      </c>
      <c r="H72" s="187"/>
    </row>
    <row r="73" spans="1:8" x14ac:dyDescent="0.35">
      <c r="A73" s="31">
        <v>5250</v>
      </c>
      <c r="B73" s="62" t="s">
        <v>131</v>
      </c>
      <c r="C73" s="252"/>
      <c r="D73" s="228">
        <v>7.0600000000000003E-3</v>
      </c>
      <c r="E73" s="33">
        <v>8.85</v>
      </c>
      <c r="F73" s="33">
        <f>E73/130*300</f>
        <v>20.423076923076923</v>
      </c>
      <c r="G73" s="33">
        <v>20.420000000000002</v>
      </c>
      <c r="H73" s="187"/>
    </row>
    <row r="74" spans="1:8" x14ac:dyDescent="0.3">
      <c r="A74" s="38"/>
      <c r="B74" s="40" t="s">
        <v>8</v>
      </c>
      <c r="C74" s="266"/>
      <c r="D74" s="266"/>
      <c r="E74" s="37">
        <f>SUM(E39:E73)</f>
        <v>1254.5199999999998</v>
      </c>
      <c r="F74" s="37">
        <f>SUM(F39:F73)</f>
        <v>2913.6850019836024</v>
      </c>
      <c r="G74" s="37">
        <f>SUM(G39:G73)</f>
        <v>2837.75</v>
      </c>
      <c r="H74" s="187"/>
    </row>
    <row r="75" spans="1:8" x14ac:dyDescent="0.3">
      <c r="A75" s="38"/>
      <c r="B75" s="40" t="s">
        <v>29</v>
      </c>
      <c r="C75" s="266"/>
      <c r="D75" s="266"/>
      <c r="E75" s="37">
        <f>E74+E37</f>
        <v>3847.9999999999991</v>
      </c>
      <c r="F75" s="37">
        <f>F74+F37</f>
        <v>9420.0135659694479</v>
      </c>
      <c r="G75" s="37">
        <f>G74+G37</f>
        <v>9420</v>
      </c>
      <c r="H75" s="187"/>
    </row>
    <row r="76" spans="1:8" ht="12.75" customHeight="1" x14ac:dyDescent="0.35">
      <c r="A76" s="15"/>
      <c r="B76" s="25"/>
      <c r="C76" s="267"/>
      <c r="D76" s="268"/>
      <c r="E76" s="190"/>
      <c r="F76" s="190"/>
      <c r="G76" s="190"/>
      <c r="H76" s="189"/>
    </row>
    <row r="77" spans="1:8" ht="15.75" customHeight="1" x14ac:dyDescent="0.35">
      <c r="A77" s="430" t="s">
        <v>106</v>
      </c>
      <c r="B77" s="431"/>
      <c r="C77" s="269"/>
      <c r="D77" s="270"/>
      <c r="E77" s="67">
        <v>130</v>
      </c>
      <c r="F77" s="67">
        <v>300</v>
      </c>
      <c r="G77" s="67">
        <v>300</v>
      </c>
      <c r="H77" s="157"/>
    </row>
    <row r="78" spans="1:8" ht="15.75" customHeight="1" x14ac:dyDescent="0.3">
      <c r="A78" s="428" t="s">
        <v>107</v>
      </c>
      <c r="B78" s="429"/>
      <c r="C78" s="266"/>
      <c r="D78" s="271"/>
      <c r="E78" s="66">
        <f>E75/E77</f>
        <v>29.599999999999994</v>
      </c>
      <c r="F78" s="66">
        <f>F75/F77</f>
        <v>31.400045219898161</v>
      </c>
      <c r="G78" s="66">
        <f>G75/G77</f>
        <v>31.4</v>
      </c>
      <c r="H78" s="191"/>
    </row>
    <row r="79" spans="1:8" ht="12.75" customHeight="1" x14ac:dyDescent="0.35">
      <c r="A79" s="25"/>
      <c r="B79" s="26"/>
    </row>
    <row r="80" spans="1:8" s="2" customFormat="1" x14ac:dyDescent="0.35">
      <c r="A80" s="430" t="s">
        <v>33</v>
      </c>
      <c r="B80" s="431"/>
      <c r="C80" s="272"/>
      <c r="D80" s="272"/>
      <c r="E80" s="85"/>
      <c r="F80" s="85"/>
      <c r="G80" s="85"/>
      <c r="H80" s="29"/>
    </row>
    <row r="81" spans="1:8" s="2" customFormat="1" x14ac:dyDescent="0.35">
      <c r="A81" s="430" t="s">
        <v>64</v>
      </c>
      <c r="B81" s="431"/>
      <c r="C81" s="272"/>
      <c r="D81" s="272"/>
      <c r="E81" s="27"/>
      <c r="F81" s="27"/>
      <c r="G81" s="27"/>
      <c r="H81" s="29"/>
    </row>
    <row r="82" spans="1:8" s="2" customFormat="1" ht="12.75" customHeight="1" x14ac:dyDescent="0.35">
      <c r="A82" s="28"/>
      <c r="B82" s="28"/>
      <c r="C82" s="237"/>
      <c r="D82" s="237"/>
      <c r="E82" s="28"/>
      <c r="F82" s="28"/>
      <c r="G82" s="28"/>
      <c r="H82" s="28"/>
    </row>
    <row r="83" spans="1:8" s="2" customFormat="1" x14ac:dyDescent="0.35">
      <c r="A83" s="28" t="s">
        <v>34</v>
      </c>
      <c r="B83" s="28"/>
      <c r="C83" s="237"/>
      <c r="D83" s="237"/>
      <c r="E83" s="81"/>
      <c r="F83" s="81"/>
      <c r="G83" s="81"/>
      <c r="H83" s="28"/>
    </row>
    <row r="84" spans="1:8" s="2" customFormat="1" ht="12.75" customHeight="1" x14ac:dyDescent="0.35">
      <c r="A84" s="28"/>
      <c r="B84" s="28"/>
      <c r="C84" s="237"/>
      <c r="D84" s="237"/>
      <c r="E84" s="81"/>
      <c r="F84" s="81"/>
      <c r="G84" s="81"/>
      <c r="H84" s="28"/>
    </row>
    <row r="85" spans="1:8" s="2" customFormat="1" x14ac:dyDescent="0.35">
      <c r="A85" s="28" t="s">
        <v>108</v>
      </c>
      <c r="B85" s="29"/>
      <c r="C85" s="238"/>
      <c r="D85" s="237"/>
      <c r="E85" s="81"/>
      <c r="F85" s="81"/>
      <c r="G85" s="81"/>
      <c r="H85" s="28"/>
    </row>
    <row r="86" spans="1:8" x14ac:dyDescent="0.35">
      <c r="A86" s="449"/>
      <c r="B86" s="447"/>
      <c r="C86" s="239"/>
      <c r="D86" s="217"/>
      <c r="E86" s="13"/>
      <c r="F86" s="13"/>
      <c r="G86" s="13"/>
      <c r="H86" s="13"/>
    </row>
    <row r="87" spans="1:8" x14ac:dyDescent="0.35">
      <c r="A87" s="447"/>
      <c r="B87" s="447"/>
      <c r="C87" s="239"/>
    </row>
  </sheetData>
  <mergeCells count="10">
    <mergeCell ref="A7:G7"/>
    <mergeCell ref="A87:B87"/>
    <mergeCell ref="A80:B80"/>
    <mergeCell ref="A81:B81"/>
    <mergeCell ref="A9:B9"/>
    <mergeCell ref="A10:B10"/>
    <mergeCell ref="A77:B77"/>
    <mergeCell ref="A78:B78"/>
    <mergeCell ref="A86:B86"/>
    <mergeCell ref="B12:G12"/>
  </mergeCells>
  <pageMargins left="1.0311342592592592" right="0.70866141732283472" top="0.59305555555555556" bottom="1.1813657407407407" header="0.31496062992125984" footer="0.31496062992125984"/>
  <pageSetup paperSize="9" scale="62" orientation="portrait" r:id="rId1"/>
  <headerFooter>
    <oddFooter>&amp;C&amp;F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9" tint="0.79998168889431442"/>
    <pageSetUpPr fitToPage="1"/>
  </sheetPr>
  <dimension ref="A1:C85"/>
  <sheetViews>
    <sheetView view="pageLayout" topLeftCell="A46" zoomScale="80" zoomScaleNormal="100" zoomScalePageLayoutView="80" workbookViewId="0">
      <selection activeCell="D5" sqref="D5"/>
    </sheetView>
  </sheetViews>
  <sheetFormatPr defaultColWidth="9.1796875" defaultRowHeight="14" x14ac:dyDescent="0.3"/>
  <cols>
    <col min="1" max="1" width="13" style="4" customWidth="1"/>
    <col min="2" max="2" width="96.26953125" style="4" customWidth="1"/>
    <col min="3" max="3" width="30.7265625" style="4" customWidth="1"/>
    <col min="4" max="16384" width="9.1796875" style="7"/>
  </cols>
  <sheetData>
    <row r="1" spans="1:3" ht="15.5" x14ac:dyDescent="0.35">
      <c r="B1" s="273"/>
      <c r="C1" s="17" t="s">
        <v>10</v>
      </c>
    </row>
    <row r="2" spans="1:3" ht="15.5" x14ac:dyDescent="0.35">
      <c r="A2" s="13"/>
      <c r="B2" s="14"/>
      <c r="C2" s="14" t="s">
        <v>32</v>
      </c>
    </row>
    <row r="3" spans="1:3" ht="15.5" x14ac:dyDescent="0.35">
      <c r="A3" s="13"/>
      <c r="B3" s="14"/>
      <c r="C3" s="77" t="s">
        <v>66</v>
      </c>
    </row>
    <row r="4" spans="1:3" ht="15.5" x14ac:dyDescent="0.35">
      <c r="A4" s="13"/>
      <c r="B4" s="14"/>
      <c r="C4" s="54"/>
    </row>
    <row r="5" spans="1:3" ht="15.5" x14ac:dyDescent="0.35">
      <c r="A5" s="13"/>
      <c r="B5" s="14"/>
      <c r="C5" s="15" t="s">
        <v>245</v>
      </c>
    </row>
    <row r="6" spans="1:3" ht="15.5" x14ac:dyDescent="0.35">
      <c r="A6" s="13"/>
      <c r="B6" s="13"/>
    </row>
    <row r="7" spans="1:3" ht="17.5" x14ac:dyDescent="0.25">
      <c r="A7" s="452" t="s">
        <v>9</v>
      </c>
      <c r="B7" s="452"/>
      <c r="C7" s="452"/>
    </row>
    <row r="8" spans="1:3" ht="15.5" x14ac:dyDescent="0.35">
      <c r="A8" s="13"/>
      <c r="B8" s="18"/>
    </row>
    <row r="9" spans="1:3" ht="15.5" x14ac:dyDescent="0.25">
      <c r="A9" s="419" t="s">
        <v>1</v>
      </c>
      <c r="B9" s="419"/>
      <c r="C9" s="274"/>
    </row>
    <row r="10" spans="1:3" ht="15.5" x14ac:dyDescent="0.25">
      <c r="A10" s="419" t="s">
        <v>0</v>
      </c>
      <c r="B10" s="419"/>
      <c r="C10" s="274"/>
    </row>
    <row r="11" spans="1:3" ht="15.5" x14ac:dyDescent="0.25">
      <c r="A11" s="11"/>
      <c r="B11" s="11" t="s">
        <v>179</v>
      </c>
      <c r="C11" s="274"/>
    </row>
    <row r="12" spans="1:3" ht="15.5" x14ac:dyDescent="0.25">
      <c r="A12" s="11"/>
      <c r="B12" s="275" t="s">
        <v>239</v>
      </c>
      <c r="C12" s="52"/>
    </row>
    <row r="13" spans="1:3" x14ac:dyDescent="0.25">
      <c r="A13" s="7"/>
      <c r="B13" s="7"/>
      <c r="C13" s="276"/>
    </row>
    <row r="14" spans="1:3" ht="15.5" x14ac:dyDescent="0.25">
      <c r="A14" s="11" t="s">
        <v>2</v>
      </c>
      <c r="B14" s="11" t="s">
        <v>250</v>
      </c>
      <c r="C14" s="276"/>
    </row>
    <row r="15" spans="1:3" ht="46.5" x14ac:dyDescent="0.25">
      <c r="A15" s="51" t="s">
        <v>3</v>
      </c>
      <c r="B15" s="51" t="s">
        <v>4</v>
      </c>
      <c r="C15" s="277" t="s">
        <v>63</v>
      </c>
    </row>
    <row r="16" spans="1:3" x14ac:dyDescent="0.25">
      <c r="A16" s="9">
        <v>1</v>
      </c>
      <c r="B16" s="10">
        <v>2</v>
      </c>
      <c r="C16" s="278">
        <v>3</v>
      </c>
    </row>
    <row r="17" spans="1:3" ht="15.5" x14ac:dyDescent="0.25">
      <c r="A17" s="41"/>
      <c r="B17" s="39" t="s">
        <v>94</v>
      </c>
      <c r="C17" s="279"/>
    </row>
    <row r="18" spans="1:3" ht="15.5" x14ac:dyDescent="0.25">
      <c r="A18" s="31">
        <v>1100</v>
      </c>
      <c r="B18" s="31" t="s">
        <v>132</v>
      </c>
      <c r="C18" s="33">
        <v>15.4</v>
      </c>
    </row>
    <row r="19" spans="1:3" ht="15.75" customHeight="1" x14ac:dyDescent="0.35">
      <c r="A19" s="31">
        <v>1200</v>
      </c>
      <c r="B19" s="61" t="s">
        <v>133</v>
      </c>
      <c r="C19" s="35">
        <v>3.63</v>
      </c>
    </row>
    <row r="20" spans="1:3" ht="15.5" x14ac:dyDescent="0.35">
      <c r="A20" s="31">
        <v>2210</v>
      </c>
      <c r="B20" s="62" t="s">
        <v>120</v>
      </c>
      <c r="C20" s="35">
        <v>0.62</v>
      </c>
    </row>
    <row r="21" spans="1:3" ht="15.5" x14ac:dyDescent="0.35">
      <c r="A21" s="31">
        <v>2222</v>
      </c>
      <c r="B21" s="62" t="s">
        <v>135</v>
      </c>
      <c r="C21" s="33">
        <v>13.29</v>
      </c>
    </row>
    <row r="22" spans="1:3" ht="15.5" x14ac:dyDescent="0.25">
      <c r="A22" s="31">
        <v>2223</v>
      </c>
      <c r="B22" s="32" t="s">
        <v>136</v>
      </c>
      <c r="C22" s="35">
        <v>21.21</v>
      </c>
    </row>
    <row r="23" spans="1:3" ht="15.5" x14ac:dyDescent="0.25">
      <c r="A23" s="31">
        <v>2243</v>
      </c>
      <c r="B23" s="151" t="s">
        <v>137</v>
      </c>
      <c r="C23" s="33">
        <v>0.51</v>
      </c>
    </row>
    <row r="24" spans="1:3" ht="15.5" x14ac:dyDescent="0.35">
      <c r="A24" s="31">
        <v>2244</v>
      </c>
      <c r="B24" s="22" t="s">
        <v>138</v>
      </c>
      <c r="C24" s="35">
        <v>9.86</v>
      </c>
    </row>
    <row r="25" spans="1:3" ht="15.5" x14ac:dyDescent="0.35">
      <c r="A25" s="31">
        <v>2250</v>
      </c>
      <c r="B25" s="22"/>
      <c r="C25" s="35"/>
    </row>
    <row r="26" spans="1:3" ht="15.5" x14ac:dyDescent="0.35">
      <c r="A26" s="31">
        <v>2263</v>
      </c>
      <c r="B26" s="22"/>
      <c r="C26" s="35"/>
    </row>
    <row r="27" spans="1:3" ht="15.5" x14ac:dyDescent="0.35">
      <c r="A27" s="31">
        <v>2311</v>
      </c>
      <c r="B27" s="22"/>
      <c r="C27" s="35"/>
    </row>
    <row r="28" spans="1:3" ht="15.5" x14ac:dyDescent="0.25">
      <c r="A28" s="31">
        <v>2312</v>
      </c>
      <c r="B28" s="32" t="s">
        <v>116</v>
      </c>
      <c r="C28" s="33">
        <v>4.01</v>
      </c>
    </row>
    <row r="29" spans="1:3" ht="15.5" x14ac:dyDescent="0.25">
      <c r="A29" s="31">
        <v>2321</v>
      </c>
      <c r="B29" s="32" t="s">
        <v>139</v>
      </c>
      <c r="C29" s="33">
        <v>26.7</v>
      </c>
    </row>
    <row r="30" spans="1:3" ht="15.5" x14ac:dyDescent="0.35">
      <c r="A30" s="31">
        <v>2350</v>
      </c>
      <c r="B30" s="61" t="s">
        <v>125</v>
      </c>
      <c r="C30" s="33">
        <v>1.3</v>
      </c>
    </row>
    <row r="31" spans="1:3" ht="15.5" x14ac:dyDescent="0.25">
      <c r="A31" s="31">
        <v>2361</v>
      </c>
      <c r="B31" s="32" t="s">
        <v>141</v>
      </c>
      <c r="C31" s="33">
        <v>2.5299999999999998</v>
      </c>
    </row>
    <row r="32" spans="1:3" ht="15.5" x14ac:dyDescent="0.25">
      <c r="A32" s="31">
        <v>2362</v>
      </c>
      <c r="B32" s="32"/>
      <c r="C32" s="33"/>
    </row>
    <row r="33" spans="1:3" ht="15.5" x14ac:dyDescent="0.25">
      <c r="A33" s="31">
        <v>2363</v>
      </c>
      <c r="B33" s="32"/>
      <c r="C33" s="33"/>
    </row>
    <row r="34" spans="1:3" ht="15.75" customHeight="1" x14ac:dyDescent="0.35">
      <c r="A34" s="31">
        <v>2513</v>
      </c>
      <c r="B34" s="61" t="s">
        <v>121</v>
      </c>
      <c r="C34" s="33">
        <v>2.2200000000000002</v>
      </c>
    </row>
    <row r="35" spans="1:3" ht="15.75" customHeight="1" x14ac:dyDescent="0.35">
      <c r="A35" s="31">
        <v>2519</v>
      </c>
      <c r="B35" s="61"/>
      <c r="C35" s="33"/>
    </row>
    <row r="36" spans="1:3" ht="15.75" customHeight="1" x14ac:dyDescent="0.35">
      <c r="A36" s="31">
        <v>5239</v>
      </c>
      <c r="B36" s="61"/>
      <c r="C36" s="33"/>
    </row>
    <row r="37" spans="1:3" ht="15.5" x14ac:dyDescent="0.25">
      <c r="A37" s="31"/>
      <c r="B37" s="36" t="s">
        <v>95</v>
      </c>
      <c r="C37" s="37">
        <f>SUM(C18:C34)</f>
        <v>101.28</v>
      </c>
    </row>
    <row r="38" spans="1:3" ht="15.5" x14ac:dyDescent="0.25">
      <c r="A38" s="38"/>
      <c r="B38" s="31" t="s">
        <v>96</v>
      </c>
      <c r="C38" s="35"/>
    </row>
    <row r="39" spans="1:3" ht="15.5" x14ac:dyDescent="0.25">
      <c r="A39" s="31">
        <v>1100</v>
      </c>
      <c r="B39" s="31" t="s">
        <v>132</v>
      </c>
      <c r="C39" s="33">
        <v>12.12</v>
      </c>
    </row>
    <row r="40" spans="1:3" ht="15.75" customHeight="1" x14ac:dyDescent="0.35">
      <c r="A40" s="31">
        <v>1200</v>
      </c>
      <c r="B40" s="61" t="s">
        <v>133</v>
      </c>
      <c r="C40" s="33">
        <v>2.86</v>
      </c>
    </row>
    <row r="41" spans="1:3" ht="15.75" customHeight="1" x14ac:dyDescent="0.25">
      <c r="A41" s="31">
        <v>2100</v>
      </c>
      <c r="B41" s="24" t="s">
        <v>45</v>
      </c>
      <c r="C41" s="33"/>
    </row>
    <row r="42" spans="1:3" ht="15.5" x14ac:dyDescent="0.35">
      <c r="A42" s="31">
        <v>2210</v>
      </c>
      <c r="B42" s="62" t="s">
        <v>120</v>
      </c>
      <c r="C42" s="33">
        <v>0.32</v>
      </c>
    </row>
    <row r="43" spans="1:3" ht="15.5" x14ac:dyDescent="0.35">
      <c r="A43" s="31">
        <v>2222</v>
      </c>
      <c r="B43" s="62" t="s">
        <v>135</v>
      </c>
      <c r="C43" s="33"/>
    </row>
    <row r="44" spans="1:3" ht="15.5" x14ac:dyDescent="0.25">
      <c r="A44" s="31">
        <v>2223</v>
      </c>
      <c r="B44" s="32" t="s">
        <v>136</v>
      </c>
      <c r="C44" s="33"/>
    </row>
    <row r="45" spans="1:3" ht="31" x14ac:dyDescent="0.35">
      <c r="A45" s="31">
        <v>2224</v>
      </c>
      <c r="B45" s="62" t="s">
        <v>143</v>
      </c>
      <c r="C45" s="33"/>
    </row>
    <row r="46" spans="1:3" ht="15.75" customHeight="1" x14ac:dyDescent="0.25">
      <c r="A46" s="31">
        <v>2231</v>
      </c>
      <c r="B46" s="32" t="s">
        <v>126</v>
      </c>
      <c r="C46" s="33">
        <v>0.17</v>
      </c>
    </row>
    <row r="47" spans="1:3" ht="15.75" customHeight="1" x14ac:dyDescent="0.25">
      <c r="A47" s="31">
        <v>2235</v>
      </c>
      <c r="B47" s="75" t="s">
        <v>127</v>
      </c>
      <c r="C47" s="33"/>
    </row>
    <row r="48" spans="1:3" ht="15.5" x14ac:dyDescent="0.25">
      <c r="A48" s="31">
        <v>2239</v>
      </c>
      <c r="B48" s="32" t="s">
        <v>144</v>
      </c>
      <c r="C48" s="33">
        <v>0.03</v>
      </c>
    </row>
    <row r="49" spans="1:3" ht="15.5" x14ac:dyDescent="0.35">
      <c r="A49" s="31">
        <v>2241</v>
      </c>
      <c r="B49" s="22" t="s">
        <v>123</v>
      </c>
      <c r="C49" s="33">
        <v>0.03</v>
      </c>
    </row>
    <row r="50" spans="1:3" ht="15.5" x14ac:dyDescent="0.25">
      <c r="A50" s="31">
        <v>2242</v>
      </c>
      <c r="B50" s="32" t="s">
        <v>145</v>
      </c>
      <c r="C50" s="33">
        <v>0.12</v>
      </c>
    </row>
    <row r="51" spans="1:3" ht="15.5" x14ac:dyDescent="0.25">
      <c r="A51" s="31">
        <v>2243</v>
      </c>
      <c r="B51" s="32" t="s">
        <v>137</v>
      </c>
      <c r="C51" s="33">
        <v>0.12</v>
      </c>
    </row>
    <row r="52" spans="1:3" ht="15.5" x14ac:dyDescent="0.35">
      <c r="A52" s="31">
        <v>2244</v>
      </c>
      <c r="B52" s="22" t="s">
        <v>138</v>
      </c>
      <c r="C52" s="33">
        <f>0.24+0.62+1.5</f>
        <v>2.36</v>
      </c>
    </row>
    <row r="53" spans="1:3" ht="15.5" x14ac:dyDescent="0.35">
      <c r="A53" s="31">
        <v>2247</v>
      </c>
      <c r="B53" s="22"/>
      <c r="C53" s="33"/>
    </row>
    <row r="54" spans="1:3" ht="15.5" x14ac:dyDescent="0.35">
      <c r="A54" s="31">
        <v>2249</v>
      </c>
      <c r="B54" s="22" t="s">
        <v>171</v>
      </c>
      <c r="C54" s="33">
        <f>2.08-1.5</f>
        <v>0.58000000000000007</v>
      </c>
    </row>
    <row r="55" spans="1:3" ht="15.5" x14ac:dyDescent="0.35">
      <c r="A55" s="31">
        <v>2250</v>
      </c>
      <c r="B55" s="22" t="s">
        <v>124</v>
      </c>
      <c r="C55" s="33">
        <v>1.26</v>
      </c>
    </row>
    <row r="56" spans="1:3" ht="15.5" x14ac:dyDescent="0.25">
      <c r="A56" s="31">
        <v>2262</v>
      </c>
      <c r="B56" s="32" t="s">
        <v>148</v>
      </c>
      <c r="C56" s="33">
        <v>0.28000000000000003</v>
      </c>
    </row>
    <row r="57" spans="1:3" ht="15.5" x14ac:dyDescent="0.25">
      <c r="A57" s="31">
        <v>2263</v>
      </c>
      <c r="B57" s="32" t="s">
        <v>40</v>
      </c>
      <c r="C57" s="33"/>
    </row>
    <row r="58" spans="1:3" ht="15.5" x14ac:dyDescent="0.25">
      <c r="A58" s="31">
        <v>2264</v>
      </c>
      <c r="B58" s="32" t="s">
        <v>173</v>
      </c>
      <c r="C58" s="33">
        <v>0.02</v>
      </c>
    </row>
    <row r="59" spans="1:3" ht="15.5" x14ac:dyDescent="0.25">
      <c r="A59" s="31">
        <v>2311</v>
      </c>
      <c r="B59" s="32" t="s">
        <v>151</v>
      </c>
      <c r="C59" s="33">
        <v>0.19</v>
      </c>
    </row>
    <row r="60" spans="1:3" ht="15.5" x14ac:dyDescent="0.25">
      <c r="A60" s="31">
        <v>2312</v>
      </c>
      <c r="B60" s="32" t="s">
        <v>116</v>
      </c>
      <c r="C60" s="33">
        <v>0</v>
      </c>
    </row>
    <row r="61" spans="1:3" ht="15.5" x14ac:dyDescent="0.25">
      <c r="A61" s="31">
        <v>2314</v>
      </c>
      <c r="B61" s="75" t="s">
        <v>152</v>
      </c>
      <c r="C61" s="33"/>
    </row>
    <row r="62" spans="1:3" ht="15.5" x14ac:dyDescent="0.25">
      <c r="A62" s="31">
        <v>2321</v>
      </c>
      <c r="B62" s="32" t="s">
        <v>139</v>
      </c>
      <c r="C62" s="33"/>
    </row>
    <row r="63" spans="1:3" ht="15.5" x14ac:dyDescent="0.25">
      <c r="A63" s="31">
        <v>2322</v>
      </c>
      <c r="B63" s="32" t="s">
        <v>153</v>
      </c>
      <c r="C63" s="33">
        <v>0.71</v>
      </c>
    </row>
    <row r="64" spans="1:3" ht="15.5" x14ac:dyDescent="0.35">
      <c r="A64" s="31">
        <v>2341</v>
      </c>
      <c r="B64" s="62" t="s">
        <v>140</v>
      </c>
      <c r="C64" s="33"/>
    </row>
    <row r="65" spans="1:3" ht="15.5" x14ac:dyDescent="0.35">
      <c r="A65" s="31">
        <v>2350</v>
      </c>
      <c r="B65" s="61" t="s">
        <v>125</v>
      </c>
      <c r="C65" s="33">
        <v>0.72</v>
      </c>
    </row>
    <row r="66" spans="1:3" ht="15.5" x14ac:dyDescent="0.35">
      <c r="A66" s="31">
        <v>2513</v>
      </c>
      <c r="B66" s="61" t="s">
        <v>121</v>
      </c>
      <c r="C66" s="33"/>
    </row>
    <row r="67" spans="1:3" ht="15.5" x14ac:dyDescent="0.25">
      <c r="A67" s="31">
        <v>2515</v>
      </c>
      <c r="B67" s="32" t="s">
        <v>155</v>
      </c>
      <c r="C67" s="33">
        <v>0.05</v>
      </c>
    </row>
    <row r="68" spans="1:3" ht="15.5" x14ac:dyDescent="0.25">
      <c r="A68" s="31">
        <v>2519</v>
      </c>
      <c r="B68" s="32" t="s">
        <v>122</v>
      </c>
      <c r="C68" s="33">
        <v>1.4</v>
      </c>
    </row>
    <row r="69" spans="1:3" ht="15.5" x14ac:dyDescent="0.35">
      <c r="A69" s="31">
        <v>5220</v>
      </c>
      <c r="B69" s="62" t="s">
        <v>128</v>
      </c>
      <c r="C69" s="33"/>
    </row>
    <row r="70" spans="1:3" ht="15.5" x14ac:dyDescent="0.35">
      <c r="A70" s="31">
        <v>5238</v>
      </c>
      <c r="B70" s="61" t="s">
        <v>129</v>
      </c>
      <c r="C70" s="33">
        <v>0.85</v>
      </c>
    </row>
    <row r="71" spans="1:3" ht="15.5" x14ac:dyDescent="0.35">
      <c r="A71" s="31">
        <v>5239</v>
      </c>
      <c r="B71" s="61" t="s">
        <v>130</v>
      </c>
      <c r="C71" s="33">
        <v>2.5099999999999998</v>
      </c>
    </row>
    <row r="72" spans="1:3" ht="15.5" x14ac:dyDescent="0.25">
      <c r="A72" s="31">
        <v>5250</v>
      </c>
      <c r="B72" s="32" t="s">
        <v>131</v>
      </c>
      <c r="C72" s="280">
        <v>2.2200000000000002</v>
      </c>
    </row>
    <row r="73" spans="1:3" ht="15.5" x14ac:dyDescent="0.25">
      <c r="A73" s="38"/>
      <c r="B73" s="40" t="s">
        <v>97</v>
      </c>
      <c r="C73" s="37">
        <f>SUM(C39:C72)</f>
        <v>28.919999999999995</v>
      </c>
    </row>
    <row r="74" spans="1:3" ht="15.5" x14ac:dyDescent="0.25">
      <c r="A74" s="38"/>
      <c r="B74" s="40" t="s">
        <v>98</v>
      </c>
      <c r="C74" s="37">
        <f>C73+C37</f>
        <v>130.19999999999999</v>
      </c>
    </row>
    <row r="75" spans="1:3" ht="15.5" x14ac:dyDescent="0.25">
      <c r="A75" s="42"/>
      <c r="B75" s="43"/>
      <c r="C75" s="49"/>
    </row>
    <row r="76" spans="1:3" ht="15.5" x14ac:dyDescent="0.25">
      <c r="A76" s="422" t="s">
        <v>57</v>
      </c>
      <c r="B76" s="422"/>
      <c r="C76" s="65">
        <v>10</v>
      </c>
    </row>
    <row r="77" spans="1:3" ht="15.5" x14ac:dyDescent="0.25">
      <c r="A77" s="422" t="s">
        <v>58</v>
      </c>
      <c r="B77" s="422"/>
      <c r="C77" s="66">
        <f>C74/C76</f>
        <v>13.02</v>
      </c>
    </row>
    <row r="78" spans="1:3" ht="15.5" x14ac:dyDescent="0.25">
      <c r="A78" s="47"/>
      <c r="B78" s="47"/>
      <c r="C78" s="47"/>
    </row>
    <row r="79" spans="1:3" ht="15.5" x14ac:dyDescent="0.35">
      <c r="A79" s="430" t="s">
        <v>33</v>
      </c>
      <c r="B79" s="431"/>
      <c r="C79" s="27"/>
    </row>
    <row r="80" spans="1:3" ht="15.5" x14ac:dyDescent="0.35">
      <c r="A80" s="430" t="s">
        <v>64</v>
      </c>
      <c r="B80" s="431"/>
      <c r="C80" s="27"/>
    </row>
    <row r="81" spans="1:3" ht="15.5" x14ac:dyDescent="0.35">
      <c r="A81" s="28"/>
      <c r="B81" s="28"/>
      <c r="C81" s="28"/>
    </row>
    <row r="82" spans="1:3" ht="15.5" x14ac:dyDescent="0.35">
      <c r="A82" s="28" t="s">
        <v>34</v>
      </c>
      <c r="B82" s="28"/>
      <c r="C82" s="28"/>
    </row>
    <row r="83" spans="1:3" ht="15.5" x14ac:dyDescent="0.35">
      <c r="A83" s="28"/>
      <c r="B83" s="28"/>
      <c r="C83" s="28"/>
    </row>
    <row r="84" spans="1:3" ht="15.5" x14ac:dyDescent="0.35">
      <c r="A84" s="28" t="s">
        <v>177</v>
      </c>
      <c r="B84" s="29"/>
      <c r="C84" s="28"/>
    </row>
    <row r="85" spans="1:3" ht="15.5" x14ac:dyDescent="0.35">
      <c r="A85" s="28"/>
      <c r="B85" s="30"/>
      <c r="C85" s="28"/>
    </row>
  </sheetData>
  <mergeCells count="7">
    <mergeCell ref="A79:B79"/>
    <mergeCell ref="A80:B80"/>
    <mergeCell ref="A7:C7"/>
    <mergeCell ref="A9:B9"/>
    <mergeCell ref="A10:B10"/>
    <mergeCell ref="A76:B76"/>
    <mergeCell ref="A77:B77"/>
  </mergeCells>
  <pageMargins left="0.7" right="0.7" top="0.75" bottom="0.75" header="0.3" footer="0.3"/>
  <pageSetup paperSize="9" scale="55" orientation="portrait" r:id="rId1"/>
  <headerFooter>
    <oddFooter>&amp;F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L77"/>
  <sheetViews>
    <sheetView view="pageLayout" topLeftCell="A7" zoomScale="80" zoomScaleNormal="90" zoomScalePageLayoutView="80" workbookViewId="0">
      <selection activeCell="B12" sqref="B12"/>
    </sheetView>
  </sheetViews>
  <sheetFormatPr defaultColWidth="9.1796875" defaultRowHeight="15.5" x14ac:dyDescent="0.35"/>
  <cols>
    <col min="1" max="1" width="13.26953125" style="13" customWidth="1"/>
    <col min="2" max="2" width="94.7265625" style="13" customWidth="1"/>
    <col min="3" max="4" width="17.81640625" style="69" hidden="1" customWidth="1"/>
    <col min="5" max="5" width="21.81640625" style="69" hidden="1" customWidth="1"/>
    <col min="6" max="6" width="28.54296875" style="13" customWidth="1"/>
    <col min="7" max="8" width="10.1796875" style="7" customWidth="1"/>
    <col min="9" max="16384" width="9.1796875" style="7"/>
  </cols>
  <sheetData>
    <row r="1" spans="1:6" x14ac:dyDescent="0.35">
      <c r="B1" s="15"/>
      <c r="C1" s="317"/>
      <c r="D1" s="317"/>
      <c r="E1" s="318" t="s">
        <v>10</v>
      </c>
      <c r="F1" s="15" t="s">
        <v>10</v>
      </c>
    </row>
    <row r="2" spans="1:6" x14ac:dyDescent="0.35">
      <c r="B2" s="311"/>
      <c r="C2" s="317"/>
      <c r="D2" s="317"/>
      <c r="E2" s="318" t="s">
        <v>32</v>
      </c>
      <c r="F2" s="15" t="s">
        <v>32</v>
      </c>
    </row>
    <row r="3" spans="1:6" x14ac:dyDescent="0.35">
      <c r="B3" s="311"/>
      <c r="D3" s="317"/>
      <c r="E3" s="318" t="s">
        <v>66</v>
      </c>
      <c r="F3" s="15" t="s">
        <v>66</v>
      </c>
    </row>
    <row r="4" spans="1:6" x14ac:dyDescent="0.35">
      <c r="B4" s="14"/>
      <c r="E4" s="72"/>
      <c r="F4" s="14"/>
    </row>
    <row r="5" spans="1:6" x14ac:dyDescent="0.35">
      <c r="B5" s="71"/>
      <c r="C5" s="76"/>
      <c r="D5" s="76"/>
      <c r="E5" s="72" t="s">
        <v>262</v>
      </c>
      <c r="F5" s="15" t="s">
        <v>333</v>
      </c>
    </row>
    <row r="7" spans="1:6" ht="15" x14ac:dyDescent="0.3">
      <c r="A7" s="416" t="s">
        <v>9</v>
      </c>
      <c r="B7" s="416"/>
      <c r="C7" s="416"/>
      <c r="D7" s="416"/>
      <c r="E7" s="416"/>
      <c r="F7" s="70"/>
    </row>
    <row r="8" spans="1:6" x14ac:dyDescent="0.35">
      <c r="B8" s="18"/>
    </row>
    <row r="9" spans="1:6" x14ac:dyDescent="0.35">
      <c r="A9" s="419" t="s">
        <v>1</v>
      </c>
      <c r="B9" s="419"/>
    </row>
    <row r="10" spans="1:6" x14ac:dyDescent="0.35">
      <c r="A10" s="419" t="s">
        <v>0</v>
      </c>
      <c r="B10" s="419"/>
      <c r="E10" s="208"/>
      <c r="F10" s="25"/>
    </row>
    <row r="11" spans="1:6" x14ac:dyDescent="0.35">
      <c r="A11" s="11"/>
      <c r="B11" s="11" t="s">
        <v>264</v>
      </c>
      <c r="C11" s="319"/>
      <c r="D11" s="319"/>
      <c r="E11" s="208"/>
      <c r="F11" s="25"/>
    </row>
    <row r="12" spans="1:6" x14ac:dyDescent="0.35">
      <c r="A12" s="11"/>
      <c r="B12" s="11" t="s">
        <v>355</v>
      </c>
    </row>
    <row r="13" spans="1:6" ht="9.75" customHeight="1" x14ac:dyDescent="0.35">
      <c r="A13" s="11"/>
      <c r="B13" s="11"/>
      <c r="C13" s="319"/>
      <c r="D13" s="319"/>
    </row>
    <row r="14" spans="1:6" x14ac:dyDescent="0.35">
      <c r="A14" s="11" t="s">
        <v>2</v>
      </c>
      <c r="B14" s="11" t="s">
        <v>250</v>
      </c>
      <c r="C14" s="319"/>
      <c r="D14" s="319"/>
    </row>
    <row r="15" spans="1:6" hidden="1" x14ac:dyDescent="0.35">
      <c r="B15" s="136"/>
    </row>
    <row r="16" spans="1:6" ht="67.5" customHeight="1" x14ac:dyDescent="0.25">
      <c r="A16" s="51" t="s">
        <v>3</v>
      </c>
      <c r="B16" s="51" t="s">
        <v>4</v>
      </c>
      <c r="C16" s="198"/>
      <c r="D16" s="198"/>
      <c r="E16" s="198" t="s">
        <v>134</v>
      </c>
      <c r="F16" s="51" t="s">
        <v>134</v>
      </c>
    </row>
    <row r="17" spans="1:12" ht="15" x14ac:dyDescent="0.25">
      <c r="A17" s="20">
        <v>1</v>
      </c>
      <c r="B17" s="21">
        <v>2</v>
      </c>
      <c r="C17" s="199"/>
      <c r="D17" s="199"/>
      <c r="E17" s="199">
        <v>3</v>
      </c>
      <c r="F17" s="21">
        <v>3</v>
      </c>
    </row>
    <row r="18" spans="1:12" x14ac:dyDescent="0.35">
      <c r="A18" s="20"/>
      <c r="B18" s="22" t="s">
        <v>5</v>
      </c>
      <c r="C18" s="203"/>
      <c r="D18" s="203"/>
      <c r="E18" s="203"/>
      <c r="F18" s="61"/>
    </row>
    <row r="19" spans="1:12" x14ac:dyDescent="0.25">
      <c r="A19" s="31">
        <v>1100</v>
      </c>
      <c r="B19" s="31" t="s">
        <v>68</v>
      </c>
      <c r="C19" s="320">
        <v>15600</v>
      </c>
      <c r="D19" s="320">
        <v>7.79</v>
      </c>
      <c r="E19" s="321">
        <f>D19*30</f>
        <v>233.7</v>
      </c>
      <c r="F19" s="33">
        <v>314</v>
      </c>
      <c r="H19" s="148"/>
    </row>
    <row r="20" spans="1:12" ht="15.75" customHeight="1" x14ac:dyDescent="0.25">
      <c r="A20" s="31">
        <v>1200</v>
      </c>
      <c r="B20" s="32" t="s">
        <v>265</v>
      </c>
      <c r="C20" s="320">
        <v>3758.04</v>
      </c>
      <c r="D20" s="320">
        <v>1.88</v>
      </c>
      <c r="E20" s="321">
        <f t="shared" ref="E20:E29" si="0">D20*30</f>
        <v>56.4</v>
      </c>
      <c r="F20" s="33">
        <v>74.069999999999993</v>
      </c>
    </row>
    <row r="21" spans="1:12" x14ac:dyDescent="0.25">
      <c r="A21" s="31">
        <v>2222</v>
      </c>
      <c r="B21" s="32" t="s">
        <v>266</v>
      </c>
      <c r="C21" s="320">
        <f>459.81+437.91+7364.14</f>
        <v>8261.86</v>
      </c>
      <c r="D21" s="320">
        <f>4.13*1.15</f>
        <v>4.7494999999999994</v>
      </c>
      <c r="E21" s="321">
        <f>D21*30*1.1</f>
        <v>156.73349999999999</v>
      </c>
      <c r="F21" s="33">
        <v>18.2</v>
      </c>
    </row>
    <row r="22" spans="1:12" x14ac:dyDescent="0.25">
      <c r="A22" s="31">
        <v>2223</v>
      </c>
      <c r="B22" s="32" t="s">
        <v>27</v>
      </c>
      <c r="C22" s="320">
        <f>2467.99+2388.76+2582.45+7811.91</f>
        <v>15251.11</v>
      </c>
      <c r="D22" s="320">
        <f>7.62*1.44</f>
        <v>10.972799999999999</v>
      </c>
      <c r="E22" s="321">
        <f>D22*30*2.13</f>
        <v>701.1619199999999</v>
      </c>
      <c r="F22" s="33">
        <v>15.17</v>
      </c>
    </row>
    <row r="23" spans="1:12" x14ac:dyDescent="0.25">
      <c r="A23" s="31">
        <v>2243</v>
      </c>
      <c r="B23" s="32" t="s">
        <v>78</v>
      </c>
      <c r="C23" s="320">
        <f>832+2080+480+3905</f>
        <v>7297</v>
      </c>
      <c r="D23" s="320">
        <v>3.64</v>
      </c>
      <c r="E23" s="321">
        <f t="shared" si="0"/>
        <v>109.2</v>
      </c>
      <c r="F23" s="33">
        <v>8.33</v>
      </c>
    </row>
    <row r="24" spans="1:12" x14ac:dyDescent="0.25">
      <c r="A24" s="31">
        <v>2244</v>
      </c>
      <c r="B24" s="32" t="s">
        <v>267</v>
      </c>
      <c r="C24" s="320">
        <v>9639.73</v>
      </c>
      <c r="D24" s="320">
        <v>4.82</v>
      </c>
      <c r="E24" s="321">
        <f t="shared" si="0"/>
        <v>144.60000000000002</v>
      </c>
      <c r="F24" s="33">
        <v>30.8</v>
      </c>
    </row>
    <row r="25" spans="1:12" x14ac:dyDescent="0.25">
      <c r="A25" s="31">
        <v>2312</v>
      </c>
      <c r="B25" s="32" t="s">
        <v>18</v>
      </c>
      <c r="C25" s="320">
        <f>315.65+50.1+15.4+130.7+35.59+65.25+1.85+1831.03</f>
        <v>2445.5699999999997</v>
      </c>
      <c r="D25" s="320">
        <v>1.22</v>
      </c>
      <c r="E25" s="321">
        <f t="shared" si="0"/>
        <v>36.6</v>
      </c>
      <c r="F25" s="33">
        <v>28.13</v>
      </c>
    </row>
    <row r="26" spans="1:12" x14ac:dyDescent="0.25">
      <c r="A26" s="31">
        <v>2321</v>
      </c>
      <c r="B26" s="32" t="s">
        <v>19</v>
      </c>
      <c r="C26" s="320">
        <f>3010.82+7276.65</f>
        <v>10287.469999999999</v>
      </c>
      <c r="D26" s="320">
        <f>5.14*1.2</f>
        <v>6.1679999999999993</v>
      </c>
      <c r="E26" s="321">
        <f>D26*30*1.2</f>
        <v>222.04799999999994</v>
      </c>
      <c r="F26" s="33">
        <v>15.53</v>
      </c>
    </row>
    <row r="27" spans="1:12" x14ac:dyDescent="0.25">
      <c r="A27" s="31">
        <v>2341</v>
      </c>
      <c r="B27" s="32" t="s">
        <v>268</v>
      </c>
      <c r="C27" s="320">
        <f>800.4+863.4</f>
        <v>1663.8</v>
      </c>
      <c r="D27" s="320">
        <v>0.83</v>
      </c>
      <c r="E27" s="321">
        <f t="shared" si="0"/>
        <v>24.9</v>
      </c>
      <c r="F27" s="33">
        <v>20.48</v>
      </c>
    </row>
    <row r="28" spans="1:12" hidden="1" x14ac:dyDescent="0.25">
      <c r="A28" s="31">
        <v>2350</v>
      </c>
      <c r="B28" s="32" t="s">
        <v>269</v>
      </c>
      <c r="C28" s="320">
        <f>52.36+84.24</f>
        <v>136.6</v>
      </c>
      <c r="D28" s="320">
        <v>7.0000000000000007E-2</v>
      </c>
      <c r="E28" s="321">
        <f t="shared" si="0"/>
        <v>2.1</v>
      </c>
      <c r="F28" s="33">
        <v>0</v>
      </c>
    </row>
    <row r="29" spans="1:12" x14ac:dyDescent="0.25">
      <c r="A29" s="34">
        <v>5239</v>
      </c>
      <c r="B29" s="32" t="s">
        <v>270</v>
      </c>
      <c r="C29" s="320">
        <f>1926.68+1000+756.15+664.31+644.36</f>
        <v>4991.5</v>
      </c>
      <c r="D29" s="320">
        <v>2.4900000000000002</v>
      </c>
      <c r="E29" s="321">
        <f t="shared" si="0"/>
        <v>74.7</v>
      </c>
      <c r="F29" s="33">
        <v>56.46</v>
      </c>
      <c r="L29" s="148"/>
    </row>
    <row r="30" spans="1:12" x14ac:dyDescent="0.25">
      <c r="A30" s="31"/>
      <c r="B30" s="36" t="s">
        <v>6</v>
      </c>
      <c r="C30" s="322">
        <f>SUM(C19:C29)</f>
        <v>79332.680000000008</v>
      </c>
      <c r="D30" s="322">
        <f>SUM(D19:D29)</f>
        <v>44.630299999999998</v>
      </c>
      <c r="E30" s="322">
        <f>SUM(E19:E29)</f>
        <v>1762.1434199999999</v>
      </c>
      <c r="F30" s="37">
        <f>SUM(F19:F29)</f>
        <v>581.16999999999996</v>
      </c>
      <c r="G30" s="148"/>
    </row>
    <row r="31" spans="1:12" x14ac:dyDescent="0.25">
      <c r="A31" s="38"/>
      <c r="B31" s="31" t="s">
        <v>7</v>
      </c>
      <c r="C31" s="320"/>
      <c r="D31" s="320"/>
      <c r="E31" s="320"/>
      <c r="F31" s="33"/>
    </row>
    <row r="32" spans="1:12" x14ac:dyDescent="0.25">
      <c r="A32" s="31">
        <v>1100</v>
      </c>
      <c r="B32" s="31" t="s">
        <v>68</v>
      </c>
      <c r="C32" s="320">
        <v>12064.39</v>
      </c>
      <c r="D32" s="320">
        <v>9.0500000000000007</v>
      </c>
      <c r="E32" s="320">
        <f>D32*30</f>
        <v>271.5</v>
      </c>
      <c r="F32" s="33">
        <v>113.28</v>
      </c>
      <c r="H32" s="148"/>
    </row>
    <row r="33" spans="1:8" ht="15.75" customHeight="1" x14ac:dyDescent="0.25">
      <c r="A33" s="31">
        <v>1200</v>
      </c>
      <c r="B33" s="32" t="s">
        <v>265</v>
      </c>
      <c r="C33" s="320">
        <v>2918.8</v>
      </c>
      <c r="D33" s="320">
        <v>2.1800000000000002</v>
      </c>
      <c r="E33" s="320">
        <f>D33*30</f>
        <v>65.400000000000006</v>
      </c>
      <c r="F33" s="33">
        <v>26.72</v>
      </c>
      <c r="H33" s="148"/>
    </row>
    <row r="34" spans="1:8" hidden="1" x14ac:dyDescent="0.25">
      <c r="A34" s="31">
        <v>2100</v>
      </c>
      <c r="B34" s="24" t="s">
        <v>45</v>
      </c>
      <c r="C34" s="320">
        <v>0</v>
      </c>
      <c r="D34" s="320">
        <f>C34/12/166.83*1.5</f>
        <v>0</v>
      </c>
      <c r="E34" s="320">
        <f>D34*30</f>
        <v>0</v>
      </c>
      <c r="F34" s="33">
        <v>0</v>
      </c>
      <c r="H34" s="148"/>
    </row>
    <row r="35" spans="1:8" x14ac:dyDescent="0.25">
      <c r="A35" s="34">
        <v>2210</v>
      </c>
      <c r="B35" s="32" t="s">
        <v>271</v>
      </c>
      <c r="C35" s="320">
        <v>340.53</v>
      </c>
      <c r="D35" s="320">
        <v>0.26</v>
      </c>
      <c r="E35" s="320">
        <f>D35*30</f>
        <v>7.8000000000000007</v>
      </c>
      <c r="F35" s="33">
        <v>1.1399999999999999</v>
      </c>
      <c r="H35" s="148"/>
    </row>
    <row r="36" spans="1:8" hidden="1" x14ac:dyDescent="0.25">
      <c r="A36" s="31">
        <v>2222</v>
      </c>
      <c r="B36" s="32" t="s">
        <v>26</v>
      </c>
      <c r="C36" s="320">
        <v>0</v>
      </c>
      <c r="D36" s="320">
        <f>C36/12/166.83*1.5</f>
        <v>0</v>
      </c>
      <c r="E36" s="320">
        <f>D36*30</f>
        <v>0</v>
      </c>
      <c r="F36" s="33">
        <v>0</v>
      </c>
      <c r="H36" s="148"/>
    </row>
    <row r="37" spans="1:8" x14ac:dyDescent="0.25">
      <c r="A37" s="31">
        <v>2223</v>
      </c>
      <c r="B37" s="32" t="s">
        <v>27</v>
      </c>
      <c r="C37" s="320">
        <v>1264.82</v>
      </c>
      <c r="D37" s="320">
        <f>0.95*1.44</f>
        <v>1.3679999999999999</v>
      </c>
      <c r="E37" s="320">
        <f>D37*30*2.13</f>
        <v>87.415199999999999</v>
      </c>
      <c r="F37" s="33">
        <v>18.440000000000001</v>
      </c>
      <c r="H37" s="148"/>
    </row>
    <row r="38" spans="1:8" ht="31" x14ac:dyDescent="0.25">
      <c r="A38" s="31">
        <v>2224</v>
      </c>
      <c r="B38" s="32" t="s">
        <v>272</v>
      </c>
      <c r="C38" s="320">
        <v>340.53</v>
      </c>
      <c r="D38" s="320">
        <f>0.26*1.05</f>
        <v>0.27300000000000002</v>
      </c>
      <c r="E38" s="320">
        <f>D38*30*1.15</f>
        <v>9.4184999999999999</v>
      </c>
      <c r="F38" s="33">
        <v>1.55</v>
      </c>
      <c r="H38" s="148"/>
    </row>
    <row r="39" spans="1:8" x14ac:dyDescent="0.25">
      <c r="A39" s="31">
        <v>2231</v>
      </c>
      <c r="B39" s="32" t="s">
        <v>273</v>
      </c>
      <c r="C39" s="320">
        <v>0</v>
      </c>
      <c r="D39" s="320">
        <v>0.13</v>
      </c>
      <c r="E39" s="320">
        <f t="shared" ref="E39:E53" si="1">D39*30</f>
        <v>3.9000000000000004</v>
      </c>
      <c r="F39" s="33">
        <v>0.27</v>
      </c>
      <c r="H39" s="148"/>
    </row>
    <row r="40" spans="1:8" hidden="1" x14ac:dyDescent="0.25">
      <c r="A40" s="31">
        <v>2239</v>
      </c>
      <c r="B40" s="32" t="s">
        <v>274</v>
      </c>
      <c r="C40" s="320">
        <v>0</v>
      </c>
      <c r="D40" s="320">
        <v>0</v>
      </c>
      <c r="E40" s="320">
        <f t="shared" si="1"/>
        <v>0</v>
      </c>
      <c r="F40" s="33">
        <v>0</v>
      </c>
      <c r="H40" s="148"/>
    </row>
    <row r="41" spans="1:8" x14ac:dyDescent="0.35">
      <c r="A41" s="61">
        <v>2241</v>
      </c>
      <c r="B41" s="62" t="s">
        <v>275</v>
      </c>
      <c r="C41" s="320">
        <v>340.53</v>
      </c>
      <c r="D41" s="320">
        <v>0.26</v>
      </c>
      <c r="E41" s="320">
        <f t="shared" si="1"/>
        <v>7.8000000000000007</v>
      </c>
      <c r="F41" s="33">
        <v>2.09</v>
      </c>
      <c r="H41" s="148"/>
    </row>
    <row r="42" spans="1:8" x14ac:dyDescent="0.35">
      <c r="A42" s="61">
        <v>2242</v>
      </c>
      <c r="B42" s="62" t="s">
        <v>12</v>
      </c>
      <c r="C42" s="320">
        <v>243.23</v>
      </c>
      <c r="D42" s="320">
        <v>0.18</v>
      </c>
      <c r="E42" s="320">
        <f t="shared" si="1"/>
        <v>5.3999999999999995</v>
      </c>
      <c r="F42" s="33">
        <v>0.55000000000000004</v>
      </c>
      <c r="H42" s="148"/>
    </row>
    <row r="43" spans="1:8" x14ac:dyDescent="0.35">
      <c r="A43" s="61">
        <v>2243</v>
      </c>
      <c r="B43" s="62" t="s">
        <v>13</v>
      </c>
      <c r="C43" s="320">
        <v>486.47</v>
      </c>
      <c r="D43" s="320">
        <v>0.36</v>
      </c>
      <c r="E43" s="320">
        <f t="shared" si="1"/>
        <v>10.799999999999999</v>
      </c>
      <c r="F43" s="33">
        <v>2.0699999999999998</v>
      </c>
      <c r="H43" s="148"/>
    </row>
    <row r="44" spans="1:8" x14ac:dyDescent="0.35">
      <c r="A44" s="61">
        <v>2244</v>
      </c>
      <c r="B44" s="32" t="s">
        <v>267</v>
      </c>
      <c r="C44" s="320">
        <v>2335.04</v>
      </c>
      <c r="D44" s="320">
        <f>1.75+0.11</f>
        <v>1.86</v>
      </c>
      <c r="E44" s="320">
        <f t="shared" si="1"/>
        <v>55.800000000000004</v>
      </c>
      <c r="F44" s="33">
        <v>11.57</v>
      </c>
      <c r="H44" s="148"/>
    </row>
    <row r="45" spans="1:8" hidden="1" x14ac:dyDescent="0.35">
      <c r="A45" s="61">
        <v>2249</v>
      </c>
      <c r="B45" s="62" t="s">
        <v>276</v>
      </c>
      <c r="C45" s="320">
        <v>145.94</v>
      </c>
      <c r="D45" s="320">
        <v>0</v>
      </c>
      <c r="E45" s="320">
        <f t="shared" si="1"/>
        <v>0</v>
      </c>
      <c r="F45" s="33">
        <v>0</v>
      </c>
      <c r="H45" s="148"/>
    </row>
    <row r="46" spans="1:8" x14ac:dyDescent="0.35">
      <c r="A46" s="61">
        <v>2250</v>
      </c>
      <c r="B46" s="62" t="s">
        <v>119</v>
      </c>
      <c r="C46" s="320">
        <v>0</v>
      </c>
      <c r="D46" s="320">
        <v>0</v>
      </c>
      <c r="E46" s="320">
        <f t="shared" si="1"/>
        <v>0</v>
      </c>
      <c r="F46" s="33">
        <v>4.3600000000000003</v>
      </c>
      <c r="H46" s="148"/>
    </row>
    <row r="47" spans="1:8" hidden="1" x14ac:dyDescent="0.35">
      <c r="A47" s="61">
        <v>2261</v>
      </c>
      <c r="B47" s="62" t="s">
        <v>48</v>
      </c>
      <c r="C47" s="320">
        <v>972.93</v>
      </c>
      <c r="D47" s="320">
        <v>0.73</v>
      </c>
      <c r="E47" s="320">
        <f t="shared" si="1"/>
        <v>21.9</v>
      </c>
      <c r="F47" s="33">
        <v>0</v>
      </c>
      <c r="H47" s="148"/>
    </row>
    <row r="48" spans="1:8" x14ac:dyDescent="0.35">
      <c r="A48" s="61">
        <v>2262</v>
      </c>
      <c r="B48" s="62" t="s">
        <v>15</v>
      </c>
      <c r="C48" s="320">
        <v>0</v>
      </c>
      <c r="D48" s="320">
        <v>0</v>
      </c>
      <c r="E48" s="320">
        <f t="shared" si="1"/>
        <v>0</v>
      </c>
      <c r="F48" s="33">
        <v>0.14000000000000001</v>
      </c>
      <c r="H48" s="148"/>
    </row>
    <row r="49" spans="1:8" x14ac:dyDescent="0.35">
      <c r="A49" s="61">
        <v>2263</v>
      </c>
      <c r="B49" s="62" t="s">
        <v>40</v>
      </c>
      <c r="C49" s="320">
        <v>145.94</v>
      </c>
      <c r="D49" s="320">
        <v>0.11</v>
      </c>
      <c r="E49" s="320">
        <f t="shared" si="1"/>
        <v>3.3</v>
      </c>
      <c r="F49" s="33">
        <v>8.39</v>
      </c>
      <c r="H49" s="148"/>
    </row>
    <row r="50" spans="1:8" hidden="1" x14ac:dyDescent="0.35">
      <c r="A50" s="61">
        <v>2264</v>
      </c>
      <c r="B50" s="62" t="s">
        <v>41</v>
      </c>
      <c r="C50" s="320">
        <v>1848.58</v>
      </c>
      <c r="D50" s="320">
        <v>1.39</v>
      </c>
      <c r="E50" s="320">
        <f t="shared" si="1"/>
        <v>41.699999999999996</v>
      </c>
      <c r="F50" s="33">
        <v>0</v>
      </c>
      <c r="H50" s="148"/>
    </row>
    <row r="51" spans="1:8" x14ac:dyDescent="0.35">
      <c r="A51" s="61">
        <v>2311</v>
      </c>
      <c r="B51" s="62" t="s">
        <v>17</v>
      </c>
      <c r="C51" s="320">
        <v>0</v>
      </c>
      <c r="D51" s="320">
        <f>C51/12/166.83*1.5</f>
        <v>0</v>
      </c>
      <c r="E51" s="320">
        <f t="shared" si="1"/>
        <v>0</v>
      </c>
      <c r="F51" s="33">
        <v>0.13</v>
      </c>
      <c r="H51" s="148"/>
    </row>
    <row r="52" spans="1:8" x14ac:dyDescent="0.35">
      <c r="A52" s="61">
        <v>2312</v>
      </c>
      <c r="B52" s="62" t="s">
        <v>18</v>
      </c>
      <c r="C52" s="320">
        <v>145.94</v>
      </c>
      <c r="D52" s="320">
        <v>0.11</v>
      </c>
      <c r="E52" s="320">
        <f t="shared" si="1"/>
        <v>3.3</v>
      </c>
      <c r="F52" s="33">
        <v>0.21</v>
      </c>
      <c r="H52" s="148"/>
    </row>
    <row r="53" spans="1:8" x14ac:dyDescent="0.35">
      <c r="A53" s="61">
        <v>2321</v>
      </c>
      <c r="B53" s="62" t="s">
        <v>19</v>
      </c>
      <c r="C53" s="320">
        <v>145.94</v>
      </c>
      <c r="D53" s="320">
        <v>0.11</v>
      </c>
      <c r="E53" s="320">
        <f t="shared" si="1"/>
        <v>3.3</v>
      </c>
      <c r="F53" s="33">
        <f>14.16+0.04</f>
        <v>14.2</v>
      </c>
      <c r="H53" s="148"/>
    </row>
    <row r="54" spans="1:8" x14ac:dyDescent="0.35">
      <c r="A54" s="61">
        <v>2322</v>
      </c>
      <c r="B54" s="62" t="s">
        <v>20</v>
      </c>
      <c r="C54" s="320">
        <v>972.93</v>
      </c>
      <c r="D54" s="320">
        <f>0.73*1.2</f>
        <v>0.876</v>
      </c>
      <c r="E54" s="320">
        <f>D54*30*1.2</f>
        <v>31.536000000000001</v>
      </c>
      <c r="F54" s="33">
        <v>0.47</v>
      </c>
      <c r="H54" s="148"/>
    </row>
    <row r="55" spans="1:8" hidden="1" x14ac:dyDescent="0.35">
      <c r="A55" s="61">
        <v>2341</v>
      </c>
      <c r="B55" s="62" t="s">
        <v>42</v>
      </c>
      <c r="C55" s="320">
        <v>145.94</v>
      </c>
      <c r="D55" s="320">
        <f>0.11*1.2</f>
        <v>0.13200000000000001</v>
      </c>
      <c r="E55" s="320">
        <f>D55*30*1.2</f>
        <v>4.7519999999999998</v>
      </c>
      <c r="F55" s="33">
        <v>0</v>
      </c>
      <c r="H55" s="148"/>
    </row>
    <row r="56" spans="1:8" hidden="1" x14ac:dyDescent="0.35">
      <c r="A56" s="61">
        <v>2344</v>
      </c>
      <c r="B56" s="62" t="s">
        <v>49</v>
      </c>
      <c r="C56" s="320">
        <v>0</v>
      </c>
      <c r="D56" s="320">
        <f>C56/12/166.83*1.5</f>
        <v>0</v>
      </c>
      <c r="E56" s="320">
        <f t="shared" ref="E56:E62" si="2">D56*30</f>
        <v>0</v>
      </c>
      <c r="F56" s="33">
        <v>0</v>
      </c>
      <c r="H56" s="148"/>
    </row>
    <row r="57" spans="1:8" x14ac:dyDescent="0.35">
      <c r="A57" s="61">
        <v>2350</v>
      </c>
      <c r="B57" s="62" t="s">
        <v>269</v>
      </c>
      <c r="C57" s="320">
        <v>0</v>
      </c>
      <c r="D57" s="320">
        <f>C57/12/166.83*1.5</f>
        <v>0</v>
      </c>
      <c r="E57" s="320">
        <f t="shared" si="2"/>
        <v>0</v>
      </c>
      <c r="F57" s="33">
        <v>1.58</v>
      </c>
      <c r="H57" s="148"/>
    </row>
    <row r="58" spans="1:8" hidden="1" x14ac:dyDescent="0.35">
      <c r="A58" s="61">
        <v>2512</v>
      </c>
      <c r="B58" s="62" t="s">
        <v>277</v>
      </c>
      <c r="C58" s="320">
        <v>437.82</v>
      </c>
      <c r="D58" s="320">
        <v>0.33</v>
      </c>
      <c r="E58" s="320">
        <f t="shared" si="2"/>
        <v>9.9</v>
      </c>
      <c r="F58" s="33">
        <v>0</v>
      </c>
      <c r="H58" s="148"/>
    </row>
    <row r="59" spans="1:8" x14ac:dyDescent="0.25">
      <c r="A59" s="31">
        <v>2513</v>
      </c>
      <c r="B59" s="32" t="s">
        <v>278</v>
      </c>
      <c r="C59" s="320">
        <v>145.94</v>
      </c>
      <c r="D59" s="320">
        <v>0.11</v>
      </c>
      <c r="E59" s="320">
        <f t="shared" si="2"/>
        <v>3.3</v>
      </c>
      <c r="F59" s="33">
        <v>1.26</v>
      </c>
      <c r="H59" s="148"/>
    </row>
    <row r="60" spans="1:8" x14ac:dyDescent="0.25">
      <c r="A60" s="31">
        <v>2515</v>
      </c>
      <c r="B60" s="32" t="s">
        <v>73</v>
      </c>
      <c r="C60" s="320"/>
      <c r="D60" s="320">
        <f>C60/12/166.83*1.5</f>
        <v>0</v>
      </c>
      <c r="E60" s="320">
        <f t="shared" si="2"/>
        <v>0</v>
      </c>
      <c r="F60" s="33">
        <v>0.26</v>
      </c>
    </row>
    <row r="61" spans="1:8" hidden="1" x14ac:dyDescent="0.25">
      <c r="A61" s="31">
        <v>2519</v>
      </c>
      <c r="B61" s="32" t="s">
        <v>25</v>
      </c>
      <c r="C61" s="320"/>
      <c r="D61" s="320">
        <v>0.18</v>
      </c>
      <c r="E61" s="320">
        <f t="shared" si="2"/>
        <v>5.3999999999999995</v>
      </c>
      <c r="F61" s="33">
        <v>0</v>
      </c>
    </row>
    <row r="62" spans="1:8" x14ac:dyDescent="0.25">
      <c r="A62" s="31">
        <v>5239</v>
      </c>
      <c r="B62" s="32" t="s">
        <v>270</v>
      </c>
      <c r="C62" s="320"/>
      <c r="D62" s="320">
        <v>0</v>
      </c>
      <c r="E62" s="320">
        <f t="shared" si="2"/>
        <v>0</v>
      </c>
      <c r="F62" s="33">
        <v>0.55000000000000004</v>
      </c>
    </row>
    <row r="63" spans="1:8" x14ac:dyDescent="0.25">
      <c r="A63" s="38"/>
      <c r="B63" s="40" t="s">
        <v>8</v>
      </c>
      <c r="C63" s="322">
        <f>SUM(C32:C62)</f>
        <v>25442.239999999991</v>
      </c>
      <c r="D63" s="322">
        <f>SUM(D32:D62)</f>
        <v>19.998999999999999</v>
      </c>
      <c r="E63" s="322">
        <f>SUM(E32:E62)</f>
        <v>653.62169999999969</v>
      </c>
      <c r="F63" s="37">
        <f>SUM(F32:F62)</f>
        <v>209.23</v>
      </c>
      <c r="H63" s="148"/>
    </row>
    <row r="64" spans="1:8" x14ac:dyDescent="0.25">
      <c r="A64" s="38"/>
      <c r="B64" s="40" t="s">
        <v>29</v>
      </c>
      <c r="C64" s="322">
        <f>C30+C63</f>
        <v>104774.92</v>
      </c>
      <c r="D64" s="322">
        <f>D30+D63</f>
        <v>64.629300000000001</v>
      </c>
      <c r="E64" s="322">
        <f>E30+E63</f>
        <v>2415.7651199999996</v>
      </c>
      <c r="F64" s="37">
        <f>F30+F63</f>
        <v>790.4</v>
      </c>
      <c r="G64" s="148"/>
    </row>
    <row r="65" spans="1:9" x14ac:dyDescent="0.35">
      <c r="A65" s="15"/>
      <c r="B65" s="25"/>
      <c r="C65" s="323"/>
      <c r="D65" s="323"/>
      <c r="E65" s="323"/>
      <c r="F65" s="59"/>
    </row>
    <row r="66" spans="1:9" x14ac:dyDescent="0.35">
      <c r="A66" s="430" t="s">
        <v>106</v>
      </c>
      <c r="B66" s="431"/>
      <c r="C66" s="324"/>
      <c r="D66" s="324">
        <v>1</v>
      </c>
      <c r="E66" s="325">
        <v>30</v>
      </c>
      <c r="F66" s="65">
        <v>10</v>
      </c>
    </row>
    <row r="67" spans="1:9" x14ac:dyDescent="0.35">
      <c r="A67" s="430" t="s">
        <v>58</v>
      </c>
      <c r="B67" s="431"/>
      <c r="C67" s="322"/>
      <c r="D67" s="322">
        <f>D64/D66</f>
        <v>64.629300000000001</v>
      </c>
      <c r="E67" s="326">
        <f>ROUND(E64/E66,2)</f>
        <v>80.53</v>
      </c>
      <c r="F67" s="66">
        <f>F64/F66</f>
        <v>79.039999999999992</v>
      </c>
      <c r="G67" s="148"/>
      <c r="H67" s="148"/>
    </row>
    <row r="68" spans="1:9" x14ac:dyDescent="0.35">
      <c r="A68" s="25"/>
      <c r="B68" s="26"/>
      <c r="C68" s="319"/>
      <c r="D68" s="319"/>
      <c r="I68" s="148"/>
    </row>
    <row r="69" spans="1:9" x14ac:dyDescent="0.35">
      <c r="A69" s="430" t="s">
        <v>33</v>
      </c>
      <c r="B69" s="431"/>
      <c r="C69" s="327"/>
      <c r="D69" s="327"/>
      <c r="E69" s="327"/>
      <c r="F69" s="85"/>
    </row>
    <row r="70" spans="1:9" x14ac:dyDescent="0.35">
      <c r="A70" s="430" t="s">
        <v>253</v>
      </c>
      <c r="B70" s="431"/>
      <c r="C70" s="327"/>
      <c r="D70" s="327"/>
      <c r="E70" s="327"/>
      <c r="F70" s="27"/>
    </row>
    <row r="71" spans="1:9" x14ac:dyDescent="0.35">
      <c r="A71" s="28"/>
      <c r="B71" s="28"/>
      <c r="C71" s="212"/>
      <c r="D71" s="328"/>
      <c r="E71" s="212"/>
      <c r="F71" s="28"/>
    </row>
    <row r="72" spans="1:9" x14ac:dyDescent="0.35">
      <c r="A72" s="28" t="s">
        <v>34</v>
      </c>
      <c r="B72" s="28"/>
      <c r="C72" s="212"/>
      <c r="D72" s="212"/>
      <c r="E72" s="212"/>
      <c r="F72" s="81"/>
    </row>
    <row r="73" spans="1:9" x14ac:dyDescent="0.35">
      <c r="A73" s="28"/>
      <c r="B73" s="28"/>
      <c r="C73" s="328"/>
      <c r="D73" s="328"/>
      <c r="E73" s="212"/>
      <c r="F73" s="81"/>
    </row>
    <row r="74" spans="1:9" x14ac:dyDescent="0.35">
      <c r="A74" s="28" t="s">
        <v>177</v>
      </c>
      <c r="B74" s="29"/>
      <c r="C74" s="212"/>
      <c r="D74" s="212"/>
      <c r="E74" s="212"/>
      <c r="F74" s="28"/>
    </row>
    <row r="75" spans="1:9" x14ac:dyDescent="0.35">
      <c r="A75" s="28"/>
      <c r="B75" s="161"/>
      <c r="C75" s="212"/>
      <c r="D75" s="212"/>
      <c r="E75" s="212"/>
      <c r="F75" s="28"/>
    </row>
    <row r="76" spans="1:9" x14ac:dyDescent="0.35">
      <c r="B76" s="15"/>
    </row>
    <row r="77" spans="1:9" x14ac:dyDescent="0.35">
      <c r="B77" s="25"/>
    </row>
  </sheetData>
  <mergeCells count="7">
    <mergeCell ref="A70:B70"/>
    <mergeCell ref="A7:E7"/>
    <mergeCell ref="A9:B9"/>
    <mergeCell ref="A10:B10"/>
    <mergeCell ref="A66:B66"/>
    <mergeCell ref="A67:B67"/>
    <mergeCell ref="A69:B69"/>
  </mergeCells>
  <pageMargins left="0.7" right="0.7" top="0.75" bottom="0.75" header="0.3" footer="0.3"/>
  <pageSetup paperSize="9" scale="65" orientation="portrait" r:id="rId1"/>
  <headerFooter>
    <oddFooter>&amp;F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M72"/>
  <sheetViews>
    <sheetView view="pageLayout" topLeftCell="A7" zoomScale="80" zoomScaleNormal="100" zoomScalePageLayoutView="80" workbookViewId="0">
      <selection activeCell="B12" sqref="B12"/>
    </sheetView>
  </sheetViews>
  <sheetFormatPr defaultColWidth="9.1796875" defaultRowHeight="15.5" x14ac:dyDescent="0.35"/>
  <cols>
    <col min="1" max="1" width="11.26953125" style="13" customWidth="1"/>
    <col min="2" max="2" width="84.81640625" style="13" customWidth="1"/>
    <col min="3" max="3" width="8.26953125" style="13" hidden="1" customWidth="1"/>
    <col min="4" max="5" width="23.54296875" style="13" hidden="1" customWidth="1"/>
    <col min="6" max="7" width="27.54296875" style="13" hidden="1" customWidth="1"/>
    <col min="8" max="8" width="9.54296875" style="217" hidden="1" customWidth="1"/>
    <col min="9" max="9" width="27.54296875" style="13" customWidth="1"/>
    <col min="10" max="16384" width="9.1796875" style="13"/>
  </cols>
  <sheetData>
    <row r="1" spans="1:9" x14ac:dyDescent="0.35">
      <c r="B1" s="15"/>
      <c r="C1" s="15"/>
      <c r="D1" s="15" t="s">
        <v>10</v>
      </c>
      <c r="E1" s="15" t="s">
        <v>10</v>
      </c>
      <c r="F1" s="15" t="s">
        <v>10</v>
      </c>
      <c r="G1" s="15" t="s">
        <v>10</v>
      </c>
      <c r="H1" s="262"/>
      <c r="I1" s="15" t="s">
        <v>10</v>
      </c>
    </row>
    <row r="2" spans="1:9" x14ac:dyDescent="0.35">
      <c r="B2" s="15"/>
      <c r="C2" s="15"/>
      <c r="D2" s="15" t="s">
        <v>32</v>
      </c>
      <c r="E2" s="15" t="s">
        <v>32</v>
      </c>
      <c r="F2" s="15" t="s">
        <v>32</v>
      </c>
      <c r="G2" s="15" t="s">
        <v>32</v>
      </c>
      <c r="H2" s="262"/>
      <c r="I2" s="15" t="s">
        <v>32</v>
      </c>
    </row>
    <row r="3" spans="1:9" x14ac:dyDescent="0.35">
      <c r="B3" s="311"/>
      <c r="C3" s="311"/>
      <c r="D3" s="15" t="s">
        <v>66</v>
      </c>
      <c r="E3" s="15" t="s">
        <v>66</v>
      </c>
      <c r="F3" s="15" t="s">
        <v>66</v>
      </c>
      <c r="G3" s="15" t="s">
        <v>66</v>
      </c>
      <c r="H3" s="262"/>
      <c r="I3" s="15" t="s">
        <v>66</v>
      </c>
    </row>
    <row r="4" spans="1:9" x14ac:dyDescent="0.35">
      <c r="B4" s="15"/>
      <c r="C4" s="15"/>
      <c r="D4" s="15"/>
      <c r="E4" s="15"/>
      <c r="F4" s="15"/>
      <c r="G4" s="15"/>
      <c r="H4" s="262"/>
      <c r="I4" s="15"/>
    </row>
    <row r="5" spans="1:9" x14ac:dyDescent="0.35">
      <c r="B5" s="15"/>
      <c r="C5" s="15"/>
      <c r="D5" s="15" t="s">
        <v>168</v>
      </c>
      <c r="E5" s="15" t="s">
        <v>168</v>
      </c>
      <c r="F5" s="15" t="s">
        <v>279</v>
      </c>
      <c r="G5" s="15" t="s">
        <v>245</v>
      </c>
      <c r="H5" s="262"/>
      <c r="I5" s="15" t="s">
        <v>333</v>
      </c>
    </row>
    <row r="6" spans="1:9" ht="15.75" customHeight="1" x14ac:dyDescent="0.35">
      <c r="B6" s="453"/>
      <c r="C6" s="453"/>
      <c r="D6" s="453"/>
      <c r="E6" s="14"/>
      <c r="F6" s="14"/>
      <c r="G6" s="14"/>
      <c r="H6" s="214"/>
      <c r="I6" s="14"/>
    </row>
    <row r="7" spans="1:9" x14ac:dyDescent="0.35">
      <c r="A7" s="416" t="s">
        <v>9</v>
      </c>
      <c r="B7" s="416"/>
      <c r="C7" s="416"/>
      <c r="D7" s="416"/>
      <c r="E7" s="416"/>
      <c r="F7" s="416"/>
      <c r="G7" s="70"/>
      <c r="H7" s="218"/>
      <c r="I7" s="70"/>
    </row>
    <row r="8" spans="1:9" x14ac:dyDescent="0.35">
      <c r="A8" s="70"/>
      <c r="B8" s="70"/>
      <c r="C8" s="70"/>
      <c r="D8" s="70"/>
      <c r="E8" s="70"/>
      <c r="F8" s="70"/>
      <c r="G8" s="70"/>
      <c r="H8" s="218"/>
      <c r="I8" s="70"/>
    </row>
    <row r="9" spans="1:9" x14ac:dyDescent="0.35">
      <c r="A9" s="419" t="s">
        <v>1</v>
      </c>
      <c r="B9" s="419"/>
      <c r="C9" s="419"/>
      <c r="D9" s="419"/>
      <c r="E9" s="11"/>
      <c r="F9" s="11"/>
      <c r="G9" s="11"/>
      <c r="H9" s="220"/>
      <c r="I9" s="11"/>
    </row>
    <row r="10" spans="1:9" ht="15.75" customHeight="1" x14ac:dyDescent="0.35">
      <c r="A10" s="419" t="s">
        <v>0</v>
      </c>
      <c r="B10" s="419"/>
      <c r="C10" s="419"/>
      <c r="D10" s="419"/>
      <c r="E10" s="11"/>
      <c r="F10" s="11"/>
      <c r="G10" s="11"/>
      <c r="H10" s="220"/>
      <c r="I10" s="11"/>
    </row>
    <row r="11" spans="1:9" x14ac:dyDescent="0.35">
      <c r="A11" s="11"/>
      <c r="B11" s="419" t="s">
        <v>280</v>
      </c>
      <c r="C11" s="419"/>
      <c r="D11" s="419"/>
      <c r="E11" s="11"/>
      <c r="F11" s="11"/>
      <c r="G11" s="11"/>
      <c r="H11" s="220"/>
      <c r="I11" s="11"/>
    </row>
    <row r="12" spans="1:9" x14ac:dyDescent="0.35">
      <c r="A12" s="11"/>
      <c r="B12" s="11" t="s">
        <v>387</v>
      </c>
      <c r="C12" s="11"/>
      <c r="D12" s="11"/>
      <c r="E12" s="11"/>
      <c r="F12" s="11"/>
      <c r="G12" s="11"/>
      <c r="H12" s="220"/>
      <c r="I12" s="11"/>
    </row>
    <row r="13" spans="1:9" x14ac:dyDescent="0.35">
      <c r="A13" s="11"/>
      <c r="B13" s="419" t="s">
        <v>349</v>
      </c>
      <c r="C13" s="419"/>
      <c r="D13" s="419"/>
      <c r="E13" s="11"/>
      <c r="F13" s="11"/>
      <c r="G13" s="11"/>
      <c r="H13" s="220"/>
      <c r="I13" s="11"/>
    </row>
    <row r="14" spans="1:9" ht="15.75" customHeight="1" x14ac:dyDescent="0.35">
      <c r="A14" s="11" t="s">
        <v>2</v>
      </c>
      <c r="B14" s="11" t="s">
        <v>250</v>
      </c>
      <c r="C14" s="11"/>
      <c r="D14" s="11"/>
      <c r="E14" s="11"/>
      <c r="F14" s="11"/>
      <c r="G14" s="11"/>
      <c r="H14" s="220"/>
      <c r="I14" s="11"/>
    </row>
    <row r="15" spans="1:9" ht="90.75" customHeight="1" x14ac:dyDescent="0.35">
      <c r="A15" s="19" t="s">
        <v>3</v>
      </c>
      <c r="B15" s="19" t="s">
        <v>4</v>
      </c>
      <c r="C15" s="19"/>
      <c r="D15" s="19" t="s">
        <v>134</v>
      </c>
      <c r="E15" s="19" t="s">
        <v>134</v>
      </c>
      <c r="F15" s="19" t="s">
        <v>134</v>
      </c>
      <c r="G15" s="19" t="s">
        <v>134</v>
      </c>
      <c r="H15" s="269"/>
      <c r="I15" s="19" t="s">
        <v>134</v>
      </c>
    </row>
    <row r="16" spans="1:9" x14ac:dyDescent="0.35">
      <c r="A16" s="20">
        <v>1</v>
      </c>
      <c r="B16" s="21">
        <v>2</v>
      </c>
      <c r="C16" s="21"/>
      <c r="D16" s="20">
        <v>3</v>
      </c>
      <c r="E16" s="20">
        <v>3</v>
      </c>
      <c r="F16" s="20">
        <v>3</v>
      </c>
      <c r="G16" s="20">
        <v>3</v>
      </c>
      <c r="H16" s="365"/>
      <c r="I16" s="20">
        <v>3</v>
      </c>
    </row>
    <row r="17" spans="1:9" x14ac:dyDescent="0.35">
      <c r="A17" s="41"/>
      <c r="B17" s="22" t="s">
        <v>5</v>
      </c>
      <c r="C17" s="22"/>
      <c r="D17" s="329"/>
      <c r="E17" s="329"/>
      <c r="F17" s="329"/>
      <c r="G17" s="329"/>
      <c r="H17" s="366"/>
      <c r="I17" s="329"/>
    </row>
    <row r="18" spans="1:9" x14ac:dyDescent="0.35">
      <c r="A18" s="31">
        <v>1100</v>
      </c>
      <c r="B18" s="288" t="s">
        <v>132</v>
      </c>
      <c r="C18" s="330">
        <f>[3]Sheet2!$E$8</f>
        <v>3.6853918650793651</v>
      </c>
      <c r="D18" s="133">
        <v>110.56</v>
      </c>
      <c r="E18" s="133">
        <v>294.83</v>
      </c>
      <c r="F18" s="133">
        <v>191.65</v>
      </c>
      <c r="G18" s="133">
        <v>191.65</v>
      </c>
      <c r="H18" s="367">
        <f>[4]Sheet4!$K$24</f>
        <v>2.6371945081934212</v>
      </c>
      <c r="I18" s="133">
        <v>105.49</v>
      </c>
    </row>
    <row r="19" spans="1:9" x14ac:dyDescent="0.35">
      <c r="A19" s="31">
        <v>1200</v>
      </c>
      <c r="B19" s="83" t="s">
        <v>133</v>
      </c>
      <c r="C19" s="83">
        <f>C18*0.2359</f>
        <v>0.86938394097222227</v>
      </c>
      <c r="D19" s="133">
        <v>26.08</v>
      </c>
      <c r="E19" s="133">
        <v>69.55</v>
      </c>
      <c r="F19" s="133">
        <v>45.21</v>
      </c>
      <c r="G19" s="133">
        <v>45.21</v>
      </c>
      <c r="H19" s="367">
        <f>H18*0.2359</f>
        <v>0.62211418448282807</v>
      </c>
      <c r="I19" s="133">
        <v>24.88</v>
      </c>
    </row>
    <row r="20" spans="1:9" x14ac:dyDescent="0.35">
      <c r="A20" s="31">
        <v>2243</v>
      </c>
      <c r="B20" s="151" t="s">
        <v>137</v>
      </c>
      <c r="C20" s="331">
        <f>[3]Sheet2!$E$12</f>
        <v>1.8605</v>
      </c>
      <c r="D20" s="133">
        <v>55.82</v>
      </c>
      <c r="E20" s="133">
        <v>148.85</v>
      </c>
      <c r="F20" s="133">
        <v>74.430000000000007</v>
      </c>
      <c r="G20" s="133">
        <v>74.430000000000007</v>
      </c>
      <c r="H20" s="367">
        <f>[4]Sheet4!$K$38</f>
        <v>1.53874054437361E-2</v>
      </c>
      <c r="I20" s="133">
        <v>0.62</v>
      </c>
    </row>
    <row r="21" spans="1:9" hidden="1" x14ac:dyDescent="0.35">
      <c r="A21" s="31">
        <v>2244</v>
      </c>
      <c r="B21" s="83" t="s">
        <v>281</v>
      </c>
      <c r="C21" s="83"/>
      <c r="D21" s="133">
        <f>C21*30</f>
        <v>0</v>
      </c>
      <c r="E21" s="133">
        <f>D21/30*80</f>
        <v>0</v>
      </c>
      <c r="F21" s="133">
        <f>E21/80*40</f>
        <v>0</v>
      </c>
      <c r="G21" s="133">
        <f>F21/80*40</f>
        <v>0</v>
      </c>
      <c r="H21" s="367">
        <f>G21/80*40</f>
        <v>0</v>
      </c>
      <c r="I21" s="133">
        <f>H21*40</f>
        <v>0</v>
      </c>
    </row>
    <row r="22" spans="1:9" hidden="1" x14ac:dyDescent="0.35">
      <c r="A22" s="31"/>
      <c r="B22" s="83"/>
      <c r="C22" s="332"/>
      <c r="D22" s="133"/>
      <c r="E22" s="133"/>
      <c r="F22" s="133"/>
      <c r="G22" s="133"/>
      <c r="H22" s="367"/>
      <c r="I22" s="133"/>
    </row>
    <row r="23" spans="1:9" hidden="1" x14ac:dyDescent="0.35">
      <c r="A23" s="31">
        <v>2350</v>
      </c>
      <c r="B23" s="62" t="s">
        <v>125</v>
      </c>
      <c r="C23" s="332">
        <f>[3]Sheet2!$E$19+[3]Sheet2!$E$20+[3]Sheet2!$E$21</f>
        <v>1.6116666666666666</v>
      </c>
      <c r="D23" s="133">
        <v>48.35</v>
      </c>
      <c r="E23" s="133">
        <v>128.93</v>
      </c>
      <c r="F23" s="133">
        <v>64.47</v>
      </c>
      <c r="G23" s="133">
        <v>64.47</v>
      </c>
      <c r="H23" s="367"/>
      <c r="I23" s="133"/>
    </row>
    <row r="24" spans="1:9" x14ac:dyDescent="0.35">
      <c r="A24" s="31">
        <v>2263</v>
      </c>
      <c r="B24" s="62" t="s">
        <v>149</v>
      </c>
      <c r="C24" s="332">
        <f>[3]Sheet2!$E$10</f>
        <v>26.920460222222225</v>
      </c>
      <c r="D24" s="133">
        <v>807.61</v>
      </c>
      <c r="E24" s="133">
        <v>2153.63</v>
      </c>
      <c r="F24" s="133">
        <v>1076.82</v>
      </c>
      <c r="G24" s="133">
        <v>1076.82</v>
      </c>
      <c r="H24" s="367">
        <f>[4]Sheet4!$K$30</f>
        <v>43.85687671232877</v>
      </c>
      <c r="I24" s="133">
        <v>1754.28</v>
      </c>
    </row>
    <row r="25" spans="1:9" x14ac:dyDescent="0.35">
      <c r="A25" s="31">
        <v>2513</v>
      </c>
      <c r="B25" s="61" t="s">
        <v>121</v>
      </c>
      <c r="C25" s="332"/>
      <c r="D25" s="133"/>
      <c r="E25" s="133"/>
      <c r="F25" s="133"/>
      <c r="G25" s="133"/>
      <c r="H25" s="367">
        <f>[4]Sheet4!$G$36*30</f>
        <v>0.61347601222664716</v>
      </c>
      <c r="I25" s="133">
        <v>24.54</v>
      </c>
    </row>
    <row r="26" spans="1:9" hidden="1" x14ac:dyDescent="0.35">
      <c r="A26" s="31"/>
      <c r="B26" s="62"/>
      <c r="C26" s="332"/>
      <c r="D26" s="133"/>
      <c r="E26" s="133"/>
      <c r="F26" s="133"/>
      <c r="G26" s="133"/>
      <c r="H26" s="367"/>
      <c r="I26" s="133"/>
    </row>
    <row r="27" spans="1:9" x14ac:dyDescent="0.35">
      <c r="A27" s="31"/>
      <c r="B27" s="78" t="s">
        <v>6</v>
      </c>
      <c r="C27" s="86">
        <f t="shared" ref="C27:I27" si="0">SUM(C18:C26)</f>
        <v>34.947402694940479</v>
      </c>
      <c r="D27" s="23">
        <f t="shared" si="0"/>
        <v>1048.42</v>
      </c>
      <c r="E27" s="23">
        <f t="shared" si="0"/>
        <v>2795.79</v>
      </c>
      <c r="F27" s="23">
        <f t="shared" si="0"/>
        <v>1452.58</v>
      </c>
      <c r="G27" s="23">
        <f t="shared" si="0"/>
        <v>1452.58</v>
      </c>
      <c r="H27" s="368">
        <f t="shared" si="0"/>
        <v>47.7450488226754</v>
      </c>
      <c r="I27" s="23">
        <f t="shared" si="0"/>
        <v>1909.81</v>
      </c>
    </row>
    <row r="28" spans="1:9" x14ac:dyDescent="0.35">
      <c r="A28" s="38"/>
      <c r="B28" s="288" t="s">
        <v>7</v>
      </c>
      <c r="C28" s="288"/>
      <c r="D28" s="133"/>
      <c r="E28" s="133"/>
      <c r="F28" s="133"/>
      <c r="G28" s="133"/>
      <c r="H28" s="367"/>
      <c r="I28" s="133"/>
    </row>
    <row r="29" spans="1:9" x14ac:dyDescent="0.35">
      <c r="A29" s="31">
        <v>1100</v>
      </c>
      <c r="B29" s="31" t="s">
        <v>132</v>
      </c>
      <c r="C29" s="61">
        <v>0.51439999999999997</v>
      </c>
      <c r="D29" s="133">
        <v>130.31</v>
      </c>
      <c r="E29" s="133">
        <v>347.49</v>
      </c>
      <c r="F29" s="133">
        <v>191.14</v>
      </c>
      <c r="G29" s="133">
        <v>191.14</v>
      </c>
      <c r="H29" s="367">
        <f>[4]Sheet4!$K$42</f>
        <v>2.5053347827837498</v>
      </c>
      <c r="I29" s="133">
        <v>100.21</v>
      </c>
    </row>
    <row r="30" spans="1:9" x14ac:dyDescent="0.35">
      <c r="A30" s="31">
        <v>1200</v>
      </c>
      <c r="B30" s="32" t="s">
        <v>133</v>
      </c>
      <c r="C30" s="61">
        <f>C29*0.2359</f>
        <v>0.12134695999999999</v>
      </c>
      <c r="D30" s="133">
        <v>30.74</v>
      </c>
      <c r="E30" s="133">
        <v>81.97</v>
      </c>
      <c r="F30" s="133">
        <v>45.09</v>
      </c>
      <c r="G30" s="133">
        <v>45.09</v>
      </c>
      <c r="H30" s="367">
        <f>H29*0.2359</f>
        <v>0.59100847525868661</v>
      </c>
      <c r="I30" s="133">
        <v>23.64</v>
      </c>
    </row>
    <row r="31" spans="1:9" hidden="1" x14ac:dyDescent="0.35">
      <c r="A31" s="31">
        <v>2100</v>
      </c>
      <c r="B31" s="24" t="s">
        <v>45</v>
      </c>
      <c r="C31" s="61">
        <v>8.0999999999999996E-4</v>
      </c>
      <c r="D31" s="133">
        <v>0.21</v>
      </c>
      <c r="E31" s="133">
        <v>0.56000000000000005</v>
      </c>
      <c r="F31" s="133">
        <f>E31/80*40</f>
        <v>0.28000000000000003</v>
      </c>
      <c r="G31" s="133">
        <f>F31/80*40</f>
        <v>0.14000000000000001</v>
      </c>
      <c r="H31" s="367"/>
      <c r="I31" s="133">
        <f t="shared" ref="I31:I41" si="1">H31*40</f>
        <v>0</v>
      </c>
    </row>
    <row r="32" spans="1:9" hidden="1" x14ac:dyDescent="0.35">
      <c r="A32" s="34">
        <v>2210</v>
      </c>
      <c r="B32" s="32" t="s">
        <v>120</v>
      </c>
      <c r="C32" s="61">
        <v>8.0000000000000002E-3</v>
      </c>
      <c r="D32" s="133">
        <v>2.0299999999999998</v>
      </c>
      <c r="E32" s="133">
        <v>5.41</v>
      </c>
      <c r="F32" s="133">
        <v>2.71</v>
      </c>
      <c r="G32" s="133">
        <v>2.71</v>
      </c>
      <c r="H32" s="367"/>
      <c r="I32" s="133">
        <f t="shared" si="1"/>
        <v>0</v>
      </c>
    </row>
    <row r="33" spans="1:13" hidden="1" x14ac:dyDescent="0.35">
      <c r="A33" s="31">
        <v>2222</v>
      </c>
      <c r="B33" s="62" t="s">
        <v>135</v>
      </c>
      <c r="C33" s="61">
        <v>4.4400000000000004E-3</v>
      </c>
      <c r="D33" s="133">
        <v>1.1200000000000001</v>
      </c>
      <c r="E33" s="133">
        <v>2.99</v>
      </c>
      <c r="F33" s="133">
        <v>1.5</v>
      </c>
      <c r="G33" s="133">
        <v>1.5</v>
      </c>
      <c r="H33" s="367"/>
      <c r="I33" s="133">
        <f t="shared" si="1"/>
        <v>0</v>
      </c>
      <c r="M33" s="58"/>
    </row>
    <row r="34" spans="1:13" hidden="1" x14ac:dyDescent="0.35">
      <c r="A34" s="31">
        <v>2223</v>
      </c>
      <c r="B34" s="62" t="s">
        <v>136</v>
      </c>
      <c r="C34" s="61">
        <v>5.4940000000000003E-2</v>
      </c>
      <c r="D34" s="133">
        <v>13.92</v>
      </c>
      <c r="E34" s="133">
        <v>37.119999999999997</v>
      </c>
      <c r="F34" s="133">
        <f>E34/80*40</f>
        <v>18.559999999999999</v>
      </c>
      <c r="G34" s="133">
        <f>F34/80*40</f>
        <v>9.2799999999999994</v>
      </c>
      <c r="H34" s="367"/>
      <c r="I34" s="133">
        <f t="shared" si="1"/>
        <v>0</v>
      </c>
    </row>
    <row r="35" spans="1:13" ht="31" x14ac:dyDescent="0.35">
      <c r="A35" s="31">
        <v>2224</v>
      </c>
      <c r="B35" s="62" t="s">
        <v>143</v>
      </c>
      <c r="C35" s="61">
        <v>3.0899999999999999E-3</v>
      </c>
      <c r="D35" s="133">
        <v>0.78</v>
      </c>
      <c r="E35" s="133">
        <v>2.08</v>
      </c>
      <c r="F35" s="133">
        <f>E35/80*40</f>
        <v>1.04</v>
      </c>
      <c r="G35" s="133">
        <f>F35/80*40</f>
        <v>0.52</v>
      </c>
      <c r="H35" s="367">
        <f>[4]Sheet4!$G$46*30</f>
        <v>0.16117259303053366</v>
      </c>
      <c r="I35" s="133">
        <v>6.45</v>
      </c>
    </row>
    <row r="36" spans="1:13" hidden="1" x14ac:dyDescent="0.35">
      <c r="A36" s="31">
        <v>2231</v>
      </c>
      <c r="B36" s="22" t="s">
        <v>126</v>
      </c>
      <c r="C36" s="61">
        <v>1.5E-3</v>
      </c>
      <c r="D36" s="133">
        <v>0.38</v>
      </c>
      <c r="E36" s="133">
        <v>1.01</v>
      </c>
      <c r="F36" s="133">
        <v>0.51</v>
      </c>
      <c r="G36" s="133">
        <v>0.51</v>
      </c>
      <c r="H36" s="367"/>
      <c r="I36" s="133">
        <f t="shared" si="1"/>
        <v>0</v>
      </c>
    </row>
    <row r="37" spans="1:13" hidden="1" x14ac:dyDescent="0.35">
      <c r="A37" s="31">
        <v>2235</v>
      </c>
      <c r="B37" s="75" t="s">
        <v>127</v>
      </c>
      <c r="C37" s="61">
        <v>2.5100000000000001E-3</v>
      </c>
      <c r="D37" s="133">
        <v>0.64</v>
      </c>
      <c r="E37" s="133">
        <v>1.71</v>
      </c>
      <c r="F37" s="133">
        <v>0.86</v>
      </c>
      <c r="G37" s="133">
        <v>0.86</v>
      </c>
      <c r="H37" s="367"/>
      <c r="I37" s="133">
        <f t="shared" si="1"/>
        <v>0</v>
      </c>
    </row>
    <row r="38" spans="1:13" hidden="1" x14ac:dyDescent="0.35">
      <c r="A38" s="31">
        <v>2239</v>
      </c>
      <c r="B38" s="22" t="s">
        <v>144</v>
      </c>
      <c r="C38" s="61">
        <v>1.7899999999999999E-3</v>
      </c>
      <c r="D38" s="133">
        <v>0.45</v>
      </c>
      <c r="E38" s="133">
        <v>1.2</v>
      </c>
      <c r="F38" s="133">
        <f>E38/80*40</f>
        <v>0.6</v>
      </c>
      <c r="G38" s="133">
        <f>F38/80*40</f>
        <v>0.3</v>
      </c>
      <c r="H38" s="367"/>
      <c r="I38" s="133">
        <f t="shared" si="1"/>
        <v>0</v>
      </c>
    </row>
    <row r="39" spans="1:13" hidden="1" x14ac:dyDescent="0.35">
      <c r="A39" s="31">
        <v>2241</v>
      </c>
      <c r="B39" s="22" t="s">
        <v>123</v>
      </c>
      <c r="C39" s="61">
        <v>1.6500000000000001E-2</v>
      </c>
      <c r="D39" s="133">
        <v>4.18</v>
      </c>
      <c r="E39" s="133">
        <v>11.15</v>
      </c>
      <c r="F39" s="133">
        <v>5.58</v>
      </c>
      <c r="G39" s="133">
        <v>5.58</v>
      </c>
      <c r="H39" s="367"/>
      <c r="I39" s="133">
        <f t="shared" si="1"/>
        <v>0</v>
      </c>
    </row>
    <row r="40" spans="1:13" hidden="1" x14ac:dyDescent="0.35">
      <c r="A40" s="31">
        <v>2242</v>
      </c>
      <c r="B40" s="62" t="s">
        <v>145</v>
      </c>
      <c r="C40" s="61">
        <v>8.4999999999999995E-4</v>
      </c>
      <c r="D40" s="133">
        <v>0.22</v>
      </c>
      <c r="E40" s="133">
        <v>0.59</v>
      </c>
      <c r="F40" s="133">
        <v>0.3</v>
      </c>
      <c r="G40" s="133">
        <v>0.3</v>
      </c>
      <c r="H40" s="367"/>
      <c r="I40" s="133">
        <f t="shared" si="1"/>
        <v>0</v>
      </c>
    </row>
    <row r="41" spans="1:13" ht="14.25" hidden="1" customHeight="1" x14ac:dyDescent="0.35">
      <c r="A41" s="31">
        <v>2243</v>
      </c>
      <c r="B41" s="22" t="s">
        <v>137</v>
      </c>
      <c r="C41" s="61">
        <v>4.0000000000000002E-4</v>
      </c>
      <c r="D41" s="133">
        <v>0.1</v>
      </c>
      <c r="E41" s="133">
        <v>0.27</v>
      </c>
      <c r="F41" s="133">
        <v>0.14000000000000001</v>
      </c>
      <c r="G41" s="133">
        <v>0.14000000000000001</v>
      </c>
      <c r="H41" s="367"/>
      <c r="I41" s="133">
        <f t="shared" si="1"/>
        <v>0</v>
      </c>
    </row>
    <row r="42" spans="1:13" x14ac:dyDescent="0.35">
      <c r="A42" s="31">
        <v>2244</v>
      </c>
      <c r="B42" s="22" t="s">
        <v>138</v>
      </c>
      <c r="C42" s="61">
        <v>6.8070000000000006E-2</v>
      </c>
      <c r="D42" s="133">
        <v>17.239999999999998</v>
      </c>
      <c r="E42" s="133">
        <v>45.97</v>
      </c>
      <c r="F42" s="133">
        <f>22.99+0.08</f>
        <v>23.069999999999997</v>
      </c>
      <c r="G42" s="133">
        <f>22.99+0.08</f>
        <v>23.069999999999997</v>
      </c>
      <c r="H42" s="367">
        <f>[4]Sheet4!$G$44*30+[4]Sheet4!$G$47*30+[4]Sheet4!$G$45*30</f>
        <v>0.26767759051881757</v>
      </c>
      <c r="I42" s="133">
        <v>10.69</v>
      </c>
    </row>
    <row r="43" spans="1:13" hidden="1" x14ac:dyDescent="0.35">
      <c r="A43" s="61">
        <v>2247</v>
      </c>
      <c r="B43" s="22" t="s">
        <v>146</v>
      </c>
      <c r="C43" s="61">
        <v>2.2000000000000001E-4</v>
      </c>
      <c r="D43" s="133">
        <v>0.06</v>
      </c>
      <c r="E43" s="133">
        <v>0.16</v>
      </c>
      <c r="F43" s="133"/>
      <c r="G43" s="133"/>
      <c r="H43" s="367"/>
      <c r="I43" s="133"/>
    </row>
    <row r="44" spans="1:13" hidden="1" x14ac:dyDescent="0.35">
      <c r="A44" s="61">
        <v>2249</v>
      </c>
      <c r="B44" s="62" t="s">
        <v>282</v>
      </c>
      <c r="C44" s="61">
        <v>2.5000000000000001E-4</v>
      </c>
      <c r="D44" s="133">
        <v>0.06</v>
      </c>
      <c r="E44" s="133">
        <v>0.16</v>
      </c>
      <c r="F44" s="133">
        <f>E44/80*40</f>
        <v>0.08</v>
      </c>
      <c r="G44" s="133">
        <f>F44/80*40</f>
        <v>0.04</v>
      </c>
      <c r="H44" s="367"/>
      <c r="I44" s="133"/>
    </row>
    <row r="45" spans="1:13" hidden="1" x14ac:dyDescent="0.35">
      <c r="A45" s="31">
        <v>2250</v>
      </c>
      <c r="B45" s="22" t="s">
        <v>124</v>
      </c>
      <c r="C45" s="61">
        <v>2.8400000000000002E-2</v>
      </c>
      <c r="D45" s="133">
        <v>7.19</v>
      </c>
      <c r="E45" s="133">
        <v>19.170000000000002</v>
      </c>
      <c r="F45" s="133">
        <v>9.59</v>
      </c>
      <c r="G45" s="133">
        <v>9.59</v>
      </c>
      <c r="H45" s="367"/>
      <c r="I45" s="133"/>
    </row>
    <row r="46" spans="1:13" hidden="1" x14ac:dyDescent="0.35">
      <c r="A46" s="31">
        <v>2262</v>
      </c>
      <c r="B46" s="62" t="s">
        <v>148</v>
      </c>
      <c r="C46" s="61">
        <v>1.137E-2</v>
      </c>
      <c r="D46" s="133">
        <v>2.88</v>
      </c>
      <c r="E46" s="133">
        <v>7.68</v>
      </c>
      <c r="F46" s="133">
        <f>E46/80*40</f>
        <v>3.84</v>
      </c>
      <c r="G46" s="133">
        <f>F46/80*40</f>
        <v>1.92</v>
      </c>
      <c r="H46" s="367"/>
      <c r="I46" s="133"/>
    </row>
    <row r="47" spans="1:13" hidden="1" x14ac:dyDescent="0.35">
      <c r="A47" s="31">
        <v>2263</v>
      </c>
      <c r="B47" s="62" t="s">
        <v>149</v>
      </c>
      <c r="C47" s="61">
        <v>4.58E-2</v>
      </c>
      <c r="D47" s="133">
        <v>11.6</v>
      </c>
      <c r="E47" s="133">
        <v>30.93</v>
      </c>
      <c r="F47" s="133">
        <v>15.47</v>
      </c>
      <c r="G47" s="133">
        <v>15.47</v>
      </c>
      <c r="H47" s="367"/>
      <c r="I47" s="133"/>
    </row>
    <row r="48" spans="1:13" hidden="1" x14ac:dyDescent="0.35">
      <c r="A48" s="31">
        <v>2264</v>
      </c>
      <c r="B48" s="22" t="s">
        <v>150</v>
      </c>
      <c r="C48" s="61">
        <v>2.4000000000000001E-4</v>
      </c>
      <c r="D48" s="133">
        <v>0.06</v>
      </c>
      <c r="E48" s="133">
        <v>0.16</v>
      </c>
      <c r="F48" s="133">
        <f t="shared" ref="F48:G50" si="2">E48/80*40</f>
        <v>0.08</v>
      </c>
      <c r="G48" s="133">
        <f t="shared" si="2"/>
        <v>0.04</v>
      </c>
      <c r="H48" s="367"/>
      <c r="I48" s="133"/>
    </row>
    <row r="49" spans="1:11" hidden="1" x14ac:dyDescent="0.35">
      <c r="A49" s="31">
        <v>2311</v>
      </c>
      <c r="B49" s="62" t="s">
        <v>151</v>
      </c>
      <c r="C49" s="333">
        <v>7.1000000000000002E-4</v>
      </c>
      <c r="D49" s="133">
        <v>0.18</v>
      </c>
      <c r="E49" s="133">
        <v>0.48</v>
      </c>
      <c r="F49" s="133">
        <f t="shared" si="2"/>
        <v>0.24</v>
      </c>
      <c r="G49" s="133">
        <f t="shared" si="2"/>
        <v>0.12</v>
      </c>
      <c r="H49" s="367"/>
      <c r="I49" s="133"/>
    </row>
    <row r="50" spans="1:11" hidden="1" x14ac:dyDescent="0.35">
      <c r="A50" s="31">
        <v>2314</v>
      </c>
      <c r="B50" s="75" t="s">
        <v>152</v>
      </c>
      <c r="C50" s="61">
        <v>4.6000000000000001E-4</v>
      </c>
      <c r="D50" s="133">
        <v>0.12</v>
      </c>
      <c r="E50" s="133">
        <v>0.32</v>
      </c>
      <c r="F50" s="133">
        <f t="shared" si="2"/>
        <v>0.16</v>
      </c>
      <c r="G50" s="133">
        <f t="shared" si="2"/>
        <v>0.08</v>
      </c>
      <c r="H50" s="367"/>
      <c r="I50" s="133"/>
    </row>
    <row r="51" spans="1:11" hidden="1" x14ac:dyDescent="0.35">
      <c r="A51" s="31">
        <v>2321</v>
      </c>
      <c r="B51" s="62" t="s">
        <v>139</v>
      </c>
      <c r="C51" s="61">
        <v>6.0220000000000003E-2</v>
      </c>
      <c r="D51" s="133">
        <v>15.26</v>
      </c>
      <c r="E51" s="133">
        <v>40.69</v>
      </c>
      <c r="F51" s="133">
        <v>20.350000000000001</v>
      </c>
      <c r="G51" s="133">
        <v>20.350000000000001</v>
      </c>
      <c r="H51" s="367"/>
      <c r="I51" s="133"/>
    </row>
    <row r="52" spans="1:11" hidden="1" x14ac:dyDescent="0.35">
      <c r="A52" s="31">
        <v>2322</v>
      </c>
      <c r="B52" s="62" t="s">
        <v>153</v>
      </c>
      <c r="C52" s="61">
        <v>2.0999999999999999E-3</v>
      </c>
      <c r="D52" s="133">
        <v>0.53</v>
      </c>
      <c r="E52" s="133">
        <v>1.41</v>
      </c>
      <c r="F52" s="133">
        <v>0.71</v>
      </c>
      <c r="G52" s="133">
        <v>0.71</v>
      </c>
      <c r="H52" s="367"/>
      <c r="I52" s="133"/>
    </row>
    <row r="53" spans="1:11" hidden="1" x14ac:dyDescent="0.35">
      <c r="A53" s="31">
        <v>2512</v>
      </c>
      <c r="B53" s="62" t="s">
        <v>154</v>
      </c>
      <c r="C53" s="61">
        <v>0</v>
      </c>
      <c r="D53" s="133">
        <f>C53*253.33</f>
        <v>0</v>
      </c>
      <c r="E53" s="133">
        <f>D53/30*80</f>
        <v>0</v>
      </c>
      <c r="F53" s="133">
        <f>E53/80*40</f>
        <v>0</v>
      </c>
      <c r="G53" s="133">
        <f>F53/80*40</f>
        <v>0</v>
      </c>
      <c r="H53" s="367"/>
      <c r="I53" s="133"/>
    </row>
    <row r="54" spans="1:11" hidden="1" x14ac:dyDescent="0.35">
      <c r="A54" s="31">
        <v>2513</v>
      </c>
      <c r="B54" s="61" t="s">
        <v>121</v>
      </c>
      <c r="C54" s="61">
        <v>6.3000000000000003E-4</v>
      </c>
      <c r="D54" s="133">
        <v>0.16</v>
      </c>
      <c r="E54" s="133">
        <v>0.43</v>
      </c>
      <c r="F54" s="133">
        <v>0.22</v>
      </c>
      <c r="G54" s="133">
        <v>0.22</v>
      </c>
      <c r="H54" s="367"/>
      <c r="I54" s="133"/>
    </row>
    <row r="55" spans="1:11" hidden="1" x14ac:dyDescent="0.35">
      <c r="A55" s="31">
        <v>2515</v>
      </c>
      <c r="B55" s="62" t="s">
        <v>155</v>
      </c>
      <c r="C55" s="61">
        <v>2.7499999999999998E-3</v>
      </c>
      <c r="D55" s="133">
        <v>0.7</v>
      </c>
      <c r="E55" s="133">
        <v>1.87</v>
      </c>
      <c r="F55" s="133">
        <v>0.94</v>
      </c>
      <c r="G55" s="133">
        <v>0.94</v>
      </c>
      <c r="H55" s="367"/>
      <c r="I55" s="133"/>
    </row>
    <row r="56" spans="1:11" hidden="1" x14ac:dyDescent="0.35">
      <c r="A56" s="31">
        <v>2519</v>
      </c>
      <c r="B56" s="62" t="s">
        <v>122</v>
      </c>
      <c r="C56" s="61">
        <v>1.5100000000000001E-3</v>
      </c>
      <c r="D56" s="133">
        <v>0.38</v>
      </c>
      <c r="E56" s="133">
        <v>1.01</v>
      </c>
      <c r="F56" s="133">
        <v>0.51</v>
      </c>
      <c r="G56" s="133">
        <v>0.51</v>
      </c>
      <c r="H56" s="367"/>
      <c r="I56" s="133"/>
    </row>
    <row r="57" spans="1:11" hidden="1" x14ac:dyDescent="0.35">
      <c r="A57" s="31">
        <v>5220</v>
      </c>
      <c r="B57" s="62" t="s">
        <v>128</v>
      </c>
      <c r="C57" s="61">
        <v>1.06E-2</v>
      </c>
      <c r="D57" s="133">
        <v>2.69</v>
      </c>
      <c r="E57" s="133">
        <v>7.17</v>
      </c>
      <c r="F57" s="133">
        <v>3.59</v>
      </c>
      <c r="G57" s="133">
        <v>3.59</v>
      </c>
      <c r="H57" s="367"/>
      <c r="I57" s="133"/>
    </row>
    <row r="58" spans="1:11" hidden="1" x14ac:dyDescent="0.35">
      <c r="A58" s="31">
        <v>5238</v>
      </c>
      <c r="B58" s="61" t="s">
        <v>129</v>
      </c>
      <c r="C58" s="61">
        <v>1.65E-3</v>
      </c>
      <c r="D58" s="133">
        <v>0.44</v>
      </c>
      <c r="E58" s="133">
        <v>1.19</v>
      </c>
      <c r="F58" s="133">
        <v>0.6</v>
      </c>
      <c r="G58" s="133">
        <v>0.6</v>
      </c>
      <c r="H58" s="367"/>
      <c r="I58" s="133"/>
    </row>
    <row r="59" spans="1:11" hidden="1" x14ac:dyDescent="0.35">
      <c r="A59" s="31">
        <v>5239</v>
      </c>
      <c r="B59" s="13" t="s">
        <v>130</v>
      </c>
      <c r="C59" s="61">
        <v>1.95E-2</v>
      </c>
      <c r="D59" s="133">
        <v>4.9400000000000004</v>
      </c>
      <c r="E59" s="133">
        <v>13.17</v>
      </c>
      <c r="F59" s="133">
        <v>6.31</v>
      </c>
      <c r="G59" s="133">
        <v>6.31</v>
      </c>
      <c r="H59" s="367"/>
      <c r="I59" s="133"/>
    </row>
    <row r="60" spans="1:11" hidden="1" x14ac:dyDescent="0.35">
      <c r="A60" s="31">
        <v>5250</v>
      </c>
      <c r="B60" s="62" t="s">
        <v>131</v>
      </c>
      <c r="C60" s="61">
        <v>1.4999999999999999E-2</v>
      </c>
      <c r="D60" s="133">
        <v>3.8</v>
      </c>
      <c r="E60" s="133">
        <v>10.130000000000001</v>
      </c>
      <c r="F60" s="133">
        <v>5.07</v>
      </c>
      <c r="G60" s="133">
        <v>5.07</v>
      </c>
      <c r="H60" s="367"/>
      <c r="I60" s="133"/>
    </row>
    <row r="61" spans="1:11" x14ac:dyDescent="0.35">
      <c r="A61" s="38"/>
      <c r="B61" s="79" t="s">
        <v>8</v>
      </c>
      <c r="C61" s="61">
        <f t="shared" ref="C61:I61" si="3">SUM(C29:C60)</f>
        <v>1.0000569599999998</v>
      </c>
      <c r="D61" s="23">
        <f t="shared" si="3"/>
        <v>253.36999999999998</v>
      </c>
      <c r="E61" s="23">
        <f t="shared" si="3"/>
        <v>675.64999999999964</v>
      </c>
      <c r="F61" s="23">
        <f t="shared" si="3"/>
        <v>359.14</v>
      </c>
      <c r="G61" s="23">
        <f t="shared" si="3"/>
        <v>346.70000000000005</v>
      </c>
      <c r="H61" s="368">
        <f t="shared" si="3"/>
        <v>3.5251934415917878</v>
      </c>
      <c r="I61" s="23">
        <f t="shared" si="3"/>
        <v>140.98999999999998</v>
      </c>
    </row>
    <row r="62" spans="1:11" x14ac:dyDescent="0.35">
      <c r="A62" s="334"/>
      <c r="B62" s="79" t="s">
        <v>29</v>
      </c>
      <c r="C62" s="79"/>
      <c r="D62" s="23">
        <f>D61+D27</f>
        <v>1301.79</v>
      </c>
      <c r="E62" s="23">
        <f>E27+E61</f>
        <v>3471.4399999999996</v>
      </c>
      <c r="F62" s="23">
        <f>F27+F61</f>
        <v>1811.7199999999998</v>
      </c>
      <c r="G62" s="23">
        <f>G27+G61</f>
        <v>1799.28</v>
      </c>
      <c r="H62" s="368">
        <f>H27+H61</f>
        <v>51.270242264267189</v>
      </c>
      <c r="I62" s="23">
        <f>I27+I61</f>
        <v>2050.7999999999997</v>
      </c>
      <c r="K62" s="58"/>
    </row>
    <row r="63" spans="1:11" x14ac:dyDescent="0.35">
      <c r="A63" s="15"/>
      <c r="B63" s="25"/>
      <c r="C63" s="25"/>
      <c r="D63" s="59"/>
      <c r="E63" s="59"/>
      <c r="F63" s="59"/>
      <c r="G63" s="59"/>
      <c r="H63" s="369"/>
      <c r="I63" s="59"/>
    </row>
    <row r="64" spans="1:11" x14ac:dyDescent="0.35">
      <c r="A64" s="417" t="s">
        <v>106</v>
      </c>
      <c r="B64" s="417"/>
      <c r="C64" s="143"/>
      <c r="D64" s="19">
        <v>30</v>
      </c>
      <c r="E64" s="19">
        <v>80</v>
      </c>
      <c r="F64" s="19">
        <v>40</v>
      </c>
      <c r="G64" s="19">
        <v>40</v>
      </c>
      <c r="H64" s="269">
        <v>1</v>
      </c>
      <c r="I64" s="19">
        <v>40</v>
      </c>
    </row>
    <row r="65" spans="1:9" x14ac:dyDescent="0.35">
      <c r="A65" s="417" t="s">
        <v>58</v>
      </c>
      <c r="B65" s="417"/>
      <c r="C65" s="143"/>
      <c r="D65" s="37">
        <f t="shared" ref="D65:I65" si="4">ROUND(D62/D64,2)</f>
        <v>43.39</v>
      </c>
      <c r="E65" s="37">
        <f t="shared" si="4"/>
        <v>43.39</v>
      </c>
      <c r="F65" s="37">
        <f t="shared" si="4"/>
        <v>45.29</v>
      </c>
      <c r="G65" s="37">
        <f t="shared" si="4"/>
        <v>44.98</v>
      </c>
      <c r="H65" s="266">
        <f t="shared" si="4"/>
        <v>51.27</v>
      </c>
      <c r="I65" s="37">
        <f t="shared" si="4"/>
        <v>51.27</v>
      </c>
    </row>
    <row r="66" spans="1:9" x14ac:dyDescent="0.35">
      <c r="A66" s="25"/>
      <c r="B66" s="26"/>
      <c r="C66" s="26"/>
      <c r="D66" s="189"/>
      <c r="E66" s="189"/>
      <c r="F66" s="189"/>
      <c r="G66" s="189"/>
      <c r="H66" s="267"/>
      <c r="I66" s="189"/>
    </row>
    <row r="67" spans="1:9" x14ac:dyDescent="0.35">
      <c r="A67" s="417" t="s">
        <v>33</v>
      </c>
      <c r="B67" s="417"/>
      <c r="C67" s="143"/>
      <c r="D67" s="27"/>
      <c r="E67" s="27"/>
      <c r="F67" s="27"/>
      <c r="G67" s="27"/>
      <c r="H67" s="272"/>
      <c r="I67" s="27"/>
    </row>
    <row r="68" spans="1:9" s="28" customFormat="1" ht="19.5" customHeight="1" x14ac:dyDescent="0.35">
      <c r="A68" s="417" t="s">
        <v>64</v>
      </c>
      <c r="B68" s="417"/>
      <c r="C68" s="143"/>
      <c r="D68" s="27"/>
      <c r="E68" s="27"/>
      <c r="F68" s="27"/>
      <c r="G68" s="27"/>
      <c r="H68" s="272"/>
      <c r="I68" s="27"/>
    </row>
    <row r="69" spans="1:9" s="28" customFormat="1" ht="31.5" customHeight="1" x14ac:dyDescent="0.35">
      <c r="H69" s="237"/>
    </row>
    <row r="70" spans="1:9" x14ac:dyDescent="0.35">
      <c r="A70" s="28" t="s">
        <v>34</v>
      </c>
      <c r="B70" s="28"/>
      <c r="C70" s="28"/>
      <c r="D70" s="28"/>
      <c r="E70" s="28"/>
      <c r="F70" s="28"/>
      <c r="G70" s="28"/>
      <c r="H70" s="237"/>
      <c r="I70" s="28"/>
    </row>
    <row r="71" spans="1:9" s="28" customFormat="1" ht="17.25" customHeight="1" x14ac:dyDescent="0.35">
      <c r="A71" s="16"/>
      <c r="B71" s="16"/>
      <c r="C71" s="16"/>
      <c r="D71" s="13"/>
      <c r="E71" s="13"/>
      <c r="F71" s="13"/>
      <c r="G71" s="13"/>
      <c r="H71" s="217"/>
      <c r="I71" s="13"/>
    </row>
    <row r="72" spans="1:9" s="28" customFormat="1" ht="12.75" customHeight="1" x14ac:dyDescent="0.35">
      <c r="A72" s="28" t="s">
        <v>177</v>
      </c>
      <c r="B72" s="29"/>
      <c r="C72" s="29"/>
      <c r="H72" s="237"/>
    </row>
  </sheetData>
  <mergeCells count="10">
    <mergeCell ref="A64:B64"/>
    <mergeCell ref="A65:B65"/>
    <mergeCell ref="A67:B67"/>
    <mergeCell ref="A68:B68"/>
    <mergeCell ref="B6:D6"/>
    <mergeCell ref="A7:F7"/>
    <mergeCell ref="A9:D9"/>
    <mergeCell ref="A10:D10"/>
    <mergeCell ref="B11:D11"/>
    <mergeCell ref="B13:D13"/>
  </mergeCells>
  <pageMargins left="0.7" right="0.7" top="0.75" bottom="0.75" header="0.3" footer="0.3"/>
  <pageSetup paperSize="9" scale="72" orientation="portrait" r:id="rId1"/>
  <headerFooter>
    <oddFooter>&amp;F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F44"/>
  <sheetViews>
    <sheetView view="pageLayout" topLeftCell="A10" zoomScale="80" zoomScaleNormal="100" zoomScalePageLayoutView="80" workbookViewId="0">
      <selection activeCell="B13" sqref="B13:C13"/>
    </sheetView>
  </sheetViews>
  <sheetFormatPr defaultColWidth="9.1796875" defaultRowHeight="15.5" x14ac:dyDescent="0.35"/>
  <cols>
    <col min="1" max="1" width="11.26953125" style="13" customWidth="1"/>
    <col min="2" max="2" width="84.81640625" style="13" customWidth="1"/>
    <col min="3" max="3" width="8.26953125" style="13" hidden="1" customWidth="1"/>
    <col min="4" max="4" width="27.54296875" style="13" customWidth="1"/>
    <col min="5" max="16384" width="9.1796875" style="13"/>
  </cols>
  <sheetData>
    <row r="1" spans="1:4" x14ac:dyDescent="0.35">
      <c r="B1" s="15"/>
      <c r="C1" s="15"/>
      <c r="D1" s="15" t="s">
        <v>10</v>
      </c>
    </row>
    <row r="2" spans="1:4" x14ac:dyDescent="0.35">
      <c r="B2" s="15"/>
      <c r="C2" s="15"/>
      <c r="D2" s="15" t="s">
        <v>32</v>
      </c>
    </row>
    <row r="3" spans="1:4" x14ac:dyDescent="0.35">
      <c r="B3" s="311"/>
      <c r="C3" s="311"/>
      <c r="D3" s="15" t="s">
        <v>66</v>
      </c>
    </row>
    <row r="4" spans="1:4" x14ac:dyDescent="0.35">
      <c r="B4" s="15"/>
      <c r="C4" s="15"/>
      <c r="D4" s="15"/>
    </row>
    <row r="5" spans="1:4" x14ac:dyDescent="0.35">
      <c r="B5" s="15"/>
      <c r="C5" s="15"/>
      <c r="D5" s="15" t="s">
        <v>333</v>
      </c>
    </row>
    <row r="6" spans="1:4" ht="15.75" customHeight="1" x14ac:dyDescent="0.35">
      <c r="B6" s="453"/>
      <c r="C6" s="453"/>
      <c r="D6" s="14"/>
    </row>
    <row r="7" spans="1:4" x14ac:dyDescent="0.35">
      <c r="A7" s="416" t="s">
        <v>9</v>
      </c>
      <c r="B7" s="416"/>
      <c r="C7" s="416"/>
      <c r="D7" s="70"/>
    </row>
    <row r="8" spans="1:4" x14ac:dyDescent="0.35">
      <c r="A8" s="70"/>
      <c r="B8" s="70"/>
      <c r="C8" s="70"/>
      <c r="D8" s="70"/>
    </row>
    <row r="9" spans="1:4" x14ac:dyDescent="0.35">
      <c r="A9" s="419" t="s">
        <v>1</v>
      </c>
      <c r="B9" s="419"/>
      <c r="C9" s="419"/>
      <c r="D9" s="11"/>
    </row>
    <row r="10" spans="1:4" ht="15.75" customHeight="1" x14ac:dyDescent="0.35">
      <c r="A10" s="419" t="s">
        <v>0</v>
      </c>
      <c r="B10" s="419"/>
      <c r="C10" s="419"/>
      <c r="D10" s="11"/>
    </row>
    <row r="11" spans="1:4" x14ac:dyDescent="0.35">
      <c r="A11" s="11"/>
      <c r="B11" s="419" t="s">
        <v>280</v>
      </c>
      <c r="C11" s="419"/>
      <c r="D11" s="11"/>
    </row>
    <row r="12" spans="1:4" x14ac:dyDescent="0.35">
      <c r="A12" s="11"/>
      <c r="B12" s="11" t="s">
        <v>387</v>
      </c>
      <c r="C12" s="11"/>
      <c r="D12" s="11"/>
    </row>
    <row r="13" spans="1:4" x14ac:dyDescent="0.35">
      <c r="A13" s="11"/>
      <c r="B13" s="454" t="s">
        <v>365</v>
      </c>
      <c r="C13" s="454"/>
      <c r="D13" s="11"/>
    </row>
    <row r="14" spans="1:4" ht="15.75" customHeight="1" x14ac:dyDescent="0.35">
      <c r="A14" s="11" t="s">
        <v>2</v>
      </c>
      <c r="B14" s="11" t="s">
        <v>250</v>
      </c>
      <c r="C14" s="11"/>
      <c r="D14" s="11"/>
    </row>
    <row r="15" spans="1:4" ht="90.75" customHeight="1" x14ac:dyDescent="0.35">
      <c r="A15" s="19" t="s">
        <v>3</v>
      </c>
      <c r="B15" s="19" t="s">
        <v>4</v>
      </c>
      <c r="C15" s="19"/>
      <c r="D15" s="19" t="s">
        <v>134</v>
      </c>
    </row>
    <row r="16" spans="1:4" x14ac:dyDescent="0.35">
      <c r="A16" s="20">
        <v>1</v>
      </c>
      <c r="B16" s="21">
        <v>2</v>
      </c>
      <c r="C16" s="21"/>
      <c r="D16" s="20">
        <v>3</v>
      </c>
    </row>
    <row r="17" spans="1:4" x14ac:dyDescent="0.35">
      <c r="A17" s="41"/>
      <c r="B17" s="22" t="s">
        <v>5</v>
      </c>
      <c r="C17" s="22"/>
      <c r="D17" s="329"/>
    </row>
    <row r="18" spans="1:4" x14ac:dyDescent="0.35">
      <c r="A18" s="31">
        <v>1100</v>
      </c>
      <c r="B18" s="288" t="s">
        <v>132</v>
      </c>
      <c r="C18" s="330">
        <f>[4]Sheet4!$G$24+0.23</f>
        <v>1.1090648360644737</v>
      </c>
      <c r="D18" s="133">
        <v>110.91</v>
      </c>
    </row>
    <row r="19" spans="1:4" x14ac:dyDescent="0.35">
      <c r="A19" s="31">
        <v>1200</v>
      </c>
      <c r="B19" s="83" t="s">
        <v>133</v>
      </c>
      <c r="C19" s="83">
        <f>C18*0.2359</f>
        <v>0.26162839482760936</v>
      </c>
      <c r="D19" s="133">
        <v>26.16</v>
      </c>
    </row>
    <row r="20" spans="1:4" x14ac:dyDescent="0.35">
      <c r="A20" s="31">
        <v>2243</v>
      </c>
      <c r="B20" s="151" t="s">
        <v>137</v>
      </c>
      <c r="C20" s="331">
        <f>[4]Sheet4!$G$38</f>
        <v>5.129135147912033E-4</v>
      </c>
      <c r="D20" s="133">
        <v>0.05</v>
      </c>
    </row>
    <row r="21" spans="1:4" hidden="1" x14ac:dyDescent="0.35">
      <c r="A21" s="31">
        <v>2244</v>
      </c>
      <c r="B21" s="83" t="s">
        <v>281</v>
      </c>
      <c r="C21" s="83"/>
      <c r="D21" s="133">
        <f>C21*100</f>
        <v>0</v>
      </c>
    </row>
    <row r="22" spans="1:4" hidden="1" x14ac:dyDescent="0.35">
      <c r="A22" s="31">
        <v>2312</v>
      </c>
      <c r="B22" s="83" t="s">
        <v>116</v>
      </c>
      <c r="C22" s="332">
        <v>0</v>
      </c>
      <c r="D22" s="133">
        <v>0</v>
      </c>
    </row>
    <row r="23" spans="1:4" hidden="1" x14ac:dyDescent="0.35">
      <c r="A23" s="31">
        <v>2350</v>
      </c>
      <c r="B23" s="62" t="s">
        <v>125</v>
      </c>
      <c r="C23" s="332">
        <v>0</v>
      </c>
      <c r="D23" s="133">
        <v>0</v>
      </c>
    </row>
    <row r="24" spans="1:4" x14ac:dyDescent="0.35">
      <c r="A24" s="31">
        <v>2263</v>
      </c>
      <c r="B24" s="62" t="s">
        <v>149</v>
      </c>
      <c r="C24" s="332">
        <f>[4]Sheet4!$G$30</f>
        <v>1.4618958904109589</v>
      </c>
      <c r="D24" s="133">
        <v>146.19</v>
      </c>
    </row>
    <row r="25" spans="1:4" x14ac:dyDescent="0.35">
      <c r="A25" s="31">
        <v>2513</v>
      </c>
      <c r="B25" s="61" t="s">
        <v>121</v>
      </c>
      <c r="C25" s="332">
        <f>[4]Sheet4!$G$36</f>
        <v>2.0449200407554907E-2</v>
      </c>
      <c r="D25" s="133">
        <v>2.04</v>
      </c>
    </row>
    <row r="26" spans="1:4" x14ac:dyDescent="0.35">
      <c r="A26" s="31"/>
      <c r="B26" s="78" t="s">
        <v>6</v>
      </c>
      <c r="C26" s="86">
        <f>SUM(C18:C25)</f>
        <v>2.853551235225388</v>
      </c>
      <c r="D26" s="23">
        <f>SUM(D18:D25)</f>
        <v>285.35000000000002</v>
      </c>
    </row>
    <row r="27" spans="1:4" x14ac:dyDescent="0.35">
      <c r="A27" s="38"/>
      <c r="B27" s="288" t="s">
        <v>7</v>
      </c>
      <c r="C27" s="288"/>
      <c r="D27" s="133"/>
    </row>
    <row r="28" spans="1:4" x14ac:dyDescent="0.35">
      <c r="A28" s="31">
        <v>1100</v>
      </c>
      <c r="B28" s="31" t="s">
        <v>132</v>
      </c>
      <c r="C28" s="370">
        <f>[4]Sheet4!$G$42</f>
        <v>0.83511159426124992</v>
      </c>
      <c r="D28" s="133">
        <v>83.51</v>
      </c>
    </row>
    <row r="29" spans="1:4" x14ac:dyDescent="0.35">
      <c r="A29" s="31">
        <v>1200</v>
      </c>
      <c r="B29" s="32" t="s">
        <v>133</v>
      </c>
      <c r="C29" s="61">
        <f>C28*0.2359</f>
        <v>0.19700282508622885</v>
      </c>
      <c r="D29" s="133">
        <v>19.7</v>
      </c>
    </row>
    <row r="30" spans="1:4" ht="31" x14ac:dyDescent="0.35">
      <c r="A30" s="31">
        <v>2224</v>
      </c>
      <c r="B30" s="62" t="s">
        <v>143</v>
      </c>
      <c r="C30" s="370">
        <f>[4]Sheet4!$G$46</f>
        <v>5.3724197676844557E-3</v>
      </c>
      <c r="D30" s="133">
        <v>0.54</v>
      </c>
    </row>
    <row r="31" spans="1:4" x14ac:dyDescent="0.35">
      <c r="A31" s="31">
        <v>2244</v>
      </c>
      <c r="B31" s="22" t="s">
        <v>138</v>
      </c>
      <c r="C31" s="370">
        <f>[4]Sheet4!$G$44+[4]Sheet4!$G$47+[4]Sheet4!$G$45</f>
        <v>8.9225863506272526E-3</v>
      </c>
      <c r="D31" s="133">
        <v>0.88</v>
      </c>
    </row>
    <row r="32" spans="1:4" hidden="1" x14ac:dyDescent="0.35">
      <c r="A32" s="61">
        <v>2247</v>
      </c>
      <c r="B32" s="22" t="s">
        <v>146</v>
      </c>
      <c r="C32" s="61">
        <v>2.2000000000000001E-4</v>
      </c>
      <c r="D32" s="133">
        <f>C32*100</f>
        <v>2.2000000000000002E-2</v>
      </c>
    </row>
    <row r="33" spans="1:6" x14ac:dyDescent="0.35">
      <c r="A33" s="38"/>
      <c r="B33" s="79" t="s">
        <v>8</v>
      </c>
      <c r="C33" s="61">
        <f>SUM(C28:C32)</f>
        <v>1.0466294254657906</v>
      </c>
      <c r="D33" s="23">
        <f>SUM(D28:D32)</f>
        <v>104.65200000000002</v>
      </c>
    </row>
    <row r="34" spans="1:6" x14ac:dyDescent="0.35">
      <c r="A34" s="334"/>
      <c r="B34" s="79" t="s">
        <v>29</v>
      </c>
      <c r="C34" s="336">
        <f>C26+C33</f>
        <v>3.9001806606911789</v>
      </c>
      <c r="D34" s="23">
        <f>D26+D33</f>
        <v>390.00200000000007</v>
      </c>
      <c r="F34" s="58"/>
    </row>
    <row r="35" spans="1:6" x14ac:dyDescent="0.35">
      <c r="A35" s="15"/>
      <c r="B35" s="25"/>
      <c r="C35" s="25"/>
      <c r="D35" s="59"/>
    </row>
    <row r="36" spans="1:6" x14ac:dyDescent="0.35">
      <c r="A36" s="417" t="s">
        <v>106</v>
      </c>
      <c r="B36" s="417"/>
      <c r="C36" s="143"/>
      <c r="D36" s="19">
        <v>100</v>
      </c>
    </row>
    <row r="37" spans="1:6" x14ac:dyDescent="0.35">
      <c r="A37" s="417" t="s">
        <v>58</v>
      </c>
      <c r="B37" s="417"/>
      <c r="C37" s="143"/>
      <c r="D37" s="37">
        <f>ROUND(D34/D36,2)</f>
        <v>3.9</v>
      </c>
    </row>
    <row r="38" spans="1:6" x14ac:dyDescent="0.35">
      <c r="A38" s="25"/>
      <c r="B38" s="26"/>
      <c r="C38" s="26"/>
      <c r="D38" s="189"/>
    </row>
    <row r="39" spans="1:6" x14ac:dyDescent="0.35">
      <c r="A39" s="417" t="s">
        <v>33</v>
      </c>
      <c r="B39" s="417"/>
      <c r="C39" s="143"/>
      <c r="D39" s="27"/>
    </row>
    <row r="40" spans="1:6" s="28" customFormat="1" ht="19.5" customHeight="1" x14ac:dyDescent="0.35">
      <c r="A40" s="417" t="s">
        <v>64</v>
      </c>
      <c r="B40" s="417"/>
      <c r="C40" s="143"/>
      <c r="D40" s="27"/>
    </row>
    <row r="41" spans="1:6" s="28" customFormat="1" ht="31.5" customHeight="1" x14ac:dyDescent="0.35"/>
    <row r="42" spans="1:6" x14ac:dyDescent="0.35">
      <c r="A42" s="28" t="s">
        <v>34</v>
      </c>
      <c r="B42" s="28"/>
      <c r="C42" s="28"/>
      <c r="D42" s="28"/>
    </row>
    <row r="43" spans="1:6" s="28" customFormat="1" ht="17.25" customHeight="1" x14ac:dyDescent="0.35">
      <c r="A43" s="16"/>
      <c r="B43" s="16"/>
      <c r="C43" s="16"/>
      <c r="D43" s="13"/>
    </row>
    <row r="44" spans="1:6" s="28" customFormat="1" ht="12.75" customHeight="1" x14ac:dyDescent="0.35">
      <c r="A44" s="28" t="s">
        <v>177</v>
      </c>
      <c r="B44" s="29"/>
      <c r="C44" s="29"/>
    </row>
  </sheetData>
  <mergeCells count="10">
    <mergeCell ref="A36:B36"/>
    <mergeCell ref="A37:B37"/>
    <mergeCell ref="A39:B39"/>
    <mergeCell ref="A40:B40"/>
    <mergeCell ref="B6:C6"/>
    <mergeCell ref="A7:C7"/>
    <mergeCell ref="A9:C9"/>
    <mergeCell ref="A10:C10"/>
    <mergeCell ref="B11:C11"/>
    <mergeCell ref="B13:C13"/>
  </mergeCells>
  <pageMargins left="0.7" right="0.7" top="0.75" bottom="0.75" header="0.3" footer="0.3"/>
  <pageSetup paperSize="9" scale="72" orientation="portrait" r:id="rId1"/>
  <headerFooter>
    <oddFooter>&amp;F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F49"/>
  <sheetViews>
    <sheetView workbookViewId="0">
      <selection activeCell="I25" sqref="I25"/>
    </sheetView>
  </sheetViews>
  <sheetFormatPr defaultColWidth="9.1796875" defaultRowHeight="15.5" x14ac:dyDescent="0.35"/>
  <cols>
    <col min="1" max="1" width="12.26953125" style="13" customWidth="1"/>
    <col min="2" max="2" width="85.453125" style="13" customWidth="1"/>
    <col min="3" max="3" width="7.81640625" style="13" hidden="1" customWidth="1"/>
    <col min="4" max="4" width="23.54296875" style="13" hidden="1" customWidth="1"/>
    <col min="5" max="5" width="27" style="13" hidden="1" customWidth="1"/>
    <col min="6" max="6" width="27" style="13" customWidth="1"/>
    <col min="7" max="16384" width="9.1796875" style="4"/>
  </cols>
  <sheetData>
    <row r="1" spans="1:6" x14ac:dyDescent="0.35">
      <c r="B1" s="15"/>
      <c r="C1" s="15"/>
      <c r="D1" s="15" t="s">
        <v>10</v>
      </c>
      <c r="E1" s="15" t="s">
        <v>10</v>
      </c>
      <c r="F1" s="15" t="s">
        <v>10</v>
      </c>
    </row>
    <row r="2" spans="1:6" x14ac:dyDescent="0.35">
      <c r="B2" s="311"/>
      <c r="C2" s="311"/>
      <c r="D2" s="15" t="s">
        <v>32</v>
      </c>
      <c r="E2" s="15" t="s">
        <v>32</v>
      </c>
      <c r="F2" s="15" t="s">
        <v>32</v>
      </c>
    </row>
    <row r="3" spans="1:6" x14ac:dyDescent="0.35">
      <c r="B3" s="15"/>
      <c r="C3" s="15"/>
      <c r="D3" s="15" t="s">
        <v>66</v>
      </c>
      <c r="E3" s="15" t="s">
        <v>66</v>
      </c>
      <c r="F3" s="15" t="s">
        <v>66</v>
      </c>
    </row>
    <row r="4" spans="1:6" x14ac:dyDescent="0.35">
      <c r="B4" s="15"/>
      <c r="C4" s="15"/>
      <c r="D4" s="15"/>
      <c r="E4" s="15"/>
      <c r="F4" s="15"/>
    </row>
    <row r="5" spans="1:6" x14ac:dyDescent="0.35">
      <c r="B5" s="335"/>
      <c r="C5" s="335"/>
      <c r="D5" s="15" t="s">
        <v>283</v>
      </c>
      <c r="E5" s="15" t="s">
        <v>283</v>
      </c>
      <c r="F5" s="15" t="s">
        <v>279</v>
      </c>
    </row>
    <row r="6" spans="1:6" ht="15.75" customHeight="1" x14ac:dyDescent="0.35">
      <c r="B6" s="15"/>
      <c r="C6" s="15"/>
      <c r="D6" s="25"/>
      <c r="E6" s="25"/>
      <c r="F6" s="25"/>
    </row>
    <row r="7" spans="1:6" ht="15" x14ac:dyDescent="0.3">
      <c r="A7" s="416" t="s">
        <v>9</v>
      </c>
      <c r="B7" s="416"/>
      <c r="C7" s="416"/>
      <c r="D7" s="416"/>
      <c r="E7" s="70"/>
      <c r="F7" s="70"/>
    </row>
    <row r="8" spans="1:6" x14ac:dyDescent="0.35">
      <c r="B8" s="18"/>
      <c r="C8" s="18"/>
    </row>
    <row r="9" spans="1:6" x14ac:dyDescent="0.35">
      <c r="A9" s="419" t="s">
        <v>1</v>
      </c>
      <c r="B9" s="419"/>
      <c r="C9" s="11"/>
    </row>
    <row r="10" spans="1:6" x14ac:dyDescent="0.35">
      <c r="A10" s="419" t="s">
        <v>0</v>
      </c>
      <c r="B10" s="419"/>
      <c r="C10" s="11"/>
    </row>
    <row r="11" spans="1:6" x14ac:dyDescent="0.35">
      <c r="A11" s="11"/>
      <c r="B11" s="11" t="s">
        <v>280</v>
      </c>
      <c r="C11" s="11"/>
    </row>
    <row r="12" spans="1:6" ht="15.75" customHeight="1" x14ac:dyDescent="0.3">
      <c r="A12" s="11"/>
      <c r="B12" s="455" t="s">
        <v>284</v>
      </c>
      <c r="C12" s="455"/>
      <c r="D12" s="455"/>
      <c r="E12" s="11"/>
      <c r="F12" s="11"/>
    </row>
    <row r="13" spans="1:6" x14ac:dyDescent="0.35">
      <c r="A13" s="11" t="s">
        <v>2</v>
      </c>
      <c r="B13" s="11" t="s">
        <v>169</v>
      </c>
      <c r="C13" s="11"/>
    </row>
    <row r="14" spans="1:6" hidden="1" x14ac:dyDescent="0.35">
      <c r="B14" s="136"/>
      <c r="C14" s="136"/>
    </row>
    <row r="15" spans="1:6" ht="64.5" customHeight="1" x14ac:dyDescent="0.3">
      <c r="A15" s="51" t="s">
        <v>3</v>
      </c>
      <c r="B15" s="51" t="s">
        <v>4</v>
      </c>
      <c r="C15" s="51"/>
      <c r="D15" s="51" t="s">
        <v>63</v>
      </c>
      <c r="E15" s="51" t="s">
        <v>63</v>
      </c>
      <c r="F15" s="51" t="s">
        <v>63</v>
      </c>
    </row>
    <row r="16" spans="1:6" ht="15" x14ac:dyDescent="0.3">
      <c r="A16" s="20">
        <v>1</v>
      </c>
      <c r="B16" s="21">
        <v>2</v>
      </c>
      <c r="C16" s="21"/>
      <c r="D16" s="21">
        <v>3</v>
      </c>
      <c r="E16" s="21">
        <v>3</v>
      </c>
      <c r="F16" s="21">
        <v>3</v>
      </c>
    </row>
    <row r="17" spans="1:6" x14ac:dyDescent="0.35">
      <c r="A17" s="20"/>
      <c r="B17" s="22" t="s">
        <v>5</v>
      </c>
      <c r="C17" s="22"/>
      <c r="D17" s="61"/>
      <c r="E17" s="61"/>
      <c r="F17" s="61"/>
    </row>
    <row r="18" spans="1:6" x14ac:dyDescent="0.35">
      <c r="A18" s="31">
        <v>1100</v>
      </c>
      <c r="B18" s="288" t="s">
        <v>132</v>
      </c>
      <c r="C18" s="330">
        <f>'[5]trasnports noma_10.3.'!$D$7</f>
        <v>5.5443948412698418</v>
      </c>
      <c r="D18" s="33">
        <v>277.22000000000003</v>
      </c>
      <c r="E18" s="33">
        <f t="shared" ref="E18:E23" si="0">D18/50*20</f>
        <v>110.88800000000001</v>
      </c>
      <c r="F18" s="33">
        <v>31.33</v>
      </c>
    </row>
    <row r="19" spans="1:6" ht="15.75" customHeight="1" x14ac:dyDescent="0.35">
      <c r="A19" s="31">
        <v>1200</v>
      </c>
      <c r="B19" s="62" t="s">
        <v>133</v>
      </c>
      <c r="C19" s="330">
        <f>C18*0.2359</f>
        <v>1.3079227430555558</v>
      </c>
      <c r="D19" s="33">
        <v>65.400000000000006</v>
      </c>
      <c r="E19" s="33">
        <f t="shared" si="0"/>
        <v>26.16</v>
      </c>
      <c r="F19" s="33">
        <v>7.39</v>
      </c>
    </row>
    <row r="20" spans="1:6" ht="15.75" customHeight="1" x14ac:dyDescent="0.35">
      <c r="A20" s="31">
        <v>2222</v>
      </c>
      <c r="B20" s="32" t="s">
        <v>135</v>
      </c>
      <c r="C20" s="330">
        <f>'[5]trasnports noma_10.3.'!$D$12</f>
        <v>1.1759999999999999</v>
      </c>
      <c r="D20" s="33">
        <v>58.8</v>
      </c>
      <c r="E20" s="33">
        <f t="shared" si="0"/>
        <v>23.52</v>
      </c>
      <c r="F20" s="33">
        <v>5.88</v>
      </c>
    </row>
    <row r="21" spans="1:6" x14ac:dyDescent="0.35">
      <c r="A21" s="31">
        <v>2242</v>
      </c>
      <c r="B21" s="32" t="s">
        <v>145</v>
      </c>
      <c r="C21" s="330">
        <f>[6]pašizmaksa!E15+[6]pašizmaksa!E16+[6]pašizmaksa!E17</f>
        <v>0.20069444444444443</v>
      </c>
      <c r="D21" s="33">
        <v>10.029999999999999</v>
      </c>
      <c r="E21" s="33">
        <f t="shared" si="0"/>
        <v>4.0120000000000005</v>
      </c>
      <c r="F21" s="33">
        <v>1</v>
      </c>
    </row>
    <row r="22" spans="1:6" x14ac:dyDescent="0.35">
      <c r="A22" s="31">
        <v>2322</v>
      </c>
      <c r="B22" s="62" t="s">
        <v>153</v>
      </c>
      <c r="C22" s="330">
        <f>'[5]trasnports noma_10.3.'!$D$9</f>
        <v>6.0197500000000002</v>
      </c>
      <c r="D22" s="33">
        <v>300.99</v>
      </c>
      <c r="E22" s="33">
        <f t="shared" si="0"/>
        <v>120.396</v>
      </c>
      <c r="F22" s="33">
        <v>30.1</v>
      </c>
    </row>
    <row r="23" spans="1:6" x14ac:dyDescent="0.35">
      <c r="A23" s="31">
        <v>5231</v>
      </c>
      <c r="B23" s="62" t="s">
        <v>285</v>
      </c>
      <c r="C23" s="330">
        <f>'[5]trasnports noma_10.3.'!$D$11</f>
        <v>1.6551587301587301</v>
      </c>
      <c r="D23" s="33">
        <v>82.76</v>
      </c>
      <c r="E23" s="33">
        <f t="shared" si="0"/>
        <v>33.103999999999999</v>
      </c>
      <c r="F23" s="33">
        <v>8.2799999999999994</v>
      </c>
    </row>
    <row r="24" spans="1:6" ht="15.75" customHeight="1" x14ac:dyDescent="0.3">
      <c r="A24" s="31"/>
      <c r="B24" s="78" t="s">
        <v>6</v>
      </c>
      <c r="C24" s="336">
        <f>SUM(C18:C23)</f>
        <v>15.903920758928573</v>
      </c>
      <c r="D24" s="37">
        <f>SUM(D18:D23)</f>
        <v>795.2</v>
      </c>
      <c r="E24" s="37">
        <f>SUM(E18:E23)</f>
        <v>318.08</v>
      </c>
      <c r="F24" s="37">
        <f>SUM(F18:F23)</f>
        <v>83.98</v>
      </c>
    </row>
    <row r="25" spans="1:6" x14ac:dyDescent="0.35">
      <c r="A25" s="38"/>
      <c r="B25" s="288" t="s">
        <v>7</v>
      </c>
      <c r="C25" s="330"/>
      <c r="D25" s="33"/>
      <c r="E25" s="33"/>
      <c r="F25" s="33"/>
    </row>
    <row r="26" spans="1:6" x14ac:dyDescent="0.35">
      <c r="A26" s="31">
        <v>1100</v>
      </c>
      <c r="B26" s="31" t="s">
        <v>132</v>
      </c>
      <c r="C26" s="330">
        <v>1.65</v>
      </c>
      <c r="D26" s="33">
        <v>82.5</v>
      </c>
      <c r="E26" s="33">
        <f>D26/50*20</f>
        <v>33</v>
      </c>
      <c r="F26" s="33">
        <v>9.1</v>
      </c>
    </row>
    <row r="27" spans="1:6" ht="15.75" customHeight="1" x14ac:dyDescent="0.35">
      <c r="A27" s="31">
        <v>1200</v>
      </c>
      <c r="B27" s="32" t="s">
        <v>286</v>
      </c>
      <c r="C27" s="330">
        <f>C26*0.2359</f>
        <v>0.389235</v>
      </c>
      <c r="D27" s="33">
        <v>19.46</v>
      </c>
      <c r="E27" s="33">
        <f t="shared" ref="E27:E35" si="1">D27/50*20</f>
        <v>7.7839999999999998</v>
      </c>
      <c r="F27" s="33">
        <v>2.15</v>
      </c>
    </row>
    <row r="28" spans="1:6" hidden="1" x14ac:dyDescent="0.35">
      <c r="A28" s="34">
        <v>2210</v>
      </c>
      <c r="B28" s="32" t="s">
        <v>271</v>
      </c>
      <c r="C28" s="330"/>
      <c r="D28" s="33">
        <f>C28*50</f>
        <v>0</v>
      </c>
      <c r="E28" s="33">
        <f t="shared" si="1"/>
        <v>0</v>
      </c>
      <c r="F28" s="33">
        <f>E28/20*5</f>
        <v>0</v>
      </c>
    </row>
    <row r="29" spans="1:6" hidden="1" x14ac:dyDescent="0.35">
      <c r="A29" s="31">
        <v>2222</v>
      </c>
      <c r="B29" s="32" t="s">
        <v>135</v>
      </c>
      <c r="C29" s="330"/>
      <c r="D29" s="33">
        <f>C29*50</f>
        <v>0</v>
      </c>
      <c r="E29" s="33">
        <f t="shared" si="1"/>
        <v>0</v>
      </c>
      <c r="F29" s="33">
        <f>E29/20*5</f>
        <v>0</v>
      </c>
    </row>
    <row r="30" spans="1:6" x14ac:dyDescent="0.35">
      <c r="A30" s="31">
        <v>2223</v>
      </c>
      <c r="B30" s="32" t="s">
        <v>136</v>
      </c>
      <c r="C30" s="330">
        <f>0.18+0.1</f>
        <v>0.28000000000000003</v>
      </c>
      <c r="D30" s="33">
        <v>14</v>
      </c>
      <c r="E30" s="33">
        <f t="shared" si="1"/>
        <v>5.6000000000000005</v>
      </c>
      <c r="F30" s="33">
        <v>1.4</v>
      </c>
    </row>
    <row r="31" spans="1:6" x14ac:dyDescent="0.35">
      <c r="A31" s="31">
        <v>2244</v>
      </c>
      <c r="B31" s="151" t="s">
        <v>281</v>
      </c>
      <c r="C31" s="330">
        <f>0.24+0.1</f>
        <v>0.33999999999999997</v>
      </c>
      <c r="D31" s="33">
        <v>17</v>
      </c>
      <c r="E31" s="33">
        <f t="shared" si="1"/>
        <v>6.8000000000000007</v>
      </c>
      <c r="F31" s="33">
        <v>1.7</v>
      </c>
    </row>
    <row r="32" spans="1:6" x14ac:dyDescent="0.35">
      <c r="A32" s="31">
        <v>2311</v>
      </c>
      <c r="B32" s="32" t="s">
        <v>151</v>
      </c>
      <c r="C32" s="330">
        <f>[6]pašizmaksa!E18</f>
        <v>0.05</v>
      </c>
      <c r="D32" s="33">
        <v>2.5</v>
      </c>
      <c r="E32" s="33">
        <f t="shared" si="1"/>
        <v>1</v>
      </c>
      <c r="F32" s="33">
        <v>0.25</v>
      </c>
    </row>
    <row r="33" spans="1:6" x14ac:dyDescent="0.35">
      <c r="A33" s="31">
        <v>2312</v>
      </c>
      <c r="B33" s="32" t="s">
        <v>116</v>
      </c>
      <c r="C33" s="330">
        <f>[6]pašizmaksa!E21+[6]pašizmaksa!E22+[6]pašizmaksa!E23</f>
        <v>1.7455853174603173E-2</v>
      </c>
      <c r="D33" s="33">
        <v>0.87</v>
      </c>
      <c r="E33" s="33">
        <f t="shared" si="1"/>
        <v>0.34799999999999998</v>
      </c>
      <c r="F33" s="33">
        <v>0.09</v>
      </c>
    </row>
    <row r="34" spans="1:6" x14ac:dyDescent="0.35">
      <c r="A34" s="31">
        <v>2321</v>
      </c>
      <c r="B34" s="32" t="s">
        <v>139</v>
      </c>
      <c r="C34" s="330">
        <f>0.17+0.1</f>
        <v>0.27</v>
      </c>
      <c r="D34" s="33">
        <v>13.47</v>
      </c>
      <c r="E34" s="33">
        <f t="shared" si="1"/>
        <v>5.3880000000000008</v>
      </c>
      <c r="F34" s="33">
        <v>1.33</v>
      </c>
    </row>
    <row r="35" spans="1:6" x14ac:dyDescent="0.35">
      <c r="A35" s="31">
        <v>2350</v>
      </c>
      <c r="B35" s="337" t="s">
        <v>125</v>
      </c>
      <c r="C35" s="330">
        <v>0.1</v>
      </c>
      <c r="D35" s="33">
        <v>5</v>
      </c>
      <c r="E35" s="33">
        <f t="shared" si="1"/>
        <v>2</v>
      </c>
      <c r="F35" s="33">
        <v>0.5</v>
      </c>
    </row>
    <row r="36" spans="1:6" x14ac:dyDescent="0.35">
      <c r="A36" s="334"/>
      <c r="B36" s="79" t="s">
        <v>8</v>
      </c>
      <c r="C36" s="336">
        <f>SUM(C26:C35)</f>
        <v>3.0966908531746027</v>
      </c>
      <c r="D36" s="37">
        <f>SUM(D26:D35)</f>
        <v>154.80000000000001</v>
      </c>
      <c r="E36" s="37">
        <f>SUM(E26:E35)</f>
        <v>61.919999999999995</v>
      </c>
      <c r="F36" s="37">
        <f>SUM(F26:F35)</f>
        <v>16.52</v>
      </c>
    </row>
    <row r="37" spans="1:6" x14ac:dyDescent="0.35">
      <c r="A37" s="334"/>
      <c r="B37" s="79" t="s">
        <v>29</v>
      </c>
      <c r="C37" s="336">
        <f>C24+C36</f>
        <v>19.000611612103175</v>
      </c>
      <c r="D37" s="37">
        <f>D24+D36</f>
        <v>950</v>
      </c>
      <c r="E37" s="37">
        <f>E24+E36</f>
        <v>380</v>
      </c>
      <c r="F37" s="37">
        <f>F24+F36</f>
        <v>100.5</v>
      </c>
    </row>
    <row r="38" spans="1:6" x14ac:dyDescent="0.35">
      <c r="A38" s="15"/>
      <c r="B38" s="25"/>
      <c r="C38" s="25"/>
      <c r="D38" s="44"/>
      <c r="E38" s="44"/>
      <c r="F38" s="44"/>
    </row>
    <row r="39" spans="1:6" ht="15" customHeight="1" x14ac:dyDescent="0.35">
      <c r="A39" s="417" t="s">
        <v>106</v>
      </c>
      <c r="B39" s="417"/>
      <c r="C39" s="338"/>
      <c r="D39" s="339">
        <v>50</v>
      </c>
      <c r="E39" s="339">
        <v>20</v>
      </c>
      <c r="F39" s="339">
        <v>5</v>
      </c>
    </row>
    <row r="40" spans="1:6" ht="15" customHeight="1" x14ac:dyDescent="0.3">
      <c r="A40" s="418" t="s">
        <v>107</v>
      </c>
      <c r="B40" s="418"/>
      <c r="C40" s="305"/>
      <c r="D40" s="137">
        <f>D37/D39</f>
        <v>19</v>
      </c>
      <c r="E40" s="137">
        <f>E37/E39</f>
        <v>19</v>
      </c>
      <c r="F40" s="137">
        <f>F37/F39</f>
        <v>20.100000000000001</v>
      </c>
    </row>
    <row r="41" spans="1:6" ht="15" customHeight="1" x14ac:dyDescent="0.35">
      <c r="A41" s="283"/>
      <c r="B41" s="42"/>
      <c r="C41" s="340"/>
      <c r="D41" s="26"/>
      <c r="E41" s="26"/>
      <c r="F41" s="26"/>
    </row>
    <row r="42" spans="1:6" customFormat="1" ht="15" customHeight="1" x14ac:dyDescent="0.35">
      <c r="A42" s="417" t="s">
        <v>33</v>
      </c>
      <c r="B42" s="417"/>
      <c r="C42" s="143"/>
      <c r="D42" s="27"/>
      <c r="E42" s="27"/>
      <c r="F42" s="27"/>
    </row>
    <row r="43" spans="1:6" customFormat="1" ht="15" customHeight="1" x14ac:dyDescent="0.35">
      <c r="A43" s="417" t="s">
        <v>64</v>
      </c>
      <c r="B43" s="417"/>
      <c r="C43" s="143"/>
      <c r="D43" s="85"/>
      <c r="E43" s="85"/>
      <c r="F43" s="85"/>
    </row>
    <row r="44" spans="1:6" customFormat="1" ht="15" customHeight="1" x14ac:dyDescent="0.35">
      <c r="A44" s="28"/>
      <c r="B44" s="28"/>
      <c r="C44" s="28"/>
      <c r="D44" s="28"/>
      <c r="E44" s="28"/>
      <c r="F44" s="28"/>
    </row>
    <row r="45" spans="1:6" customFormat="1" ht="15" customHeight="1" x14ac:dyDescent="0.35">
      <c r="A45" s="28" t="s">
        <v>34</v>
      </c>
      <c r="B45" s="28"/>
      <c r="C45" s="28"/>
      <c r="D45" s="81"/>
      <c r="E45" s="81"/>
      <c r="F45" s="81"/>
    </row>
    <row r="46" spans="1:6" customFormat="1" ht="15" customHeight="1" x14ac:dyDescent="0.35">
      <c r="A46" s="28"/>
      <c r="B46" s="28"/>
      <c r="C46" s="28"/>
      <c r="D46" s="28"/>
      <c r="E46" s="28"/>
      <c r="F46" s="28"/>
    </row>
    <row r="47" spans="1:6" customFormat="1" ht="15" customHeight="1" x14ac:dyDescent="0.35">
      <c r="A47" s="28" t="s">
        <v>177</v>
      </c>
      <c r="B47" s="29"/>
      <c r="C47" s="29"/>
      <c r="D47" s="28"/>
      <c r="E47" s="28"/>
      <c r="F47" s="28"/>
    </row>
    <row r="48" spans="1:6" s="2" customFormat="1" ht="15" customHeight="1" x14ac:dyDescent="0.35">
      <c r="A48" s="28"/>
      <c r="B48" s="30"/>
      <c r="C48" s="30"/>
      <c r="D48" s="28"/>
      <c r="E48" s="28"/>
      <c r="F48" s="28"/>
    </row>
    <row r="49" spans="2:3" x14ac:dyDescent="0.35">
      <c r="B49" s="14"/>
      <c r="C49" s="14"/>
    </row>
  </sheetData>
  <mergeCells count="8">
    <mergeCell ref="A42:B42"/>
    <mergeCell ref="A43:B43"/>
    <mergeCell ref="A7:D7"/>
    <mergeCell ref="A9:B9"/>
    <mergeCell ref="A10:B10"/>
    <mergeCell ref="B12:D12"/>
    <mergeCell ref="A39:B39"/>
    <mergeCell ref="A40:B40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IV76"/>
  <sheetViews>
    <sheetView topLeftCell="A28" workbookViewId="0">
      <selection activeCell="H27" sqref="H27"/>
    </sheetView>
  </sheetViews>
  <sheetFormatPr defaultColWidth="9.1796875" defaultRowHeight="15.5" x14ac:dyDescent="0.35"/>
  <cols>
    <col min="1" max="1" width="12.26953125" style="13" customWidth="1"/>
    <col min="2" max="2" width="86.7265625" style="13" customWidth="1"/>
    <col min="3" max="3" width="9.453125" style="13" hidden="1" customWidth="1"/>
    <col min="4" max="4" width="24.54296875" style="13" customWidth="1"/>
    <col min="5" max="16384" width="9.1796875" style="4"/>
  </cols>
  <sheetData>
    <row r="1" spans="1:4" x14ac:dyDescent="0.35">
      <c r="B1" s="15"/>
      <c r="C1" s="15"/>
      <c r="D1" s="15" t="s">
        <v>10</v>
      </c>
    </row>
    <row r="2" spans="1:4" x14ac:dyDescent="0.35">
      <c r="B2" s="311"/>
      <c r="C2" s="311"/>
      <c r="D2" s="15" t="s">
        <v>32</v>
      </c>
    </row>
    <row r="3" spans="1:4" x14ac:dyDescent="0.35">
      <c r="B3" s="15"/>
      <c r="C3" s="15"/>
      <c r="D3" s="15" t="s">
        <v>66</v>
      </c>
    </row>
    <row r="4" spans="1:4" x14ac:dyDescent="0.35">
      <c r="B4" s="15"/>
      <c r="C4" s="15"/>
      <c r="D4" s="15"/>
    </row>
    <row r="5" spans="1:4" x14ac:dyDescent="0.35">
      <c r="B5" s="335"/>
      <c r="C5" s="335"/>
      <c r="D5" s="15" t="s">
        <v>279</v>
      </c>
    </row>
    <row r="6" spans="1:4" ht="15.75" customHeight="1" x14ac:dyDescent="0.35">
      <c r="B6" s="15"/>
      <c r="C6" s="15"/>
      <c r="D6" s="25"/>
    </row>
    <row r="7" spans="1:4" ht="15" x14ac:dyDescent="0.3">
      <c r="A7" s="416" t="s">
        <v>9</v>
      </c>
      <c r="B7" s="416"/>
      <c r="C7" s="416"/>
      <c r="D7" s="416"/>
    </row>
    <row r="8" spans="1:4" x14ac:dyDescent="0.35">
      <c r="B8" s="18"/>
      <c r="C8" s="18"/>
    </row>
    <row r="9" spans="1:4" ht="15.75" customHeight="1" x14ac:dyDescent="0.35">
      <c r="A9" s="419" t="s">
        <v>1</v>
      </c>
      <c r="B9" s="419"/>
      <c r="C9" s="11"/>
    </row>
    <row r="10" spans="1:4" ht="15.75" customHeight="1" x14ac:dyDescent="0.35">
      <c r="A10" s="419" t="s">
        <v>0</v>
      </c>
      <c r="B10" s="419"/>
      <c r="C10" s="11"/>
    </row>
    <row r="11" spans="1:4" x14ac:dyDescent="0.35">
      <c r="A11" s="11"/>
      <c r="B11" s="11" t="s">
        <v>280</v>
      </c>
      <c r="C11" s="11"/>
    </row>
    <row r="12" spans="1:4" ht="15.75" customHeight="1" x14ac:dyDescent="0.3">
      <c r="A12" s="11"/>
      <c r="B12" s="419" t="s">
        <v>287</v>
      </c>
      <c r="C12" s="419"/>
      <c r="D12" s="419"/>
    </row>
    <row r="13" spans="1:4" x14ac:dyDescent="0.35">
      <c r="A13" s="11" t="s">
        <v>2</v>
      </c>
      <c r="B13" s="11" t="s">
        <v>169</v>
      </c>
      <c r="C13" s="11"/>
    </row>
    <row r="14" spans="1:4" ht="15.75" hidden="1" customHeight="1" x14ac:dyDescent="0.35">
      <c r="B14" s="136"/>
      <c r="C14" s="136"/>
    </row>
    <row r="15" spans="1:4" ht="64.5" customHeight="1" x14ac:dyDescent="0.3">
      <c r="A15" s="51" t="s">
        <v>3</v>
      </c>
      <c r="B15" s="51" t="s">
        <v>4</v>
      </c>
      <c r="C15" s="51"/>
      <c r="D15" s="51" t="s">
        <v>63</v>
      </c>
    </row>
    <row r="16" spans="1:4" ht="15" x14ac:dyDescent="0.3">
      <c r="A16" s="20">
        <v>1</v>
      </c>
      <c r="B16" s="21">
        <v>2</v>
      </c>
      <c r="C16" s="21"/>
      <c r="D16" s="21">
        <v>3</v>
      </c>
    </row>
    <row r="17" spans="1:4" x14ac:dyDescent="0.35">
      <c r="A17" s="20"/>
      <c r="B17" s="22" t="s">
        <v>5</v>
      </c>
      <c r="C17" s="22"/>
      <c r="D17" s="61"/>
    </row>
    <row r="18" spans="1:4" x14ac:dyDescent="0.35">
      <c r="A18" s="31">
        <v>1100</v>
      </c>
      <c r="B18" s="288" t="s">
        <v>132</v>
      </c>
      <c r="C18" s="341">
        <f>'[5]trasnports noma_10.3.'!$D$22</f>
        <v>135.28323412698415</v>
      </c>
      <c r="D18" s="33">
        <v>764.35</v>
      </c>
    </row>
    <row r="19" spans="1:4" ht="15.75" customHeight="1" x14ac:dyDescent="0.35">
      <c r="A19" s="31">
        <v>1200</v>
      </c>
      <c r="B19" s="62" t="s">
        <v>133</v>
      </c>
      <c r="C19" s="342">
        <f>C18*0.2359</f>
        <v>31.913314930555561</v>
      </c>
      <c r="D19" s="33">
        <v>180.31</v>
      </c>
    </row>
    <row r="20" spans="1:4" ht="15.75" customHeight="1" x14ac:dyDescent="0.35">
      <c r="A20" s="31">
        <v>2222</v>
      </c>
      <c r="B20" s="62" t="s">
        <v>135</v>
      </c>
      <c r="C20" s="342">
        <f>'[5]trasnports noma_10.3.'!$D$26</f>
        <v>1.1759999999999999</v>
      </c>
      <c r="D20" s="33">
        <v>5.88</v>
      </c>
    </row>
    <row r="21" spans="1:4" ht="15.75" customHeight="1" x14ac:dyDescent="0.35">
      <c r="A21" s="31">
        <v>2242</v>
      </c>
      <c r="B21" s="32" t="s">
        <v>145</v>
      </c>
      <c r="C21" s="343">
        <f>[6]pašizmaksa!E69+[6]pašizmaksa!E70+[6]pašizmaksa!E71</f>
        <v>1.7745614035087718</v>
      </c>
      <c r="D21" s="33">
        <v>8.8699999999999992</v>
      </c>
    </row>
    <row r="22" spans="1:4" ht="15.75" customHeight="1" x14ac:dyDescent="0.35">
      <c r="A22" s="31">
        <v>2322</v>
      </c>
      <c r="B22" s="62" t="s">
        <v>153</v>
      </c>
      <c r="C22" s="342">
        <f>'[5]trasnports noma_10.3.'!$D$24</f>
        <v>24.079000000000001</v>
      </c>
      <c r="D22" s="33">
        <v>120.4</v>
      </c>
    </row>
    <row r="23" spans="1:4" x14ac:dyDescent="0.35">
      <c r="A23" s="31">
        <v>5231</v>
      </c>
      <c r="B23" s="62" t="s">
        <v>285</v>
      </c>
      <c r="C23" s="342">
        <f>'[5]trasnports noma_10.3.'!$D$25</f>
        <v>19.861904761904761</v>
      </c>
      <c r="D23" s="33">
        <v>99.31</v>
      </c>
    </row>
    <row r="24" spans="1:4" ht="15.75" customHeight="1" x14ac:dyDescent="0.3">
      <c r="A24" s="31"/>
      <c r="B24" s="78" t="s">
        <v>6</v>
      </c>
      <c r="C24" s="336">
        <f>SUM(C18:C23)</f>
        <v>214.08801522295326</v>
      </c>
      <c r="D24" s="23">
        <f>SUM(D18:D23)</f>
        <v>1179.1200000000001</v>
      </c>
    </row>
    <row r="25" spans="1:4" x14ac:dyDescent="0.35">
      <c r="A25" s="38"/>
      <c r="B25" s="288" t="s">
        <v>7</v>
      </c>
      <c r="C25" s="330"/>
      <c r="D25" s="33"/>
    </row>
    <row r="26" spans="1:4" x14ac:dyDescent="0.35">
      <c r="A26" s="31">
        <v>1100</v>
      </c>
      <c r="B26" s="31" t="s">
        <v>132</v>
      </c>
      <c r="C26" s="344">
        <v>22.29</v>
      </c>
      <c r="D26" s="33">
        <v>122.6</v>
      </c>
    </row>
    <row r="27" spans="1:4" ht="15.75" customHeight="1" x14ac:dyDescent="0.35">
      <c r="A27" s="31">
        <v>1200</v>
      </c>
      <c r="B27" s="32" t="s">
        <v>286</v>
      </c>
      <c r="C27" s="343">
        <f>C26*0.2359</f>
        <v>5.2582110000000002</v>
      </c>
      <c r="D27" s="33">
        <v>28.92</v>
      </c>
    </row>
    <row r="28" spans="1:4" ht="15.75" customHeight="1" x14ac:dyDescent="0.35">
      <c r="A28" s="34">
        <v>2210</v>
      </c>
      <c r="B28" s="32" t="s">
        <v>271</v>
      </c>
      <c r="C28" s="343">
        <f>[6]pašizmaksa!E78+[6]pašizmaksa!E79</f>
        <v>0.74194736842105269</v>
      </c>
      <c r="D28" s="33">
        <v>3.71</v>
      </c>
    </row>
    <row r="29" spans="1:4" ht="15.75" hidden="1" customHeight="1" x14ac:dyDescent="0.35">
      <c r="A29" s="31">
        <v>2222</v>
      </c>
      <c r="B29" s="32" t="s">
        <v>26</v>
      </c>
      <c r="C29" s="343">
        <v>0</v>
      </c>
      <c r="D29" s="33">
        <v>0</v>
      </c>
    </row>
    <row r="30" spans="1:4" x14ac:dyDescent="0.35">
      <c r="A30" s="31">
        <v>2223</v>
      </c>
      <c r="B30" s="32" t="s">
        <v>27</v>
      </c>
      <c r="C30" s="343">
        <v>2.7858800000000001</v>
      </c>
      <c r="D30" s="33">
        <v>13.92</v>
      </c>
    </row>
    <row r="31" spans="1:4" ht="15.75" customHeight="1" x14ac:dyDescent="0.35">
      <c r="A31" s="31">
        <v>2244</v>
      </c>
      <c r="B31" s="151" t="s">
        <v>281</v>
      </c>
      <c r="C31" s="343">
        <f>[6]pašizmaksa!E68</f>
        <v>1.8857142857142857</v>
      </c>
      <c r="D31" s="33">
        <v>9.43</v>
      </c>
    </row>
    <row r="32" spans="1:4" x14ac:dyDescent="0.35">
      <c r="A32" s="31">
        <v>2311</v>
      </c>
      <c r="B32" s="32" t="s">
        <v>151</v>
      </c>
      <c r="C32" s="343">
        <f>[6]pašizmaksa!E72</f>
        <v>0.5</v>
      </c>
      <c r="D32" s="33">
        <v>2.5</v>
      </c>
    </row>
    <row r="33" spans="1:256" x14ac:dyDescent="0.35">
      <c r="A33" s="31">
        <v>2312</v>
      </c>
      <c r="B33" s="32" t="s">
        <v>116</v>
      </c>
      <c r="C33" s="343" t="e">
        <f>[6]pašizmaksa!E75+[6]pašizmaksa!E76+[6]pašizmaksa!E77</f>
        <v>#REF!</v>
      </c>
      <c r="D33" s="33">
        <v>1.02</v>
      </c>
    </row>
    <row r="34" spans="1:256" ht="15.75" customHeight="1" x14ac:dyDescent="0.35">
      <c r="A34" s="31">
        <v>2321</v>
      </c>
      <c r="B34" s="32" t="s">
        <v>139</v>
      </c>
      <c r="C34" s="343">
        <f>[6]pašizmaksa!E67+0.86</f>
        <v>2.2171428571428571</v>
      </c>
      <c r="D34" s="33">
        <v>11.09</v>
      </c>
    </row>
    <row r="35" spans="1:256" x14ac:dyDescent="0.35">
      <c r="A35" s="31">
        <v>2350</v>
      </c>
      <c r="B35" s="337" t="s">
        <v>125</v>
      </c>
      <c r="C35" s="343">
        <f>[6]pašizmaksa!E73</f>
        <v>6.9309999999999992</v>
      </c>
      <c r="D35" s="33">
        <v>34.64</v>
      </c>
    </row>
    <row r="36" spans="1:256" ht="15.75" customHeight="1" x14ac:dyDescent="0.35">
      <c r="A36" s="334"/>
      <c r="B36" s="79" t="s">
        <v>8</v>
      </c>
      <c r="C36" s="336" t="e">
        <f>SUM(C26:C35)</f>
        <v>#REF!</v>
      </c>
      <c r="D36" s="23">
        <f>SUM(D26:D35)</f>
        <v>227.82999999999998</v>
      </c>
    </row>
    <row r="37" spans="1:256" x14ac:dyDescent="0.35">
      <c r="A37" s="334"/>
      <c r="B37" s="79" t="s">
        <v>29</v>
      </c>
      <c r="C37" s="336" t="e">
        <f>C24+C36</f>
        <v>#REF!</v>
      </c>
      <c r="D37" s="37">
        <f>D36+D24</f>
        <v>1406.95</v>
      </c>
    </row>
    <row r="38" spans="1:256" ht="15.75" customHeight="1" x14ac:dyDescent="0.35">
      <c r="A38" s="15"/>
      <c r="B38" s="25"/>
      <c r="C38" s="25"/>
      <c r="D38" s="44"/>
    </row>
    <row r="39" spans="1:256" ht="15.75" customHeight="1" x14ac:dyDescent="0.35">
      <c r="A39" s="417" t="s">
        <v>106</v>
      </c>
      <c r="B39" s="417"/>
      <c r="C39" s="143"/>
      <c r="D39" s="339">
        <v>5</v>
      </c>
    </row>
    <row r="40" spans="1:256" ht="15.75" customHeight="1" x14ac:dyDescent="0.3">
      <c r="A40" s="418" t="s">
        <v>107</v>
      </c>
      <c r="B40" s="418"/>
      <c r="C40" s="345"/>
      <c r="D40" s="137">
        <f>D37/D39</f>
        <v>281.39</v>
      </c>
    </row>
    <row r="41" spans="1:256" ht="15.75" customHeight="1" x14ac:dyDescent="0.35">
      <c r="A41" s="283"/>
      <c r="B41" s="42"/>
      <c r="C41" s="340"/>
      <c r="D41" s="26"/>
    </row>
    <row r="42" spans="1:256" ht="15.75" customHeight="1" x14ac:dyDescent="0.35">
      <c r="A42" s="417" t="s">
        <v>33</v>
      </c>
      <c r="B42" s="417"/>
      <c r="C42" s="143"/>
      <c r="D42" s="27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ht="15.75" customHeight="1" x14ac:dyDescent="0.35">
      <c r="A43" s="417" t="s">
        <v>64</v>
      </c>
      <c r="B43" s="417"/>
      <c r="C43" s="143"/>
      <c r="D43" s="27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ht="15.75" customHeight="1" x14ac:dyDescent="0.35">
      <c r="A44" s="28"/>
      <c r="B44" s="28"/>
      <c r="C44" s="28"/>
      <c r="D44" s="28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ht="15.75" customHeight="1" x14ac:dyDescent="0.35">
      <c r="A45" s="28" t="s">
        <v>34</v>
      </c>
      <c r="B45" s="28"/>
      <c r="C45" s="28"/>
      <c r="D45" s="81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ht="15.75" customHeight="1" x14ac:dyDescent="0.35">
      <c r="A46" s="28"/>
      <c r="B46" s="28"/>
      <c r="C46" s="28"/>
      <c r="D46" s="28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x14ac:dyDescent="0.35">
      <c r="A47" s="28" t="s">
        <v>177</v>
      </c>
      <c r="B47" s="29"/>
      <c r="C47" s="29"/>
      <c r="D47" s="28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x14ac:dyDescent="0.35">
      <c r="A48" s="28"/>
      <c r="B48" s="30"/>
      <c r="C48" s="30"/>
      <c r="D48" s="28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</row>
    <row r="49" spans="2:3" ht="15.75" customHeight="1" x14ac:dyDescent="0.35">
      <c r="B49" s="14"/>
      <c r="C49" s="14"/>
    </row>
    <row r="51" spans="2:3" ht="15.75" customHeight="1" x14ac:dyDescent="0.35"/>
    <row r="52" spans="2:3" ht="15.75" customHeight="1" x14ac:dyDescent="0.35"/>
    <row r="53" spans="2:3" ht="17.25" customHeight="1" x14ac:dyDescent="0.35"/>
    <row r="54" spans="2:3" ht="15.75" customHeight="1" x14ac:dyDescent="0.35"/>
    <row r="55" spans="2:3" ht="14.25" customHeight="1" x14ac:dyDescent="0.35"/>
    <row r="57" spans="2:3" ht="15.75" customHeight="1" x14ac:dyDescent="0.35"/>
    <row r="58" spans="2:3" ht="15.75" customHeight="1" x14ac:dyDescent="0.35"/>
    <row r="60" spans="2:3" ht="15.75" customHeight="1" x14ac:dyDescent="0.35"/>
    <row r="61" spans="2:3" ht="15.75" customHeight="1" x14ac:dyDescent="0.35"/>
    <row r="62" spans="2:3" ht="15.75" customHeight="1" x14ac:dyDescent="0.35"/>
    <row r="63" spans="2:3" ht="15.75" customHeight="1" x14ac:dyDescent="0.35"/>
    <row r="67" spans="1:256" ht="15" customHeight="1" x14ac:dyDescent="0.35"/>
    <row r="68" spans="1:256" ht="15" customHeight="1" x14ac:dyDescent="0.35"/>
    <row r="69" spans="1:256" ht="15" customHeight="1" x14ac:dyDescent="0.35"/>
    <row r="70" spans="1:256" customFormat="1" ht="15" customHeight="1" x14ac:dyDescent="0.35">
      <c r="A70" s="13"/>
      <c r="B70" s="13"/>
      <c r="C70" s="13"/>
      <c r="D70" s="1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</row>
    <row r="71" spans="1:256" customFormat="1" ht="15" customHeight="1" x14ac:dyDescent="0.35">
      <c r="A71" s="13"/>
      <c r="B71" s="13"/>
      <c r="C71" s="13"/>
      <c r="D71" s="1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</row>
    <row r="72" spans="1:256" customFormat="1" ht="15" customHeight="1" x14ac:dyDescent="0.35">
      <c r="A72" s="13"/>
      <c r="B72" s="13"/>
      <c r="C72" s="13"/>
      <c r="D72" s="1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</row>
    <row r="73" spans="1:256" customFormat="1" ht="15" customHeight="1" x14ac:dyDescent="0.35">
      <c r="A73" s="13"/>
      <c r="B73" s="13"/>
      <c r="C73" s="13"/>
      <c r="D73" s="1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</row>
    <row r="74" spans="1:256" customFormat="1" ht="15" customHeight="1" x14ac:dyDescent="0.35">
      <c r="A74" s="13"/>
      <c r="B74" s="13"/>
      <c r="C74" s="13"/>
      <c r="D74" s="1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</row>
    <row r="75" spans="1:256" customFormat="1" ht="15" customHeight="1" x14ac:dyDescent="0.35">
      <c r="A75" s="13"/>
      <c r="B75" s="13"/>
      <c r="C75" s="13"/>
      <c r="D75" s="1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</row>
    <row r="76" spans="1:256" s="2" customFormat="1" ht="15" customHeight="1" x14ac:dyDescent="0.35">
      <c r="A76" s="13"/>
      <c r="B76" s="13"/>
      <c r="C76" s="13"/>
      <c r="D76" s="1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</row>
  </sheetData>
  <mergeCells count="8">
    <mergeCell ref="A42:B42"/>
    <mergeCell ref="A43:B43"/>
    <mergeCell ref="A7:D7"/>
    <mergeCell ref="A9:B9"/>
    <mergeCell ref="A10:B10"/>
    <mergeCell ref="B12:D12"/>
    <mergeCell ref="A39:B39"/>
    <mergeCell ref="A40:B40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IV79"/>
  <sheetViews>
    <sheetView workbookViewId="0">
      <selection sqref="A1:IV65536"/>
    </sheetView>
  </sheetViews>
  <sheetFormatPr defaultColWidth="9.1796875" defaultRowHeight="15.5" x14ac:dyDescent="0.35"/>
  <cols>
    <col min="1" max="1" width="12.26953125" style="13" customWidth="1"/>
    <col min="2" max="2" width="93.54296875" style="13" customWidth="1"/>
    <col min="3" max="3" width="8.54296875" style="13" hidden="1" customWidth="1"/>
    <col min="4" max="4" width="26.7265625" style="13" customWidth="1"/>
    <col min="5" max="16384" width="9.1796875" style="4"/>
  </cols>
  <sheetData>
    <row r="1" spans="1:4" x14ac:dyDescent="0.35">
      <c r="B1" s="15"/>
      <c r="C1" s="15"/>
      <c r="D1" s="15" t="s">
        <v>10</v>
      </c>
    </row>
    <row r="2" spans="1:4" x14ac:dyDescent="0.35">
      <c r="B2" s="311"/>
      <c r="C2" s="311"/>
      <c r="D2" s="15" t="s">
        <v>32</v>
      </c>
    </row>
    <row r="3" spans="1:4" x14ac:dyDescent="0.35">
      <c r="B3" s="15"/>
      <c r="C3" s="15"/>
      <c r="D3" s="15" t="s">
        <v>66</v>
      </c>
    </row>
    <row r="4" spans="1:4" x14ac:dyDescent="0.35">
      <c r="B4" s="15"/>
      <c r="C4" s="15"/>
      <c r="D4" s="15"/>
    </row>
    <row r="5" spans="1:4" x14ac:dyDescent="0.35">
      <c r="B5" s="335"/>
      <c r="C5" s="335"/>
      <c r="D5" s="15" t="s">
        <v>279</v>
      </c>
    </row>
    <row r="6" spans="1:4" ht="15.75" customHeight="1" x14ac:dyDescent="0.35">
      <c r="B6" s="15"/>
      <c r="C6" s="15"/>
      <c r="D6" s="25"/>
    </row>
    <row r="7" spans="1:4" ht="15.75" customHeight="1" x14ac:dyDescent="0.3">
      <c r="A7" s="416" t="s">
        <v>9</v>
      </c>
      <c r="B7" s="416"/>
      <c r="C7" s="416"/>
      <c r="D7" s="416"/>
    </row>
    <row r="8" spans="1:4" ht="15.75" customHeight="1" x14ac:dyDescent="0.35">
      <c r="B8" s="18"/>
      <c r="C8" s="18"/>
    </row>
    <row r="9" spans="1:4" ht="15.75" customHeight="1" x14ac:dyDescent="0.35">
      <c r="A9" s="419" t="s">
        <v>1</v>
      </c>
      <c r="B9" s="419"/>
      <c r="C9" s="11"/>
    </row>
    <row r="10" spans="1:4" ht="15.75" customHeight="1" x14ac:dyDescent="0.35">
      <c r="A10" s="419" t="s">
        <v>0</v>
      </c>
      <c r="B10" s="419"/>
      <c r="C10" s="11"/>
    </row>
    <row r="11" spans="1:4" ht="15.75" customHeight="1" x14ac:dyDescent="0.35">
      <c r="A11" s="11"/>
      <c r="B11" s="11" t="s">
        <v>280</v>
      </c>
      <c r="C11" s="11"/>
    </row>
    <row r="12" spans="1:4" ht="15.75" customHeight="1" x14ac:dyDescent="0.3">
      <c r="A12" s="11"/>
      <c r="B12" s="419" t="s">
        <v>288</v>
      </c>
      <c r="C12" s="419"/>
      <c r="D12" s="419"/>
    </row>
    <row r="13" spans="1:4" ht="17.25" customHeight="1" x14ac:dyDescent="0.35">
      <c r="A13" s="11" t="s">
        <v>2</v>
      </c>
      <c r="B13" s="11" t="s">
        <v>169</v>
      </c>
      <c r="C13" s="11"/>
    </row>
    <row r="14" spans="1:4" x14ac:dyDescent="0.35">
      <c r="B14" s="136"/>
      <c r="C14" s="136"/>
    </row>
    <row r="15" spans="1:4" ht="62" x14ac:dyDescent="0.3">
      <c r="A15" s="51" t="s">
        <v>3</v>
      </c>
      <c r="B15" s="51" t="s">
        <v>4</v>
      </c>
      <c r="C15" s="51"/>
      <c r="D15" s="51" t="s">
        <v>63</v>
      </c>
    </row>
    <row r="16" spans="1:4" ht="15" x14ac:dyDescent="0.3">
      <c r="A16" s="20">
        <v>1</v>
      </c>
      <c r="B16" s="21">
        <v>2</v>
      </c>
      <c r="C16" s="21"/>
      <c r="D16" s="21">
        <v>3</v>
      </c>
    </row>
    <row r="17" spans="1:4" ht="15.75" customHeight="1" x14ac:dyDescent="0.35">
      <c r="A17" s="20"/>
      <c r="B17" s="22" t="s">
        <v>5</v>
      </c>
      <c r="C17" s="22"/>
      <c r="D17" s="61"/>
    </row>
    <row r="18" spans="1:4" ht="15.75" customHeight="1" x14ac:dyDescent="0.35">
      <c r="A18" s="31">
        <v>1100</v>
      </c>
      <c r="B18" s="288" t="s">
        <v>132</v>
      </c>
      <c r="C18" s="342">
        <f>[6]pašizmaksa!E32/1.2359</f>
        <v>0.20238095238095238</v>
      </c>
      <c r="D18" s="33">
        <v>44.53</v>
      </c>
    </row>
    <row r="19" spans="1:4" x14ac:dyDescent="0.35">
      <c r="A19" s="31">
        <v>1200</v>
      </c>
      <c r="B19" s="62" t="s">
        <v>133</v>
      </c>
      <c r="C19" s="342">
        <f>C18*0.2359</f>
        <v>4.7741666666666668E-2</v>
      </c>
      <c r="D19" s="33">
        <v>10.5</v>
      </c>
    </row>
    <row r="20" spans="1:4" x14ac:dyDescent="0.35">
      <c r="A20" s="31">
        <v>2242</v>
      </c>
      <c r="B20" s="32" t="s">
        <v>145</v>
      </c>
      <c r="C20" s="342">
        <f>[6]pašizmaksa!E42+[6]pašizmaksa!E43+[6]pašizmaksa!E44</f>
        <v>8.0277777777777778E-3</v>
      </c>
      <c r="D20" s="33">
        <v>8.99</v>
      </c>
    </row>
    <row r="21" spans="1:4" ht="15.75" customHeight="1" x14ac:dyDescent="0.35">
      <c r="A21" s="31">
        <v>2322</v>
      </c>
      <c r="B21" s="62" t="s">
        <v>153</v>
      </c>
      <c r="C21" s="342">
        <f>[6]pašizmaksa!E34</f>
        <v>0.20710000000000001</v>
      </c>
      <c r="D21" s="33">
        <v>41.42</v>
      </c>
    </row>
    <row r="22" spans="1:4" x14ac:dyDescent="0.35">
      <c r="A22" s="31">
        <v>5231</v>
      </c>
      <c r="B22" s="62" t="s">
        <v>285</v>
      </c>
      <c r="C22" s="342">
        <f>[6]pašizmaksa!E33</f>
        <v>6.6207797619047631E-2</v>
      </c>
      <c r="D22" s="33">
        <v>13.24</v>
      </c>
    </row>
    <row r="23" spans="1:4" ht="15.75" customHeight="1" x14ac:dyDescent="0.3">
      <c r="A23" s="31"/>
      <c r="B23" s="78" t="s">
        <v>6</v>
      </c>
      <c r="C23" s="23">
        <f>SUM(C18:C22)</f>
        <v>0.53145819444444453</v>
      </c>
      <c r="D23" s="23">
        <f>SUM(D18:D22)</f>
        <v>118.67999999999999</v>
      </c>
    </row>
    <row r="24" spans="1:4" ht="15.75" customHeight="1" x14ac:dyDescent="0.35">
      <c r="A24" s="38"/>
      <c r="B24" s="288" t="s">
        <v>7</v>
      </c>
      <c r="C24" s="330"/>
      <c r="D24" s="33"/>
    </row>
    <row r="25" spans="1:4" ht="15.75" customHeight="1" x14ac:dyDescent="0.35">
      <c r="A25" s="31">
        <v>1100</v>
      </c>
      <c r="B25" s="31" t="s">
        <v>132</v>
      </c>
      <c r="C25" s="342">
        <f>[6]pašizmaksa!E37/1.2359</f>
        <v>8.6746031746031724E-2</v>
      </c>
      <c r="D25" s="33">
        <v>20.399999999999999</v>
      </c>
    </row>
    <row r="26" spans="1:4" ht="15.75" customHeight="1" x14ac:dyDescent="0.35">
      <c r="A26" s="31">
        <v>1200</v>
      </c>
      <c r="B26" s="32" t="s">
        <v>286</v>
      </c>
      <c r="C26" s="342">
        <f>C25*0.2359</f>
        <v>2.0463388888888885E-2</v>
      </c>
      <c r="D26" s="33">
        <v>4.8099999999999996</v>
      </c>
    </row>
    <row r="27" spans="1:4" ht="15.75" customHeight="1" x14ac:dyDescent="0.35">
      <c r="A27" s="34">
        <v>2210</v>
      </c>
      <c r="B27" s="32" t="s">
        <v>271</v>
      </c>
      <c r="C27" s="342"/>
      <c r="D27" s="33">
        <v>0.5</v>
      </c>
    </row>
    <row r="28" spans="1:4" ht="15.75" hidden="1" customHeight="1" x14ac:dyDescent="0.35">
      <c r="A28" s="31">
        <v>2222</v>
      </c>
      <c r="B28" s="32" t="s">
        <v>289</v>
      </c>
      <c r="C28" s="342">
        <f>[6]pašizmaksa!E38</f>
        <v>3.2666666666666663E-2</v>
      </c>
      <c r="D28" s="33">
        <v>0</v>
      </c>
    </row>
    <row r="29" spans="1:4" x14ac:dyDescent="0.35">
      <c r="A29" s="31">
        <v>2223</v>
      </c>
      <c r="B29" s="32" t="s">
        <v>27</v>
      </c>
      <c r="C29" s="342">
        <f>[6]pašizmaksa!E39</f>
        <v>7.0714285714285705E-3</v>
      </c>
      <c r="D29" s="33">
        <v>1.42</v>
      </c>
    </row>
    <row r="30" spans="1:4" x14ac:dyDescent="0.35">
      <c r="A30" s="31">
        <v>2244</v>
      </c>
      <c r="B30" s="151" t="s">
        <v>281</v>
      </c>
      <c r="C30" s="342">
        <f>[6]pašizmaksa!E41</f>
        <v>9.4285714285714285E-3</v>
      </c>
      <c r="D30" s="33">
        <v>1.89</v>
      </c>
    </row>
    <row r="31" spans="1:4" x14ac:dyDescent="0.35">
      <c r="A31" s="31">
        <v>2311</v>
      </c>
      <c r="B31" s="32" t="s">
        <v>151</v>
      </c>
      <c r="C31" s="342">
        <f>[6]pašizmaksa!E45</f>
        <v>2E-3</v>
      </c>
      <c r="D31" s="33">
        <v>0.4</v>
      </c>
    </row>
    <row r="32" spans="1:4" x14ac:dyDescent="0.35">
      <c r="A32" s="31">
        <v>2312</v>
      </c>
      <c r="B32" s="32" t="s">
        <v>116</v>
      </c>
      <c r="C32" s="342">
        <f>[6]pašizmaksa!E48+[6]pašizmaksa!E49+[6]pašizmaksa!E50</f>
        <v>6.9823412698412704E-4</v>
      </c>
      <c r="D32" s="33">
        <v>0.14000000000000001</v>
      </c>
    </row>
    <row r="33" spans="1:256" x14ac:dyDescent="0.35">
      <c r="A33" s="31">
        <v>2321</v>
      </c>
      <c r="B33" s="32" t="s">
        <v>139</v>
      </c>
      <c r="C33" s="342">
        <f>[6]pašizmaksa!E40</f>
        <v>6.7857142857142864E-3</v>
      </c>
      <c r="D33" s="33">
        <v>1.36</v>
      </c>
    </row>
    <row r="34" spans="1:256" x14ac:dyDescent="0.35">
      <c r="A34" s="31">
        <v>2350</v>
      </c>
      <c r="B34" s="13" t="s">
        <v>125</v>
      </c>
      <c r="C34" s="342">
        <f>[6]pašizmaksa!E46</f>
        <v>2E-3</v>
      </c>
      <c r="D34" s="33">
        <v>0.4</v>
      </c>
    </row>
    <row r="35" spans="1:256" x14ac:dyDescent="0.35">
      <c r="A35" s="334"/>
      <c r="B35" s="79" t="s">
        <v>8</v>
      </c>
      <c r="C35" s="23">
        <f>SUM(C25:C34)</f>
        <v>0.1678600357142857</v>
      </c>
      <c r="D35" s="23">
        <f>SUM(D25:D34)</f>
        <v>31.319999999999993</v>
      </c>
    </row>
    <row r="36" spans="1:256" ht="15.75" customHeight="1" x14ac:dyDescent="0.35">
      <c r="A36" s="334"/>
      <c r="B36" s="79" t="s">
        <v>29</v>
      </c>
      <c r="C36" s="23">
        <f>C23+C35</f>
        <v>0.69931823015873018</v>
      </c>
      <c r="D36" s="37">
        <f>D35+D23</f>
        <v>150</v>
      </c>
    </row>
    <row r="37" spans="1:256" ht="15.75" customHeight="1" x14ac:dyDescent="0.35">
      <c r="A37" s="15"/>
      <c r="B37" s="25"/>
      <c r="C37" s="25"/>
      <c r="D37" s="44"/>
    </row>
    <row r="38" spans="1:256" ht="15.75" customHeight="1" x14ac:dyDescent="0.35">
      <c r="A38" s="417" t="s">
        <v>106</v>
      </c>
      <c r="B38" s="417"/>
      <c r="C38" s="143"/>
      <c r="D38" s="339">
        <v>200</v>
      </c>
    </row>
    <row r="39" spans="1:256" ht="15.75" customHeight="1" x14ac:dyDescent="0.3">
      <c r="A39" s="418" t="s">
        <v>107</v>
      </c>
      <c r="B39" s="418"/>
      <c r="C39" s="305"/>
      <c r="D39" s="137">
        <f>D36/D38</f>
        <v>0.75</v>
      </c>
    </row>
    <row r="40" spans="1:256" ht="15.75" customHeight="1" x14ac:dyDescent="0.35">
      <c r="A40" s="283"/>
      <c r="B40" s="42"/>
      <c r="C40" s="340"/>
      <c r="D40" s="26"/>
    </row>
    <row r="41" spans="1:256" ht="15.75" customHeight="1" x14ac:dyDescent="0.35">
      <c r="A41" s="417" t="s">
        <v>33</v>
      </c>
      <c r="B41" s="417"/>
      <c r="C41" s="143"/>
      <c r="D41" s="258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  <c r="IV41" s="7"/>
    </row>
    <row r="42" spans="1:256" ht="15.75" customHeight="1" x14ac:dyDescent="0.35">
      <c r="A42" s="417" t="s">
        <v>64</v>
      </c>
      <c r="B42" s="417"/>
      <c r="C42" s="143"/>
      <c r="D42" s="258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</row>
    <row r="43" spans="1:256" x14ac:dyDescent="0.35">
      <c r="A43" s="28"/>
      <c r="B43" s="28"/>
      <c r="C43" s="28"/>
      <c r="D43" s="28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</row>
    <row r="44" spans="1:256" x14ac:dyDescent="0.35">
      <c r="A44" s="28" t="s">
        <v>34</v>
      </c>
      <c r="B44" s="28"/>
      <c r="C44" s="28"/>
      <c r="D44" s="28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</row>
    <row r="45" spans="1:256" x14ac:dyDescent="0.35">
      <c r="A45" s="28"/>
      <c r="B45" s="28"/>
      <c r="C45" s="28"/>
      <c r="D45" s="81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</row>
    <row r="46" spans="1:256" x14ac:dyDescent="0.35">
      <c r="A46" s="28" t="s">
        <v>177</v>
      </c>
      <c r="B46" s="29"/>
      <c r="C46" s="29"/>
      <c r="D46" s="28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</row>
    <row r="47" spans="1:256" x14ac:dyDescent="0.35">
      <c r="A47" s="28"/>
      <c r="B47" s="30"/>
      <c r="C47" s="30"/>
      <c r="D47" s="28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</row>
    <row r="48" spans="1:256" x14ac:dyDescent="0.35">
      <c r="B48" s="14"/>
      <c r="C48" s="14"/>
    </row>
    <row r="68" spans="1:256" ht="15.75" customHeight="1" x14ac:dyDescent="0.35"/>
    <row r="69" spans="1:256" ht="15.75" customHeight="1" x14ac:dyDescent="0.35"/>
    <row r="70" spans="1:256" ht="15.75" customHeight="1" x14ac:dyDescent="0.35"/>
    <row r="71" spans="1:256" s="7" customFormat="1" ht="15.75" customHeight="1" x14ac:dyDescent="0.35">
      <c r="A71" s="13"/>
      <c r="B71" s="13"/>
      <c r="C71" s="13"/>
      <c r="D71" s="1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</row>
    <row r="72" spans="1:256" s="7" customFormat="1" ht="15.75" customHeight="1" x14ac:dyDescent="0.35">
      <c r="A72" s="13"/>
      <c r="B72" s="13"/>
      <c r="C72" s="13"/>
      <c r="D72" s="1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</row>
    <row r="73" spans="1:256" s="7" customFormat="1" ht="15.75" customHeight="1" x14ac:dyDescent="0.35">
      <c r="A73" s="13"/>
      <c r="B73" s="13"/>
      <c r="C73" s="13"/>
      <c r="D73" s="1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</row>
    <row r="74" spans="1:256" s="7" customFormat="1" ht="15.75" customHeight="1" x14ac:dyDescent="0.35">
      <c r="A74" s="13"/>
      <c r="B74" s="13"/>
      <c r="C74" s="13"/>
      <c r="D74" s="1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</row>
    <row r="75" spans="1:256" s="7" customFormat="1" ht="15.75" customHeight="1" x14ac:dyDescent="0.35">
      <c r="A75" s="13"/>
      <c r="B75" s="13"/>
      <c r="C75" s="13"/>
      <c r="D75" s="1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</row>
    <row r="76" spans="1:256" s="7" customFormat="1" ht="15.75" customHeight="1" x14ac:dyDescent="0.35">
      <c r="A76" s="13"/>
      <c r="B76" s="13"/>
      <c r="C76" s="13"/>
      <c r="D76" s="1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</row>
    <row r="77" spans="1:256" s="2" customFormat="1" ht="15.75" customHeight="1" x14ac:dyDescent="0.35">
      <c r="A77" s="13"/>
      <c r="B77" s="13"/>
      <c r="C77" s="13"/>
      <c r="D77" s="1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</row>
    <row r="78" spans="1:256" ht="15.75" customHeight="1" x14ac:dyDescent="0.35"/>
    <row r="79" spans="1:256" ht="15.75" customHeight="1" x14ac:dyDescent="0.35"/>
  </sheetData>
  <mergeCells count="8">
    <mergeCell ref="A41:B41"/>
    <mergeCell ref="A42:B42"/>
    <mergeCell ref="A7:D7"/>
    <mergeCell ref="A9:B9"/>
    <mergeCell ref="A10:B10"/>
    <mergeCell ref="B12:D12"/>
    <mergeCell ref="A38:B38"/>
    <mergeCell ref="A39:B39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IP76"/>
  <sheetViews>
    <sheetView workbookViewId="0">
      <selection activeCell="H25" sqref="H25"/>
    </sheetView>
  </sheetViews>
  <sheetFormatPr defaultColWidth="9.1796875" defaultRowHeight="15.5" x14ac:dyDescent="0.35"/>
  <cols>
    <col min="1" max="1" width="12.26953125" style="13" customWidth="1"/>
    <col min="2" max="2" width="86.7265625" style="13" customWidth="1"/>
    <col min="3" max="3" width="9.453125" style="13" hidden="1" customWidth="1"/>
    <col min="4" max="4" width="24.54296875" style="13" hidden="1" customWidth="1"/>
    <col min="5" max="5" width="24.54296875" style="13" customWidth="1"/>
    <col min="6" max="16384" width="9.1796875" style="4"/>
  </cols>
  <sheetData>
    <row r="1" spans="1:5" x14ac:dyDescent="0.35">
      <c r="B1" s="15"/>
      <c r="C1" s="15"/>
      <c r="D1" s="15" t="s">
        <v>10</v>
      </c>
      <c r="E1" s="15" t="s">
        <v>10</v>
      </c>
    </row>
    <row r="2" spans="1:5" x14ac:dyDescent="0.35">
      <c r="B2" s="311"/>
      <c r="C2" s="311"/>
      <c r="D2" s="15" t="s">
        <v>32</v>
      </c>
      <c r="E2" s="15" t="s">
        <v>32</v>
      </c>
    </row>
    <row r="3" spans="1:5" x14ac:dyDescent="0.35">
      <c r="B3" s="15"/>
      <c r="C3" s="15"/>
      <c r="D3" s="15" t="s">
        <v>66</v>
      </c>
      <c r="E3" s="15" t="s">
        <v>66</v>
      </c>
    </row>
    <row r="4" spans="1:5" x14ac:dyDescent="0.35">
      <c r="B4" s="15"/>
      <c r="C4" s="15"/>
      <c r="D4" s="15"/>
      <c r="E4" s="15"/>
    </row>
    <row r="5" spans="1:5" x14ac:dyDescent="0.35">
      <c r="B5" s="335"/>
      <c r="C5" s="335"/>
      <c r="D5" s="15" t="s">
        <v>283</v>
      </c>
      <c r="E5" s="15" t="s">
        <v>279</v>
      </c>
    </row>
    <row r="6" spans="1:5" ht="15.75" customHeight="1" x14ac:dyDescent="0.35">
      <c r="B6" s="15"/>
      <c r="C6" s="15"/>
      <c r="D6" s="25"/>
      <c r="E6" s="25"/>
    </row>
    <row r="7" spans="1:5" ht="15" x14ac:dyDescent="0.3">
      <c r="A7" s="416" t="s">
        <v>9</v>
      </c>
      <c r="B7" s="416"/>
      <c r="C7" s="416"/>
      <c r="D7" s="416"/>
      <c r="E7" s="70"/>
    </row>
    <row r="8" spans="1:5" x14ac:dyDescent="0.35">
      <c r="B8" s="18"/>
      <c r="C8" s="18"/>
    </row>
    <row r="9" spans="1:5" ht="15.75" customHeight="1" x14ac:dyDescent="0.35">
      <c r="A9" s="419" t="s">
        <v>1</v>
      </c>
      <c r="B9" s="419"/>
      <c r="C9" s="11"/>
    </row>
    <row r="10" spans="1:5" ht="15.75" customHeight="1" x14ac:dyDescent="0.35">
      <c r="A10" s="419" t="s">
        <v>0</v>
      </c>
      <c r="B10" s="419"/>
      <c r="C10" s="11"/>
    </row>
    <row r="11" spans="1:5" x14ac:dyDescent="0.35">
      <c r="A11" s="11"/>
      <c r="B11" s="11" t="s">
        <v>280</v>
      </c>
      <c r="C11" s="11"/>
    </row>
    <row r="12" spans="1:5" x14ac:dyDescent="0.3">
      <c r="A12" s="11"/>
      <c r="B12" s="455" t="s">
        <v>290</v>
      </c>
      <c r="C12" s="455"/>
      <c r="D12" s="455"/>
      <c r="E12" s="455"/>
    </row>
    <row r="13" spans="1:5" x14ac:dyDescent="0.35">
      <c r="A13" s="11" t="s">
        <v>2</v>
      </c>
      <c r="B13" s="11" t="s">
        <v>169</v>
      </c>
      <c r="C13" s="11"/>
    </row>
    <row r="14" spans="1:5" ht="15.75" hidden="1" customHeight="1" x14ac:dyDescent="0.35">
      <c r="B14" s="136"/>
      <c r="C14" s="136"/>
    </row>
    <row r="15" spans="1:5" ht="64.5" customHeight="1" x14ac:dyDescent="0.3">
      <c r="A15" s="51" t="s">
        <v>3</v>
      </c>
      <c r="B15" s="51" t="s">
        <v>4</v>
      </c>
      <c r="C15" s="51"/>
      <c r="D15" s="51" t="s">
        <v>63</v>
      </c>
      <c r="E15" s="51" t="s">
        <v>63</v>
      </c>
    </row>
    <row r="16" spans="1:5" ht="15" x14ac:dyDescent="0.3">
      <c r="A16" s="20">
        <v>1</v>
      </c>
      <c r="B16" s="21">
        <v>2</v>
      </c>
      <c r="C16" s="21"/>
      <c r="D16" s="21">
        <v>3</v>
      </c>
      <c r="E16" s="21">
        <v>3</v>
      </c>
    </row>
    <row r="17" spans="1:5" x14ac:dyDescent="0.35">
      <c r="A17" s="20"/>
      <c r="B17" s="22" t="s">
        <v>5</v>
      </c>
      <c r="C17" s="22"/>
      <c r="D17" s="61"/>
      <c r="E17" s="61"/>
    </row>
    <row r="18" spans="1:5" x14ac:dyDescent="0.35">
      <c r="A18" s="31">
        <v>1100</v>
      </c>
      <c r="B18" s="288" t="s">
        <v>132</v>
      </c>
      <c r="C18" s="341"/>
      <c r="D18" s="33">
        <v>152.24</v>
      </c>
      <c r="E18" s="33">
        <v>41.87</v>
      </c>
    </row>
    <row r="19" spans="1:5" ht="15.75" customHeight="1" x14ac:dyDescent="0.35">
      <c r="A19" s="31">
        <v>1200</v>
      </c>
      <c r="B19" s="62" t="s">
        <v>133</v>
      </c>
      <c r="C19" s="342"/>
      <c r="D19" s="33">
        <v>35.909999999999997</v>
      </c>
      <c r="E19" s="33">
        <v>9.8800000000000008</v>
      </c>
    </row>
    <row r="20" spans="1:5" ht="15.75" customHeight="1" x14ac:dyDescent="0.35">
      <c r="A20" s="31">
        <v>2222</v>
      </c>
      <c r="B20" s="62" t="s">
        <v>135</v>
      </c>
      <c r="C20" s="342"/>
      <c r="D20" s="33">
        <v>23.52</v>
      </c>
      <c r="E20" s="33">
        <f>D20/20*5</f>
        <v>5.88</v>
      </c>
    </row>
    <row r="21" spans="1:5" ht="15.75" customHeight="1" x14ac:dyDescent="0.35">
      <c r="A21" s="31">
        <v>2242</v>
      </c>
      <c r="B21" s="32" t="s">
        <v>145</v>
      </c>
      <c r="C21" s="343"/>
      <c r="D21" s="33">
        <v>44.96</v>
      </c>
      <c r="E21" s="33">
        <f>D21/20*5</f>
        <v>11.240000000000002</v>
      </c>
    </row>
    <row r="22" spans="1:5" ht="15.75" customHeight="1" x14ac:dyDescent="0.35">
      <c r="A22" s="31">
        <v>2322</v>
      </c>
      <c r="B22" s="62" t="s">
        <v>153</v>
      </c>
      <c r="C22" s="342"/>
      <c r="D22" s="33">
        <v>201.4</v>
      </c>
      <c r="E22" s="33">
        <f>D22/20*5</f>
        <v>50.35</v>
      </c>
    </row>
    <row r="23" spans="1:5" x14ac:dyDescent="0.35">
      <c r="A23" s="31">
        <v>5231</v>
      </c>
      <c r="B23" s="62" t="s">
        <v>285</v>
      </c>
      <c r="C23" s="342">
        <f>15344*0.1/12/168*2</f>
        <v>1.5222222222222224</v>
      </c>
      <c r="D23" s="33">
        <v>30.44</v>
      </c>
      <c r="E23" s="33">
        <f>D23/20*5</f>
        <v>7.61</v>
      </c>
    </row>
    <row r="24" spans="1:5" ht="15.75" customHeight="1" x14ac:dyDescent="0.3">
      <c r="A24" s="31"/>
      <c r="B24" s="78" t="s">
        <v>6</v>
      </c>
      <c r="C24" s="336">
        <f>SUM(C18:C23)</f>
        <v>1.5222222222222224</v>
      </c>
      <c r="D24" s="23">
        <f>SUM(D18:D23)</f>
        <v>488.46999999999997</v>
      </c>
      <c r="E24" s="23">
        <f>SUM(E18:E23)</f>
        <v>126.83</v>
      </c>
    </row>
    <row r="25" spans="1:5" x14ac:dyDescent="0.35">
      <c r="A25" s="38"/>
      <c r="B25" s="288" t="s">
        <v>7</v>
      </c>
      <c r="C25" s="330"/>
      <c r="D25" s="33"/>
      <c r="E25" s="33"/>
    </row>
    <row r="26" spans="1:5" x14ac:dyDescent="0.35">
      <c r="A26" s="31">
        <v>1100</v>
      </c>
      <c r="B26" s="31" t="s">
        <v>132</v>
      </c>
      <c r="C26" s="344">
        <v>0.52066999999999997</v>
      </c>
      <c r="D26" s="33">
        <v>63.52</v>
      </c>
      <c r="E26" s="33">
        <v>17.47</v>
      </c>
    </row>
    <row r="27" spans="1:5" ht="15.75" customHeight="1" x14ac:dyDescent="0.35">
      <c r="A27" s="31">
        <v>1200</v>
      </c>
      <c r="B27" s="32" t="s">
        <v>286</v>
      </c>
      <c r="C27" s="343">
        <v>0.12282</v>
      </c>
      <c r="D27" s="33">
        <v>14.98</v>
      </c>
      <c r="E27" s="33">
        <v>4.12</v>
      </c>
    </row>
    <row r="28" spans="1:5" ht="15.75" customHeight="1" x14ac:dyDescent="0.35">
      <c r="A28" s="34">
        <v>2210</v>
      </c>
      <c r="B28" s="32" t="s">
        <v>271</v>
      </c>
      <c r="C28" s="343">
        <v>1.7330000000000002E-2</v>
      </c>
      <c r="D28" s="33">
        <v>2.11</v>
      </c>
      <c r="E28" s="33">
        <v>0.53</v>
      </c>
    </row>
    <row r="29" spans="1:5" ht="15.75" hidden="1" customHeight="1" x14ac:dyDescent="0.35">
      <c r="A29" s="31">
        <v>2222</v>
      </c>
      <c r="B29" s="32" t="s">
        <v>26</v>
      </c>
      <c r="C29" s="343"/>
      <c r="D29" s="33">
        <v>0</v>
      </c>
      <c r="E29" s="33">
        <f>D29/20*5</f>
        <v>0</v>
      </c>
    </row>
    <row r="30" spans="1:5" x14ac:dyDescent="0.35">
      <c r="A30" s="31">
        <v>2223</v>
      </c>
      <c r="B30" s="32" t="s">
        <v>27</v>
      </c>
      <c r="C30" s="343">
        <v>6.5030000000000004E-2</v>
      </c>
      <c r="D30" s="33">
        <v>7.93</v>
      </c>
      <c r="E30" s="33">
        <v>1.98</v>
      </c>
    </row>
    <row r="31" spans="1:5" ht="15.75" customHeight="1" x14ac:dyDescent="0.35">
      <c r="A31" s="31">
        <v>2244</v>
      </c>
      <c r="B31" s="151" t="s">
        <v>281</v>
      </c>
      <c r="C31" s="343">
        <v>4.4060000000000002E-2</v>
      </c>
      <c r="D31" s="33">
        <v>5.33</v>
      </c>
      <c r="E31" s="33">
        <v>1.33</v>
      </c>
    </row>
    <row r="32" spans="1:5" x14ac:dyDescent="0.35">
      <c r="A32" s="31">
        <v>2311</v>
      </c>
      <c r="B32" s="32" t="s">
        <v>151</v>
      </c>
      <c r="C32" s="343">
        <v>1.1679999999999999E-2</v>
      </c>
      <c r="D32" s="33">
        <v>1.42</v>
      </c>
      <c r="E32" s="33">
        <v>0.36</v>
      </c>
    </row>
    <row r="33" spans="1:250" x14ac:dyDescent="0.35">
      <c r="A33" s="31">
        <v>2312</v>
      </c>
      <c r="B33" s="32" t="s">
        <v>116</v>
      </c>
      <c r="C33" s="343">
        <v>4.7699999999999999E-3</v>
      </c>
      <c r="D33" s="33">
        <v>0.57999999999999996</v>
      </c>
      <c r="E33" s="33">
        <v>0.15</v>
      </c>
    </row>
    <row r="34" spans="1:250" ht="15.75" customHeight="1" x14ac:dyDescent="0.35">
      <c r="A34" s="31">
        <v>2321</v>
      </c>
      <c r="B34" s="32" t="s">
        <v>139</v>
      </c>
      <c r="C34" s="343">
        <v>5.1810000000000002E-2</v>
      </c>
      <c r="D34" s="33">
        <v>6.32</v>
      </c>
      <c r="E34" s="33">
        <v>1.58</v>
      </c>
    </row>
    <row r="35" spans="1:250" x14ac:dyDescent="0.35">
      <c r="A35" s="31">
        <v>2350</v>
      </c>
      <c r="B35" s="337" t="s">
        <v>125</v>
      </c>
      <c r="C35" s="343">
        <v>0.16183</v>
      </c>
      <c r="D35" s="33">
        <v>19.739999999999998</v>
      </c>
      <c r="E35" s="33">
        <v>4.9000000000000004</v>
      </c>
    </row>
    <row r="36" spans="1:250" ht="15.75" customHeight="1" x14ac:dyDescent="0.35">
      <c r="A36" s="334"/>
      <c r="B36" s="79" t="s">
        <v>8</v>
      </c>
      <c r="C36" s="336">
        <f>SUM(C26:C35)</f>
        <v>1</v>
      </c>
      <c r="D36" s="23">
        <f>SUM(D26:D35)</f>
        <v>121.92999999999999</v>
      </c>
      <c r="E36" s="23">
        <f>SUM(E26:E35)</f>
        <v>32.419999999999995</v>
      </c>
    </row>
    <row r="37" spans="1:250" x14ac:dyDescent="0.35">
      <c r="A37" s="334"/>
      <c r="B37" s="79" t="s">
        <v>29</v>
      </c>
      <c r="C37" s="336"/>
      <c r="D37" s="37">
        <f>D36+D24</f>
        <v>610.4</v>
      </c>
      <c r="E37" s="37">
        <f>E36+E24</f>
        <v>159.25</v>
      </c>
    </row>
    <row r="38" spans="1:250" ht="15.75" customHeight="1" x14ac:dyDescent="0.35">
      <c r="A38" s="15"/>
      <c r="B38" s="25"/>
      <c r="C38" s="25"/>
      <c r="D38" s="44"/>
      <c r="E38" s="44"/>
    </row>
    <row r="39" spans="1:250" ht="15.75" customHeight="1" x14ac:dyDescent="0.35">
      <c r="A39" s="417" t="s">
        <v>106</v>
      </c>
      <c r="B39" s="417"/>
      <c r="C39" s="143"/>
      <c r="D39" s="339">
        <v>20</v>
      </c>
      <c r="E39" s="339">
        <v>5</v>
      </c>
    </row>
    <row r="40" spans="1:250" ht="15.75" customHeight="1" x14ac:dyDescent="0.3">
      <c r="A40" s="418" t="s">
        <v>107</v>
      </c>
      <c r="B40" s="418"/>
      <c r="C40" s="345"/>
      <c r="D40" s="137">
        <f>D37/D39</f>
        <v>30.52</v>
      </c>
      <c r="E40" s="137">
        <f>E37/E39</f>
        <v>31.85</v>
      </c>
    </row>
    <row r="41" spans="1:250" ht="15.75" customHeight="1" x14ac:dyDescent="0.35">
      <c r="A41" s="283"/>
      <c r="B41" s="42"/>
      <c r="C41" s="340"/>
      <c r="D41" s="26"/>
      <c r="E41" s="26"/>
    </row>
    <row r="42" spans="1:250" ht="15.75" customHeight="1" x14ac:dyDescent="0.35">
      <c r="A42" s="417" t="s">
        <v>33</v>
      </c>
      <c r="B42" s="417"/>
      <c r="C42" s="143"/>
      <c r="D42" s="258"/>
      <c r="E42" s="27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</row>
    <row r="43" spans="1:250" ht="15.75" customHeight="1" x14ac:dyDescent="0.35">
      <c r="A43" s="417" t="s">
        <v>64</v>
      </c>
      <c r="B43" s="417"/>
      <c r="C43" s="143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</row>
    <row r="44" spans="1:250" ht="15.75" customHeight="1" x14ac:dyDescent="0.35">
      <c r="A44" s="28"/>
      <c r="B44" s="28"/>
      <c r="C44" s="28"/>
      <c r="D44" s="28"/>
      <c r="E44" s="28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</row>
    <row r="45" spans="1:250" ht="15.75" customHeight="1" x14ac:dyDescent="0.35">
      <c r="A45" s="28" t="s">
        <v>34</v>
      </c>
      <c r="B45" s="28"/>
      <c r="C45" s="28"/>
      <c r="D45" s="81"/>
      <c r="E45" s="8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</row>
    <row r="46" spans="1:250" ht="15.75" customHeight="1" x14ac:dyDescent="0.35">
      <c r="A46" s="28"/>
      <c r="B46" s="28"/>
      <c r="C46" s="28"/>
      <c r="D46" s="28"/>
      <c r="E46" s="28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</row>
    <row r="47" spans="1:250" x14ac:dyDescent="0.35">
      <c r="A47" s="28" t="s">
        <v>177</v>
      </c>
      <c r="B47" s="29"/>
      <c r="C47" s="29"/>
      <c r="D47" s="28"/>
      <c r="E47" s="28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</row>
    <row r="48" spans="1:250" x14ac:dyDescent="0.35">
      <c r="A48" s="28"/>
      <c r="B48" s="30"/>
      <c r="C48" s="30"/>
      <c r="D48" s="28"/>
      <c r="E48" s="28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</row>
    <row r="49" spans="2:3" ht="15.75" customHeight="1" x14ac:dyDescent="0.35">
      <c r="B49" s="14"/>
      <c r="C49" s="14"/>
    </row>
    <row r="51" spans="2:3" ht="15.75" customHeight="1" x14ac:dyDescent="0.35"/>
    <row r="52" spans="2:3" ht="15.75" customHeight="1" x14ac:dyDescent="0.35"/>
    <row r="53" spans="2:3" ht="17.25" customHeight="1" x14ac:dyDescent="0.35"/>
    <row r="54" spans="2:3" ht="15.75" customHeight="1" x14ac:dyDescent="0.35"/>
    <row r="55" spans="2:3" ht="14.25" customHeight="1" x14ac:dyDescent="0.35"/>
    <row r="57" spans="2:3" ht="15.75" customHeight="1" x14ac:dyDescent="0.35"/>
    <row r="58" spans="2:3" ht="15.75" customHeight="1" x14ac:dyDescent="0.35"/>
    <row r="60" spans="2:3" ht="15.75" customHeight="1" x14ac:dyDescent="0.35"/>
    <row r="61" spans="2:3" ht="15.75" customHeight="1" x14ac:dyDescent="0.35"/>
    <row r="62" spans="2:3" ht="15.75" customHeight="1" x14ac:dyDescent="0.35"/>
    <row r="63" spans="2:3" ht="15.75" customHeight="1" x14ac:dyDescent="0.35"/>
    <row r="67" spans="1:250" ht="15" customHeight="1" x14ac:dyDescent="0.35"/>
    <row r="68" spans="1:250" ht="15" customHeight="1" x14ac:dyDescent="0.35"/>
    <row r="69" spans="1:250" ht="15" customHeight="1" x14ac:dyDescent="0.35"/>
    <row r="70" spans="1:250" customFormat="1" ht="15" customHeight="1" x14ac:dyDescent="0.35">
      <c r="A70" s="13"/>
      <c r="B70" s="13"/>
      <c r="C70" s="13"/>
      <c r="D70" s="13"/>
      <c r="E70" s="13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</row>
    <row r="71" spans="1:250" customFormat="1" ht="15" customHeight="1" x14ac:dyDescent="0.35">
      <c r="A71" s="13"/>
      <c r="B71" s="13"/>
      <c r="C71" s="13"/>
      <c r="D71" s="13"/>
      <c r="E71" s="13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</row>
    <row r="72" spans="1:250" customFormat="1" ht="15" customHeight="1" x14ac:dyDescent="0.35">
      <c r="A72" s="13"/>
      <c r="B72" s="13"/>
      <c r="C72" s="13"/>
      <c r="D72" s="13"/>
      <c r="E72" s="13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</row>
    <row r="73" spans="1:250" customFormat="1" ht="15" customHeight="1" x14ac:dyDescent="0.35">
      <c r="A73" s="13"/>
      <c r="B73" s="13"/>
      <c r="C73" s="13"/>
      <c r="D73" s="13"/>
      <c r="E73" s="13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</row>
    <row r="74" spans="1:250" customFormat="1" ht="15" customHeight="1" x14ac:dyDescent="0.35">
      <c r="A74" s="13"/>
      <c r="B74" s="13"/>
      <c r="C74" s="13"/>
      <c r="D74" s="13"/>
      <c r="E74" s="13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</row>
    <row r="75" spans="1:250" customFormat="1" ht="15" customHeight="1" x14ac:dyDescent="0.35">
      <c r="A75" s="13"/>
      <c r="B75" s="13"/>
      <c r="C75" s="13"/>
      <c r="D75" s="13"/>
      <c r="E75" s="1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</row>
    <row r="76" spans="1:250" s="2" customFormat="1" ht="15" customHeight="1" x14ac:dyDescent="0.35">
      <c r="A76" s="13"/>
      <c r="B76" s="13"/>
      <c r="C76" s="13"/>
      <c r="D76" s="13"/>
      <c r="E76" s="1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</row>
  </sheetData>
  <mergeCells count="8">
    <mergeCell ref="A42:B42"/>
    <mergeCell ref="A43:B43"/>
    <mergeCell ref="A7:D7"/>
    <mergeCell ref="A9:B9"/>
    <mergeCell ref="A10:B10"/>
    <mergeCell ref="B12:E12"/>
    <mergeCell ref="A39:B39"/>
    <mergeCell ref="A40:B40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IP76"/>
  <sheetViews>
    <sheetView workbookViewId="0">
      <selection activeCell="H24" sqref="H24"/>
    </sheetView>
  </sheetViews>
  <sheetFormatPr defaultColWidth="9.1796875" defaultRowHeight="15.5" x14ac:dyDescent="0.35"/>
  <cols>
    <col min="1" max="1" width="12.26953125" style="13" customWidth="1"/>
    <col min="2" max="2" width="86.7265625" style="13" customWidth="1"/>
    <col min="3" max="3" width="9.453125" style="13" hidden="1" customWidth="1"/>
    <col min="4" max="4" width="24.54296875" style="13" hidden="1" customWidth="1"/>
    <col min="5" max="5" width="24.54296875" style="13" customWidth="1"/>
    <col min="6" max="16384" width="9.1796875" style="4"/>
  </cols>
  <sheetData>
    <row r="1" spans="1:5" x14ac:dyDescent="0.35">
      <c r="B1" s="15"/>
      <c r="C1" s="15"/>
      <c r="D1" s="15" t="s">
        <v>10</v>
      </c>
      <c r="E1" s="15" t="s">
        <v>10</v>
      </c>
    </row>
    <row r="2" spans="1:5" x14ac:dyDescent="0.35">
      <c r="B2" s="311"/>
      <c r="C2" s="311"/>
      <c r="D2" s="15" t="s">
        <v>32</v>
      </c>
      <c r="E2" s="15" t="s">
        <v>32</v>
      </c>
    </row>
    <row r="3" spans="1:5" x14ac:dyDescent="0.35">
      <c r="B3" s="15"/>
      <c r="C3" s="15"/>
      <c r="D3" s="15" t="s">
        <v>66</v>
      </c>
      <c r="E3" s="15" t="s">
        <v>66</v>
      </c>
    </row>
    <row r="4" spans="1:5" x14ac:dyDescent="0.35">
      <c r="B4" s="15"/>
      <c r="C4" s="15"/>
      <c r="D4" s="15"/>
      <c r="E4" s="15"/>
    </row>
    <row r="5" spans="1:5" x14ac:dyDescent="0.35">
      <c r="B5" s="335"/>
      <c r="C5" s="335"/>
      <c r="D5" s="15" t="s">
        <v>283</v>
      </c>
      <c r="E5" s="15" t="s">
        <v>279</v>
      </c>
    </row>
    <row r="6" spans="1:5" ht="15.75" customHeight="1" x14ac:dyDescent="0.35">
      <c r="B6" s="15"/>
      <c r="C6" s="15"/>
      <c r="D6" s="25"/>
      <c r="E6" s="25"/>
    </row>
    <row r="7" spans="1:5" ht="15" x14ac:dyDescent="0.3">
      <c r="A7" s="416" t="s">
        <v>9</v>
      </c>
      <c r="B7" s="416"/>
      <c r="C7" s="416"/>
      <c r="D7" s="416"/>
      <c r="E7" s="70"/>
    </row>
    <row r="8" spans="1:5" x14ac:dyDescent="0.35">
      <c r="B8" s="18"/>
      <c r="C8" s="18"/>
    </row>
    <row r="9" spans="1:5" ht="15.75" customHeight="1" x14ac:dyDescent="0.35">
      <c r="A9" s="419" t="s">
        <v>1</v>
      </c>
      <c r="B9" s="419"/>
      <c r="C9" s="11"/>
    </row>
    <row r="10" spans="1:5" ht="15.75" customHeight="1" x14ac:dyDescent="0.35">
      <c r="A10" s="419" t="s">
        <v>0</v>
      </c>
      <c r="B10" s="419"/>
      <c r="C10" s="11"/>
    </row>
    <row r="11" spans="1:5" x14ac:dyDescent="0.35">
      <c r="A11" s="11"/>
      <c r="B11" s="11" t="s">
        <v>280</v>
      </c>
      <c r="C11" s="11"/>
    </row>
    <row r="12" spans="1:5" ht="15.75" customHeight="1" x14ac:dyDescent="0.3">
      <c r="A12" s="11"/>
      <c r="B12" s="283" t="s">
        <v>291</v>
      </c>
      <c r="C12" s="4"/>
      <c r="D12" s="4"/>
      <c r="E12" s="4"/>
    </row>
    <row r="13" spans="1:5" x14ac:dyDescent="0.3">
      <c r="A13" s="11"/>
      <c r="B13" s="419" t="s">
        <v>292</v>
      </c>
      <c r="C13" s="419"/>
      <c r="D13" s="419"/>
      <c r="E13" s="11"/>
    </row>
    <row r="14" spans="1:5" ht="15.75" customHeight="1" x14ac:dyDescent="0.35">
      <c r="A14" s="11" t="s">
        <v>2</v>
      </c>
      <c r="B14" s="11" t="s">
        <v>169</v>
      </c>
      <c r="C14" s="136"/>
    </row>
    <row r="15" spans="1:5" ht="64.5" customHeight="1" x14ac:dyDescent="0.3">
      <c r="A15" s="51" t="s">
        <v>3</v>
      </c>
      <c r="B15" s="51" t="s">
        <v>4</v>
      </c>
      <c r="C15" s="51"/>
      <c r="D15" s="51" t="s">
        <v>63</v>
      </c>
      <c r="E15" s="51" t="s">
        <v>63</v>
      </c>
    </row>
    <row r="16" spans="1:5" ht="15" x14ac:dyDescent="0.3">
      <c r="A16" s="20">
        <v>1</v>
      </c>
      <c r="B16" s="21">
        <v>2</v>
      </c>
      <c r="C16" s="21"/>
      <c r="D16" s="21">
        <v>3</v>
      </c>
      <c r="E16" s="21">
        <v>3</v>
      </c>
    </row>
    <row r="17" spans="1:5" x14ac:dyDescent="0.35">
      <c r="A17" s="20"/>
      <c r="B17" s="22" t="s">
        <v>5</v>
      </c>
      <c r="C17" s="22"/>
      <c r="D17" s="61"/>
      <c r="E17" s="61"/>
    </row>
    <row r="18" spans="1:5" x14ac:dyDescent="0.35">
      <c r="A18" s="31">
        <v>1100</v>
      </c>
      <c r="B18" s="288" t="s">
        <v>132</v>
      </c>
      <c r="C18" s="341"/>
      <c r="D18" s="33">
        <v>40.479999999999997</v>
      </c>
      <c r="E18" s="33">
        <v>11.13</v>
      </c>
    </row>
    <row r="19" spans="1:5" ht="15.75" customHeight="1" x14ac:dyDescent="0.35">
      <c r="A19" s="31">
        <v>1200</v>
      </c>
      <c r="B19" s="62" t="s">
        <v>133</v>
      </c>
      <c r="C19" s="342"/>
      <c r="D19" s="33">
        <v>9.5500000000000007</v>
      </c>
      <c r="E19" s="33">
        <v>2.63</v>
      </c>
    </row>
    <row r="20" spans="1:5" ht="15.75" customHeight="1" x14ac:dyDescent="0.35">
      <c r="A20" s="31">
        <v>2222</v>
      </c>
      <c r="B20" s="62" t="s">
        <v>135</v>
      </c>
      <c r="C20" s="342"/>
      <c r="D20" s="33">
        <v>4</v>
      </c>
      <c r="E20" s="33">
        <v>1</v>
      </c>
    </row>
    <row r="21" spans="1:5" ht="15.75" customHeight="1" x14ac:dyDescent="0.3">
      <c r="A21" s="31">
        <v>2242</v>
      </c>
      <c r="B21" s="32" t="s">
        <v>145</v>
      </c>
      <c r="C21" s="4">
        <f>44.96/20/50</f>
        <v>4.4960000000000007E-2</v>
      </c>
      <c r="D21" s="33">
        <v>8.99</v>
      </c>
      <c r="E21" s="33">
        <v>2.25</v>
      </c>
    </row>
    <row r="22" spans="1:5" ht="15.75" customHeight="1" x14ac:dyDescent="0.35">
      <c r="A22" s="31">
        <v>2322</v>
      </c>
      <c r="B22" s="62" t="s">
        <v>153</v>
      </c>
      <c r="C22" s="342"/>
      <c r="D22" s="33">
        <v>40.28</v>
      </c>
      <c r="E22" s="33">
        <v>10.07</v>
      </c>
    </row>
    <row r="23" spans="1:5" x14ac:dyDescent="0.35">
      <c r="A23" s="31">
        <v>5231</v>
      </c>
      <c r="B23" s="62" t="s">
        <v>285</v>
      </c>
      <c r="C23" s="342">
        <f>15344*0.1/12/168*2/50</f>
        <v>3.0444444444444448E-2</v>
      </c>
      <c r="D23" s="33">
        <v>6.09</v>
      </c>
      <c r="E23" s="33">
        <v>1.52</v>
      </c>
    </row>
    <row r="24" spans="1:5" ht="15.75" customHeight="1" x14ac:dyDescent="0.3">
      <c r="A24" s="31"/>
      <c r="B24" s="78" t="s">
        <v>6</v>
      </c>
      <c r="C24" s="336">
        <f>SUM(C18:C23)</f>
        <v>7.5404444444444454E-2</v>
      </c>
      <c r="D24" s="23">
        <f>SUM(D18:D23)</f>
        <v>109.39000000000001</v>
      </c>
      <c r="E24" s="23">
        <f>SUM(E18:E23)</f>
        <v>28.6</v>
      </c>
    </row>
    <row r="25" spans="1:5" x14ac:dyDescent="0.35">
      <c r="A25" s="38"/>
      <c r="B25" s="288" t="s">
        <v>7</v>
      </c>
      <c r="C25" s="330"/>
      <c r="D25" s="33"/>
      <c r="E25" s="33"/>
    </row>
    <row r="26" spans="1:5" x14ac:dyDescent="0.35">
      <c r="A26" s="31">
        <v>1100</v>
      </c>
      <c r="B26" s="31" t="s">
        <v>132</v>
      </c>
      <c r="C26" s="344">
        <v>0.52066999999999997</v>
      </c>
      <c r="D26" s="33">
        <v>10.62</v>
      </c>
      <c r="E26" s="33">
        <v>2.93</v>
      </c>
    </row>
    <row r="27" spans="1:5" ht="15.75" customHeight="1" x14ac:dyDescent="0.35">
      <c r="A27" s="31">
        <v>1200</v>
      </c>
      <c r="B27" s="32" t="s">
        <v>286</v>
      </c>
      <c r="C27" s="343">
        <v>0.12282</v>
      </c>
      <c r="D27" s="33">
        <v>2.5099999999999998</v>
      </c>
      <c r="E27" s="33">
        <v>0.69</v>
      </c>
    </row>
    <row r="28" spans="1:5" ht="15.75" customHeight="1" x14ac:dyDescent="0.35">
      <c r="A28" s="34">
        <v>2210</v>
      </c>
      <c r="B28" s="32" t="s">
        <v>271</v>
      </c>
      <c r="C28" s="343">
        <v>1.7330000000000002E-2</v>
      </c>
      <c r="D28" s="33">
        <v>0.42</v>
      </c>
      <c r="E28" s="33">
        <v>0.11</v>
      </c>
    </row>
    <row r="29" spans="1:5" ht="15.75" hidden="1" customHeight="1" x14ac:dyDescent="0.35">
      <c r="A29" s="31">
        <v>2222</v>
      </c>
      <c r="B29" s="32" t="s">
        <v>26</v>
      </c>
      <c r="C29" s="343"/>
      <c r="D29" s="33">
        <v>0</v>
      </c>
      <c r="E29" s="33">
        <f>D29/200*50</f>
        <v>0</v>
      </c>
    </row>
    <row r="30" spans="1:5" x14ac:dyDescent="0.35">
      <c r="A30" s="31">
        <v>2223</v>
      </c>
      <c r="B30" s="32" t="s">
        <v>27</v>
      </c>
      <c r="C30" s="343">
        <v>6.5030000000000004E-2</v>
      </c>
      <c r="D30" s="33">
        <v>1.58</v>
      </c>
      <c r="E30" s="33">
        <v>0.4</v>
      </c>
    </row>
    <row r="31" spans="1:5" ht="15.75" customHeight="1" x14ac:dyDescent="0.35">
      <c r="A31" s="31">
        <v>2244</v>
      </c>
      <c r="B31" s="151" t="s">
        <v>281</v>
      </c>
      <c r="C31" s="343">
        <v>4.4060000000000002E-2</v>
      </c>
      <c r="D31" s="33">
        <v>1.07</v>
      </c>
      <c r="E31" s="33">
        <v>0.27</v>
      </c>
    </row>
    <row r="32" spans="1:5" x14ac:dyDescent="0.35">
      <c r="A32" s="31">
        <v>2311</v>
      </c>
      <c r="B32" s="32" t="s">
        <v>151</v>
      </c>
      <c r="C32" s="343">
        <v>1.1679999999999999E-2</v>
      </c>
      <c r="D32" s="33">
        <v>0.28000000000000003</v>
      </c>
      <c r="E32" s="33">
        <v>7.0000000000000007E-2</v>
      </c>
    </row>
    <row r="33" spans="1:250" x14ac:dyDescent="0.35">
      <c r="A33" s="31">
        <v>2312</v>
      </c>
      <c r="B33" s="32" t="s">
        <v>116</v>
      </c>
      <c r="C33" s="343">
        <v>4.7699999999999999E-3</v>
      </c>
      <c r="D33" s="33">
        <v>0.12</v>
      </c>
      <c r="E33" s="33">
        <v>0.03</v>
      </c>
    </row>
    <row r="34" spans="1:250" ht="15.75" customHeight="1" x14ac:dyDescent="0.35">
      <c r="A34" s="31">
        <v>2321</v>
      </c>
      <c r="B34" s="32" t="s">
        <v>139</v>
      </c>
      <c r="C34" s="343">
        <v>5.1810000000000002E-2</v>
      </c>
      <c r="D34" s="33">
        <v>1.26</v>
      </c>
      <c r="E34" s="33">
        <v>0.32</v>
      </c>
    </row>
    <row r="35" spans="1:250" x14ac:dyDescent="0.35">
      <c r="A35" s="31">
        <v>2350</v>
      </c>
      <c r="B35" s="337" t="s">
        <v>125</v>
      </c>
      <c r="C35" s="343">
        <v>0.16183</v>
      </c>
      <c r="D35" s="33">
        <v>2.75</v>
      </c>
      <c r="E35" s="33">
        <v>0.57999999999999996</v>
      </c>
    </row>
    <row r="36" spans="1:250" ht="15.75" customHeight="1" x14ac:dyDescent="0.35">
      <c r="A36" s="334"/>
      <c r="B36" s="79" t="s">
        <v>8</v>
      </c>
      <c r="C36" s="336">
        <f>SUM(C26:C35)</f>
        <v>1</v>
      </c>
      <c r="D36" s="23">
        <f>SUM(D26:D35)</f>
        <v>20.610000000000003</v>
      </c>
      <c r="E36" s="23">
        <f>SUM(E26:E35)</f>
        <v>5.4000000000000012</v>
      </c>
    </row>
    <row r="37" spans="1:250" x14ac:dyDescent="0.35">
      <c r="A37" s="334"/>
      <c r="B37" s="79" t="s">
        <v>29</v>
      </c>
      <c r="C37" s="336"/>
      <c r="D37" s="37">
        <f>D24+D36</f>
        <v>130.00000000000003</v>
      </c>
      <c r="E37" s="37">
        <f>E36+E24</f>
        <v>34</v>
      </c>
    </row>
    <row r="38" spans="1:250" ht="15.75" customHeight="1" x14ac:dyDescent="0.35">
      <c r="A38" s="15"/>
      <c r="B38" s="25"/>
      <c r="C38" s="25"/>
      <c r="D38" s="44"/>
      <c r="E38" s="44"/>
    </row>
    <row r="39" spans="1:250" ht="15.75" customHeight="1" x14ac:dyDescent="0.35">
      <c r="A39" s="417" t="s">
        <v>106</v>
      </c>
      <c r="B39" s="417"/>
      <c r="C39" s="143"/>
      <c r="D39" s="339">
        <v>200</v>
      </c>
      <c r="E39" s="339">
        <v>50</v>
      </c>
    </row>
    <row r="40" spans="1:250" ht="15.75" customHeight="1" x14ac:dyDescent="0.3">
      <c r="A40" s="418" t="s">
        <v>107</v>
      </c>
      <c r="B40" s="418"/>
      <c r="C40" s="345"/>
      <c r="D40" s="137">
        <f>D37/D39</f>
        <v>0.65000000000000013</v>
      </c>
      <c r="E40" s="137">
        <f>E37/E39</f>
        <v>0.68</v>
      </c>
    </row>
    <row r="41" spans="1:250" ht="15.75" customHeight="1" x14ac:dyDescent="0.35">
      <c r="A41" s="283"/>
      <c r="B41" s="42"/>
      <c r="C41" s="340"/>
      <c r="D41" s="26"/>
      <c r="E41" s="26"/>
    </row>
    <row r="42" spans="1:250" ht="15.75" customHeight="1" x14ac:dyDescent="0.35">
      <c r="A42" s="417" t="s">
        <v>33</v>
      </c>
      <c r="B42" s="417"/>
      <c r="C42" s="143"/>
      <c r="D42" s="27"/>
      <c r="E42" s="27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</row>
    <row r="43" spans="1:250" ht="15.75" customHeight="1" x14ac:dyDescent="0.35">
      <c r="A43" s="417" t="s">
        <v>64</v>
      </c>
      <c r="B43" s="417"/>
      <c r="C43" s="143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</row>
    <row r="44" spans="1:250" ht="15.75" customHeight="1" x14ac:dyDescent="0.35">
      <c r="A44" s="28"/>
      <c r="B44" s="28"/>
      <c r="C44" s="28"/>
      <c r="D44" s="28"/>
      <c r="E44" s="28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</row>
    <row r="45" spans="1:250" ht="15.75" customHeight="1" x14ac:dyDescent="0.35">
      <c r="A45" s="28" t="s">
        <v>34</v>
      </c>
      <c r="B45" s="28"/>
      <c r="C45" s="28"/>
      <c r="D45" s="81"/>
      <c r="E45" s="8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</row>
    <row r="46" spans="1:250" ht="15.75" customHeight="1" x14ac:dyDescent="0.35">
      <c r="A46" s="28"/>
      <c r="B46" s="28"/>
      <c r="C46" s="28"/>
      <c r="D46" s="346"/>
      <c r="E46" s="28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</row>
    <row r="47" spans="1:250" x14ac:dyDescent="0.35">
      <c r="A47" s="28" t="s">
        <v>177</v>
      </c>
      <c r="B47" s="29"/>
      <c r="C47" s="29"/>
      <c r="D47" s="28"/>
      <c r="E47" s="28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</row>
    <row r="48" spans="1:250" x14ac:dyDescent="0.35">
      <c r="A48" s="28"/>
      <c r="B48" s="30"/>
      <c r="C48" s="30"/>
      <c r="D48" s="346"/>
      <c r="E48" s="28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</row>
    <row r="49" spans="2:3" ht="15.75" customHeight="1" x14ac:dyDescent="0.35">
      <c r="B49" s="14"/>
      <c r="C49" s="14"/>
    </row>
    <row r="51" spans="2:3" ht="15.75" customHeight="1" x14ac:dyDescent="0.35"/>
    <row r="52" spans="2:3" ht="15.75" customHeight="1" x14ac:dyDescent="0.35"/>
    <row r="53" spans="2:3" ht="17.25" customHeight="1" x14ac:dyDescent="0.35"/>
    <row r="54" spans="2:3" ht="15.75" customHeight="1" x14ac:dyDescent="0.35"/>
    <row r="55" spans="2:3" ht="14.25" customHeight="1" x14ac:dyDescent="0.35"/>
    <row r="57" spans="2:3" ht="15.75" customHeight="1" x14ac:dyDescent="0.35"/>
    <row r="58" spans="2:3" ht="15.75" customHeight="1" x14ac:dyDescent="0.35"/>
    <row r="60" spans="2:3" ht="15.75" customHeight="1" x14ac:dyDescent="0.35"/>
    <row r="61" spans="2:3" ht="15.75" customHeight="1" x14ac:dyDescent="0.35"/>
    <row r="62" spans="2:3" ht="15.75" customHeight="1" x14ac:dyDescent="0.35"/>
    <row r="63" spans="2:3" ht="15.75" customHeight="1" x14ac:dyDescent="0.35"/>
    <row r="67" spans="1:250" ht="15" customHeight="1" x14ac:dyDescent="0.35"/>
    <row r="68" spans="1:250" ht="15" customHeight="1" x14ac:dyDescent="0.35"/>
    <row r="69" spans="1:250" ht="15" customHeight="1" x14ac:dyDescent="0.35"/>
    <row r="70" spans="1:250" customFormat="1" ht="15" customHeight="1" x14ac:dyDescent="0.35">
      <c r="A70" s="13"/>
      <c r="B70" s="13"/>
      <c r="C70" s="13"/>
      <c r="D70" s="13"/>
      <c r="E70" s="13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</row>
    <row r="71" spans="1:250" customFormat="1" ht="15" customHeight="1" x14ac:dyDescent="0.35">
      <c r="A71" s="13"/>
      <c r="B71" s="13"/>
      <c r="C71" s="13"/>
      <c r="D71" s="13"/>
      <c r="E71" s="13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</row>
    <row r="72" spans="1:250" customFormat="1" ht="15" customHeight="1" x14ac:dyDescent="0.35">
      <c r="A72" s="13"/>
      <c r="B72" s="13"/>
      <c r="C72" s="13"/>
      <c r="D72" s="13"/>
      <c r="E72" s="13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</row>
    <row r="73" spans="1:250" customFormat="1" ht="15" customHeight="1" x14ac:dyDescent="0.35">
      <c r="A73" s="13"/>
      <c r="B73" s="13"/>
      <c r="C73" s="13"/>
      <c r="D73" s="13"/>
      <c r="E73" s="13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</row>
    <row r="74" spans="1:250" customFormat="1" ht="15" customHeight="1" x14ac:dyDescent="0.35">
      <c r="A74" s="13"/>
      <c r="B74" s="13"/>
      <c r="C74" s="13"/>
      <c r="D74" s="13"/>
      <c r="E74" s="13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</row>
    <row r="75" spans="1:250" customFormat="1" ht="15" customHeight="1" x14ac:dyDescent="0.35">
      <c r="A75" s="13"/>
      <c r="B75" s="13"/>
      <c r="C75" s="13"/>
      <c r="D75" s="13"/>
      <c r="E75" s="1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</row>
    <row r="76" spans="1:250" s="2" customFormat="1" ht="15" customHeight="1" x14ac:dyDescent="0.35">
      <c r="A76" s="13"/>
      <c r="B76" s="13"/>
      <c r="C76" s="13"/>
      <c r="D76" s="13"/>
      <c r="E76" s="1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</row>
  </sheetData>
  <mergeCells count="8">
    <mergeCell ref="A42:B42"/>
    <mergeCell ref="A43:B43"/>
    <mergeCell ref="A7:D7"/>
    <mergeCell ref="A9:B9"/>
    <mergeCell ref="A10:B10"/>
    <mergeCell ref="B13:D13"/>
    <mergeCell ref="A39:B39"/>
    <mergeCell ref="A40:B40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IP76"/>
  <sheetViews>
    <sheetView workbookViewId="0">
      <selection activeCell="H25" sqref="H25"/>
    </sheetView>
  </sheetViews>
  <sheetFormatPr defaultColWidth="9.1796875" defaultRowHeight="15.5" x14ac:dyDescent="0.35"/>
  <cols>
    <col min="1" max="1" width="12.26953125" style="13" customWidth="1"/>
    <col min="2" max="2" width="86.7265625" style="13" customWidth="1"/>
    <col min="3" max="3" width="8.81640625" style="13" hidden="1" customWidth="1"/>
    <col min="4" max="4" width="24.54296875" style="13" hidden="1" customWidth="1"/>
    <col min="5" max="5" width="24.54296875" style="13" customWidth="1"/>
    <col min="6" max="16384" width="9.1796875" style="4"/>
  </cols>
  <sheetData>
    <row r="1" spans="1:5" x14ac:dyDescent="0.35">
      <c r="B1" s="15"/>
      <c r="C1" s="15"/>
      <c r="D1" s="15" t="s">
        <v>10</v>
      </c>
      <c r="E1" s="15" t="s">
        <v>10</v>
      </c>
    </row>
    <row r="2" spans="1:5" x14ac:dyDescent="0.35">
      <c r="B2" s="311"/>
      <c r="C2" s="311"/>
      <c r="D2" s="15" t="s">
        <v>32</v>
      </c>
      <c r="E2" s="15" t="s">
        <v>32</v>
      </c>
    </row>
    <row r="3" spans="1:5" x14ac:dyDescent="0.35">
      <c r="B3" s="15"/>
      <c r="C3" s="15"/>
      <c r="D3" s="15" t="s">
        <v>66</v>
      </c>
      <c r="E3" s="15" t="s">
        <v>66</v>
      </c>
    </row>
    <row r="4" spans="1:5" x14ac:dyDescent="0.35">
      <c r="B4" s="15"/>
      <c r="C4" s="15"/>
      <c r="D4" s="15"/>
      <c r="E4" s="15"/>
    </row>
    <row r="5" spans="1:5" x14ac:dyDescent="0.35">
      <c r="B5" s="335"/>
      <c r="C5" s="335"/>
      <c r="D5" s="15" t="s">
        <v>283</v>
      </c>
      <c r="E5" s="15" t="s">
        <v>279</v>
      </c>
    </row>
    <row r="6" spans="1:5" ht="15.75" customHeight="1" x14ac:dyDescent="0.35">
      <c r="B6" s="15"/>
      <c r="C6" s="15"/>
      <c r="D6" s="25"/>
      <c r="E6" s="25"/>
    </row>
    <row r="7" spans="1:5" ht="15" x14ac:dyDescent="0.3">
      <c r="A7" s="416" t="s">
        <v>9</v>
      </c>
      <c r="B7" s="416"/>
      <c r="C7" s="416"/>
      <c r="D7" s="416"/>
      <c r="E7" s="70"/>
    </row>
    <row r="8" spans="1:5" x14ac:dyDescent="0.35">
      <c r="B8" s="18"/>
      <c r="C8" s="18"/>
    </row>
    <row r="9" spans="1:5" ht="15.75" customHeight="1" x14ac:dyDescent="0.35">
      <c r="A9" s="419" t="s">
        <v>1</v>
      </c>
      <c r="B9" s="419"/>
      <c r="C9" s="11"/>
    </row>
    <row r="10" spans="1:5" ht="15.75" customHeight="1" x14ac:dyDescent="0.35">
      <c r="A10" s="419" t="s">
        <v>0</v>
      </c>
      <c r="B10" s="419"/>
      <c r="C10" s="11"/>
    </row>
    <row r="11" spans="1:5" x14ac:dyDescent="0.35">
      <c r="A11" s="11"/>
      <c r="B11" s="11" t="s">
        <v>280</v>
      </c>
      <c r="C11" s="11"/>
    </row>
    <row r="12" spans="1:5" ht="15.75" customHeight="1" x14ac:dyDescent="0.3">
      <c r="A12" s="11"/>
      <c r="B12" s="283" t="s">
        <v>291</v>
      </c>
      <c r="C12" s="283"/>
      <c r="D12" s="283"/>
      <c r="E12" s="283"/>
    </row>
    <row r="13" spans="1:5" x14ac:dyDescent="0.35">
      <c r="A13" s="11"/>
      <c r="B13" s="11" t="s">
        <v>293</v>
      </c>
      <c r="C13" s="11"/>
    </row>
    <row r="14" spans="1:5" ht="16.5" customHeight="1" x14ac:dyDescent="0.35">
      <c r="A14" s="11" t="s">
        <v>2</v>
      </c>
      <c r="B14" s="11" t="s">
        <v>169</v>
      </c>
      <c r="C14" s="136"/>
    </row>
    <row r="15" spans="1:5" ht="64.5" customHeight="1" x14ac:dyDescent="0.3">
      <c r="A15" s="51" t="s">
        <v>3</v>
      </c>
      <c r="B15" s="51" t="s">
        <v>4</v>
      </c>
      <c r="C15" s="51"/>
      <c r="D15" s="51" t="s">
        <v>63</v>
      </c>
      <c r="E15" s="51" t="s">
        <v>63</v>
      </c>
    </row>
    <row r="16" spans="1:5" ht="15" x14ac:dyDescent="0.3">
      <c r="A16" s="20">
        <v>1</v>
      </c>
      <c r="B16" s="21">
        <v>2</v>
      </c>
      <c r="C16" s="21"/>
      <c r="D16" s="21">
        <v>3</v>
      </c>
      <c r="E16" s="21">
        <v>3</v>
      </c>
    </row>
    <row r="17" spans="1:5" x14ac:dyDescent="0.35">
      <c r="A17" s="20"/>
      <c r="B17" s="22" t="s">
        <v>5</v>
      </c>
      <c r="C17" s="22"/>
      <c r="D17" s="61"/>
      <c r="E17" s="61"/>
    </row>
    <row r="18" spans="1:5" x14ac:dyDescent="0.35">
      <c r="A18" s="31">
        <v>1100</v>
      </c>
      <c r="B18" s="288" t="s">
        <v>132</v>
      </c>
      <c r="C18" s="341">
        <f>'[7]7.4.'!D18/20/2</f>
        <v>3.806</v>
      </c>
      <c r="D18" s="33">
        <v>76.12</v>
      </c>
      <c r="E18" s="33">
        <v>20.93</v>
      </c>
    </row>
    <row r="19" spans="1:5" ht="15.75" customHeight="1" x14ac:dyDescent="0.35">
      <c r="A19" s="31">
        <v>1200</v>
      </c>
      <c r="B19" s="62" t="s">
        <v>133</v>
      </c>
      <c r="C19" s="342">
        <f>C18*0.2359</f>
        <v>0.89783540000000006</v>
      </c>
      <c r="D19" s="33">
        <v>17.96</v>
      </c>
      <c r="E19" s="33">
        <v>4.9400000000000004</v>
      </c>
    </row>
    <row r="20" spans="1:5" ht="15.75" hidden="1" customHeight="1" x14ac:dyDescent="0.35">
      <c r="A20" s="31">
        <v>2222</v>
      </c>
      <c r="B20" s="62" t="s">
        <v>135</v>
      </c>
      <c r="C20" s="342"/>
      <c r="D20" s="33">
        <f>C20*20</f>
        <v>0</v>
      </c>
      <c r="E20" s="33">
        <f>D20/20*5</f>
        <v>0</v>
      </c>
    </row>
    <row r="21" spans="1:5" ht="15.75" customHeight="1" x14ac:dyDescent="0.3">
      <c r="A21" s="31">
        <v>2242</v>
      </c>
      <c r="B21" s="32" t="s">
        <v>145</v>
      </c>
      <c r="C21" s="4">
        <f>'[7]7.4.'!D21/20/2</f>
        <v>1.1240000000000001</v>
      </c>
      <c r="D21" s="33">
        <v>22.48</v>
      </c>
      <c r="E21" s="33">
        <v>5.62</v>
      </c>
    </row>
    <row r="22" spans="1:5" ht="15.75" customHeight="1" x14ac:dyDescent="0.35">
      <c r="A22" s="31">
        <v>2322</v>
      </c>
      <c r="B22" s="62" t="s">
        <v>153</v>
      </c>
      <c r="C22" s="342">
        <f>1.9*10.6/100</f>
        <v>0.20139999999999997</v>
      </c>
      <c r="D22" s="33">
        <v>4.03</v>
      </c>
      <c r="E22" s="33">
        <v>1.01</v>
      </c>
    </row>
    <row r="23" spans="1:5" x14ac:dyDescent="0.35">
      <c r="A23" s="31">
        <v>5231</v>
      </c>
      <c r="B23" s="62" t="s">
        <v>285</v>
      </c>
      <c r="C23" s="342">
        <f>15344*0.1/12/168</f>
        <v>0.76111111111111118</v>
      </c>
      <c r="D23" s="33">
        <v>15.22</v>
      </c>
      <c r="E23" s="33">
        <v>3.81</v>
      </c>
    </row>
    <row r="24" spans="1:5" ht="15.75" customHeight="1" x14ac:dyDescent="0.3">
      <c r="A24" s="31"/>
      <c r="B24" s="78" t="s">
        <v>6</v>
      </c>
      <c r="C24" s="336">
        <f>SUM(C18:C23)</f>
        <v>6.7903465111111103</v>
      </c>
      <c r="D24" s="23">
        <f>SUM(D18:D23)</f>
        <v>135.81000000000003</v>
      </c>
      <c r="E24" s="23">
        <f>SUM(E18:E23)</f>
        <v>36.31</v>
      </c>
    </row>
    <row r="25" spans="1:5" x14ac:dyDescent="0.35">
      <c r="A25" s="38"/>
      <c r="B25" s="288" t="s">
        <v>7</v>
      </c>
      <c r="C25" s="330"/>
      <c r="D25" s="33"/>
      <c r="E25" s="33"/>
    </row>
    <row r="26" spans="1:5" x14ac:dyDescent="0.35">
      <c r="A26" s="31">
        <v>1100</v>
      </c>
      <c r="B26" s="31" t="s">
        <v>132</v>
      </c>
      <c r="C26" s="344">
        <v>0.52066999999999997</v>
      </c>
      <c r="D26" s="33">
        <v>16.260000000000002</v>
      </c>
      <c r="E26" s="33">
        <v>4.4800000000000004</v>
      </c>
    </row>
    <row r="27" spans="1:5" ht="15.75" customHeight="1" x14ac:dyDescent="0.35">
      <c r="A27" s="31">
        <v>1200</v>
      </c>
      <c r="B27" s="32" t="s">
        <v>286</v>
      </c>
      <c r="C27" s="343">
        <v>0.12282</v>
      </c>
      <c r="D27" s="33">
        <v>3.84</v>
      </c>
      <c r="E27" s="33">
        <v>1.06</v>
      </c>
    </row>
    <row r="28" spans="1:5" ht="15.75" customHeight="1" x14ac:dyDescent="0.35">
      <c r="A28" s="34">
        <v>2210</v>
      </c>
      <c r="B28" s="32" t="s">
        <v>271</v>
      </c>
      <c r="C28" s="343">
        <v>1.7330000000000002E-2</v>
      </c>
      <c r="D28" s="33">
        <v>0.54</v>
      </c>
      <c r="E28" s="33">
        <v>0.14000000000000001</v>
      </c>
    </row>
    <row r="29" spans="1:5" ht="15.75" hidden="1" customHeight="1" x14ac:dyDescent="0.35">
      <c r="A29" s="31">
        <v>2222</v>
      </c>
      <c r="B29" s="32" t="s">
        <v>26</v>
      </c>
      <c r="C29" s="343"/>
      <c r="D29" s="33">
        <f>C29*31.2356</f>
        <v>0</v>
      </c>
      <c r="E29" s="33">
        <f>D29/20*5</f>
        <v>0</v>
      </c>
    </row>
    <row r="30" spans="1:5" x14ac:dyDescent="0.35">
      <c r="A30" s="31">
        <v>2223</v>
      </c>
      <c r="B30" s="32" t="s">
        <v>27</v>
      </c>
      <c r="C30" s="343">
        <v>6.5030000000000004E-2</v>
      </c>
      <c r="D30" s="33">
        <v>2.0299999999999998</v>
      </c>
      <c r="E30" s="33">
        <v>0.51</v>
      </c>
    </row>
    <row r="31" spans="1:5" ht="15.75" customHeight="1" x14ac:dyDescent="0.35">
      <c r="A31" s="31">
        <v>2244</v>
      </c>
      <c r="B31" s="151" t="s">
        <v>281</v>
      </c>
      <c r="C31" s="343">
        <v>4.4060000000000002E-2</v>
      </c>
      <c r="D31" s="33">
        <v>1.38</v>
      </c>
      <c r="E31" s="33">
        <v>0.35</v>
      </c>
    </row>
    <row r="32" spans="1:5" x14ac:dyDescent="0.35">
      <c r="A32" s="31">
        <v>2311</v>
      </c>
      <c r="B32" s="32" t="s">
        <v>151</v>
      </c>
      <c r="C32" s="343">
        <v>1.1679999999999999E-2</v>
      </c>
      <c r="D32" s="33">
        <v>0.36</v>
      </c>
      <c r="E32" s="33">
        <v>0.09</v>
      </c>
    </row>
    <row r="33" spans="1:250" x14ac:dyDescent="0.35">
      <c r="A33" s="31">
        <v>2312</v>
      </c>
      <c r="B33" s="32" t="s">
        <v>116</v>
      </c>
      <c r="C33" s="343">
        <v>4.7699999999999999E-3</v>
      </c>
      <c r="D33" s="33">
        <v>0.15</v>
      </c>
      <c r="E33" s="33">
        <v>0.04</v>
      </c>
    </row>
    <row r="34" spans="1:250" ht="15.75" customHeight="1" x14ac:dyDescent="0.35">
      <c r="A34" s="31">
        <v>2321</v>
      </c>
      <c r="B34" s="32" t="s">
        <v>139</v>
      </c>
      <c r="C34" s="343">
        <v>5.1810000000000002E-2</v>
      </c>
      <c r="D34" s="33">
        <v>1.62</v>
      </c>
      <c r="E34" s="33">
        <v>0.41</v>
      </c>
    </row>
    <row r="35" spans="1:250" x14ac:dyDescent="0.35">
      <c r="A35" s="31">
        <v>2350</v>
      </c>
      <c r="B35" s="337" t="s">
        <v>125</v>
      </c>
      <c r="C35" s="343">
        <v>0.16183</v>
      </c>
      <c r="D35" s="33">
        <v>5.01</v>
      </c>
      <c r="E35" s="33">
        <v>1.21</v>
      </c>
    </row>
    <row r="36" spans="1:250" ht="15.75" customHeight="1" x14ac:dyDescent="0.35">
      <c r="A36" s="334"/>
      <c r="B36" s="79" t="s">
        <v>8</v>
      </c>
      <c r="C36" s="336">
        <f>SUM(C26:C35)</f>
        <v>1</v>
      </c>
      <c r="D36" s="23">
        <f>SUM(D26:D35)</f>
        <v>31.189999999999998</v>
      </c>
      <c r="E36" s="23">
        <f>SUM(E26:E35)</f>
        <v>8.2899999999999991</v>
      </c>
    </row>
    <row r="37" spans="1:250" x14ac:dyDescent="0.35">
      <c r="A37" s="334"/>
      <c r="B37" s="79" t="s">
        <v>29</v>
      </c>
      <c r="C37" s="336"/>
      <c r="D37" s="37">
        <f>D36+D24</f>
        <v>167.00000000000003</v>
      </c>
      <c r="E37" s="37">
        <f>E36+E24</f>
        <v>44.6</v>
      </c>
    </row>
    <row r="38" spans="1:250" ht="15.75" customHeight="1" x14ac:dyDescent="0.35">
      <c r="A38" s="15"/>
      <c r="B38" s="25"/>
      <c r="C38" s="25"/>
      <c r="D38" s="44"/>
      <c r="E38" s="44"/>
    </row>
    <row r="39" spans="1:250" ht="15.75" customHeight="1" x14ac:dyDescent="0.35">
      <c r="A39" s="417" t="s">
        <v>106</v>
      </c>
      <c r="B39" s="417"/>
      <c r="C39" s="143"/>
      <c r="D39" s="339">
        <v>20</v>
      </c>
      <c r="E39" s="339">
        <v>5</v>
      </c>
    </row>
    <row r="40" spans="1:250" ht="15.75" customHeight="1" x14ac:dyDescent="0.3">
      <c r="A40" s="418" t="s">
        <v>107</v>
      </c>
      <c r="B40" s="418"/>
      <c r="C40" s="345"/>
      <c r="D40" s="137">
        <f>D37/D39</f>
        <v>8.3500000000000014</v>
      </c>
      <c r="E40" s="137">
        <f>E37/E39</f>
        <v>8.92</v>
      </c>
    </row>
    <row r="41" spans="1:250" ht="15.75" customHeight="1" x14ac:dyDescent="0.35">
      <c r="A41" s="283"/>
      <c r="B41" s="42"/>
      <c r="C41" s="340"/>
      <c r="D41" s="26"/>
      <c r="E41" s="26"/>
    </row>
    <row r="42" spans="1:250" ht="15.75" customHeight="1" x14ac:dyDescent="0.35">
      <c r="A42" s="417" t="s">
        <v>33</v>
      </c>
      <c r="B42" s="417"/>
      <c r="C42" s="143"/>
      <c r="D42" s="27"/>
      <c r="E42" s="27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</row>
    <row r="43" spans="1:250" ht="15.75" customHeight="1" x14ac:dyDescent="0.35">
      <c r="A43" s="417" t="s">
        <v>64</v>
      </c>
      <c r="B43" s="417"/>
      <c r="C43" s="143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</row>
    <row r="44" spans="1:250" ht="15.75" customHeight="1" x14ac:dyDescent="0.35">
      <c r="A44" s="28"/>
      <c r="B44" s="28"/>
      <c r="C44" s="28"/>
      <c r="D44" s="28"/>
      <c r="E44" s="28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</row>
    <row r="45" spans="1:250" ht="15.75" customHeight="1" x14ac:dyDescent="0.35">
      <c r="A45" s="28" t="s">
        <v>34</v>
      </c>
      <c r="B45" s="28"/>
      <c r="C45" s="28"/>
      <c r="D45" s="81"/>
      <c r="E45" s="8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</row>
    <row r="46" spans="1:250" ht="15.75" customHeight="1" x14ac:dyDescent="0.35">
      <c r="A46" s="28"/>
      <c r="B46" s="28"/>
      <c r="C46" s="28"/>
      <c r="D46" s="28"/>
      <c r="E46" s="28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</row>
    <row r="47" spans="1:250" x14ac:dyDescent="0.35">
      <c r="A47" s="28" t="s">
        <v>177</v>
      </c>
      <c r="B47" s="29"/>
      <c r="C47" s="29"/>
      <c r="D47" s="28"/>
      <c r="E47" s="28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</row>
    <row r="48" spans="1:250" x14ac:dyDescent="0.35">
      <c r="A48" s="28"/>
      <c r="B48" s="30"/>
      <c r="C48" s="30"/>
      <c r="D48" s="28"/>
      <c r="E48" s="28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</row>
    <row r="49" spans="2:3" ht="15.75" customHeight="1" x14ac:dyDescent="0.35">
      <c r="B49" s="14"/>
      <c r="C49" s="14"/>
    </row>
    <row r="51" spans="2:3" ht="15.75" customHeight="1" x14ac:dyDescent="0.35"/>
    <row r="52" spans="2:3" ht="15.75" customHeight="1" x14ac:dyDescent="0.35"/>
    <row r="53" spans="2:3" ht="17.25" customHeight="1" x14ac:dyDescent="0.35"/>
    <row r="54" spans="2:3" ht="15.75" customHeight="1" x14ac:dyDescent="0.35"/>
    <row r="55" spans="2:3" ht="14.25" customHeight="1" x14ac:dyDescent="0.35"/>
    <row r="57" spans="2:3" ht="15.75" customHeight="1" x14ac:dyDescent="0.35"/>
    <row r="58" spans="2:3" ht="15.75" customHeight="1" x14ac:dyDescent="0.35"/>
    <row r="60" spans="2:3" ht="15.75" customHeight="1" x14ac:dyDescent="0.35"/>
    <row r="61" spans="2:3" ht="15.75" customHeight="1" x14ac:dyDescent="0.35"/>
    <row r="62" spans="2:3" ht="15.75" customHeight="1" x14ac:dyDescent="0.35"/>
    <row r="63" spans="2:3" ht="15.75" customHeight="1" x14ac:dyDescent="0.35"/>
    <row r="67" spans="1:250" ht="15" customHeight="1" x14ac:dyDescent="0.35"/>
    <row r="68" spans="1:250" ht="15" customHeight="1" x14ac:dyDescent="0.35"/>
    <row r="69" spans="1:250" ht="15" customHeight="1" x14ac:dyDescent="0.35"/>
    <row r="70" spans="1:250" customFormat="1" ht="15" customHeight="1" x14ac:dyDescent="0.35">
      <c r="A70" s="13"/>
      <c r="B70" s="13"/>
      <c r="C70" s="13"/>
      <c r="D70" s="13"/>
      <c r="E70" s="13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</row>
    <row r="71" spans="1:250" customFormat="1" ht="15" customHeight="1" x14ac:dyDescent="0.35">
      <c r="A71" s="13"/>
      <c r="B71" s="13"/>
      <c r="C71" s="13"/>
      <c r="D71" s="13"/>
      <c r="E71" s="13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</row>
    <row r="72" spans="1:250" customFormat="1" ht="15" customHeight="1" x14ac:dyDescent="0.35">
      <c r="A72" s="13"/>
      <c r="B72" s="13"/>
      <c r="C72" s="13"/>
      <c r="D72" s="13"/>
      <c r="E72" s="13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</row>
    <row r="73" spans="1:250" customFormat="1" ht="15" customHeight="1" x14ac:dyDescent="0.35">
      <c r="A73" s="13"/>
      <c r="B73" s="13"/>
      <c r="C73" s="13"/>
      <c r="D73" s="13"/>
      <c r="E73" s="13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</row>
    <row r="74" spans="1:250" customFormat="1" ht="15" customHeight="1" x14ac:dyDescent="0.35">
      <c r="A74" s="13"/>
      <c r="B74" s="13"/>
      <c r="C74" s="13"/>
      <c r="D74" s="13"/>
      <c r="E74" s="13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</row>
    <row r="75" spans="1:250" customFormat="1" ht="15" customHeight="1" x14ac:dyDescent="0.35">
      <c r="A75" s="13"/>
      <c r="B75" s="13"/>
      <c r="C75" s="13"/>
      <c r="D75" s="13"/>
      <c r="E75" s="1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</row>
    <row r="76" spans="1:250" s="2" customFormat="1" ht="15" customHeight="1" x14ac:dyDescent="0.35">
      <c r="A76" s="13"/>
      <c r="B76" s="13"/>
      <c r="C76" s="13"/>
      <c r="D76" s="13"/>
      <c r="E76" s="1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</row>
  </sheetData>
  <mergeCells count="7">
    <mergeCell ref="A43:B43"/>
    <mergeCell ref="A7:D7"/>
    <mergeCell ref="A9:B9"/>
    <mergeCell ref="A10:B10"/>
    <mergeCell ref="A39:B39"/>
    <mergeCell ref="A40:B40"/>
    <mergeCell ref="A42:B42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G73"/>
  <sheetViews>
    <sheetView topLeftCell="A44" workbookViewId="0">
      <selection activeCell="G24" sqref="G24"/>
    </sheetView>
  </sheetViews>
  <sheetFormatPr defaultColWidth="9.1796875" defaultRowHeight="15.5" x14ac:dyDescent="0.35"/>
  <cols>
    <col min="1" max="1" width="15.7265625" style="13" customWidth="1"/>
    <col min="2" max="2" width="93" style="13" customWidth="1"/>
    <col min="3" max="3" width="8.26953125" style="13" hidden="1" customWidth="1"/>
    <col min="4" max="4" width="9.1796875" style="13" hidden="1" customWidth="1"/>
    <col min="5" max="5" width="24.7265625" style="13" customWidth="1"/>
    <col min="6" max="16384" width="9.1796875" style="4"/>
  </cols>
  <sheetData>
    <row r="1" spans="1:5" x14ac:dyDescent="0.35">
      <c r="B1" s="15"/>
      <c r="C1" s="15"/>
      <c r="D1" s="15"/>
      <c r="E1" s="15" t="s">
        <v>10</v>
      </c>
    </row>
    <row r="2" spans="1:5" x14ac:dyDescent="0.35">
      <c r="B2" s="311"/>
      <c r="C2" s="311"/>
      <c r="D2" s="311"/>
      <c r="E2" s="15" t="s">
        <v>32</v>
      </c>
    </row>
    <row r="3" spans="1:5" x14ac:dyDescent="0.35">
      <c r="B3" s="15"/>
      <c r="C3" s="15"/>
      <c r="D3" s="15"/>
      <c r="E3" s="15" t="s">
        <v>294</v>
      </c>
    </row>
    <row r="4" spans="1:5" x14ac:dyDescent="0.35">
      <c r="B4" s="15"/>
      <c r="C4" s="15"/>
      <c r="D4" s="15"/>
      <c r="E4" s="15"/>
    </row>
    <row r="5" spans="1:5" x14ac:dyDescent="0.35">
      <c r="B5" s="335"/>
      <c r="C5" s="335"/>
      <c r="D5" s="335"/>
      <c r="E5" s="15" t="s">
        <v>279</v>
      </c>
    </row>
    <row r="6" spans="1:5" ht="15.75" customHeight="1" x14ac:dyDescent="0.35">
      <c r="B6" s="14"/>
      <c r="C6" s="14"/>
      <c r="D6" s="14"/>
      <c r="E6" s="25"/>
    </row>
    <row r="7" spans="1:5" ht="15" x14ac:dyDescent="0.3">
      <c r="A7" s="416" t="s">
        <v>9</v>
      </c>
      <c r="B7" s="416"/>
      <c r="C7" s="416"/>
      <c r="D7" s="416"/>
      <c r="E7" s="416"/>
    </row>
    <row r="8" spans="1:5" x14ac:dyDescent="0.35">
      <c r="B8" s="18"/>
      <c r="C8" s="18"/>
      <c r="D8" s="18"/>
    </row>
    <row r="9" spans="1:5" x14ac:dyDescent="0.35">
      <c r="A9" s="419" t="s">
        <v>1</v>
      </c>
      <c r="B9" s="419"/>
      <c r="C9" s="11"/>
      <c r="D9" s="11"/>
    </row>
    <row r="10" spans="1:5" x14ac:dyDescent="0.35">
      <c r="A10" s="419" t="s">
        <v>0</v>
      </c>
      <c r="B10" s="419"/>
      <c r="C10" s="11"/>
      <c r="D10" s="11"/>
    </row>
    <row r="11" spans="1:5" x14ac:dyDescent="0.35">
      <c r="A11" s="11"/>
      <c r="B11" s="11" t="s">
        <v>280</v>
      </c>
      <c r="C11" s="11"/>
      <c r="D11" s="11"/>
    </row>
    <row r="12" spans="1:5" x14ac:dyDescent="0.35">
      <c r="A12" s="11"/>
      <c r="B12" s="11" t="s">
        <v>295</v>
      </c>
      <c r="C12" s="11"/>
      <c r="D12" s="11"/>
    </row>
    <row r="13" spans="1:5" x14ac:dyDescent="0.35">
      <c r="A13" s="11"/>
      <c r="B13" s="11" t="s">
        <v>296</v>
      </c>
      <c r="C13" s="11"/>
      <c r="D13" s="11"/>
    </row>
    <row r="14" spans="1:5" x14ac:dyDescent="0.35">
      <c r="A14" s="11" t="s">
        <v>2</v>
      </c>
      <c r="B14" s="11" t="s">
        <v>250</v>
      </c>
      <c r="C14" s="11"/>
      <c r="D14" s="11"/>
    </row>
    <row r="15" spans="1:5" ht="62" x14ac:dyDescent="0.3">
      <c r="A15" s="51" t="s">
        <v>3</v>
      </c>
      <c r="B15" s="51" t="s">
        <v>4</v>
      </c>
      <c r="C15" s="51"/>
      <c r="D15" s="51"/>
      <c r="E15" s="51" t="s">
        <v>63</v>
      </c>
    </row>
    <row r="16" spans="1:5" ht="15" x14ac:dyDescent="0.3">
      <c r="A16" s="20">
        <v>1</v>
      </c>
      <c r="B16" s="21">
        <v>2</v>
      </c>
      <c r="C16" s="21"/>
      <c r="D16" s="21"/>
      <c r="E16" s="21">
        <v>3</v>
      </c>
    </row>
    <row r="17" spans="1:7" x14ac:dyDescent="0.35">
      <c r="A17" s="20"/>
      <c r="B17" s="22" t="s">
        <v>5</v>
      </c>
      <c r="C17" s="22"/>
      <c r="D17" s="22"/>
      <c r="E17" s="61"/>
    </row>
    <row r="18" spans="1:7" x14ac:dyDescent="0.35">
      <c r="A18" s="31">
        <v>1100</v>
      </c>
      <c r="B18" s="288" t="s">
        <v>68</v>
      </c>
      <c r="C18" s="288"/>
      <c r="D18" s="341">
        <f>[8]MPC!D4</f>
        <v>3.154970760233919</v>
      </c>
      <c r="E18" s="33">
        <v>69.41</v>
      </c>
    </row>
    <row r="19" spans="1:7" x14ac:dyDescent="0.35">
      <c r="A19" s="31">
        <v>1200</v>
      </c>
      <c r="B19" s="62" t="s">
        <v>265</v>
      </c>
      <c r="C19" s="62"/>
      <c r="D19" s="341">
        <f>[8]MPC!D5</f>
        <v>0.74425760233918148</v>
      </c>
      <c r="E19" s="33">
        <v>16.37</v>
      </c>
    </row>
    <row r="20" spans="1:7" ht="15.75" customHeight="1" x14ac:dyDescent="0.35">
      <c r="A20" s="31">
        <v>2223</v>
      </c>
      <c r="B20" s="62" t="s">
        <v>27</v>
      </c>
      <c r="C20" s="62"/>
      <c r="D20" s="341">
        <f>[8]MPC!D6</f>
        <v>7.3974320282847866E-2</v>
      </c>
      <c r="E20" s="33">
        <v>1.48</v>
      </c>
    </row>
    <row r="21" spans="1:7" ht="15.75" customHeight="1" x14ac:dyDescent="0.35">
      <c r="A21" s="31">
        <v>2321</v>
      </c>
      <c r="B21" s="62" t="s">
        <v>19</v>
      </c>
      <c r="C21" s="62"/>
      <c r="D21" s="341">
        <f>[8]MPC!D7</f>
        <v>7.8122413008988839E-2</v>
      </c>
      <c r="E21" s="33">
        <v>1.56</v>
      </c>
    </row>
    <row r="22" spans="1:7" x14ac:dyDescent="0.35">
      <c r="A22" s="31">
        <v>2311</v>
      </c>
      <c r="B22" s="62" t="s">
        <v>17</v>
      </c>
      <c r="C22" s="62"/>
      <c r="D22" s="341">
        <f>[8]MPC!D8</f>
        <v>4.3421052631578954E-3</v>
      </c>
      <c r="E22" s="33">
        <v>0.09</v>
      </c>
    </row>
    <row r="23" spans="1:7" x14ac:dyDescent="0.35">
      <c r="A23" s="31">
        <v>2312</v>
      </c>
      <c r="B23" s="62" t="s">
        <v>18</v>
      </c>
      <c r="C23" s="62"/>
      <c r="D23" s="341">
        <f>[8]MPC!D9</f>
        <v>5.474248378819109E-2</v>
      </c>
      <c r="E23" s="33">
        <v>1.0900000000000001</v>
      </c>
    </row>
    <row r="24" spans="1:7" x14ac:dyDescent="0.35">
      <c r="A24" s="61">
        <v>2370</v>
      </c>
      <c r="B24" s="62" t="s">
        <v>50</v>
      </c>
      <c r="C24" s="62"/>
      <c r="D24" s="341">
        <f>[8]MPC!D10</f>
        <v>0.11175438596491229</v>
      </c>
      <c r="E24" s="33">
        <v>2.2400000000000002</v>
      </c>
    </row>
    <row r="25" spans="1:7" ht="15.75" hidden="1" customHeight="1" x14ac:dyDescent="0.35">
      <c r="A25" s="31">
        <v>2244</v>
      </c>
      <c r="B25" s="62" t="s">
        <v>267</v>
      </c>
      <c r="C25" s="62"/>
      <c r="D25" s="341">
        <f>[8]MPC!D11</f>
        <v>4.3136985736750712E-2</v>
      </c>
      <c r="E25" s="33">
        <v>0</v>
      </c>
    </row>
    <row r="26" spans="1:7" x14ac:dyDescent="0.3">
      <c r="A26" s="31"/>
      <c r="B26" s="78" t="s">
        <v>6</v>
      </c>
      <c r="C26" s="78"/>
      <c r="D26" s="347">
        <f>[8]MPC!D12</f>
        <v>4.2653010566179486</v>
      </c>
      <c r="E26" s="37">
        <f>SUM(E18:E25)</f>
        <v>92.240000000000009</v>
      </c>
      <c r="G26" s="348"/>
    </row>
    <row r="27" spans="1:7" x14ac:dyDescent="0.35">
      <c r="A27" s="38"/>
      <c r="B27" s="288" t="s">
        <v>7</v>
      </c>
      <c r="C27" s="288"/>
      <c r="D27" s="341"/>
      <c r="E27" s="33"/>
    </row>
    <row r="28" spans="1:7" x14ac:dyDescent="0.35">
      <c r="A28" s="31">
        <v>1100</v>
      </c>
      <c r="B28" s="31" t="s">
        <v>132</v>
      </c>
      <c r="C28" s="349">
        <v>0.51439999999999997</v>
      </c>
      <c r="D28" s="341">
        <f>[8]MPC!D14</f>
        <v>0.95112943966962393</v>
      </c>
      <c r="E28" s="107">
        <f>20.97+1.3</f>
        <v>22.27</v>
      </c>
    </row>
    <row r="29" spans="1:7" ht="15.75" customHeight="1" x14ac:dyDescent="0.35">
      <c r="A29" s="31">
        <v>1200</v>
      </c>
      <c r="B29" s="32" t="s">
        <v>133</v>
      </c>
      <c r="C29" s="349">
        <f>C28*0.2359</f>
        <v>0.12134695999999999</v>
      </c>
      <c r="D29" s="341">
        <f>[8]MPC!D15</f>
        <v>0.22437143481806429</v>
      </c>
      <c r="E29" s="107">
        <f>E28*0.2359</f>
        <v>5.2534929999999997</v>
      </c>
    </row>
    <row r="30" spans="1:7" x14ac:dyDescent="0.35">
      <c r="A30" s="31">
        <v>2100</v>
      </c>
      <c r="B30" s="24" t="s">
        <v>45</v>
      </c>
      <c r="C30" s="350">
        <v>8.0999999999999996E-4</v>
      </c>
      <c r="D30" s="341">
        <f>[8]MPC!D16</f>
        <v>1.4976960461360719E-3</v>
      </c>
      <c r="E30" s="33">
        <v>0.03</v>
      </c>
    </row>
    <row r="31" spans="1:7" x14ac:dyDescent="0.35">
      <c r="A31" s="34">
        <v>2210</v>
      </c>
      <c r="B31" s="32" t="s">
        <v>120</v>
      </c>
      <c r="C31" s="350">
        <v>8.0000000000000002E-3</v>
      </c>
      <c r="D31" s="341">
        <f>[8]MPC!D17</f>
        <v>1.4792059714924168E-2</v>
      </c>
      <c r="E31" s="33">
        <v>0.3</v>
      </c>
    </row>
    <row r="32" spans="1:7" x14ac:dyDescent="0.35">
      <c r="A32" s="31">
        <v>2222</v>
      </c>
      <c r="B32" s="62" t="s">
        <v>135</v>
      </c>
      <c r="C32" s="350">
        <v>4.4400000000000004E-3</v>
      </c>
      <c r="D32" s="341">
        <f>[8]MPC!D18</f>
        <v>8.2095931417829147E-3</v>
      </c>
      <c r="E32" s="33">
        <v>0.16</v>
      </c>
    </row>
    <row r="33" spans="1:5" x14ac:dyDescent="0.35">
      <c r="A33" s="31">
        <v>2223</v>
      </c>
      <c r="B33" s="62" t="s">
        <v>136</v>
      </c>
      <c r="C33" s="350">
        <v>5.4940000000000003E-2</v>
      </c>
      <c r="D33" s="341">
        <f>[8]MPC!D19</f>
        <v>0.10158447009224172</v>
      </c>
      <c r="E33" s="33">
        <v>2.0299999999999998</v>
      </c>
    </row>
    <row r="34" spans="1:5" ht="31" x14ac:dyDescent="0.35">
      <c r="A34" s="31">
        <v>2224</v>
      </c>
      <c r="B34" s="62" t="s">
        <v>143</v>
      </c>
      <c r="C34" s="350">
        <v>3.0899999999999999E-3</v>
      </c>
      <c r="D34" s="341">
        <f>[8]MPC!D20</f>
        <v>5.7134330648894597E-3</v>
      </c>
      <c r="E34" s="33">
        <v>0.11</v>
      </c>
    </row>
    <row r="35" spans="1:5" x14ac:dyDescent="0.35">
      <c r="A35" s="31">
        <v>2231</v>
      </c>
      <c r="B35" s="22" t="s">
        <v>126</v>
      </c>
      <c r="C35" s="350">
        <v>1.5E-3</v>
      </c>
      <c r="D35" s="341">
        <f>[8]MPC!D21</f>
        <v>2.7735111965482818E-3</v>
      </c>
      <c r="E35" s="33">
        <v>0.06</v>
      </c>
    </row>
    <row r="36" spans="1:5" x14ac:dyDescent="0.35">
      <c r="A36" s="31">
        <v>2235</v>
      </c>
      <c r="B36" s="75" t="s">
        <v>127</v>
      </c>
      <c r="C36" s="350">
        <v>2.5100000000000001E-3</v>
      </c>
      <c r="D36" s="341">
        <f>[8]MPC!D22</f>
        <v>4.6410087355574581E-3</v>
      </c>
      <c r="E36" s="33">
        <v>0.09</v>
      </c>
    </row>
    <row r="37" spans="1:5" x14ac:dyDescent="0.35">
      <c r="A37" s="31">
        <v>2239</v>
      </c>
      <c r="B37" s="22" t="s">
        <v>144</v>
      </c>
      <c r="C37" s="350">
        <v>1.7899999999999999E-3</v>
      </c>
      <c r="D37" s="341">
        <f>[8]MPC!D23</f>
        <v>3.3097233612142825E-3</v>
      </c>
      <c r="E37" s="33">
        <v>7.0000000000000007E-2</v>
      </c>
    </row>
    <row r="38" spans="1:5" x14ac:dyDescent="0.35">
      <c r="A38" s="31">
        <v>2241</v>
      </c>
      <c r="B38" s="22" t="s">
        <v>123</v>
      </c>
      <c r="C38" s="350">
        <v>1.6500000000000001E-2</v>
      </c>
      <c r="D38" s="341">
        <f>[8]MPC!D24</f>
        <v>3.0508623162031099E-2</v>
      </c>
      <c r="E38" s="33">
        <v>0.61</v>
      </c>
    </row>
    <row r="39" spans="1:5" x14ac:dyDescent="0.35">
      <c r="A39" s="31">
        <v>2242</v>
      </c>
      <c r="B39" s="62" t="s">
        <v>145</v>
      </c>
      <c r="C39" s="350">
        <v>8.4999999999999995E-4</v>
      </c>
      <c r="D39" s="341">
        <f>[8]MPC!D25</f>
        <v>1.5716563447106928E-3</v>
      </c>
      <c r="E39" s="33">
        <v>0.03</v>
      </c>
    </row>
    <row r="40" spans="1:5" ht="14.25" customHeight="1" x14ac:dyDescent="0.35">
      <c r="A40" s="31">
        <v>2243</v>
      </c>
      <c r="B40" s="22" t="s">
        <v>137</v>
      </c>
      <c r="C40" s="350">
        <v>4.0000000000000002E-4</v>
      </c>
      <c r="D40" s="341">
        <f>[8]MPC!D26</f>
        <v>7.3960298574620841E-4</v>
      </c>
      <c r="E40" s="33">
        <v>0.01</v>
      </c>
    </row>
    <row r="41" spans="1:5" x14ac:dyDescent="0.35">
      <c r="A41" s="31">
        <v>2244</v>
      </c>
      <c r="B41" s="22" t="s">
        <v>138</v>
      </c>
      <c r="C41" s="350">
        <v>6.8070000000000006E-2</v>
      </c>
      <c r="D41" s="341">
        <f>[8]MPC!D27</f>
        <v>0.12586193809936103</v>
      </c>
      <c r="E41" s="33">
        <f>2.53+0.86</f>
        <v>3.3899999999999997</v>
      </c>
    </row>
    <row r="42" spans="1:5" hidden="1" x14ac:dyDescent="0.35">
      <c r="A42" s="61">
        <v>2247</v>
      </c>
      <c r="B42" s="22" t="s">
        <v>146</v>
      </c>
      <c r="C42" s="350">
        <v>2.2000000000000001E-4</v>
      </c>
      <c r="D42" s="341">
        <f>[8]MPC!D28</f>
        <v>4.0678164216041463E-4</v>
      </c>
      <c r="E42" s="33">
        <v>0</v>
      </c>
    </row>
    <row r="43" spans="1:5" x14ac:dyDescent="0.35">
      <c r="A43" s="61">
        <v>2249</v>
      </c>
      <c r="B43" s="62" t="s">
        <v>282</v>
      </c>
      <c r="C43" s="350">
        <v>2.5000000000000001E-4</v>
      </c>
      <c r="D43" s="341">
        <f>[8]MPC!D29</f>
        <v>4.6225186609138026E-4</v>
      </c>
      <c r="E43" s="33">
        <v>0.01</v>
      </c>
    </row>
    <row r="44" spans="1:5" x14ac:dyDescent="0.35">
      <c r="A44" s="31">
        <v>2250</v>
      </c>
      <c r="B44" s="22" t="s">
        <v>124</v>
      </c>
      <c r="C44" s="350">
        <v>2.8400000000000002E-2</v>
      </c>
      <c r="D44" s="341">
        <f>[8]MPC!D30</f>
        <v>5.25118119879808E-2</v>
      </c>
      <c r="E44" s="33">
        <v>1.05</v>
      </c>
    </row>
    <row r="45" spans="1:5" x14ac:dyDescent="0.35">
      <c r="A45" s="31">
        <v>2262</v>
      </c>
      <c r="B45" s="62" t="s">
        <v>148</v>
      </c>
      <c r="C45" s="350">
        <v>1.137E-2</v>
      </c>
      <c r="D45" s="341">
        <f>[8]MPC!D31</f>
        <v>2.1023214869835972E-2</v>
      </c>
      <c r="E45" s="33">
        <v>0.42</v>
      </c>
    </row>
    <row r="46" spans="1:5" hidden="1" x14ac:dyDescent="0.35">
      <c r="A46" s="31">
        <v>2263</v>
      </c>
      <c r="B46" s="62" t="s">
        <v>149</v>
      </c>
      <c r="C46" s="350">
        <v>4.58E-2</v>
      </c>
      <c r="D46" s="341">
        <f>[8]MPC!D32</f>
        <v>8.468454186794086E-2</v>
      </c>
      <c r="E46" s="33">
        <v>0</v>
      </c>
    </row>
    <row r="47" spans="1:5" x14ac:dyDescent="0.35">
      <c r="A47" s="31">
        <v>2264</v>
      </c>
      <c r="B47" s="22" t="s">
        <v>150</v>
      </c>
      <c r="C47" s="350">
        <v>2.4000000000000001E-4</v>
      </c>
      <c r="D47" s="341">
        <f>[8]MPC!D33</f>
        <v>4.4376179144772505E-4</v>
      </c>
      <c r="E47" s="33">
        <v>0.01</v>
      </c>
    </row>
    <row r="48" spans="1:5" ht="17.25" customHeight="1" x14ac:dyDescent="0.35">
      <c r="A48" s="31">
        <v>2311</v>
      </c>
      <c r="B48" s="62" t="s">
        <v>151</v>
      </c>
      <c r="C48" s="351">
        <v>7.1000000000000002E-4</v>
      </c>
      <c r="D48" s="341">
        <f>[8]MPC!D34</f>
        <v>1.31279529969952E-3</v>
      </c>
      <c r="E48" s="33">
        <v>0.03</v>
      </c>
    </row>
    <row r="49" spans="1:6" x14ac:dyDescent="0.35">
      <c r="A49" s="31">
        <v>2314</v>
      </c>
      <c r="B49" s="75" t="s">
        <v>152</v>
      </c>
      <c r="C49" s="350">
        <v>4.6000000000000001E-4</v>
      </c>
      <c r="D49" s="341">
        <f>[8]MPC!D35</f>
        <v>8.5054343360813967E-4</v>
      </c>
      <c r="E49" s="33">
        <v>0.02</v>
      </c>
    </row>
    <row r="50" spans="1:6" x14ac:dyDescent="0.35">
      <c r="A50" s="31">
        <v>2321</v>
      </c>
      <c r="B50" s="62" t="s">
        <v>139</v>
      </c>
      <c r="C50" s="350">
        <v>6.0220000000000003E-2</v>
      </c>
      <c r="D50" s="341">
        <f>[8]MPC!D36</f>
        <v>0.11134722950409168</v>
      </c>
      <c r="E50" s="33">
        <v>2.23</v>
      </c>
    </row>
    <row r="51" spans="1:6" x14ac:dyDescent="0.35">
      <c r="A51" s="31">
        <v>2322</v>
      </c>
      <c r="B51" s="62" t="s">
        <v>153</v>
      </c>
      <c r="C51" s="350">
        <v>2.0999999999999999E-3</v>
      </c>
      <c r="D51" s="341">
        <f>[8]MPC!D37</f>
        <v>3.8829156751675939E-3</v>
      </c>
      <c r="E51" s="33">
        <v>0.08</v>
      </c>
    </row>
    <row r="52" spans="1:6" hidden="1" x14ac:dyDescent="0.35">
      <c r="A52" s="31">
        <v>2512</v>
      </c>
      <c r="B52" s="62" t="s">
        <v>154</v>
      </c>
      <c r="C52" s="350">
        <v>0</v>
      </c>
      <c r="D52" s="341">
        <f>[8]MPC!D38</f>
        <v>0</v>
      </c>
      <c r="E52" s="33">
        <v>0</v>
      </c>
    </row>
    <row r="53" spans="1:6" x14ac:dyDescent="0.35">
      <c r="A53" s="31">
        <v>2513</v>
      </c>
      <c r="B53" s="61" t="s">
        <v>121</v>
      </c>
      <c r="C53" s="350">
        <v>6.3000000000000003E-4</v>
      </c>
      <c r="D53" s="341">
        <f>[8]MPC!D39</f>
        <v>1.1648747025502784E-3</v>
      </c>
      <c r="E53" s="33">
        <v>0.02</v>
      </c>
    </row>
    <row r="54" spans="1:6" x14ac:dyDescent="0.35">
      <c r="A54" s="31">
        <v>2515</v>
      </c>
      <c r="B54" s="62" t="s">
        <v>155</v>
      </c>
      <c r="C54" s="350">
        <v>2.7499999999999998E-3</v>
      </c>
      <c r="D54" s="341">
        <f>[8]MPC!D40</f>
        <v>5.0847705270051823E-3</v>
      </c>
      <c r="E54" s="33">
        <v>0.1</v>
      </c>
    </row>
    <row r="55" spans="1:6" ht="17.25" customHeight="1" x14ac:dyDescent="0.35">
      <c r="A55" s="31">
        <v>2519</v>
      </c>
      <c r="B55" s="62" t="s">
        <v>122</v>
      </c>
      <c r="C55" s="350">
        <v>1.5100000000000001E-3</v>
      </c>
      <c r="D55" s="341">
        <f>[8]MPC!D41</f>
        <v>2.7920012711919366E-3</v>
      </c>
      <c r="E55" s="33">
        <v>0.06</v>
      </c>
    </row>
    <row r="56" spans="1:6" x14ac:dyDescent="0.35">
      <c r="A56" s="31">
        <v>5220</v>
      </c>
      <c r="B56" s="62" t="s">
        <v>128</v>
      </c>
      <c r="C56" s="350">
        <v>1.06E-2</v>
      </c>
      <c r="D56" s="341">
        <f>[8]MPC!D42</f>
        <v>1.9599479122274523E-2</v>
      </c>
      <c r="E56" s="33">
        <v>0.39</v>
      </c>
    </row>
    <row r="57" spans="1:6" x14ac:dyDescent="0.35">
      <c r="A57" s="31">
        <v>5238</v>
      </c>
      <c r="B57" s="61" t="s">
        <v>129</v>
      </c>
      <c r="C57" s="350">
        <v>1.65E-3</v>
      </c>
      <c r="D57" s="341">
        <f>[8]MPC!D43</f>
        <v>3.0508623162031098E-3</v>
      </c>
      <c r="E57" s="33">
        <v>0.06</v>
      </c>
    </row>
    <row r="58" spans="1:6" x14ac:dyDescent="0.35">
      <c r="A58" s="31">
        <v>5239</v>
      </c>
      <c r="B58" s="13" t="s">
        <v>130</v>
      </c>
      <c r="C58" s="350">
        <v>1.95E-2</v>
      </c>
      <c r="D58" s="341">
        <f>[8]MPC!D44</f>
        <v>3.6055645555127656E-2</v>
      </c>
      <c r="E58" s="33">
        <v>0.53</v>
      </c>
    </row>
    <row r="59" spans="1:6" x14ac:dyDescent="0.35">
      <c r="A59" s="31">
        <v>5250</v>
      </c>
      <c r="B59" s="62" t="s">
        <v>131</v>
      </c>
      <c r="C59" s="350">
        <v>1.4999999999999999E-2</v>
      </c>
      <c r="D59" s="341">
        <f>[8]MPC!D45</f>
        <v>2.7735111965482815E-2</v>
      </c>
      <c r="E59" s="33">
        <v>0.45</v>
      </c>
    </row>
    <row r="60" spans="1:6" x14ac:dyDescent="0.35">
      <c r="A60" s="334"/>
      <c r="B60" s="79" t="s">
        <v>8</v>
      </c>
      <c r="C60" s="79"/>
      <c r="D60" s="347">
        <f>SUM(D28:D59)</f>
        <v>1.8491127838306913</v>
      </c>
      <c r="E60" s="37">
        <f>SUM(E28:E59)</f>
        <v>39.873493000000011</v>
      </c>
      <c r="F60" s="348"/>
    </row>
    <row r="61" spans="1:6" x14ac:dyDescent="0.35">
      <c r="A61" s="334"/>
      <c r="B61" s="79" t="s">
        <v>29</v>
      </c>
      <c r="C61" s="79"/>
      <c r="D61" s="347">
        <f>D26+D60</f>
        <v>6.1144138404486394</v>
      </c>
      <c r="E61" s="37">
        <f>E26+E60</f>
        <v>132.11349300000001</v>
      </c>
    </row>
    <row r="62" spans="1:6" x14ac:dyDescent="0.35">
      <c r="A62" s="15"/>
      <c r="B62" s="25"/>
      <c r="C62" s="25"/>
      <c r="D62" s="25"/>
      <c r="E62" s="59"/>
    </row>
    <row r="63" spans="1:6" ht="15.75" customHeight="1" x14ac:dyDescent="0.35">
      <c r="A63" s="430" t="s">
        <v>106</v>
      </c>
      <c r="B63" s="431"/>
      <c r="C63" s="143"/>
      <c r="D63" s="143"/>
      <c r="E63" s="19">
        <v>20</v>
      </c>
    </row>
    <row r="64" spans="1:6" ht="15" customHeight="1" x14ac:dyDescent="0.3">
      <c r="A64" s="428" t="s">
        <v>107</v>
      </c>
      <c r="B64" s="429"/>
      <c r="C64" s="305"/>
      <c r="D64" s="305"/>
      <c r="E64" s="352">
        <f>E61/E63</f>
        <v>6.6056746500000001</v>
      </c>
    </row>
    <row r="65" spans="1:5" ht="14.25" customHeight="1" x14ac:dyDescent="0.35">
      <c r="A65" s="25"/>
      <c r="B65" s="26"/>
      <c r="C65" s="26"/>
      <c r="D65" s="26"/>
      <c r="E65" s="353"/>
    </row>
    <row r="66" spans="1:5" s="7" customFormat="1" ht="15" customHeight="1" x14ac:dyDescent="0.35">
      <c r="A66" s="430" t="s">
        <v>33</v>
      </c>
      <c r="B66" s="431"/>
      <c r="C66" s="143"/>
      <c r="D66" s="143"/>
      <c r="E66" s="27"/>
    </row>
    <row r="67" spans="1:5" s="7" customFormat="1" ht="15" customHeight="1" x14ac:dyDescent="0.35">
      <c r="A67" s="430" t="s">
        <v>64</v>
      </c>
      <c r="B67" s="431"/>
      <c r="C67" s="143"/>
      <c r="D67" s="143"/>
      <c r="E67" s="27"/>
    </row>
    <row r="68" spans="1:5" s="7" customFormat="1" x14ac:dyDescent="0.35">
      <c r="A68" s="28"/>
      <c r="B68" s="28"/>
      <c r="C68" s="28"/>
      <c r="D68" s="28"/>
      <c r="E68" s="81"/>
    </row>
    <row r="69" spans="1:5" s="7" customFormat="1" x14ac:dyDescent="0.35">
      <c r="A69" s="28" t="s">
        <v>34</v>
      </c>
      <c r="B69" s="28"/>
      <c r="C69" s="28"/>
      <c r="D69" s="28"/>
      <c r="E69" s="28"/>
    </row>
    <row r="70" spans="1:5" s="7" customFormat="1" x14ac:dyDescent="0.35">
      <c r="A70" s="28"/>
      <c r="B70" s="28"/>
      <c r="C70" s="28"/>
      <c r="D70" s="28"/>
      <c r="E70" s="28"/>
    </row>
    <row r="71" spans="1:5" s="7" customFormat="1" x14ac:dyDescent="0.35">
      <c r="A71" s="28" t="s">
        <v>297</v>
      </c>
      <c r="B71" s="29"/>
      <c r="C71" s="29"/>
      <c r="D71" s="29"/>
      <c r="E71" s="28"/>
    </row>
    <row r="72" spans="1:5" s="2" customFormat="1" ht="14.25" customHeight="1" x14ac:dyDescent="0.35">
      <c r="A72" s="28"/>
      <c r="B72" s="30"/>
      <c r="C72" s="30"/>
      <c r="D72" s="30"/>
      <c r="E72" s="28"/>
    </row>
    <row r="73" spans="1:5" x14ac:dyDescent="0.35">
      <c r="B73" s="14"/>
      <c r="C73" s="14"/>
      <c r="D73" s="14"/>
      <c r="E73" s="26"/>
    </row>
  </sheetData>
  <mergeCells count="7">
    <mergeCell ref="A67:B67"/>
    <mergeCell ref="A7:E7"/>
    <mergeCell ref="A9:B9"/>
    <mergeCell ref="A10:B10"/>
    <mergeCell ref="A63:B63"/>
    <mergeCell ref="A64:B64"/>
    <mergeCell ref="A66:B66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1:E42"/>
  <sheetViews>
    <sheetView view="pageLayout" topLeftCell="A4" zoomScale="80" zoomScaleNormal="100" zoomScalePageLayoutView="80" workbookViewId="0">
      <selection activeCell="B12" sqref="B12:C12"/>
    </sheetView>
  </sheetViews>
  <sheetFormatPr defaultColWidth="9.1796875" defaultRowHeight="15.5" x14ac:dyDescent="0.35"/>
  <cols>
    <col min="1" max="1" width="11.26953125" style="13" customWidth="1"/>
    <col min="2" max="2" width="84.453125" style="13" customWidth="1"/>
    <col min="3" max="3" width="26.54296875" style="13" customWidth="1"/>
    <col min="4" max="16384" width="9.1796875" style="13"/>
  </cols>
  <sheetData>
    <row r="1" spans="1:3" x14ac:dyDescent="0.35">
      <c r="B1" s="15"/>
      <c r="C1" s="15" t="s">
        <v>10</v>
      </c>
    </row>
    <row r="2" spans="1:3" x14ac:dyDescent="0.35">
      <c r="B2" s="15"/>
      <c r="C2" s="15" t="s">
        <v>32</v>
      </c>
    </row>
    <row r="3" spans="1:3" x14ac:dyDescent="0.35">
      <c r="B3" s="311"/>
      <c r="C3" s="15" t="s">
        <v>66</v>
      </c>
    </row>
    <row r="4" spans="1:3" x14ac:dyDescent="0.35">
      <c r="B4" s="15"/>
      <c r="C4" s="15"/>
    </row>
    <row r="5" spans="1:3" x14ac:dyDescent="0.35">
      <c r="B5" s="15"/>
      <c r="C5" s="15" t="s">
        <v>333</v>
      </c>
    </row>
    <row r="6" spans="1:3" ht="15.75" customHeight="1" x14ac:dyDescent="0.35">
      <c r="B6" s="453"/>
      <c r="C6" s="453"/>
    </row>
    <row r="7" spans="1:3" x14ac:dyDescent="0.35">
      <c r="A7" s="416" t="s">
        <v>9</v>
      </c>
      <c r="B7" s="416"/>
      <c r="C7" s="416"/>
    </row>
    <row r="8" spans="1:3" x14ac:dyDescent="0.35">
      <c r="A8" s="70"/>
      <c r="B8" s="70"/>
      <c r="C8" s="70"/>
    </row>
    <row r="9" spans="1:3" x14ac:dyDescent="0.35">
      <c r="A9" s="419" t="s">
        <v>1</v>
      </c>
      <c r="B9" s="419"/>
      <c r="C9" s="419"/>
    </row>
    <row r="10" spans="1:3" ht="15.75" customHeight="1" x14ac:dyDescent="0.35">
      <c r="A10" s="419" t="s">
        <v>0</v>
      </c>
      <c r="B10" s="419"/>
      <c r="C10" s="419"/>
    </row>
    <row r="11" spans="1:3" x14ac:dyDescent="0.35">
      <c r="A11" s="11"/>
      <c r="B11" s="419" t="s">
        <v>280</v>
      </c>
      <c r="C11" s="419"/>
    </row>
    <row r="12" spans="1:3" x14ac:dyDescent="0.35">
      <c r="A12" s="11"/>
      <c r="B12" s="419" t="s">
        <v>354</v>
      </c>
      <c r="C12" s="419"/>
    </row>
    <row r="13" spans="1:3" ht="15.75" customHeight="1" x14ac:dyDescent="0.35">
      <c r="A13" s="11" t="s">
        <v>2</v>
      </c>
      <c r="B13" s="11" t="s">
        <v>250</v>
      </c>
      <c r="C13" s="11"/>
    </row>
    <row r="14" spans="1:3" ht="90.75" customHeight="1" x14ac:dyDescent="0.35">
      <c r="A14" s="19" t="s">
        <v>3</v>
      </c>
      <c r="B14" s="19" t="s">
        <v>4</v>
      </c>
      <c r="C14" s="19" t="s">
        <v>134</v>
      </c>
    </row>
    <row r="15" spans="1:3" x14ac:dyDescent="0.35">
      <c r="A15" s="20">
        <v>1</v>
      </c>
      <c r="B15" s="21">
        <v>2</v>
      </c>
      <c r="C15" s="20">
        <v>3</v>
      </c>
    </row>
    <row r="16" spans="1:3" x14ac:dyDescent="0.35">
      <c r="A16" s="41"/>
      <c r="B16" s="22" t="s">
        <v>5</v>
      </c>
      <c r="C16" s="329"/>
    </row>
    <row r="17" spans="1:5" x14ac:dyDescent="0.35">
      <c r="A17" s="31">
        <v>1100</v>
      </c>
      <c r="B17" s="288" t="s">
        <v>132</v>
      </c>
      <c r="C17" s="133">
        <v>65.599999999999994</v>
      </c>
    </row>
    <row r="18" spans="1:5" x14ac:dyDescent="0.35">
      <c r="A18" s="31">
        <v>1200</v>
      </c>
      <c r="B18" s="83" t="s">
        <v>133</v>
      </c>
      <c r="C18" s="133">
        <v>15.48</v>
      </c>
    </row>
    <row r="19" spans="1:5" x14ac:dyDescent="0.35">
      <c r="A19" s="31">
        <v>2243</v>
      </c>
      <c r="B19" s="151" t="s">
        <v>137</v>
      </c>
      <c r="C19" s="133">
        <v>0.2</v>
      </c>
    </row>
    <row r="20" spans="1:5" x14ac:dyDescent="0.35">
      <c r="A20" s="31">
        <v>2312</v>
      </c>
      <c r="B20" s="83" t="s">
        <v>116</v>
      </c>
      <c r="C20" s="133"/>
    </row>
    <row r="21" spans="1:5" x14ac:dyDescent="0.35">
      <c r="A21" s="31">
        <v>2350</v>
      </c>
      <c r="B21" s="62" t="s">
        <v>125</v>
      </c>
      <c r="C21" s="133">
        <v>0</v>
      </c>
    </row>
    <row r="22" spans="1:5" x14ac:dyDescent="0.35">
      <c r="A22" s="31">
        <v>2263</v>
      </c>
      <c r="B22" s="62" t="s">
        <v>149</v>
      </c>
      <c r="C22" s="133">
        <v>657.9</v>
      </c>
    </row>
    <row r="23" spans="1:5" x14ac:dyDescent="0.35">
      <c r="A23" s="31">
        <v>2513</v>
      </c>
      <c r="B23" s="61" t="s">
        <v>121</v>
      </c>
      <c r="C23" s="133">
        <v>9.1999999999999993</v>
      </c>
    </row>
    <row r="24" spans="1:5" x14ac:dyDescent="0.35">
      <c r="A24" s="31"/>
      <c r="B24" s="78" t="s">
        <v>6</v>
      </c>
      <c r="C24" s="23">
        <f>SUM(C17:C23)</f>
        <v>748.38</v>
      </c>
      <c r="E24" s="58"/>
    </row>
    <row r="25" spans="1:5" x14ac:dyDescent="0.35">
      <c r="A25" s="38"/>
      <c r="B25" s="288" t="s">
        <v>7</v>
      </c>
      <c r="C25" s="133"/>
    </row>
    <row r="26" spans="1:5" x14ac:dyDescent="0.35">
      <c r="A26" s="31">
        <v>1100</v>
      </c>
      <c r="B26" s="31" t="s">
        <v>132</v>
      </c>
      <c r="C26" s="133">
        <v>25.1</v>
      </c>
    </row>
    <row r="27" spans="1:5" x14ac:dyDescent="0.35">
      <c r="A27" s="31">
        <v>1200</v>
      </c>
      <c r="B27" s="32" t="s">
        <v>133</v>
      </c>
      <c r="C27" s="133">
        <v>5.92</v>
      </c>
    </row>
    <row r="28" spans="1:5" ht="31" x14ac:dyDescent="0.35">
      <c r="A28" s="31">
        <v>2224</v>
      </c>
      <c r="B28" s="62" t="s">
        <v>143</v>
      </c>
      <c r="C28" s="133">
        <f>0.24*10</f>
        <v>2.4</v>
      </c>
    </row>
    <row r="29" spans="1:5" x14ac:dyDescent="0.35">
      <c r="A29" s="31">
        <v>2244</v>
      </c>
      <c r="B29" s="22" t="s">
        <v>138</v>
      </c>
      <c r="C29" s="133">
        <f>0.4*10</f>
        <v>4</v>
      </c>
    </row>
    <row r="30" spans="1:5" hidden="1" x14ac:dyDescent="0.35">
      <c r="A30" s="61">
        <v>2247</v>
      </c>
      <c r="B30" s="22" t="s">
        <v>146</v>
      </c>
      <c r="C30" s="133" t="e">
        <f>#REF!/20*30*10</f>
        <v>#REF!</v>
      </c>
    </row>
    <row r="31" spans="1:5" x14ac:dyDescent="0.35">
      <c r="A31" s="38"/>
      <c r="B31" s="79" t="s">
        <v>8</v>
      </c>
      <c r="C31" s="23">
        <f>C26+C27+C28+C29</f>
        <v>37.42</v>
      </c>
    </row>
    <row r="32" spans="1:5" x14ac:dyDescent="0.35">
      <c r="A32" s="334"/>
      <c r="B32" s="79" t="s">
        <v>29</v>
      </c>
      <c r="C32" s="23">
        <f>C31+C24</f>
        <v>785.8</v>
      </c>
      <c r="E32" s="58"/>
    </row>
    <row r="33" spans="1:3" x14ac:dyDescent="0.35">
      <c r="A33" s="15"/>
      <c r="B33" s="25"/>
      <c r="C33" s="59"/>
    </row>
    <row r="34" spans="1:3" x14ac:dyDescent="0.35">
      <c r="A34" s="417" t="s">
        <v>106</v>
      </c>
      <c r="B34" s="417"/>
      <c r="C34" s="19">
        <v>10</v>
      </c>
    </row>
    <row r="35" spans="1:3" x14ac:dyDescent="0.35">
      <c r="A35" s="417" t="s">
        <v>58</v>
      </c>
      <c r="B35" s="417"/>
      <c r="C35" s="37">
        <f>ROUND(C32/C34,2)</f>
        <v>78.58</v>
      </c>
    </row>
    <row r="36" spans="1:3" x14ac:dyDescent="0.35">
      <c r="A36" s="25"/>
      <c r="B36" s="26"/>
      <c r="C36" s="189"/>
    </row>
    <row r="37" spans="1:3" x14ac:dyDescent="0.35">
      <c r="A37" s="417" t="s">
        <v>33</v>
      </c>
      <c r="B37" s="417"/>
      <c r="C37" s="27"/>
    </row>
    <row r="38" spans="1:3" s="28" customFormat="1" ht="19.5" customHeight="1" x14ac:dyDescent="0.35">
      <c r="A38" s="417" t="s">
        <v>64</v>
      </c>
      <c r="B38" s="417"/>
      <c r="C38" s="27"/>
    </row>
    <row r="39" spans="1:3" s="28" customFormat="1" ht="31.5" customHeight="1" x14ac:dyDescent="0.35"/>
    <row r="40" spans="1:3" ht="13.5" customHeight="1" x14ac:dyDescent="0.35">
      <c r="A40" s="28" t="s">
        <v>34</v>
      </c>
      <c r="B40" s="28"/>
      <c r="C40" s="28"/>
    </row>
    <row r="41" spans="1:3" s="28" customFormat="1" ht="17.25" customHeight="1" x14ac:dyDescent="0.35">
      <c r="A41" s="16"/>
      <c r="B41" s="16"/>
      <c r="C41" s="13"/>
    </row>
    <row r="42" spans="1:3" s="28" customFormat="1" ht="12.75" customHeight="1" x14ac:dyDescent="0.35">
      <c r="A42" s="28" t="s">
        <v>177</v>
      </c>
      <c r="B42" s="29"/>
    </row>
  </sheetData>
  <mergeCells count="10">
    <mergeCell ref="A34:B34"/>
    <mergeCell ref="A35:B35"/>
    <mergeCell ref="A37:B37"/>
    <mergeCell ref="A38:B38"/>
    <mergeCell ref="B6:C6"/>
    <mergeCell ref="A7:C7"/>
    <mergeCell ref="A9:C9"/>
    <mergeCell ref="A10:C10"/>
    <mergeCell ref="B11:C11"/>
    <mergeCell ref="B12:C12"/>
  </mergeCells>
  <pageMargins left="0.7" right="0.7" top="0.75" bottom="0.75" header="0.3" footer="0.3"/>
  <pageSetup paperSize="9" scale="73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1:J73"/>
  <sheetViews>
    <sheetView view="pageLayout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3.1796875" style="13" customWidth="1"/>
    <col min="2" max="2" width="85.7265625" style="13" customWidth="1"/>
    <col min="3" max="3" width="12" style="13" hidden="1" customWidth="1"/>
    <col min="4" max="4" width="26.1796875" style="13" customWidth="1"/>
    <col min="5" max="5" width="9.1796875" style="4"/>
    <col min="6" max="6" width="10.1796875" style="4" bestFit="1" customWidth="1"/>
    <col min="7" max="16384" width="9.1796875" style="4"/>
  </cols>
  <sheetData>
    <row r="1" spans="1:4" x14ac:dyDescent="0.35">
      <c r="B1" s="15"/>
      <c r="C1" s="15" t="s">
        <v>10</v>
      </c>
      <c r="D1" s="15" t="s">
        <v>10</v>
      </c>
    </row>
    <row r="2" spans="1:4" x14ac:dyDescent="0.35">
      <c r="B2" s="311"/>
      <c r="C2" s="15" t="s">
        <v>32</v>
      </c>
      <c r="D2" s="15" t="s">
        <v>32</v>
      </c>
    </row>
    <row r="3" spans="1:4" x14ac:dyDescent="0.35">
      <c r="B3" s="15"/>
      <c r="C3" s="15" t="s">
        <v>294</v>
      </c>
      <c r="D3" s="15" t="s">
        <v>294</v>
      </c>
    </row>
    <row r="4" spans="1:4" x14ac:dyDescent="0.35">
      <c r="B4" s="15"/>
      <c r="C4" s="15"/>
      <c r="D4" s="15"/>
    </row>
    <row r="5" spans="1:4" x14ac:dyDescent="0.35">
      <c r="B5" s="335"/>
      <c r="C5" s="15" t="s">
        <v>283</v>
      </c>
      <c r="D5" s="15" t="s">
        <v>333</v>
      </c>
    </row>
    <row r="6" spans="1:4" ht="15.75" customHeight="1" x14ac:dyDescent="0.35">
      <c r="B6" s="14"/>
      <c r="C6" s="25"/>
      <c r="D6" s="25"/>
    </row>
    <row r="7" spans="1:4" ht="15" x14ac:dyDescent="0.3">
      <c r="A7" s="416" t="s">
        <v>9</v>
      </c>
      <c r="B7" s="416"/>
      <c r="C7" s="416"/>
      <c r="D7" s="70"/>
    </row>
    <row r="8" spans="1:4" x14ac:dyDescent="0.35">
      <c r="B8" s="18"/>
    </row>
    <row r="9" spans="1:4" x14ac:dyDescent="0.35">
      <c r="A9" s="419" t="s">
        <v>1</v>
      </c>
      <c r="B9" s="419"/>
    </row>
    <row r="10" spans="1:4" x14ac:dyDescent="0.35">
      <c r="A10" s="419" t="s">
        <v>0</v>
      </c>
      <c r="B10" s="419"/>
    </row>
    <row r="11" spans="1:4" x14ac:dyDescent="0.35">
      <c r="A11" s="11"/>
      <c r="B11" s="11" t="s">
        <v>280</v>
      </c>
    </row>
    <row r="12" spans="1:4" x14ac:dyDescent="0.35">
      <c r="A12" s="11"/>
      <c r="B12" s="11" t="s">
        <v>295</v>
      </c>
    </row>
    <row r="13" spans="1:4" x14ac:dyDescent="0.35">
      <c r="A13" s="11"/>
      <c r="B13" s="11" t="s">
        <v>353</v>
      </c>
    </row>
    <row r="14" spans="1:4" x14ac:dyDescent="0.35">
      <c r="A14" s="11" t="s">
        <v>2</v>
      </c>
      <c r="B14" s="11" t="s">
        <v>250</v>
      </c>
    </row>
    <row r="15" spans="1:4" ht="75" customHeight="1" x14ac:dyDescent="0.3">
      <c r="A15" s="51" t="s">
        <v>3</v>
      </c>
      <c r="B15" s="51" t="s">
        <v>4</v>
      </c>
      <c r="C15" s="51" t="s">
        <v>63</v>
      </c>
      <c r="D15" s="51" t="s">
        <v>63</v>
      </c>
    </row>
    <row r="16" spans="1:4" ht="15" x14ac:dyDescent="0.3">
      <c r="A16" s="20">
        <v>1</v>
      </c>
      <c r="B16" s="21">
        <v>2</v>
      </c>
      <c r="C16" s="21">
        <v>3</v>
      </c>
      <c r="D16" s="21">
        <v>3</v>
      </c>
    </row>
    <row r="17" spans="1:10" x14ac:dyDescent="0.35">
      <c r="A17" s="20"/>
      <c r="B17" s="22" t="s">
        <v>5</v>
      </c>
      <c r="C17" s="61"/>
      <c r="D17" s="61"/>
    </row>
    <row r="18" spans="1:10" x14ac:dyDescent="0.35">
      <c r="A18" s="31">
        <v>1100</v>
      </c>
      <c r="B18" s="288" t="s">
        <v>68</v>
      </c>
      <c r="C18" s="33">
        <f>[9]MPC!H4</f>
        <v>54.350857555555571</v>
      </c>
      <c r="D18" s="33">
        <f>86.33*3</f>
        <v>258.99</v>
      </c>
    </row>
    <row r="19" spans="1:10" x14ac:dyDescent="0.35">
      <c r="A19" s="31">
        <v>1200</v>
      </c>
      <c r="B19" s="62" t="s">
        <v>265</v>
      </c>
      <c r="C19" s="33">
        <f>[9]MPC!H5</f>
        <v>12.821367297355559</v>
      </c>
      <c r="D19" s="33">
        <v>61.1</v>
      </c>
    </row>
    <row r="20" spans="1:10" ht="15.75" customHeight="1" x14ac:dyDescent="0.35">
      <c r="A20" s="31">
        <v>2223</v>
      </c>
      <c r="B20" s="62" t="s">
        <v>27</v>
      </c>
      <c r="C20" s="33">
        <f>[9]MPC!H6</f>
        <v>1.0681891848843232</v>
      </c>
      <c r="D20" s="33">
        <f>1.9*3</f>
        <v>5.6999999999999993</v>
      </c>
    </row>
    <row r="21" spans="1:10" ht="15.75" customHeight="1" x14ac:dyDescent="0.35">
      <c r="A21" s="31">
        <v>2321</v>
      </c>
      <c r="B21" s="62" t="s">
        <v>19</v>
      </c>
      <c r="C21" s="33">
        <f>[9]MPC!H7</f>
        <v>1.1280876438497986</v>
      </c>
      <c r="D21" s="33">
        <f>1*3</f>
        <v>3</v>
      </c>
    </row>
    <row r="22" spans="1:10" x14ac:dyDescent="0.35">
      <c r="A22" s="31">
        <v>2311</v>
      </c>
      <c r="B22" s="62" t="s">
        <v>17</v>
      </c>
      <c r="C22" s="33">
        <f>[9]MPC!H8</f>
        <v>3.1350000000000003E-2</v>
      </c>
      <c r="D22" s="33">
        <f>0.11*3</f>
        <v>0.33</v>
      </c>
    </row>
    <row r="23" spans="1:10" x14ac:dyDescent="0.35">
      <c r="A23" s="31">
        <v>2312</v>
      </c>
      <c r="B23" s="62" t="s">
        <v>18</v>
      </c>
      <c r="C23" s="33">
        <f>[9]MPC!H9</f>
        <v>1.8012814659014793</v>
      </c>
      <c r="D23" s="33">
        <f>5.82*3</f>
        <v>17.46</v>
      </c>
      <c r="E23" s="348"/>
    </row>
    <row r="24" spans="1:10" x14ac:dyDescent="0.35">
      <c r="A24" s="61">
        <v>5239</v>
      </c>
      <c r="B24" s="62" t="s">
        <v>298</v>
      </c>
      <c r="C24" s="33">
        <f>[9]MPC!H10</f>
        <v>1.4279999999999999</v>
      </c>
      <c r="D24" s="33">
        <f>1.03*3</f>
        <v>3.09</v>
      </c>
      <c r="E24" s="348"/>
    </row>
    <row r="25" spans="1:10" hidden="1" x14ac:dyDescent="0.35">
      <c r="A25" s="31">
        <v>2244</v>
      </c>
      <c r="B25" s="62" t="s">
        <v>267</v>
      </c>
      <c r="C25" s="33">
        <f>[9]MPC!H11</f>
        <v>0.62289807403868025</v>
      </c>
      <c r="D25" s="33"/>
    </row>
    <row r="26" spans="1:10" x14ac:dyDescent="0.3">
      <c r="A26" s="31"/>
      <c r="B26" s="78" t="s">
        <v>6</v>
      </c>
      <c r="C26" s="37">
        <f>SUM(C18:C25)</f>
        <v>73.252031221585412</v>
      </c>
      <c r="D26" s="37">
        <f>SUM(D18:D25)</f>
        <v>349.66999999999996</v>
      </c>
      <c r="F26" s="348"/>
    </row>
    <row r="27" spans="1:10" x14ac:dyDescent="0.35">
      <c r="A27" s="38"/>
      <c r="B27" s="288" t="s">
        <v>7</v>
      </c>
      <c r="C27" s="33"/>
      <c r="D27" s="33"/>
    </row>
    <row r="28" spans="1:10" x14ac:dyDescent="0.3">
      <c r="A28" s="31">
        <v>1100</v>
      </c>
      <c r="B28" s="31" t="s">
        <v>132</v>
      </c>
      <c r="C28" s="33">
        <f>[9]MPC!$H$14</f>
        <v>6.6814561544146853</v>
      </c>
      <c r="D28" s="33">
        <v>19.61</v>
      </c>
    </row>
    <row r="29" spans="1:10" ht="15.75" customHeight="1" x14ac:dyDescent="0.3">
      <c r="A29" s="31">
        <v>1200</v>
      </c>
      <c r="B29" s="32" t="s">
        <v>133</v>
      </c>
      <c r="C29" s="33">
        <f>C28*0.2359</f>
        <v>1.5761555068264244</v>
      </c>
      <c r="D29" s="33">
        <v>4.63</v>
      </c>
    </row>
    <row r="30" spans="1:10" x14ac:dyDescent="0.3">
      <c r="A30" s="31">
        <v>2100</v>
      </c>
      <c r="B30" s="24" t="s">
        <v>45</v>
      </c>
      <c r="C30" s="33">
        <f>[9]MPC!H16</f>
        <v>1.0520955453102439E-2</v>
      </c>
      <c r="D30" s="33">
        <v>0.03</v>
      </c>
    </row>
    <row r="31" spans="1:10" x14ac:dyDescent="0.3">
      <c r="A31" s="34">
        <v>2210</v>
      </c>
      <c r="B31" s="32" t="s">
        <v>120</v>
      </c>
      <c r="C31" s="33">
        <f>[9]MPC!H17</f>
        <v>0.10391067114175251</v>
      </c>
      <c r="D31" s="33">
        <v>0.31</v>
      </c>
      <c r="J31" s="348"/>
    </row>
    <row r="32" spans="1:10" x14ac:dyDescent="0.35">
      <c r="A32" s="31">
        <v>2222</v>
      </c>
      <c r="B32" s="62" t="s">
        <v>135</v>
      </c>
      <c r="C32" s="33">
        <f>[9]MPC!H18</f>
        <v>5.7670422483672643E-2</v>
      </c>
      <c r="D32" s="33">
        <v>0.17</v>
      </c>
    </row>
    <row r="33" spans="1:5" x14ac:dyDescent="0.35">
      <c r="A33" s="31">
        <v>2223</v>
      </c>
      <c r="B33" s="62" t="s">
        <v>136</v>
      </c>
      <c r="C33" s="33">
        <f>[9]MPC!H19</f>
        <v>0.71360653406598529</v>
      </c>
      <c r="D33" s="33">
        <v>1.1399999999999999</v>
      </c>
    </row>
    <row r="34" spans="1:5" ht="31" x14ac:dyDescent="0.35">
      <c r="A34" s="31">
        <v>2224</v>
      </c>
      <c r="B34" s="62" t="s">
        <v>143</v>
      </c>
      <c r="C34" s="33">
        <f>[9]MPC!H20</f>
        <v>4.0135496728501904E-2</v>
      </c>
      <c r="D34" s="33">
        <v>0.12</v>
      </c>
    </row>
    <row r="35" spans="1:5" x14ac:dyDescent="0.35">
      <c r="A35" s="31">
        <v>2231</v>
      </c>
      <c r="B35" s="22" t="s">
        <v>126</v>
      </c>
      <c r="C35" s="33">
        <f>[9]MPC!H21</f>
        <v>1.9483250839078595E-2</v>
      </c>
      <c r="D35" s="33">
        <v>0.06</v>
      </c>
    </row>
    <row r="36" spans="1:5" x14ac:dyDescent="0.3">
      <c r="A36" s="31">
        <v>2235</v>
      </c>
      <c r="B36" s="75" t="s">
        <v>127</v>
      </c>
      <c r="C36" s="33">
        <f>[9]MPC!H22</f>
        <v>3.2601973070724849E-2</v>
      </c>
      <c r="D36" s="33">
        <v>0.1</v>
      </c>
    </row>
    <row r="37" spans="1:5" x14ac:dyDescent="0.35">
      <c r="A37" s="31">
        <v>2239</v>
      </c>
      <c r="B37" s="22" t="s">
        <v>144</v>
      </c>
      <c r="C37" s="33">
        <f>[9]MPC!H23</f>
        <v>2.3250012667967123E-2</v>
      </c>
      <c r="D37" s="33">
        <v>7.0000000000000007E-2</v>
      </c>
    </row>
    <row r="38" spans="1:5" x14ac:dyDescent="0.35">
      <c r="A38" s="31">
        <v>2241</v>
      </c>
      <c r="B38" s="22" t="s">
        <v>123</v>
      </c>
      <c r="C38" s="33">
        <f>[9]MPC!H24</f>
        <v>0.21431575922986454</v>
      </c>
      <c r="D38" s="33">
        <v>0.57999999999999996</v>
      </c>
    </row>
    <row r="39" spans="1:5" x14ac:dyDescent="0.35">
      <c r="A39" s="31">
        <v>2242</v>
      </c>
      <c r="B39" s="62" t="s">
        <v>145</v>
      </c>
      <c r="C39" s="33">
        <f>[9]MPC!H25</f>
        <v>1.1040508808811203E-2</v>
      </c>
      <c r="D39" s="33">
        <v>0.03</v>
      </c>
    </row>
    <row r="40" spans="1:5" ht="14.25" customHeight="1" x14ac:dyDescent="0.35">
      <c r="A40" s="31">
        <v>2243</v>
      </c>
      <c r="B40" s="22" t="s">
        <v>137</v>
      </c>
      <c r="C40" s="33">
        <f>[9]MPC!H26</f>
        <v>5.1955335570876256E-3</v>
      </c>
      <c r="D40" s="33">
        <v>0.02</v>
      </c>
    </row>
    <row r="41" spans="1:5" x14ac:dyDescent="0.35">
      <c r="A41" s="31">
        <v>2244</v>
      </c>
      <c r="B41" s="22" t="s">
        <v>138</v>
      </c>
      <c r="C41" s="33">
        <f>[9]MPC!H27</f>
        <v>0.88414992307738671</v>
      </c>
      <c r="D41" s="33">
        <v>3.22</v>
      </c>
      <c r="E41" s="348"/>
    </row>
    <row r="42" spans="1:5" hidden="1" x14ac:dyDescent="0.35">
      <c r="A42" s="61">
        <v>2247</v>
      </c>
      <c r="B42" s="22" t="s">
        <v>146</v>
      </c>
      <c r="C42" s="33">
        <f>[9]MPC!H28</f>
        <v>2.8575434563981937E-3</v>
      </c>
      <c r="D42" s="33">
        <v>0</v>
      </c>
    </row>
    <row r="43" spans="1:5" x14ac:dyDescent="0.35">
      <c r="A43" s="61">
        <v>2249</v>
      </c>
      <c r="B43" s="62" t="s">
        <v>282</v>
      </c>
      <c r="C43" s="33">
        <f>[9]MPC!H29</f>
        <v>3.2472084731797659E-3</v>
      </c>
      <c r="D43" s="33">
        <v>0.01</v>
      </c>
    </row>
    <row r="44" spans="1:5" x14ac:dyDescent="0.35">
      <c r="A44" s="31">
        <v>2250</v>
      </c>
      <c r="B44" s="22" t="s">
        <v>124</v>
      </c>
      <c r="C44" s="33">
        <f>[9]MPC!H30</f>
        <v>0.36888288255322138</v>
      </c>
      <c r="D44" s="33">
        <v>1.1100000000000001</v>
      </c>
    </row>
    <row r="45" spans="1:5" x14ac:dyDescent="0.35">
      <c r="A45" s="31">
        <v>2262</v>
      </c>
      <c r="B45" s="62" t="s">
        <v>148</v>
      </c>
      <c r="C45" s="33">
        <f>[9]MPC!H31</f>
        <v>0.14768304136021573</v>
      </c>
      <c r="D45" s="33">
        <v>0.44</v>
      </c>
    </row>
    <row r="46" spans="1:5" hidden="1" x14ac:dyDescent="0.35">
      <c r="A46" s="31">
        <v>2263</v>
      </c>
      <c r="B46" s="62" t="s">
        <v>149</v>
      </c>
      <c r="C46" s="33">
        <f>[9]MPC!H32</f>
        <v>0.59488859228653312</v>
      </c>
      <c r="D46" s="33">
        <v>0</v>
      </c>
    </row>
    <row r="47" spans="1:5" x14ac:dyDescent="0.35">
      <c r="A47" s="31">
        <v>2264</v>
      </c>
      <c r="B47" s="22" t="s">
        <v>150</v>
      </c>
      <c r="C47" s="33">
        <f>[9]MPC!H33</f>
        <v>3.117320134252575E-3</v>
      </c>
      <c r="D47" s="33">
        <v>0.01</v>
      </c>
    </row>
    <row r="48" spans="1:5" ht="17.25" customHeight="1" x14ac:dyDescent="0.35">
      <c r="A48" s="31">
        <v>2311</v>
      </c>
      <c r="B48" s="62" t="s">
        <v>151</v>
      </c>
      <c r="C48" s="33">
        <f>[9]MPC!H34</f>
        <v>9.2220720638305342E-3</v>
      </c>
      <c r="D48" s="33">
        <v>0.03</v>
      </c>
    </row>
    <row r="49" spans="1:6" x14ac:dyDescent="0.3">
      <c r="A49" s="31">
        <v>2314</v>
      </c>
      <c r="B49" s="75" t="s">
        <v>152</v>
      </c>
      <c r="C49" s="33">
        <f>[9]MPC!H35</f>
        <v>5.9748635906507691E-3</v>
      </c>
      <c r="D49" s="33">
        <v>0.02</v>
      </c>
    </row>
    <row r="50" spans="1:6" x14ac:dyDescent="0.35">
      <c r="A50" s="31">
        <v>2321</v>
      </c>
      <c r="B50" s="62" t="s">
        <v>139</v>
      </c>
      <c r="C50" s="33">
        <f>[9]MPC!H36</f>
        <v>0.782187577019542</v>
      </c>
      <c r="D50" s="33">
        <v>1.1200000000000001</v>
      </c>
    </row>
    <row r="51" spans="1:6" x14ac:dyDescent="0.35">
      <c r="A51" s="31">
        <v>2322</v>
      </c>
      <c r="B51" s="62" t="s">
        <v>153</v>
      </c>
      <c r="C51" s="33">
        <f>[9]MPC!H37</f>
        <v>2.7276551174710031E-2</v>
      </c>
      <c r="D51" s="33">
        <v>0.08</v>
      </c>
    </row>
    <row r="52" spans="1:6" hidden="1" x14ac:dyDescent="0.35">
      <c r="A52" s="31">
        <v>2512</v>
      </c>
      <c r="B52" s="62" t="s">
        <v>154</v>
      </c>
      <c r="C52" s="33">
        <f>[9]MPC!H38</f>
        <v>0</v>
      </c>
      <c r="D52" s="33">
        <f>C52*3</f>
        <v>0</v>
      </c>
    </row>
    <row r="53" spans="1:6" x14ac:dyDescent="0.35">
      <c r="A53" s="31">
        <v>2513</v>
      </c>
      <c r="B53" s="61" t="s">
        <v>121</v>
      </c>
      <c r="C53" s="33">
        <f>[9]MPC!H39</f>
        <v>8.1829653524130106E-3</v>
      </c>
      <c r="D53" s="33">
        <v>0.02</v>
      </c>
    </row>
    <row r="54" spans="1:6" x14ac:dyDescent="0.35">
      <c r="A54" s="31">
        <v>2515</v>
      </c>
      <c r="B54" s="62" t="s">
        <v>155</v>
      </c>
      <c r="C54" s="33">
        <f>[9]MPC!H40</f>
        <v>3.5719293204977423E-2</v>
      </c>
      <c r="D54" s="33">
        <v>0.11</v>
      </c>
    </row>
    <row r="55" spans="1:6" ht="17.25" customHeight="1" x14ac:dyDescent="0.35">
      <c r="A55" s="31">
        <v>2519</v>
      </c>
      <c r="B55" s="62" t="s">
        <v>122</v>
      </c>
      <c r="C55" s="33">
        <f>[9]MPC!H41</f>
        <v>1.9613139178005785E-2</v>
      </c>
      <c r="D55" s="33">
        <v>0.06</v>
      </c>
    </row>
    <row r="56" spans="1:6" x14ac:dyDescent="0.35">
      <c r="A56" s="31">
        <v>5220</v>
      </c>
      <c r="B56" s="62" t="s">
        <v>128</v>
      </c>
      <c r="C56" s="33">
        <f>[9]MPC!H42</f>
        <v>0.13768163926282206</v>
      </c>
      <c r="D56" s="33">
        <v>0.41</v>
      </c>
    </row>
    <row r="57" spans="1:6" x14ac:dyDescent="0.35">
      <c r="A57" s="31">
        <v>5238</v>
      </c>
      <c r="B57" s="61" t="s">
        <v>129</v>
      </c>
      <c r="C57" s="33">
        <f>[9]MPC!H43</f>
        <v>2.1431575922986452E-2</v>
      </c>
      <c r="D57" s="33">
        <v>0.06</v>
      </c>
    </row>
    <row r="58" spans="1:6" x14ac:dyDescent="0.35">
      <c r="A58" s="31">
        <v>5239</v>
      </c>
      <c r="B58" s="13" t="s">
        <v>130</v>
      </c>
      <c r="C58" s="33">
        <f>[9]MPC!H44</f>
        <v>0.25328226090802175</v>
      </c>
      <c r="D58" s="33">
        <v>0.81</v>
      </c>
    </row>
    <row r="59" spans="1:6" x14ac:dyDescent="0.35">
      <c r="A59" s="31">
        <v>5250</v>
      </c>
      <c r="B59" s="62" t="s">
        <v>131</v>
      </c>
      <c r="C59" s="33">
        <f>[9]MPC!H45</f>
        <v>0.19483250839078595</v>
      </c>
      <c r="D59" s="33">
        <v>0.57999999999999996</v>
      </c>
    </row>
    <row r="60" spans="1:6" x14ac:dyDescent="0.35">
      <c r="A60" s="334"/>
      <c r="B60" s="79" t="s">
        <v>8</v>
      </c>
      <c r="C60" s="37">
        <f>SUM(C28:C59)</f>
        <v>12.98957373669759</v>
      </c>
      <c r="D60" s="37">
        <f>SUM(D28:D59)</f>
        <v>34.960000000000008</v>
      </c>
      <c r="E60" s="348"/>
      <c r="F60" s="348"/>
    </row>
    <row r="61" spans="1:6" x14ac:dyDescent="0.35">
      <c r="A61" s="334"/>
      <c r="B61" s="79" t="s">
        <v>29</v>
      </c>
      <c r="C61" s="37">
        <f>C26+C60</f>
        <v>86.241604958283006</v>
      </c>
      <c r="D61" s="37">
        <f>D26+D60</f>
        <v>384.63</v>
      </c>
    </row>
    <row r="62" spans="1:6" x14ac:dyDescent="0.35">
      <c r="A62" s="15"/>
      <c r="B62" s="25"/>
      <c r="C62" s="59"/>
      <c r="D62" s="59"/>
    </row>
    <row r="63" spans="1:6" ht="15.75" customHeight="1" x14ac:dyDescent="0.35">
      <c r="A63" s="430" t="s">
        <v>106</v>
      </c>
      <c r="B63" s="431"/>
      <c r="C63" s="19">
        <v>1</v>
      </c>
      <c r="D63" s="19">
        <v>3</v>
      </c>
    </row>
    <row r="64" spans="1:6" ht="15" customHeight="1" x14ac:dyDescent="0.3">
      <c r="A64" s="428" t="s">
        <v>107</v>
      </c>
      <c r="B64" s="429"/>
      <c r="C64" s="23">
        <f>C61/C63</f>
        <v>86.241604958283006</v>
      </c>
      <c r="D64" s="23">
        <f>D61/D63</f>
        <v>128.21</v>
      </c>
    </row>
    <row r="65" spans="1:6" ht="14.25" customHeight="1" x14ac:dyDescent="0.35">
      <c r="A65" s="25"/>
      <c r="B65" s="26"/>
      <c r="C65" s="353"/>
      <c r="D65" s="353"/>
    </row>
    <row r="66" spans="1:6" s="7" customFormat="1" ht="15" customHeight="1" x14ac:dyDescent="0.35">
      <c r="A66" s="430" t="s">
        <v>33</v>
      </c>
      <c r="B66" s="431"/>
      <c r="C66" s="27"/>
      <c r="D66" s="27"/>
    </row>
    <row r="67" spans="1:6" s="7" customFormat="1" ht="15" customHeight="1" x14ac:dyDescent="0.35">
      <c r="A67" s="430" t="s">
        <v>64</v>
      </c>
      <c r="B67" s="431"/>
      <c r="C67" s="27"/>
      <c r="D67" s="27"/>
    </row>
    <row r="68" spans="1:6" s="7" customFormat="1" x14ac:dyDescent="0.35">
      <c r="A68" s="28"/>
      <c r="B68" s="28"/>
      <c r="C68" s="81"/>
      <c r="D68" s="81"/>
    </row>
    <row r="69" spans="1:6" s="7" customFormat="1" x14ac:dyDescent="0.35">
      <c r="A69" s="28" t="s">
        <v>34</v>
      </c>
      <c r="B69" s="28"/>
      <c r="C69" s="81"/>
      <c r="D69" s="81"/>
    </row>
    <row r="70" spans="1:6" s="7" customFormat="1" x14ac:dyDescent="0.35">
      <c r="A70" s="28"/>
      <c r="B70" s="28"/>
      <c r="C70" s="28"/>
      <c r="D70" s="28"/>
      <c r="E70" s="148"/>
      <c r="F70" s="148"/>
    </row>
    <row r="71" spans="1:6" s="7" customFormat="1" x14ac:dyDescent="0.35">
      <c r="A71" s="28" t="s">
        <v>177</v>
      </c>
      <c r="B71" s="29"/>
      <c r="C71" s="28"/>
      <c r="D71" s="28"/>
    </row>
    <row r="72" spans="1:6" s="2" customFormat="1" x14ac:dyDescent="0.35">
      <c r="A72" s="28"/>
      <c r="B72" s="30"/>
      <c r="C72" s="28"/>
      <c r="D72" s="28"/>
    </row>
    <row r="73" spans="1:6" x14ac:dyDescent="0.35">
      <c r="B73" s="14"/>
      <c r="C73" s="26"/>
      <c r="D73" s="26"/>
    </row>
  </sheetData>
  <mergeCells count="7">
    <mergeCell ref="A67:B67"/>
    <mergeCell ref="A7:C7"/>
    <mergeCell ref="A9:B9"/>
    <mergeCell ref="A10:B10"/>
    <mergeCell ref="A63:B63"/>
    <mergeCell ref="A64:B64"/>
    <mergeCell ref="A66:B66"/>
  </mergeCells>
  <pageMargins left="0.7" right="0.7" top="0.75" bottom="0.75" header="0.3" footer="0.3"/>
  <pageSetup paperSize="9" scale="67" orientation="portrait" r:id="rId1"/>
  <headerFooter>
    <oddFooter>&amp;F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pageSetUpPr fitToPage="1"/>
  </sheetPr>
  <dimension ref="A1:D73"/>
  <sheetViews>
    <sheetView view="pageLayout" topLeftCell="A8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2.1796875" style="13" customWidth="1"/>
    <col min="2" max="2" width="84.7265625" style="13" customWidth="1"/>
    <col min="3" max="3" width="26.1796875" style="13" customWidth="1"/>
    <col min="4" max="16384" width="9.1796875" style="4"/>
  </cols>
  <sheetData>
    <row r="1" spans="1:3" x14ac:dyDescent="0.35">
      <c r="A1" s="25"/>
      <c r="B1" s="15"/>
      <c r="C1" s="15" t="s">
        <v>10</v>
      </c>
    </row>
    <row r="2" spans="1:3" x14ac:dyDescent="0.35">
      <c r="A2" s="25"/>
      <c r="B2" s="311"/>
      <c r="C2" s="15" t="s">
        <v>32</v>
      </c>
    </row>
    <row r="3" spans="1:3" x14ac:dyDescent="0.35">
      <c r="A3" s="25"/>
      <c r="B3" s="15"/>
      <c r="C3" s="15" t="s">
        <v>294</v>
      </c>
    </row>
    <row r="4" spans="1:3" x14ac:dyDescent="0.35">
      <c r="A4" s="25"/>
      <c r="B4" s="15"/>
      <c r="C4" s="15"/>
    </row>
    <row r="5" spans="1:3" x14ac:dyDescent="0.35">
      <c r="A5" s="25"/>
      <c r="B5" s="335"/>
      <c r="C5" s="15" t="s">
        <v>333</v>
      </c>
    </row>
    <row r="6" spans="1:3" ht="15.75" customHeight="1" x14ac:dyDescent="0.35">
      <c r="A6" s="25"/>
      <c r="B6" s="15"/>
      <c r="C6" s="25"/>
    </row>
    <row r="7" spans="1:3" ht="15" x14ac:dyDescent="0.3">
      <c r="A7" s="456" t="s">
        <v>9</v>
      </c>
      <c r="B7" s="456"/>
      <c r="C7" s="456"/>
    </row>
    <row r="8" spans="1:3" x14ac:dyDescent="0.35">
      <c r="A8" s="25"/>
      <c r="B8" s="18"/>
      <c r="C8" s="25"/>
    </row>
    <row r="9" spans="1:3" x14ac:dyDescent="0.35">
      <c r="A9" s="419" t="s">
        <v>1</v>
      </c>
      <c r="B9" s="419"/>
      <c r="C9" s="25"/>
    </row>
    <row r="10" spans="1:3" x14ac:dyDescent="0.35">
      <c r="A10" s="419" t="s">
        <v>0</v>
      </c>
      <c r="B10" s="419"/>
    </row>
    <row r="11" spans="1:3" x14ac:dyDescent="0.35">
      <c r="A11" s="11"/>
      <c r="B11" s="11" t="s">
        <v>280</v>
      </c>
    </row>
    <row r="12" spans="1:3" x14ac:dyDescent="0.35">
      <c r="A12" s="11"/>
      <c r="B12" s="11" t="s">
        <v>295</v>
      </c>
    </row>
    <row r="13" spans="1:3" x14ac:dyDescent="0.35">
      <c r="A13" s="11"/>
      <c r="B13" s="11" t="s">
        <v>352</v>
      </c>
    </row>
    <row r="14" spans="1:3" x14ac:dyDescent="0.35">
      <c r="A14" s="11" t="s">
        <v>2</v>
      </c>
      <c r="B14" s="11" t="s">
        <v>250</v>
      </c>
    </row>
    <row r="15" spans="1:3" ht="58.5" customHeight="1" x14ac:dyDescent="0.3">
      <c r="A15" s="51" t="s">
        <v>3</v>
      </c>
      <c r="B15" s="51" t="s">
        <v>4</v>
      </c>
      <c r="C15" s="51" t="s">
        <v>63</v>
      </c>
    </row>
    <row r="16" spans="1:3" ht="15" x14ac:dyDescent="0.3">
      <c r="A16" s="20">
        <v>1</v>
      </c>
      <c r="B16" s="21">
        <v>2</v>
      </c>
      <c r="C16" s="21">
        <v>3</v>
      </c>
    </row>
    <row r="17" spans="1:4" ht="15.75" customHeight="1" x14ac:dyDescent="0.35">
      <c r="A17" s="20"/>
      <c r="B17" s="22" t="s">
        <v>5</v>
      </c>
      <c r="C17" s="61"/>
    </row>
    <row r="18" spans="1:4" ht="15.75" customHeight="1" x14ac:dyDescent="0.35">
      <c r="A18" s="31">
        <v>1100</v>
      </c>
      <c r="B18" s="288" t="s">
        <v>68</v>
      </c>
      <c r="C18" s="33">
        <v>45.44</v>
      </c>
    </row>
    <row r="19" spans="1:4" ht="15.75" customHeight="1" x14ac:dyDescent="0.35">
      <c r="A19" s="31">
        <v>1200</v>
      </c>
      <c r="B19" s="62" t="s">
        <v>265</v>
      </c>
      <c r="C19" s="33">
        <v>10.72</v>
      </c>
    </row>
    <row r="20" spans="1:4" ht="15.75" customHeight="1" x14ac:dyDescent="0.35">
      <c r="A20" s="31">
        <v>2223</v>
      </c>
      <c r="B20" s="62" t="s">
        <v>27</v>
      </c>
      <c r="C20" s="33">
        <v>0.17</v>
      </c>
    </row>
    <row r="21" spans="1:4" ht="15.75" customHeight="1" x14ac:dyDescent="0.35">
      <c r="A21" s="31">
        <v>2321</v>
      </c>
      <c r="B21" s="62" t="s">
        <v>19</v>
      </c>
      <c r="C21" s="33">
        <v>0.09</v>
      </c>
    </row>
    <row r="22" spans="1:4" ht="15.75" hidden="1" customHeight="1" x14ac:dyDescent="0.35">
      <c r="A22" s="31">
        <v>2311</v>
      </c>
      <c r="B22" s="62" t="s">
        <v>17</v>
      </c>
      <c r="C22" s="33">
        <v>0</v>
      </c>
    </row>
    <row r="23" spans="1:4" ht="15.75" customHeight="1" x14ac:dyDescent="0.35">
      <c r="A23" s="31">
        <v>2312</v>
      </c>
      <c r="B23" s="62" t="s">
        <v>18</v>
      </c>
      <c r="C23" s="33">
        <v>0.6</v>
      </c>
    </row>
    <row r="24" spans="1:4" ht="15.75" hidden="1" customHeight="1" x14ac:dyDescent="0.35">
      <c r="A24" s="61">
        <v>2370</v>
      </c>
      <c r="B24" s="62" t="s">
        <v>50</v>
      </c>
      <c r="C24" s="33"/>
    </row>
    <row r="25" spans="1:4" ht="15.75" hidden="1" customHeight="1" x14ac:dyDescent="0.35">
      <c r="A25" s="31">
        <v>2244</v>
      </c>
      <c r="B25" s="62" t="s">
        <v>267</v>
      </c>
      <c r="C25" s="33">
        <v>0</v>
      </c>
      <c r="D25" s="348">
        <f>C26-D26</f>
        <v>57.02</v>
      </c>
    </row>
    <row r="26" spans="1:4" ht="15.75" customHeight="1" x14ac:dyDescent="0.3">
      <c r="A26" s="31"/>
      <c r="B26" s="78" t="s">
        <v>6</v>
      </c>
      <c r="C26" s="37">
        <f>SUM(C18:C25)</f>
        <v>57.02</v>
      </c>
    </row>
    <row r="27" spans="1:4" ht="15.75" customHeight="1" x14ac:dyDescent="0.35">
      <c r="A27" s="38"/>
      <c r="B27" s="288" t="s">
        <v>7</v>
      </c>
      <c r="C27" s="33"/>
    </row>
    <row r="28" spans="1:4" ht="15.75" customHeight="1" x14ac:dyDescent="0.3">
      <c r="A28" s="31">
        <v>1100</v>
      </c>
      <c r="B28" s="31" t="s">
        <v>132</v>
      </c>
      <c r="C28" s="33">
        <v>2.64</v>
      </c>
      <c r="D28" s="348"/>
    </row>
    <row r="29" spans="1:4" ht="15.75" customHeight="1" x14ac:dyDescent="0.3">
      <c r="A29" s="31">
        <v>1200</v>
      </c>
      <c r="B29" s="32" t="s">
        <v>133</v>
      </c>
      <c r="C29" s="33">
        <v>0.62</v>
      </c>
    </row>
    <row r="30" spans="1:4" ht="15.75" customHeight="1" x14ac:dyDescent="0.3">
      <c r="A30" s="31">
        <v>2100</v>
      </c>
      <c r="B30" s="24" t="s">
        <v>45</v>
      </c>
      <c r="C30" s="33">
        <v>0.01</v>
      </c>
    </row>
    <row r="31" spans="1:4" ht="15.75" customHeight="1" x14ac:dyDescent="0.3">
      <c r="A31" s="34">
        <v>2210</v>
      </c>
      <c r="B31" s="32" t="s">
        <v>120</v>
      </c>
      <c r="C31" s="33">
        <v>0.09</v>
      </c>
    </row>
    <row r="32" spans="1:4" ht="15.75" customHeight="1" x14ac:dyDescent="0.35">
      <c r="A32" s="31">
        <v>2222</v>
      </c>
      <c r="B32" s="62" t="s">
        <v>135</v>
      </c>
      <c r="C32" s="33">
        <v>0.05</v>
      </c>
    </row>
    <row r="33" spans="1:3" ht="15.75" customHeight="1" x14ac:dyDescent="0.35">
      <c r="A33" s="31">
        <v>2223</v>
      </c>
      <c r="B33" s="62" t="s">
        <v>136</v>
      </c>
      <c r="C33" s="33">
        <v>0.39</v>
      </c>
    </row>
    <row r="34" spans="1:3" ht="15.75" customHeight="1" x14ac:dyDescent="0.35">
      <c r="A34" s="31">
        <v>2224</v>
      </c>
      <c r="B34" s="62" t="s">
        <v>143</v>
      </c>
      <c r="C34" s="33">
        <v>0.03</v>
      </c>
    </row>
    <row r="35" spans="1:3" ht="15.75" customHeight="1" x14ac:dyDescent="0.35">
      <c r="A35" s="31">
        <v>2231</v>
      </c>
      <c r="B35" s="22" t="s">
        <v>126</v>
      </c>
      <c r="C35" s="33">
        <v>0.02</v>
      </c>
    </row>
    <row r="36" spans="1:3" ht="15.75" customHeight="1" x14ac:dyDescent="0.3">
      <c r="A36" s="31">
        <v>2235</v>
      </c>
      <c r="B36" s="75" t="s">
        <v>127</v>
      </c>
      <c r="C36" s="33">
        <v>0.03</v>
      </c>
    </row>
    <row r="37" spans="1:3" ht="15.75" customHeight="1" x14ac:dyDescent="0.35">
      <c r="A37" s="31">
        <v>2239</v>
      </c>
      <c r="B37" s="22" t="s">
        <v>144</v>
      </c>
      <c r="C37" s="33">
        <v>0.02</v>
      </c>
    </row>
    <row r="38" spans="1:3" ht="15.75" customHeight="1" x14ac:dyDescent="0.35">
      <c r="A38" s="31">
        <v>2241</v>
      </c>
      <c r="B38" s="22" t="s">
        <v>123</v>
      </c>
      <c r="C38" s="33">
        <v>0.21</v>
      </c>
    </row>
    <row r="39" spans="1:3" ht="15.75" customHeight="1" x14ac:dyDescent="0.35">
      <c r="A39" s="31">
        <v>2242</v>
      </c>
      <c r="B39" s="62" t="s">
        <v>145</v>
      </c>
      <c r="C39" s="33">
        <v>0.01</v>
      </c>
    </row>
    <row r="40" spans="1:3" ht="15.75" customHeight="1" x14ac:dyDescent="0.35">
      <c r="A40" s="31">
        <v>2243</v>
      </c>
      <c r="B40" s="22" t="s">
        <v>137</v>
      </c>
      <c r="C40" s="33">
        <v>0.02</v>
      </c>
    </row>
    <row r="41" spans="1:3" ht="15.75" customHeight="1" x14ac:dyDescent="0.35">
      <c r="A41" s="31">
        <v>2244</v>
      </c>
      <c r="B41" s="22" t="s">
        <v>138</v>
      </c>
      <c r="C41" s="33">
        <v>0.53</v>
      </c>
    </row>
    <row r="42" spans="1:3" ht="15.75" hidden="1" customHeight="1" x14ac:dyDescent="0.35">
      <c r="A42" s="61">
        <v>2247</v>
      </c>
      <c r="B42" s="22" t="s">
        <v>146</v>
      </c>
      <c r="C42" s="33">
        <v>0</v>
      </c>
    </row>
    <row r="43" spans="1:3" ht="15.75" customHeight="1" x14ac:dyDescent="0.35">
      <c r="A43" s="61">
        <v>2249</v>
      </c>
      <c r="B43" s="62" t="s">
        <v>282</v>
      </c>
      <c r="C43" s="33">
        <v>0.02</v>
      </c>
    </row>
    <row r="44" spans="1:3" ht="15.75" customHeight="1" x14ac:dyDescent="0.35">
      <c r="A44" s="31">
        <v>2250</v>
      </c>
      <c r="B44" s="22" t="s">
        <v>124</v>
      </c>
      <c r="C44" s="33">
        <v>0.31</v>
      </c>
    </row>
    <row r="45" spans="1:3" ht="15.75" customHeight="1" x14ac:dyDescent="0.35">
      <c r="A45" s="31">
        <v>2262</v>
      </c>
      <c r="B45" s="62" t="s">
        <v>148</v>
      </c>
      <c r="C45" s="33">
        <v>0.12</v>
      </c>
    </row>
    <row r="46" spans="1:3" ht="15.75" hidden="1" customHeight="1" x14ac:dyDescent="0.35">
      <c r="A46" s="31">
        <v>2263</v>
      </c>
      <c r="B46" s="62" t="s">
        <v>149</v>
      </c>
      <c r="C46" s="33">
        <v>0</v>
      </c>
    </row>
    <row r="47" spans="1:3" ht="15.75" customHeight="1" x14ac:dyDescent="0.35">
      <c r="A47" s="31">
        <v>2264</v>
      </c>
      <c r="B47" s="22" t="s">
        <v>150</v>
      </c>
      <c r="C47" s="33">
        <v>0.01</v>
      </c>
    </row>
    <row r="48" spans="1:3" ht="15.75" customHeight="1" x14ac:dyDescent="0.35">
      <c r="A48" s="31">
        <v>2311</v>
      </c>
      <c r="B48" s="62" t="s">
        <v>151</v>
      </c>
      <c r="C48" s="33">
        <v>0.01</v>
      </c>
    </row>
    <row r="49" spans="1:3" ht="15.75" hidden="1" customHeight="1" x14ac:dyDescent="0.3">
      <c r="A49" s="31">
        <v>2314</v>
      </c>
      <c r="B49" s="75" t="s">
        <v>152</v>
      </c>
      <c r="C49" s="33">
        <v>0</v>
      </c>
    </row>
    <row r="50" spans="1:3" ht="15.75" customHeight="1" x14ac:dyDescent="0.35">
      <c r="A50" s="31">
        <v>2321</v>
      </c>
      <c r="B50" s="62" t="s">
        <v>139</v>
      </c>
      <c r="C50" s="33">
        <v>0.35</v>
      </c>
    </row>
    <row r="51" spans="1:3" ht="15.75" customHeight="1" x14ac:dyDescent="0.35">
      <c r="A51" s="31">
        <v>2322</v>
      </c>
      <c r="B51" s="62" t="s">
        <v>153</v>
      </c>
      <c r="C51" s="133">
        <v>0.02</v>
      </c>
    </row>
    <row r="52" spans="1:3" ht="15.75" hidden="1" customHeight="1" x14ac:dyDescent="0.35">
      <c r="A52" s="31">
        <v>2512</v>
      </c>
      <c r="B52" s="62" t="s">
        <v>154</v>
      </c>
      <c r="C52" s="133">
        <v>0</v>
      </c>
    </row>
    <row r="53" spans="1:3" ht="15.75" customHeight="1" x14ac:dyDescent="0.35">
      <c r="A53" s="31">
        <v>2513</v>
      </c>
      <c r="B53" s="61" t="s">
        <v>121</v>
      </c>
      <c r="C53" s="133">
        <v>0.01</v>
      </c>
    </row>
    <row r="54" spans="1:3" ht="15.75" customHeight="1" x14ac:dyDescent="0.35">
      <c r="A54" s="31">
        <v>2515</v>
      </c>
      <c r="B54" s="62" t="s">
        <v>155</v>
      </c>
      <c r="C54" s="133">
        <v>0.03</v>
      </c>
    </row>
    <row r="55" spans="1:3" ht="15.75" customHeight="1" x14ac:dyDescent="0.35">
      <c r="A55" s="31">
        <v>2519</v>
      </c>
      <c r="B55" s="62" t="s">
        <v>122</v>
      </c>
      <c r="C55" s="133">
        <v>0.01</v>
      </c>
    </row>
    <row r="56" spans="1:3" ht="15.75" hidden="1" customHeight="1" x14ac:dyDescent="0.35">
      <c r="A56" s="31">
        <v>5220</v>
      </c>
      <c r="B56" s="62" t="s">
        <v>128</v>
      </c>
      <c r="C56" s="133">
        <v>0</v>
      </c>
    </row>
    <row r="57" spans="1:3" ht="15.75" customHeight="1" x14ac:dyDescent="0.35">
      <c r="A57" s="31">
        <v>5238</v>
      </c>
      <c r="B57" s="61" t="s">
        <v>129</v>
      </c>
      <c r="C57" s="133">
        <v>0.02</v>
      </c>
    </row>
    <row r="58" spans="1:3" ht="15.75" customHeight="1" x14ac:dyDescent="0.35">
      <c r="A58" s="31">
        <v>5239</v>
      </c>
      <c r="B58" s="13" t="s">
        <v>130</v>
      </c>
      <c r="C58" s="133">
        <v>0.05</v>
      </c>
    </row>
    <row r="59" spans="1:3" ht="15.75" customHeight="1" x14ac:dyDescent="0.35">
      <c r="A59" s="31">
        <v>5250</v>
      </c>
      <c r="B59" s="62" t="s">
        <v>131</v>
      </c>
      <c r="C59" s="133">
        <v>0.05</v>
      </c>
    </row>
    <row r="60" spans="1:3" x14ac:dyDescent="0.35">
      <c r="A60" s="334"/>
      <c r="B60" s="79" t="s">
        <v>8</v>
      </c>
      <c r="C60" s="37">
        <f>SUM(C28:C59)</f>
        <v>5.6799999999999962</v>
      </c>
    </row>
    <row r="61" spans="1:3" x14ac:dyDescent="0.35">
      <c r="A61" s="334"/>
      <c r="B61" s="79" t="s">
        <v>29</v>
      </c>
      <c r="C61" s="37">
        <f>C26+C60</f>
        <v>62.7</v>
      </c>
    </row>
    <row r="62" spans="1:3" x14ac:dyDescent="0.35">
      <c r="A62" s="15"/>
      <c r="B62" s="25"/>
      <c r="C62" s="59"/>
    </row>
    <row r="63" spans="1:3" ht="15.75" customHeight="1" x14ac:dyDescent="0.35">
      <c r="A63" s="457" t="s">
        <v>106</v>
      </c>
      <c r="B63" s="458"/>
      <c r="C63" s="354">
        <v>5</v>
      </c>
    </row>
    <row r="64" spans="1:3" ht="15" customHeight="1" x14ac:dyDescent="0.3">
      <c r="A64" s="459" t="s">
        <v>107</v>
      </c>
      <c r="B64" s="460"/>
      <c r="C64" s="371">
        <f>C61/C63</f>
        <v>12.540000000000001</v>
      </c>
    </row>
    <row r="65" spans="1:3" ht="14.25" customHeight="1" x14ac:dyDescent="0.35">
      <c r="A65" s="355"/>
      <c r="B65" s="356"/>
      <c r="C65" s="357"/>
    </row>
    <row r="66" spans="1:3" s="7" customFormat="1" ht="15" customHeight="1" x14ac:dyDescent="0.35">
      <c r="A66" s="457" t="s">
        <v>33</v>
      </c>
      <c r="B66" s="458"/>
      <c r="C66" s="358"/>
    </row>
    <row r="67" spans="1:3" s="7" customFormat="1" ht="15" customHeight="1" x14ac:dyDescent="0.35">
      <c r="A67" s="430" t="s">
        <v>64</v>
      </c>
      <c r="B67" s="431"/>
      <c r="C67" s="27"/>
    </row>
    <row r="68" spans="1:3" s="7" customFormat="1" x14ac:dyDescent="0.35">
      <c r="A68" s="28"/>
      <c r="B68" s="28"/>
      <c r="C68" s="28"/>
    </row>
    <row r="69" spans="1:3" s="7" customFormat="1" x14ac:dyDescent="0.35">
      <c r="A69" s="28" t="s">
        <v>34</v>
      </c>
      <c r="B69" s="28"/>
      <c r="C69" s="81"/>
    </row>
    <row r="70" spans="1:3" s="7" customFormat="1" x14ac:dyDescent="0.35">
      <c r="A70" s="28"/>
      <c r="B70" s="28"/>
      <c r="C70" s="28"/>
    </row>
    <row r="71" spans="1:3" s="7" customFormat="1" x14ac:dyDescent="0.35">
      <c r="A71" s="28" t="s">
        <v>177</v>
      </c>
      <c r="B71" s="29"/>
      <c r="C71" s="28"/>
    </row>
    <row r="72" spans="1:3" s="2" customFormat="1" ht="14.25" customHeight="1" x14ac:dyDescent="0.35">
      <c r="A72" s="28"/>
      <c r="B72" s="30"/>
      <c r="C72" s="28"/>
    </row>
    <row r="73" spans="1:3" x14ac:dyDescent="0.35">
      <c r="B73" s="14"/>
      <c r="C73" s="26"/>
    </row>
  </sheetData>
  <mergeCells count="7">
    <mergeCell ref="A67:B67"/>
    <mergeCell ref="A7:C7"/>
    <mergeCell ref="A9:B9"/>
    <mergeCell ref="A10:B10"/>
    <mergeCell ref="A63:B63"/>
    <mergeCell ref="A64:B64"/>
    <mergeCell ref="A66:B66"/>
  </mergeCells>
  <pageMargins left="0.7" right="0.7" top="0.75" bottom="0.75" header="0.3" footer="0.3"/>
  <pageSetup paperSize="9" scale="72" orientation="portrait" r:id="rId1"/>
  <headerFooter>
    <oddFooter>&amp;F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pageSetUpPr fitToPage="1"/>
  </sheetPr>
  <dimension ref="A1:IV78"/>
  <sheetViews>
    <sheetView view="pageLayout" topLeftCell="A13" zoomScale="80" zoomScaleNormal="100" zoomScalePageLayoutView="80" workbookViewId="0">
      <selection activeCell="D38" sqref="D38"/>
    </sheetView>
  </sheetViews>
  <sheetFormatPr defaultColWidth="9.1796875" defaultRowHeight="15.5" x14ac:dyDescent="0.35"/>
  <cols>
    <col min="1" max="1" width="12.26953125" style="13" customWidth="1"/>
    <col min="2" max="2" width="86.7265625" style="13" customWidth="1"/>
    <col min="3" max="3" width="24.54296875" style="13" hidden="1" customWidth="1"/>
    <col min="4" max="4" width="24.54296875" style="13" customWidth="1"/>
    <col min="5" max="16384" width="9.1796875" style="4"/>
  </cols>
  <sheetData>
    <row r="1" spans="1:4" x14ac:dyDescent="0.35">
      <c r="B1" s="15"/>
      <c r="C1" s="15" t="s">
        <v>10</v>
      </c>
      <c r="D1" s="15" t="s">
        <v>10</v>
      </c>
    </row>
    <row r="2" spans="1:4" x14ac:dyDescent="0.35">
      <c r="B2" s="311"/>
      <c r="C2" s="15" t="s">
        <v>32</v>
      </c>
      <c r="D2" s="15" t="s">
        <v>32</v>
      </c>
    </row>
    <row r="3" spans="1:4" x14ac:dyDescent="0.35">
      <c r="B3" s="15"/>
      <c r="C3" s="15" t="s">
        <v>66</v>
      </c>
      <c r="D3" s="15" t="s">
        <v>66</v>
      </c>
    </row>
    <row r="4" spans="1:4" x14ac:dyDescent="0.35">
      <c r="B4" s="15"/>
      <c r="C4" s="15"/>
      <c r="D4" s="15"/>
    </row>
    <row r="5" spans="1:4" x14ac:dyDescent="0.35">
      <c r="B5" s="335"/>
      <c r="C5" s="15" t="s">
        <v>283</v>
      </c>
      <c r="D5" s="15" t="s">
        <v>333</v>
      </c>
    </row>
    <row r="6" spans="1:4" ht="15.75" customHeight="1" x14ac:dyDescent="0.35">
      <c r="B6" s="15"/>
      <c r="C6" s="25"/>
      <c r="D6" s="25"/>
    </row>
    <row r="7" spans="1:4" ht="15" x14ac:dyDescent="0.3">
      <c r="A7" s="416" t="s">
        <v>9</v>
      </c>
      <c r="B7" s="416"/>
      <c r="C7" s="416"/>
      <c r="D7" s="70"/>
    </row>
    <row r="8" spans="1:4" x14ac:dyDescent="0.35">
      <c r="B8" s="18"/>
    </row>
    <row r="9" spans="1:4" ht="15.75" customHeight="1" x14ac:dyDescent="0.35">
      <c r="A9" s="419" t="s">
        <v>1</v>
      </c>
      <c r="B9" s="419"/>
    </row>
    <row r="10" spans="1:4" ht="15.75" customHeight="1" x14ac:dyDescent="0.35">
      <c r="A10" s="419" t="s">
        <v>0</v>
      </c>
      <c r="B10" s="419"/>
    </row>
    <row r="11" spans="1:4" x14ac:dyDescent="0.35">
      <c r="A11" s="11"/>
      <c r="B11" s="11" t="s">
        <v>280</v>
      </c>
    </row>
    <row r="12" spans="1:4" ht="15.75" customHeight="1" x14ac:dyDescent="0.35">
      <c r="A12" s="11"/>
      <c r="B12" s="11" t="s">
        <v>299</v>
      </c>
    </row>
    <row r="13" spans="1:4" x14ac:dyDescent="0.3">
      <c r="A13" s="4"/>
      <c r="B13" s="419" t="s">
        <v>351</v>
      </c>
      <c r="C13" s="419"/>
      <c r="D13" s="11"/>
    </row>
    <row r="14" spans="1:4" ht="15.75" customHeight="1" x14ac:dyDescent="0.35">
      <c r="A14" s="11" t="s">
        <v>2</v>
      </c>
      <c r="B14" s="11" t="s">
        <v>250</v>
      </c>
    </row>
    <row r="15" spans="1:4" ht="64.5" customHeight="1" x14ac:dyDescent="0.3">
      <c r="A15" s="51" t="s">
        <v>3</v>
      </c>
      <c r="B15" s="51" t="s">
        <v>4</v>
      </c>
      <c r="C15" s="51" t="s">
        <v>63</v>
      </c>
      <c r="D15" s="51" t="s">
        <v>63</v>
      </c>
    </row>
    <row r="16" spans="1:4" ht="15" x14ac:dyDescent="0.3">
      <c r="A16" s="20">
        <v>1</v>
      </c>
      <c r="B16" s="21">
        <v>2</v>
      </c>
      <c r="C16" s="21">
        <v>3</v>
      </c>
      <c r="D16" s="21">
        <v>3</v>
      </c>
    </row>
    <row r="17" spans="1:7" x14ac:dyDescent="0.35">
      <c r="A17" s="20"/>
      <c r="B17" s="22" t="s">
        <v>5</v>
      </c>
      <c r="C17" s="61"/>
      <c r="D17" s="61"/>
    </row>
    <row r="18" spans="1:7" x14ac:dyDescent="0.35">
      <c r="A18" s="31">
        <v>1100</v>
      </c>
      <c r="B18" s="288" t="s">
        <v>132</v>
      </c>
      <c r="C18" s="33">
        <v>736.4</v>
      </c>
      <c r="D18" s="33">
        <f>5.24*270</f>
        <v>1414.8</v>
      </c>
    </row>
    <row r="19" spans="1:7" ht="15.75" customHeight="1" x14ac:dyDescent="0.35">
      <c r="A19" s="31">
        <v>1200</v>
      </c>
      <c r="B19" s="62" t="s">
        <v>133</v>
      </c>
      <c r="C19" s="33">
        <v>173.72</v>
      </c>
      <c r="D19" s="33">
        <v>333.75</v>
      </c>
    </row>
    <row r="20" spans="1:7" ht="15.75" hidden="1" customHeight="1" x14ac:dyDescent="0.35">
      <c r="A20" s="31">
        <v>2222</v>
      </c>
      <c r="B20" s="62" t="s">
        <v>135</v>
      </c>
      <c r="C20" s="33">
        <v>0</v>
      </c>
      <c r="D20" s="33">
        <v>0</v>
      </c>
    </row>
    <row r="21" spans="1:7" ht="15.75" customHeight="1" x14ac:dyDescent="0.3">
      <c r="A21" s="31">
        <v>2242</v>
      </c>
      <c r="B21" s="32" t="s">
        <v>145</v>
      </c>
      <c r="C21" s="33">
        <v>8.18</v>
      </c>
      <c r="D21" s="33">
        <v>360.42</v>
      </c>
      <c r="E21" s="44"/>
    </row>
    <row r="22" spans="1:7" ht="15.75" customHeight="1" x14ac:dyDescent="0.35">
      <c r="A22" s="31">
        <v>2322</v>
      </c>
      <c r="B22" s="62" t="s">
        <v>153</v>
      </c>
      <c r="C22" s="33">
        <v>1598.03</v>
      </c>
      <c r="D22" s="33">
        <f>8.66*270</f>
        <v>2338.1999999999998</v>
      </c>
    </row>
    <row r="23" spans="1:7" ht="15.75" hidden="1" customHeight="1" x14ac:dyDescent="0.35">
      <c r="A23" s="61">
        <v>2370</v>
      </c>
      <c r="B23" s="62" t="s">
        <v>300</v>
      </c>
      <c r="C23" s="33">
        <v>11.31</v>
      </c>
      <c r="D23" s="33">
        <v>0</v>
      </c>
    </row>
    <row r="24" spans="1:7" x14ac:dyDescent="0.35">
      <c r="A24" s="31">
        <v>5231</v>
      </c>
      <c r="B24" s="62" t="s">
        <v>324</v>
      </c>
      <c r="C24" s="33">
        <v>39.04</v>
      </c>
      <c r="D24" s="33">
        <v>100.38</v>
      </c>
    </row>
    <row r="25" spans="1:7" ht="15.75" customHeight="1" x14ac:dyDescent="0.3">
      <c r="A25" s="31"/>
      <c r="B25" s="78" t="s">
        <v>6</v>
      </c>
      <c r="C25" s="23">
        <f>SUM(C18:C24)</f>
        <v>2566.6799999999998</v>
      </c>
      <c r="D25" s="23">
        <f>SUM(D18:D24)</f>
        <v>4547.55</v>
      </c>
      <c r="E25" s="348"/>
      <c r="G25" s="348"/>
    </row>
    <row r="26" spans="1:7" x14ac:dyDescent="0.35">
      <c r="A26" s="38"/>
      <c r="B26" s="288" t="s">
        <v>7</v>
      </c>
      <c r="C26" s="33"/>
      <c r="D26" s="33"/>
    </row>
    <row r="27" spans="1:7" x14ac:dyDescent="0.3">
      <c r="A27" s="31">
        <v>1100</v>
      </c>
      <c r="B27" s="31" t="s">
        <v>132</v>
      </c>
      <c r="C27" s="33">
        <v>280.62</v>
      </c>
      <c r="D27" s="33">
        <v>84.9</v>
      </c>
    </row>
    <row r="28" spans="1:7" ht="15.75" customHeight="1" x14ac:dyDescent="0.3">
      <c r="A28" s="31">
        <v>1200</v>
      </c>
      <c r="B28" s="32" t="s">
        <v>286</v>
      </c>
      <c r="C28" s="33">
        <v>66.2</v>
      </c>
      <c r="D28" s="33">
        <v>20.03</v>
      </c>
    </row>
    <row r="29" spans="1:7" ht="15.75" customHeight="1" x14ac:dyDescent="0.3">
      <c r="A29" s="34">
        <v>2210</v>
      </c>
      <c r="B29" s="32" t="s">
        <v>271</v>
      </c>
      <c r="C29" s="33">
        <v>9.34</v>
      </c>
      <c r="D29" s="33">
        <v>0.23</v>
      </c>
    </row>
    <row r="30" spans="1:7" ht="15.75" customHeight="1" x14ac:dyDescent="0.35">
      <c r="A30" s="31">
        <v>2222</v>
      </c>
      <c r="B30" s="62" t="s">
        <v>135</v>
      </c>
      <c r="C30" s="33">
        <v>1.9</v>
      </c>
      <c r="D30" s="33">
        <v>3.26</v>
      </c>
    </row>
    <row r="31" spans="1:7" x14ac:dyDescent="0.3">
      <c r="A31" s="31">
        <v>2223</v>
      </c>
      <c r="B31" s="32" t="s">
        <v>27</v>
      </c>
      <c r="C31" s="33">
        <v>35.049999999999997</v>
      </c>
      <c r="D31" s="33">
        <v>15.29</v>
      </c>
    </row>
    <row r="32" spans="1:7" ht="15.75" customHeight="1" x14ac:dyDescent="0.3">
      <c r="A32" s="31">
        <v>2244</v>
      </c>
      <c r="B32" s="151" t="s">
        <v>281</v>
      </c>
      <c r="C32" s="33">
        <v>23.74</v>
      </c>
      <c r="D32" s="33">
        <f>32.75-0.22</f>
        <v>32.53</v>
      </c>
    </row>
    <row r="33" spans="1:256" x14ac:dyDescent="0.3">
      <c r="A33" s="31">
        <v>2311</v>
      </c>
      <c r="B33" s="32" t="s">
        <v>151</v>
      </c>
      <c r="C33" s="33">
        <v>6.29</v>
      </c>
      <c r="D33" s="33">
        <v>0.39</v>
      </c>
    </row>
    <row r="34" spans="1:256" x14ac:dyDescent="0.3">
      <c r="A34" s="31">
        <v>2312</v>
      </c>
      <c r="B34" s="32" t="s">
        <v>116</v>
      </c>
      <c r="C34" s="33">
        <v>3.44</v>
      </c>
      <c r="D34" s="33">
        <v>0.27</v>
      </c>
    </row>
    <row r="35" spans="1:256" ht="15.75" customHeight="1" x14ac:dyDescent="0.3">
      <c r="A35" s="31">
        <v>2321</v>
      </c>
      <c r="B35" s="32" t="s">
        <v>139</v>
      </c>
      <c r="C35" s="33">
        <v>27.92</v>
      </c>
      <c r="D35" s="33">
        <v>21.44</v>
      </c>
    </row>
    <row r="36" spans="1:256" x14ac:dyDescent="0.35">
      <c r="A36" s="31">
        <v>2350</v>
      </c>
      <c r="B36" s="13" t="s">
        <v>125</v>
      </c>
      <c r="C36" s="33">
        <v>87.22</v>
      </c>
      <c r="D36" s="33">
        <f>7.14+0.07</f>
        <v>7.21</v>
      </c>
    </row>
    <row r="37" spans="1:256" hidden="1" x14ac:dyDescent="0.35">
      <c r="A37" s="31">
        <v>2519</v>
      </c>
      <c r="B37" s="62" t="s">
        <v>122</v>
      </c>
      <c r="C37" s="33"/>
      <c r="D37" s="33">
        <v>0</v>
      </c>
    </row>
    <row r="38" spans="1:256" ht="15.75" customHeight="1" x14ac:dyDescent="0.35">
      <c r="A38" s="334"/>
      <c r="B38" s="79" t="s">
        <v>8</v>
      </c>
      <c r="C38" s="23">
        <f>SUM(C27:C36)</f>
        <v>541.72</v>
      </c>
      <c r="D38" s="23">
        <f>SUM(D27:D36)</f>
        <v>185.55</v>
      </c>
    </row>
    <row r="39" spans="1:256" x14ac:dyDescent="0.35">
      <c r="A39" s="334"/>
      <c r="B39" s="79" t="s">
        <v>29</v>
      </c>
      <c r="C39" s="37">
        <f>C38+C25</f>
        <v>3108.3999999999996</v>
      </c>
      <c r="D39" s="37">
        <f>D38+D25</f>
        <v>4733.1000000000004</v>
      </c>
    </row>
    <row r="40" spans="1:256" ht="15.75" customHeight="1" x14ac:dyDescent="0.35">
      <c r="A40" s="15"/>
      <c r="B40" s="25"/>
      <c r="C40" s="44"/>
      <c r="D40" s="44"/>
    </row>
    <row r="41" spans="1:256" ht="15.75" customHeight="1" x14ac:dyDescent="0.35">
      <c r="A41" s="417" t="s">
        <v>106</v>
      </c>
      <c r="B41" s="417"/>
      <c r="C41" s="339">
        <v>190</v>
      </c>
      <c r="D41" s="339">
        <v>270</v>
      </c>
    </row>
    <row r="42" spans="1:256" ht="15.75" customHeight="1" x14ac:dyDescent="0.3">
      <c r="A42" s="418" t="s">
        <v>107</v>
      </c>
      <c r="B42" s="418"/>
      <c r="C42" s="137">
        <f>C39/C41</f>
        <v>16.36</v>
      </c>
      <c r="D42" s="137">
        <f>D39/D41</f>
        <v>17.53</v>
      </c>
      <c r="F42" s="348"/>
    </row>
    <row r="43" spans="1:256" ht="15.75" customHeight="1" x14ac:dyDescent="0.35">
      <c r="A43" s="283"/>
      <c r="B43" s="42"/>
      <c r="C43" s="26"/>
      <c r="D43" s="359"/>
    </row>
    <row r="44" spans="1:256" ht="15.75" customHeight="1" x14ac:dyDescent="0.35">
      <c r="A44" s="417" t="s">
        <v>33</v>
      </c>
      <c r="B44" s="417"/>
      <c r="C44" s="27"/>
      <c r="D44" s="360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</row>
    <row r="45" spans="1:256" ht="15.75" customHeight="1" x14ac:dyDescent="0.35">
      <c r="A45" s="417" t="s">
        <v>64</v>
      </c>
      <c r="B45" s="417"/>
      <c r="C45" s="27"/>
      <c r="D45" s="361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</row>
    <row r="46" spans="1:256" ht="15.75" customHeight="1" x14ac:dyDescent="0.35">
      <c r="A46" s="28"/>
      <c r="B46" s="28"/>
      <c r="C46" s="28"/>
      <c r="D46" s="28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</row>
    <row r="47" spans="1:256" ht="15.75" customHeight="1" x14ac:dyDescent="0.35">
      <c r="A47" s="28" t="s">
        <v>34</v>
      </c>
      <c r="B47" s="28"/>
      <c r="C47" s="81"/>
      <c r="D47" s="81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</row>
    <row r="48" spans="1:256" ht="15.75" customHeight="1" x14ac:dyDescent="0.35">
      <c r="A48" s="28"/>
      <c r="B48" s="28"/>
      <c r="C48" s="28"/>
      <c r="D48" s="28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</row>
    <row r="49" spans="1:256" x14ac:dyDescent="0.35">
      <c r="A49" s="28" t="s">
        <v>177</v>
      </c>
      <c r="B49" s="29"/>
      <c r="C49" s="28"/>
      <c r="D49" s="28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</row>
    <row r="50" spans="1:256" x14ac:dyDescent="0.35">
      <c r="A50" s="28"/>
      <c r="B50" s="30"/>
      <c r="C50" s="28"/>
      <c r="D50" s="28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</row>
    <row r="51" spans="1:256" ht="15.75" customHeight="1" x14ac:dyDescent="0.35">
      <c r="B51" s="14"/>
    </row>
    <row r="53" spans="1:256" ht="15.75" customHeight="1" x14ac:dyDescent="0.35"/>
    <row r="54" spans="1:256" ht="15.75" customHeight="1" x14ac:dyDescent="0.35"/>
    <row r="55" spans="1:256" ht="17.25" customHeight="1" x14ac:dyDescent="0.35"/>
    <row r="56" spans="1:256" ht="15.75" customHeight="1" x14ac:dyDescent="0.35"/>
    <row r="57" spans="1:256" ht="14.25" customHeight="1" x14ac:dyDescent="0.35"/>
    <row r="59" spans="1:256" ht="15.75" customHeight="1" x14ac:dyDescent="0.35"/>
    <row r="60" spans="1:256" ht="15.75" customHeight="1" x14ac:dyDescent="0.35"/>
    <row r="62" spans="1:256" ht="15.75" customHeight="1" x14ac:dyDescent="0.35"/>
    <row r="63" spans="1:256" ht="15.75" customHeight="1" x14ac:dyDescent="0.35"/>
    <row r="64" spans="1:256" ht="15.75" customHeight="1" x14ac:dyDescent="0.35"/>
    <row r="65" spans="1:256" ht="15.75" customHeight="1" x14ac:dyDescent="0.35"/>
    <row r="69" spans="1:256" ht="15" customHeight="1" x14ac:dyDescent="0.35"/>
    <row r="70" spans="1:256" ht="15" customHeight="1" x14ac:dyDescent="0.35"/>
    <row r="71" spans="1:256" ht="15" customHeight="1" x14ac:dyDescent="0.35"/>
    <row r="72" spans="1:256" s="7" customFormat="1" ht="15" customHeight="1" x14ac:dyDescent="0.35">
      <c r="A72" s="13"/>
      <c r="B72" s="13"/>
      <c r="C72" s="13"/>
      <c r="D72" s="1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</row>
    <row r="73" spans="1:256" s="7" customFormat="1" ht="15" customHeight="1" x14ac:dyDescent="0.35">
      <c r="A73" s="13"/>
      <c r="B73" s="13"/>
      <c r="C73" s="13"/>
      <c r="D73" s="1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</row>
    <row r="74" spans="1:256" s="7" customFormat="1" ht="15" customHeight="1" x14ac:dyDescent="0.35">
      <c r="A74" s="13"/>
      <c r="B74" s="13"/>
      <c r="C74" s="13"/>
      <c r="D74" s="1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</row>
    <row r="75" spans="1:256" s="7" customFormat="1" ht="15" customHeight="1" x14ac:dyDescent="0.35">
      <c r="A75" s="13"/>
      <c r="B75" s="13"/>
      <c r="C75" s="13"/>
      <c r="D75" s="1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</row>
    <row r="76" spans="1:256" s="7" customFormat="1" ht="15" customHeight="1" x14ac:dyDescent="0.35">
      <c r="A76" s="13"/>
      <c r="B76" s="13"/>
      <c r="C76" s="13"/>
      <c r="D76" s="1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</row>
    <row r="77" spans="1:256" s="7" customFormat="1" ht="15" customHeight="1" x14ac:dyDescent="0.35">
      <c r="A77" s="13"/>
      <c r="B77" s="13"/>
      <c r="C77" s="13"/>
      <c r="D77" s="1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</row>
    <row r="78" spans="1:256" s="2" customFormat="1" ht="15" customHeight="1" x14ac:dyDescent="0.35">
      <c r="A78" s="13"/>
      <c r="B78" s="13"/>
      <c r="C78" s="13"/>
      <c r="D78" s="1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</row>
  </sheetData>
  <mergeCells count="8">
    <mergeCell ref="A44:B44"/>
    <mergeCell ref="A45:B45"/>
    <mergeCell ref="A7:C7"/>
    <mergeCell ref="A9:B9"/>
    <mergeCell ref="A10:B10"/>
    <mergeCell ref="B13:C13"/>
    <mergeCell ref="A41:B41"/>
    <mergeCell ref="A42:B42"/>
  </mergeCells>
  <pageMargins left="0.7" right="0.7" top="0.75" bottom="0.75" header="0.3" footer="0.3"/>
  <pageSetup paperSize="9" scale="72" orientation="portrait" r:id="rId1"/>
  <headerFooter>
    <oddFooter>&amp;F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pageSetUpPr fitToPage="1"/>
  </sheetPr>
  <dimension ref="A1:IU78"/>
  <sheetViews>
    <sheetView view="pageLayout" topLeftCell="A13" zoomScale="80" zoomScaleNormal="100" zoomScalePageLayoutView="80" workbookViewId="0">
      <selection activeCell="D39" sqref="D39"/>
    </sheetView>
  </sheetViews>
  <sheetFormatPr defaultColWidth="9.1796875" defaultRowHeight="15.5" x14ac:dyDescent="0.35"/>
  <cols>
    <col min="1" max="1" width="13.54296875" style="13" customWidth="1"/>
    <col min="2" max="2" width="86.7265625" style="13" customWidth="1"/>
    <col min="3" max="3" width="24.54296875" style="13" customWidth="1"/>
    <col min="4" max="16384" width="9.1796875" style="4"/>
  </cols>
  <sheetData>
    <row r="1" spans="1:3" x14ac:dyDescent="0.35">
      <c r="B1" s="15"/>
      <c r="C1" s="15" t="s">
        <v>10</v>
      </c>
    </row>
    <row r="2" spans="1:3" x14ac:dyDescent="0.35">
      <c r="B2" s="311"/>
      <c r="C2" s="15" t="s">
        <v>32</v>
      </c>
    </row>
    <row r="3" spans="1:3" x14ac:dyDescent="0.35">
      <c r="B3" s="15"/>
      <c r="C3" s="15" t="s">
        <v>66</v>
      </c>
    </row>
    <row r="4" spans="1:3" x14ac:dyDescent="0.35">
      <c r="B4" s="15"/>
      <c r="C4" s="15"/>
    </row>
    <row r="5" spans="1:3" x14ac:dyDescent="0.35">
      <c r="B5" s="335"/>
      <c r="C5" s="15" t="s">
        <v>333</v>
      </c>
    </row>
    <row r="6" spans="1:3" ht="15.75" customHeight="1" x14ac:dyDescent="0.35">
      <c r="B6" s="15"/>
      <c r="C6" s="25"/>
    </row>
    <row r="7" spans="1:3" ht="15" x14ac:dyDescent="0.3">
      <c r="A7" s="416" t="s">
        <v>9</v>
      </c>
      <c r="B7" s="416"/>
      <c r="C7" s="416"/>
    </row>
    <row r="8" spans="1:3" x14ac:dyDescent="0.35">
      <c r="B8" s="18"/>
    </row>
    <row r="9" spans="1:3" ht="15.75" customHeight="1" x14ac:dyDescent="0.35">
      <c r="A9" s="419" t="s">
        <v>1</v>
      </c>
      <c r="B9" s="419"/>
    </row>
    <row r="10" spans="1:3" ht="15.75" customHeight="1" x14ac:dyDescent="0.35">
      <c r="A10" s="419" t="s">
        <v>0</v>
      </c>
      <c r="B10" s="419"/>
    </row>
    <row r="11" spans="1:3" x14ac:dyDescent="0.35">
      <c r="A11" s="11"/>
      <c r="B11" s="11" t="s">
        <v>280</v>
      </c>
    </row>
    <row r="12" spans="1:3" ht="15.75" customHeight="1" x14ac:dyDescent="0.35">
      <c r="A12" s="11"/>
      <c r="B12" s="11" t="s">
        <v>299</v>
      </c>
    </row>
    <row r="13" spans="1:3" x14ac:dyDescent="0.3">
      <c r="A13" s="4"/>
      <c r="B13" s="419" t="s">
        <v>350</v>
      </c>
      <c r="C13" s="419"/>
    </row>
    <row r="14" spans="1:3" ht="15.75" customHeight="1" x14ac:dyDescent="0.35">
      <c r="A14" s="11" t="s">
        <v>2</v>
      </c>
      <c r="B14" s="11" t="s">
        <v>250</v>
      </c>
    </row>
    <row r="15" spans="1:3" ht="65.25" customHeight="1" x14ac:dyDescent="0.3">
      <c r="A15" s="51" t="s">
        <v>3</v>
      </c>
      <c r="B15" s="51" t="s">
        <v>4</v>
      </c>
      <c r="C15" s="51" t="s">
        <v>63</v>
      </c>
    </row>
    <row r="16" spans="1:3" ht="15" x14ac:dyDescent="0.3">
      <c r="A16" s="20">
        <v>1</v>
      </c>
      <c r="B16" s="21">
        <v>2</v>
      </c>
      <c r="C16" s="21">
        <v>3</v>
      </c>
    </row>
    <row r="17" spans="1:3" x14ac:dyDescent="0.35">
      <c r="A17" s="20"/>
      <c r="B17" s="22" t="s">
        <v>5</v>
      </c>
      <c r="C17" s="61"/>
    </row>
    <row r="18" spans="1:3" x14ac:dyDescent="0.35">
      <c r="A18" s="31">
        <v>1100</v>
      </c>
      <c r="B18" s="288" t="s">
        <v>132</v>
      </c>
      <c r="C18" s="33">
        <v>69.88</v>
      </c>
    </row>
    <row r="19" spans="1:3" ht="15.75" customHeight="1" x14ac:dyDescent="0.35">
      <c r="A19" s="31">
        <v>1200</v>
      </c>
      <c r="B19" s="62" t="s">
        <v>133</v>
      </c>
      <c r="C19" s="33">
        <v>16.48</v>
      </c>
    </row>
    <row r="20" spans="1:3" ht="15.75" hidden="1" customHeight="1" x14ac:dyDescent="0.35">
      <c r="A20" s="31">
        <v>2222</v>
      </c>
      <c r="B20" s="62" t="s">
        <v>135</v>
      </c>
      <c r="C20" s="33">
        <v>0</v>
      </c>
    </row>
    <row r="21" spans="1:3" ht="15.75" customHeight="1" x14ac:dyDescent="0.3">
      <c r="A21" s="31">
        <v>2242</v>
      </c>
      <c r="B21" s="32" t="s">
        <v>145</v>
      </c>
      <c r="C21" s="33">
        <v>13.91</v>
      </c>
    </row>
    <row r="22" spans="1:3" ht="15.75" customHeight="1" x14ac:dyDescent="0.35">
      <c r="A22" s="31">
        <v>2322</v>
      </c>
      <c r="B22" s="62" t="s">
        <v>153</v>
      </c>
      <c r="C22" s="33">
        <v>115.58</v>
      </c>
    </row>
    <row r="23" spans="1:3" ht="15.75" hidden="1" customHeight="1" x14ac:dyDescent="0.35">
      <c r="A23" s="61">
        <v>2370</v>
      </c>
      <c r="B23" s="62" t="s">
        <v>300</v>
      </c>
      <c r="C23" s="33">
        <v>0</v>
      </c>
    </row>
    <row r="24" spans="1:3" x14ac:dyDescent="0.35">
      <c r="A24" s="31">
        <v>5231</v>
      </c>
      <c r="B24" s="62" t="s">
        <v>285</v>
      </c>
      <c r="C24" s="33">
        <v>3.72</v>
      </c>
    </row>
    <row r="25" spans="1:3" ht="15.75" customHeight="1" x14ac:dyDescent="0.3">
      <c r="A25" s="31"/>
      <c r="B25" s="78" t="s">
        <v>6</v>
      </c>
      <c r="C25" s="23">
        <f>SUM(C18:C24)</f>
        <v>219.57</v>
      </c>
    </row>
    <row r="26" spans="1:3" x14ac:dyDescent="0.35">
      <c r="A26" s="38"/>
      <c r="B26" s="288" t="s">
        <v>7</v>
      </c>
      <c r="C26" s="33"/>
    </row>
    <row r="27" spans="1:3" x14ac:dyDescent="0.3">
      <c r="A27" s="31">
        <v>1100</v>
      </c>
      <c r="B27" s="31" t="s">
        <v>132</v>
      </c>
      <c r="C27" s="33">
        <v>3.94</v>
      </c>
    </row>
    <row r="28" spans="1:3" ht="15.75" customHeight="1" x14ac:dyDescent="0.3">
      <c r="A28" s="31">
        <v>1200</v>
      </c>
      <c r="B28" s="32" t="s">
        <v>286</v>
      </c>
      <c r="C28" s="33">
        <v>0.93</v>
      </c>
    </row>
    <row r="29" spans="1:3" ht="15.75" customHeight="1" x14ac:dyDescent="0.3">
      <c r="A29" s="34">
        <v>2210</v>
      </c>
      <c r="B29" s="32" t="s">
        <v>271</v>
      </c>
      <c r="C29" s="33">
        <v>0.01</v>
      </c>
    </row>
    <row r="30" spans="1:3" ht="15.75" customHeight="1" x14ac:dyDescent="0.35">
      <c r="A30" s="31">
        <v>2222</v>
      </c>
      <c r="B30" s="62" t="s">
        <v>135</v>
      </c>
      <c r="C30" s="33">
        <v>0.16</v>
      </c>
    </row>
    <row r="31" spans="1:3" x14ac:dyDescent="0.3">
      <c r="A31" s="31">
        <v>2223</v>
      </c>
      <c r="B31" s="32" t="s">
        <v>27</v>
      </c>
      <c r="C31" s="33">
        <v>0.74</v>
      </c>
    </row>
    <row r="32" spans="1:3" ht="15.75" customHeight="1" x14ac:dyDescent="0.3">
      <c r="A32" s="31">
        <v>2244</v>
      </c>
      <c r="B32" s="151" t="s">
        <v>281</v>
      </c>
      <c r="C32" s="33">
        <v>1.62</v>
      </c>
    </row>
    <row r="33" spans="1:255" x14ac:dyDescent="0.3">
      <c r="A33" s="31">
        <v>2311</v>
      </c>
      <c r="B33" s="32" t="s">
        <v>151</v>
      </c>
      <c r="C33" s="33">
        <v>0.02</v>
      </c>
    </row>
    <row r="34" spans="1:255" x14ac:dyDescent="0.3">
      <c r="A34" s="31">
        <v>2312</v>
      </c>
      <c r="B34" s="32" t="s">
        <v>116</v>
      </c>
      <c r="C34" s="33">
        <v>0.01</v>
      </c>
    </row>
    <row r="35" spans="1:255" ht="15.75" customHeight="1" x14ac:dyDescent="0.3">
      <c r="A35" s="31">
        <v>2321</v>
      </c>
      <c r="B35" s="32" t="s">
        <v>139</v>
      </c>
      <c r="C35" s="33">
        <v>1.05</v>
      </c>
    </row>
    <row r="36" spans="1:255" x14ac:dyDescent="0.35">
      <c r="A36" s="31">
        <v>2350</v>
      </c>
      <c r="B36" s="13" t="s">
        <v>125</v>
      </c>
      <c r="C36" s="33">
        <v>0.35</v>
      </c>
    </row>
    <row r="37" spans="1:255" hidden="1" x14ac:dyDescent="0.35">
      <c r="A37" s="31">
        <v>2519</v>
      </c>
      <c r="B37" s="62" t="s">
        <v>122</v>
      </c>
      <c r="C37" s="33">
        <v>0</v>
      </c>
    </row>
    <row r="38" spans="1:255" ht="15.75" customHeight="1" x14ac:dyDescent="0.35">
      <c r="A38" s="334"/>
      <c r="B38" s="79" t="s">
        <v>8</v>
      </c>
      <c r="C38" s="23">
        <f>SUM(C27:C36)</f>
        <v>8.83</v>
      </c>
    </row>
    <row r="39" spans="1:255" x14ac:dyDescent="0.35">
      <c r="A39" s="334"/>
      <c r="B39" s="79" t="s">
        <v>29</v>
      </c>
      <c r="C39" s="37">
        <f>C38+C25</f>
        <v>228.4</v>
      </c>
      <c r="D39" s="348"/>
    </row>
    <row r="40" spans="1:255" ht="15.75" customHeight="1" x14ac:dyDescent="0.35">
      <c r="A40" s="15"/>
      <c r="B40" s="25"/>
      <c r="C40" s="44"/>
      <c r="D40" s="348"/>
    </row>
    <row r="41" spans="1:255" ht="15.75" customHeight="1" x14ac:dyDescent="0.35">
      <c r="A41" s="417" t="s">
        <v>106</v>
      </c>
      <c r="B41" s="417"/>
      <c r="C41" s="339">
        <v>10</v>
      </c>
    </row>
    <row r="42" spans="1:255" ht="15.75" customHeight="1" x14ac:dyDescent="0.3">
      <c r="A42" s="418" t="s">
        <v>107</v>
      </c>
      <c r="B42" s="418"/>
      <c r="C42" s="137">
        <f>C39/C41</f>
        <v>22.84</v>
      </c>
    </row>
    <row r="43" spans="1:255" ht="15.75" customHeight="1" x14ac:dyDescent="0.35">
      <c r="A43" s="283"/>
      <c r="B43" s="42"/>
      <c r="C43" s="26"/>
    </row>
    <row r="44" spans="1:255" ht="15.75" customHeight="1" x14ac:dyDescent="0.35">
      <c r="A44" s="417" t="s">
        <v>33</v>
      </c>
      <c r="B44" s="417"/>
      <c r="C44" s="2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</row>
    <row r="45" spans="1:255" ht="15.75" customHeight="1" x14ac:dyDescent="0.35">
      <c r="A45" s="417" t="s">
        <v>64</v>
      </c>
      <c r="B45" s="417"/>
      <c r="C45" s="2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</row>
    <row r="46" spans="1:255" ht="15.75" customHeight="1" x14ac:dyDescent="0.35">
      <c r="A46" s="28"/>
      <c r="B46" s="28"/>
      <c r="C46" s="28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</row>
    <row r="47" spans="1:255" ht="15.75" customHeight="1" x14ac:dyDescent="0.35">
      <c r="A47" s="28" t="s">
        <v>34</v>
      </c>
      <c r="B47" s="28"/>
      <c r="C47" s="8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</row>
    <row r="48" spans="1:255" ht="15.75" customHeight="1" x14ac:dyDescent="0.35">
      <c r="A48" s="28"/>
      <c r="B48" s="28"/>
      <c r="C48" s="28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</row>
    <row r="49" spans="1:255" x14ac:dyDescent="0.35">
      <c r="A49" s="28" t="s">
        <v>177</v>
      </c>
      <c r="B49" s="29"/>
      <c r="C49" s="28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</row>
    <row r="50" spans="1:255" x14ac:dyDescent="0.35">
      <c r="A50" s="28"/>
      <c r="B50" s="30"/>
      <c r="C50" s="28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ht="15.75" customHeight="1" x14ac:dyDescent="0.35">
      <c r="B51" s="14"/>
    </row>
    <row r="53" spans="1:255" ht="15.75" customHeight="1" x14ac:dyDescent="0.35"/>
    <row r="54" spans="1:255" ht="15.75" customHeight="1" x14ac:dyDescent="0.35"/>
    <row r="55" spans="1:255" ht="17.25" customHeight="1" x14ac:dyDescent="0.35"/>
    <row r="56" spans="1:255" ht="15.75" customHeight="1" x14ac:dyDescent="0.35"/>
    <row r="57" spans="1:255" ht="14.25" customHeight="1" x14ac:dyDescent="0.35"/>
    <row r="59" spans="1:255" ht="15.75" customHeight="1" x14ac:dyDescent="0.35"/>
    <row r="60" spans="1:255" ht="15.75" customHeight="1" x14ac:dyDescent="0.35"/>
    <row r="62" spans="1:255" ht="15.75" customHeight="1" x14ac:dyDescent="0.35"/>
    <row r="63" spans="1:255" ht="15.75" customHeight="1" x14ac:dyDescent="0.35"/>
    <row r="64" spans="1:255" ht="15.75" customHeight="1" x14ac:dyDescent="0.35"/>
    <row r="65" spans="1:255" ht="15.75" customHeight="1" x14ac:dyDescent="0.35"/>
    <row r="69" spans="1:255" ht="15" customHeight="1" x14ac:dyDescent="0.35"/>
    <row r="70" spans="1:255" ht="15" customHeight="1" x14ac:dyDescent="0.35"/>
    <row r="71" spans="1:255" ht="15" customHeight="1" x14ac:dyDescent="0.35"/>
    <row r="72" spans="1:255" s="7" customFormat="1" ht="15" customHeight="1" x14ac:dyDescent="0.35">
      <c r="A72" s="13"/>
      <c r="B72" s="13"/>
      <c r="C72" s="13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</row>
    <row r="73" spans="1:255" s="7" customFormat="1" ht="15" customHeight="1" x14ac:dyDescent="0.35">
      <c r="A73" s="13"/>
      <c r="B73" s="13"/>
      <c r="C73" s="13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</row>
    <row r="74" spans="1:255" s="7" customFormat="1" ht="15" customHeight="1" x14ac:dyDescent="0.35">
      <c r="A74" s="13"/>
      <c r="B74" s="13"/>
      <c r="C74" s="13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</row>
    <row r="75" spans="1:255" s="7" customFormat="1" ht="15" customHeight="1" x14ac:dyDescent="0.35">
      <c r="A75" s="13"/>
      <c r="B75" s="13"/>
      <c r="C75" s="13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</row>
    <row r="76" spans="1:255" s="7" customFormat="1" ht="15" customHeight="1" x14ac:dyDescent="0.35">
      <c r="A76" s="13"/>
      <c r="B76" s="13"/>
      <c r="C76" s="13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</row>
    <row r="77" spans="1:255" s="7" customFormat="1" ht="15" customHeight="1" x14ac:dyDescent="0.35">
      <c r="A77" s="13"/>
      <c r="B77" s="13"/>
      <c r="C77" s="13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</row>
    <row r="78" spans="1:255" s="2" customFormat="1" ht="15" customHeight="1" x14ac:dyDescent="0.35">
      <c r="A78" s="13"/>
      <c r="B78" s="13"/>
      <c r="C78" s="13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</row>
  </sheetData>
  <mergeCells count="8">
    <mergeCell ref="A44:B44"/>
    <mergeCell ref="A45:B45"/>
    <mergeCell ref="A7:C7"/>
    <mergeCell ref="A9:B9"/>
    <mergeCell ref="A10:B10"/>
    <mergeCell ref="B13:C13"/>
    <mergeCell ref="A41:B41"/>
    <mergeCell ref="A42:B42"/>
  </mergeCells>
  <pageMargins left="0.7" right="0.7" top="0.75" bottom="0.75" header="0.3" footer="0.3"/>
  <pageSetup paperSize="9" scale="71" orientation="portrait" r:id="rId1"/>
  <headerFooter>
    <oddFooter>&amp;F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pageSetUpPr fitToPage="1"/>
  </sheetPr>
  <dimension ref="A1:D87"/>
  <sheetViews>
    <sheetView view="pageLayout" topLeftCell="A3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2.26953125" style="13" customWidth="1"/>
    <col min="2" max="2" width="89" style="13" customWidth="1"/>
    <col min="3" max="3" width="32.54296875" style="13" hidden="1" customWidth="1"/>
    <col min="4" max="4" width="27.7265625" style="13" customWidth="1"/>
    <col min="5" max="16384" width="9.1796875" style="4"/>
  </cols>
  <sheetData>
    <row r="1" spans="1:4" x14ac:dyDescent="0.35">
      <c r="B1" s="14"/>
      <c r="C1" s="15" t="s">
        <v>10</v>
      </c>
      <c r="D1" s="15" t="s">
        <v>10</v>
      </c>
    </row>
    <row r="2" spans="1:4" x14ac:dyDescent="0.35">
      <c r="B2" s="60"/>
      <c r="C2" s="15" t="s">
        <v>32</v>
      </c>
      <c r="D2" s="15" t="s">
        <v>32</v>
      </c>
    </row>
    <row r="3" spans="1:4" ht="15" customHeight="1" x14ac:dyDescent="0.35">
      <c r="B3" s="77"/>
      <c r="C3" s="77" t="s">
        <v>66</v>
      </c>
      <c r="D3" s="77" t="s">
        <v>66</v>
      </c>
    </row>
    <row r="4" spans="1:4" x14ac:dyDescent="0.35">
      <c r="B4" s="14"/>
      <c r="C4" s="14"/>
      <c r="D4" s="14"/>
    </row>
    <row r="5" spans="1:4" x14ac:dyDescent="0.35">
      <c r="B5" s="381"/>
      <c r="C5" s="15" t="s">
        <v>329</v>
      </c>
      <c r="D5" s="15" t="s">
        <v>333</v>
      </c>
    </row>
    <row r="6" spans="1:4" ht="15.75" customHeight="1" x14ac:dyDescent="0.35">
      <c r="B6" s="14"/>
      <c r="C6" s="25"/>
      <c r="D6" s="25"/>
    </row>
    <row r="7" spans="1:4" s="6" customFormat="1" ht="15" x14ac:dyDescent="0.3">
      <c r="A7" s="416" t="s">
        <v>9</v>
      </c>
      <c r="B7" s="416"/>
      <c r="C7" s="416"/>
      <c r="D7" s="70"/>
    </row>
    <row r="8" spans="1:4" s="6" customFormat="1" ht="15.75" customHeight="1" x14ac:dyDescent="0.35">
      <c r="A8" s="13"/>
      <c r="B8" s="18"/>
      <c r="C8" s="13"/>
      <c r="D8" s="13"/>
    </row>
    <row r="9" spans="1:4" s="6" customFormat="1" x14ac:dyDescent="0.35">
      <c r="A9" s="419" t="s">
        <v>1</v>
      </c>
      <c r="B9" s="419"/>
      <c r="C9" s="13"/>
      <c r="D9" s="13"/>
    </row>
    <row r="10" spans="1:4" s="6" customFormat="1" ht="15.75" customHeight="1" x14ac:dyDescent="0.35">
      <c r="A10" s="419" t="s">
        <v>0</v>
      </c>
      <c r="B10" s="419"/>
      <c r="C10" s="13"/>
      <c r="D10" s="13"/>
    </row>
    <row r="11" spans="1:4" s="6" customFormat="1" x14ac:dyDescent="0.35">
      <c r="A11" s="11"/>
      <c r="B11" s="11" t="s">
        <v>301</v>
      </c>
      <c r="C11" s="13"/>
      <c r="D11" s="13"/>
    </row>
    <row r="12" spans="1:4" s="6" customFormat="1" x14ac:dyDescent="0.35">
      <c r="A12" s="11"/>
      <c r="B12" s="11" t="s">
        <v>326</v>
      </c>
      <c r="C12" s="13"/>
      <c r="D12" s="13"/>
    </row>
    <row r="13" spans="1:4" s="6" customFormat="1" x14ac:dyDescent="0.35">
      <c r="A13" s="11"/>
      <c r="B13" s="11" t="s">
        <v>327</v>
      </c>
      <c r="C13" s="13"/>
      <c r="D13" s="13"/>
    </row>
    <row r="14" spans="1:4" s="6" customFormat="1" x14ac:dyDescent="0.35">
      <c r="A14" s="11" t="s">
        <v>2</v>
      </c>
      <c r="B14" s="11" t="s">
        <v>250</v>
      </c>
      <c r="C14" s="13"/>
      <c r="D14" s="13"/>
    </row>
    <row r="15" spans="1:4" s="6" customFormat="1" hidden="1" x14ac:dyDescent="0.35">
      <c r="A15" s="13"/>
      <c r="B15" s="136"/>
      <c r="C15" s="13"/>
      <c r="D15" s="13"/>
    </row>
    <row r="16" spans="1:4" s="6" customFormat="1" ht="75" customHeight="1" x14ac:dyDescent="0.3">
      <c r="A16" s="51" t="s">
        <v>3</v>
      </c>
      <c r="B16" s="51" t="s">
        <v>4</v>
      </c>
      <c r="C16" s="51" t="s">
        <v>63</v>
      </c>
      <c r="D16" s="51" t="s">
        <v>63</v>
      </c>
    </row>
    <row r="17" spans="1:4" s="6" customFormat="1" ht="15" x14ac:dyDescent="0.3">
      <c r="A17" s="20">
        <v>1</v>
      </c>
      <c r="B17" s="21">
        <v>2</v>
      </c>
      <c r="C17" s="21">
        <v>3</v>
      </c>
      <c r="D17" s="21">
        <v>3</v>
      </c>
    </row>
    <row r="18" spans="1:4" s="6" customFormat="1" x14ac:dyDescent="0.35">
      <c r="A18" s="382"/>
      <c r="B18" s="22" t="s">
        <v>5</v>
      </c>
      <c r="C18" s="61"/>
      <c r="D18" s="61"/>
    </row>
    <row r="19" spans="1:4" s="383" customFormat="1" x14ac:dyDescent="0.35">
      <c r="A19" s="334">
        <v>1100</v>
      </c>
      <c r="B19" s="288" t="s">
        <v>132</v>
      </c>
      <c r="C19" s="133">
        <v>4.74</v>
      </c>
      <c r="D19" s="133">
        <f>C19</f>
        <v>4.74</v>
      </c>
    </row>
    <row r="20" spans="1:4" ht="15.75" customHeight="1" x14ac:dyDescent="0.35">
      <c r="A20" s="334">
        <v>1200</v>
      </c>
      <c r="B20" s="32" t="s">
        <v>133</v>
      </c>
      <c r="C20" s="133">
        <v>1.1200000000000001</v>
      </c>
      <c r="D20" s="133">
        <v>1.1200000000000001</v>
      </c>
    </row>
    <row r="21" spans="1:4" x14ac:dyDescent="0.35">
      <c r="A21" s="334">
        <v>2210</v>
      </c>
      <c r="B21" s="62" t="s">
        <v>120</v>
      </c>
      <c r="C21" s="133">
        <f>3.1*5</f>
        <v>15.5</v>
      </c>
      <c r="D21" s="133">
        <f>4.6*5</f>
        <v>23</v>
      </c>
    </row>
    <row r="22" spans="1:4" s="384" customFormat="1" hidden="1" x14ac:dyDescent="0.35">
      <c r="A22" s="334">
        <v>2222</v>
      </c>
      <c r="B22" s="62" t="s">
        <v>26</v>
      </c>
      <c r="C22" s="133"/>
      <c r="D22" s="133"/>
    </row>
    <row r="23" spans="1:4" s="384" customFormat="1" hidden="1" x14ac:dyDescent="0.35">
      <c r="A23" s="334">
        <v>2223</v>
      </c>
      <c r="B23" s="62" t="s">
        <v>27</v>
      </c>
      <c r="C23" s="133"/>
      <c r="D23" s="133"/>
    </row>
    <row r="24" spans="1:4" hidden="1" x14ac:dyDescent="0.35">
      <c r="A24" s="334">
        <v>2243</v>
      </c>
      <c r="B24" s="62" t="s">
        <v>13</v>
      </c>
      <c r="C24" s="133"/>
      <c r="D24" s="133"/>
    </row>
    <row r="25" spans="1:4" x14ac:dyDescent="0.35">
      <c r="A25" s="61">
        <v>2311</v>
      </c>
      <c r="B25" s="62" t="s">
        <v>151</v>
      </c>
      <c r="C25" s="133">
        <v>0.15</v>
      </c>
      <c r="D25" s="133">
        <v>0.15</v>
      </c>
    </row>
    <row r="26" spans="1:4" hidden="1" x14ac:dyDescent="0.35">
      <c r="A26" s="61">
        <v>2350</v>
      </c>
      <c r="B26" s="62" t="s">
        <v>21</v>
      </c>
      <c r="C26" s="133"/>
      <c r="D26" s="133"/>
    </row>
    <row r="27" spans="1:4" s="6" customFormat="1" hidden="1" x14ac:dyDescent="0.35">
      <c r="A27" s="385">
        <v>2341</v>
      </c>
      <c r="B27" s="62" t="s">
        <v>42</v>
      </c>
      <c r="C27" s="133"/>
      <c r="D27" s="133"/>
    </row>
    <row r="28" spans="1:4" s="6" customFormat="1" ht="15.75" hidden="1" customHeight="1" x14ac:dyDescent="0.35">
      <c r="A28" s="61">
        <v>2249</v>
      </c>
      <c r="B28" s="62" t="s">
        <v>39</v>
      </c>
      <c r="C28" s="133"/>
      <c r="D28" s="133"/>
    </row>
    <row r="29" spans="1:4" s="6" customFormat="1" x14ac:dyDescent="0.35">
      <c r="A29" s="61"/>
      <c r="B29" s="78" t="s">
        <v>95</v>
      </c>
      <c r="C29" s="23">
        <f>SUM(C19:C28)</f>
        <v>21.509999999999998</v>
      </c>
      <c r="D29" s="23">
        <f>SUM(D19:D28)</f>
        <v>29.009999999999998</v>
      </c>
    </row>
    <row r="30" spans="1:4" s="6" customFormat="1" x14ac:dyDescent="0.35">
      <c r="A30" s="334"/>
      <c r="B30" s="288" t="s">
        <v>96</v>
      </c>
      <c r="C30" s="133"/>
      <c r="D30" s="133"/>
    </row>
    <row r="31" spans="1:4" x14ac:dyDescent="0.35">
      <c r="A31" s="61">
        <v>1100</v>
      </c>
      <c r="B31" s="288" t="s">
        <v>132</v>
      </c>
      <c r="C31" s="133">
        <v>0.92</v>
      </c>
      <c r="D31" s="133">
        <v>0.92</v>
      </c>
    </row>
    <row r="32" spans="1:4" ht="15.75" customHeight="1" x14ac:dyDescent="0.35">
      <c r="A32" s="61">
        <v>1200</v>
      </c>
      <c r="B32" s="32" t="s">
        <v>133</v>
      </c>
      <c r="C32" s="133">
        <v>0.22</v>
      </c>
      <c r="D32" s="133">
        <v>0.22</v>
      </c>
    </row>
    <row r="33" spans="1:4" hidden="1" x14ac:dyDescent="0.35">
      <c r="A33" s="61">
        <v>2100</v>
      </c>
      <c r="B33" s="24" t="s">
        <v>45</v>
      </c>
      <c r="C33" s="133">
        <v>0</v>
      </c>
      <c r="D33" s="133">
        <v>0</v>
      </c>
    </row>
    <row r="34" spans="1:4" hidden="1" x14ac:dyDescent="0.35">
      <c r="A34" s="385">
        <v>2210</v>
      </c>
      <c r="B34" s="62" t="s">
        <v>37</v>
      </c>
      <c r="C34" s="133">
        <v>0</v>
      </c>
      <c r="D34" s="133">
        <v>0</v>
      </c>
    </row>
    <row r="35" spans="1:4" hidden="1" x14ac:dyDescent="0.35">
      <c r="A35" s="61">
        <v>2222</v>
      </c>
      <c r="B35" s="62" t="s">
        <v>26</v>
      </c>
      <c r="C35" s="133">
        <v>0</v>
      </c>
      <c r="D35" s="133">
        <v>0</v>
      </c>
    </row>
    <row r="36" spans="1:4" hidden="1" x14ac:dyDescent="0.35">
      <c r="A36" s="61">
        <v>2223</v>
      </c>
      <c r="B36" s="62" t="s">
        <v>27</v>
      </c>
      <c r="C36" s="133">
        <v>0</v>
      </c>
      <c r="D36" s="133">
        <v>0</v>
      </c>
    </row>
    <row r="37" spans="1:4" ht="35.25" hidden="1" customHeight="1" x14ac:dyDescent="0.35">
      <c r="A37" s="61">
        <v>2230</v>
      </c>
      <c r="B37" s="62" t="s">
        <v>38</v>
      </c>
      <c r="C37" s="133">
        <v>0</v>
      </c>
      <c r="D37" s="133">
        <v>0</v>
      </c>
    </row>
    <row r="38" spans="1:4" hidden="1" x14ac:dyDescent="0.35">
      <c r="A38" s="61">
        <v>2241</v>
      </c>
      <c r="B38" s="62" t="s">
        <v>46</v>
      </c>
      <c r="C38" s="133">
        <v>0</v>
      </c>
      <c r="D38" s="133">
        <v>0</v>
      </c>
    </row>
    <row r="39" spans="1:4" hidden="1" x14ac:dyDescent="0.35">
      <c r="A39" s="61">
        <v>2242</v>
      </c>
      <c r="B39" s="62" t="s">
        <v>12</v>
      </c>
      <c r="C39" s="133">
        <v>0</v>
      </c>
      <c r="D39" s="133">
        <v>0</v>
      </c>
    </row>
    <row r="40" spans="1:4" hidden="1" x14ac:dyDescent="0.35">
      <c r="A40" s="61">
        <v>2243</v>
      </c>
      <c r="B40" s="62" t="s">
        <v>13</v>
      </c>
      <c r="C40" s="133">
        <v>0</v>
      </c>
      <c r="D40" s="133">
        <v>0</v>
      </c>
    </row>
    <row r="41" spans="1:4" hidden="1" x14ac:dyDescent="0.35">
      <c r="A41" s="61">
        <v>2244</v>
      </c>
      <c r="B41" s="62" t="s">
        <v>14</v>
      </c>
      <c r="C41" s="133">
        <v>0</v>
      </c>
      <c r="D41" s="133">
        <v>0</v>
      </c>
    </row>
    <row r="42" spans="1:4" hidden="1" x14ac:dyDescent="0.35">
      <c r="A42" s="61">
        <v>2247</v>
      </c>
      <c r="B42" s="22" t="s">
        <v>71</v>
      </c>
      <c r="C42" s="133">
        <v>0</v>
      </c>
      <c r="D42" s="133">
        <v>0</v>
      </c>
    </row>
    <row r="43" spans="1:4" ht="16.5" hidden="1" customHeight="1" x14ac:dyDescent="0.35">
      <c r="A43" s="61">
        <v>2249</v>
      </c>
      <c r="B43" s="62" t="s">
        <v>39</v>
      </c>
      <c r="C43" s="133">
        <v>0</v>
      </c>
      <c r="D43" s="133">
        <v>0</v>
      </c>
    </row>
    <row r="44" spans="1:4" hidden="1" x14ac:dyDescent="0.35">
      <c r="A44" s="61">
        <v>2250</v>
      </c>
      <c r="B44" s="62" t="s">
        <v>11</v>
      </c>
      <c r="C44" s="133">
        <v>0</v>
      </c>
      <c r="D44" s="133">
        <v>0</v>
      </c>
    </row>
    <row r="45" spans="1:4" hidden="1" x14ac:dyDescent="0.35">
      <c r="A45" s="61">
        <v>2252</v>
      </c>
      <c r="B45" s="62" t="s">
        <v>47</v>
      </c>
      <c r="C45" s="133">
        <v>0</v>
      </c>
      <c r="D45" s="133">
        <v>0</v>
      </c>
    </row>
    <row r="46" spans="1:4" hidden="1" x14ac:dyDescent="0.35">
      <c r="A46" s="61">
        <v>2259</v>
      </c>
      <c r="B46" s="62" t="s">
        <v>328</v>
      </c>
      <c r="C46" s="133">
        <v>0</v>
      </c>
      <c r="D46" s="133">
        <v>0</v>
      </c>
    </row>
    <row r="47" spans="1:4" hidden="1" x14ac:dyDescent="0.35">
      <c r="A47" s="61">
        <v>2261</v>
      </c>
      <c r="B47" s="62" t="s">
        <v>48</v>
      </c>
      <c r="C47" s="133">
        <v>0</v>
      </c>
      <c r="D47" s="133">
        <v>0</v>
      </c>
    </row>
    <row r="48" spans="1:4" hidden="1" x14ac:dyDescent="0.35">
      <c r="A48" s="61">
        <v>2262</v>
      </c>
      <c r="B48" s="62" t="s">
        <v>15</v>
      </c>
      <c r="C48" s="133">
        <v>0</v>
      </c>
      <c r="D48" s="133">
        <v>0</v>
      </c>
    </row>
    <row r="49" spans="1:4" hidden="1" x14ac:dyDescent="0.35">
      <c r="A49" s="61">
        <v>2263</v>
      </c>
      <c r="B49" s="62" t="s">
        <v>40</v>
      </c>
      <c r="C49" s="133">
        <v>0</v>
      </c>
      <c r="D49" s="133">
        <v>0</v>
      </c>
    </row>
    <row r="50" spans="1:4" hidden="1" x14ac:dyDescent="0.35">
      <c r="A50" s="61">
        <v>2264</v>
      </c>
      <c r="B50" s="62" t="s">
        <v>41</v>
      </c>
      <c r="C50" s="133">
        <v>0</v>
      </c>
      <c r="D50" s="133">
        <v>0</v>
      </c>
    </row>
    <row r="51" spans="1:4" hidden="1" x14ac:dyDescent="0.35">
      <c r="A51" s="61">
        <v>2279</v>
      </c>
      <c r="B51" s="62" t="s">
        <v>16</v>
      </c>
      <c r="C51" s="133">
        <v>0</v>
      </c>
      <c r="D51" s="133">
        <v>0</v>
      </c>
    </row>
    <row r="52" spans="1:4" hidden="1" x14ac:dyDescent="0.35">
      <c r="A52" s="61">
        <v>2311</v>
      </c>
      <c r="B52" s="62" t="s">
        <v>17</v>
      </c>
      <c r="C52" s="133">
        <v>0</v>
      </c>
      <c r="D52" s="133">
        <v>0</v>
      </c>
    </row>
    <row r="53" spans="1:4" hidden="1" x14ac:dyDescent="0.35">
      <c r="A53" s="61">
        <v>2312</v>
      </c>
      <c r="B53" s="62" t="s">
        <v>18</v>
      </c>
      <c r="C53" s="133">
        <v>0</v>
      </c>
      <c r="D53" s="133">
        <v>0</v>
      </c>
    </row>
    <row r="54" spans="1:4" hidden="1" x14ac:dyDescent="0.35">
      <c r="A54" s="61">
        <v>2321</v>
      </c>
      <c r="B54" s="62" t="s">
        <v>19</v>
      </c>
      <c r="C54" s="133">
        <v>0</v>
      </c>
      <c r="D54" s="133">
        <v>0</v>
      </c>
    </row>
    <row r="55" spans="1:4" hidden="1" x14ac:dyDescent="0.35">
      <c r="A55" s="61">
        <v>2322</v>
      </c>
      <c r="B55" s="62" t="s">
        <v>20</v>
      </c>
      <c r="C55" s="133">
        <v>0</v>
      </c>
      <c r="D55" s="133">
        <v>0</v>
      </c>
    </row>
    <row r="56" spans="1:4" hidden="1" x14ac:dyDescent="0.35">
      <c r="A56" s="61">
        <v>2341</v>
      </c>
      <c r="B56" s="62" t="s">
        <v>42</v>
      </c>
      <c r="C56" s="133">
        <v>0</v>
      </c>
      <c r="D56" s="133">
        <v>0</v>
      </c>
    </row>
    <row r="57" spans="1:4" hidden="1" x14ac:dyDescent="0.35">
      <c r="A57" s="61">
        <v>2344</v>
      </c>
      <c r="B57" s="62" t="s">
        <v>49</v>
      </c>
      <c r="C57" s="133">
        <v>0</v>
      </c>
      <c r="D57" s="133">
        <v>0</v>
      </c>
    </row>
    <row r="58" spans="1:4" hidden="1" x14ac:dyDescent="0.35">
      <c r="A58" s="61">
        <v>2350</v>
      </c>
      <c r="B58" s="62" t="s">
        <v>21</v>
      </c>
      <c r="C58" s="133">
        <v>0</v>
      </c>
      <c r="D58" s="133">
        <v>0</v>
      </c>
    </row>
    <row r="59" spans="1:4" hidden="1" x14ac:dyDescent="0.35">
      <c r="A59" s="61">
        <v>2361</v>
      </c>
      <c r="B59" s="62" t="s">
        <v>22</v>
      </c>
      <c r="C59" s="133">
        <v>0</v>
      </c>
      <c r="D59" s="133">
        <v>0</v>
      </c>
    </row>
    <row r="60" spans="1:4" hidden="1" x14ac:dyDescent="0.35">
      <c r="A60" s="61">
        <v>2362</v>
      </c>
      <c r="B60" s="62" t="s">
        <v>43</v>
      </c>
      <c r="C60" s="133">
        <v>0</v>
      </c>
      <c r="D60" s="133">
        <v>0</v>
      </c>
    </row>
    <row r="61" spans="1:4" hidden="1" x14ac:dyDescent="0.35">
      <c r="A61" s="61">
        <v>2363</v>
      </c>
      <c r="B61" s="62" t="s">
        <v>44</v>
      </c>
      <c r="C61" s="133">
        <v>0</v>
      </c>
      <c r="D61" s="133">
        <v>0</v>
      </c>
    </row>
    <row r="62" spans="1:4" hidden="1" x14ac:dyDescent="0.35">
      <c r="A62" s="61">
        <v>2370</v>
      </c>
      <c r="B62" s="62" t="s">
        <v>50</v>
      </c>
      <c r="C62" s="133">
        <v>0</v>
      </c>
      <c r="D62" s="133">
        <v>0</v>
      </c>
    </row>
    <row r="63" spans="1:4" hidden="1" x14ac:dyDescent="0.35">
      <c r="A63" s="61">
        <v>2400</v>
      </c>
      <c r="B63" s="62" t="s">
        <v>28</v>
      </c>
      <c r="C63" s="133">
        <v>0</v>
      </c>
      <c r="D63" s="133">
        <v>0</v>
      </c>
    </row>
    <row r="64" spans="1:4" hidden="1" x14ac:dyDescent="0.35">
      <c r="A64" s="61"/>
      <c r="B64" s="62"/>
      <c r="C64" s="133"/>
      <c r="D64" s="133"/>
    </row>
    <row r="65" spans="1:4" ht="30.75" hidden="1" customHeight="1" x14ac:dyDescent="0.35">
      <c r="A65" s="61">
        <v>2513</v>
      </c>
      <c r="B65" s="62" t="s">
        <v>23</v>
      </c>
      <c r="C65" s="133">
        <v>0</v>
      </c>
      <c r="D65" s="133">
        <v>0</v>
      </c>
    </row>
    <row r="66" spans="1:4" hidden="1" x14ac:dyDescent="0.35">
      <c r="A66" s="61">
        <v>2515</v>
      </c>
      <c r="B66" s="62" t="s">
        <v>73</v>
      </c>
      <c r="C66" s="133">
        <v>0</v>
      </c>
      <c r="D66" s="133">
        <v>0</v>
      </c>
    </row>
    <row r="67" spans="1:4" hidden="1" x14ac:dyDescent="0.35">
      <c r="A67" s="61">
        <v>2519</v>
      </c>
      <c r="B67" s="62" t="s">
        <v>25</v>
      </c>
      <c r="C67" s="133">
        <v>0</v>
      </c>
      <c r="D67" s="133">
        <v>0</v>
      </c>
    </row>
    <row r="68" spans="1:4" hidden="1" x14ac:dyDescent="0.35">
      <c r="A68" s="61">
        <v>6240</v>
      </c>
      <c r="B68" s="62"/>
      <c r="C68" s="133">
        <v>0</v>
      </c>
      <c r="D68" s="133">
        <v>0</v>
      </c>
    </row>
    <row r="69" spans="1:4" hidden="1" x14ac:dyDescent="0.35">
      <c r="A69" s="61">
        <v>6290</v>
      </c>
      <c r="B69" s="62"/>
      <c r="C69" s="133">
        <v>0</v>
      </c>
      <c r="D69" s="133">
        <v>0</v>
      </c>
    </row>
    <row r="70" spans="1:4" hidden="1" x14ac:dyDescent="0.35">
      <c r="A70" s="61">
        <v>5121</v>
      </c>
      <c r="B70" s="62" t="s">
        <v>53</v>
      </c>
      <c r="C70" s="133">
        <v>0</v>
      </c>
      <c r="D70" s="133">
        <v>0</v>
      </c>
    </row>
    <row r="71" spans="1:4" hidden="1" x14ac:dyDescent="0.35">
      <c r="A71" s="61">
        <v>5232</v>
      </c>
      <c r="B71" s="62" t="s">
        <v>24</v>
      </c>
      <c r="C71" s="133">
        <v>0</v>
      </c>
      <c r="D71" s="133">
        <v>0</v>
      </c>
    </row>
    <row r="72" spans="1:4" hidden="1" x14ac:dyDescent="0.35">
      <c r="A72" s="61">
        <v>5238</v>
      </c>
      <c r="B72" s="62" t="s">
        <v>54</v>
      </c>
      <c r="C72" s="133">
        <v>0</v>
      </c>
      <c r="D72" s="133">
        <v>0</v>
      </c>
    </row>
    <row r="73" spans="1:4" hidden="1" x14ac:dyDescent="0.35">
      <c r="A73" s="61">
        <v>5240</v>
      </c>
      <c r="B73" s="62" t="s">
        <v>55</v>
      </c>
      <c r="C73" s="133">
        <v>0</v>
      </c>
      <c r="D73" s="133">
        <v>0</v>
      </c>
    </row>
    <row r="74" spans="1:4" hidden="1" x14ac:dyDescent="0.35">
      <c r="A74" s="61">
        <v>5250</v>
      </c>
      <c r="B74" s="62" t="s">
        <v>56</v>
      </c>
      <c r="C74" s="133">
        <v>0</v>
      </c>
      <c r="D74" s="133">
        <v>0</v>
      </c>
    </row>
    <row r="75" spans="1:4" x14ac:dyDescent="0.35">
      <c r="A75" s="334"/>
      <c r="B75" s="79" t="s">
        <v>97</v>
      </c>
      <c r="C75" s="23">
        <f>SUM(C31:C74)</f>
        <v>1.1400000000000001</v>
      </c>
      <c r="D75" s="23">
        <f>SUM(D31:D74)</f>
        <v>1.1400000000000001</v>
      </c>
    </row>
    <row r="76" spans="1:4" x14ac:dyDescent="0.35">
      <c r="A76" s="334"/>
      <c r="B76" s="79" t="s">
        <v>98</v>
      </c>
      <c r="C76" s="23">
        <f>C75+C29</f>
        <v>22.65</v>
      </c>
      <c r="D76" s="23">
        <f>D75+D29</f>
        <v>30.15</v>
      </c>
    </row>
    <row r="77" spans="1:4" x14ac:dyDescent="0.35">
      <c r="A77" s="15"/>
      <c r="B77" s="25"/>
      <c r="C77" s="59"/>
      <c r="D77" s="59"/>
    </row>
    <row r="78" spans="1:4" ht="15.75" customHeight="1" x14ac:dyDescent="0.35">
      <c r="A78" s="430" t="s">
        <v>106</v>
      </c>
      <c r="B78" s="431"/>
      <c r="C78" s="354">
        <v>5</v>
      </c>
      <c r="D78" s="354">
        <v>5</v>
      </c>
    </row>
    <row r="79" spans="1:4" x14ac:dyDescent="0.35">
      <c r="A79" s="430" t="s">
        <v>107</v>
      </c>
      <c r="B79" s="431"/>
      <c r="C79" s="371">
        <f>ROUND(C76/C78,2)</f>
        <v>4.53</v>
      </c>
      <c r="D79" s="371">
        <f>ROUND(D76/D78,2)</f>
        <v>6.03</v>
      </c>
    </row>
    <row r="80" spans="1:4" ht="15.75" customHeight="1" x14ac:dyDescent="0.35">
      <c r="A80" s="25"/>
      <c r="B80" s="26"/>
      <c r="C80" s="26"/>
      <c r="D80" s="26"/>
    </row>
    <row r="81" spans="1:4" s="2" customFormat="1" x14ac:dyDescent="0.35">
      <c r="A81" s="428" t="s">
        <v>33</v>
      </c>
      <c r="B81" s="429"/>
      <c r="C81" s="134"/>
      <c r="D81" s="134"/>
    </row>
    <row r="82" spans="1:4" s="2" customFormat="1" x14ac:dyDescent="0.35">
      <c r="A82" s="428" t="s">
        <v>253</v>
      </c>
      <c r="B82" s="429"/>
      <c r="C82" s="134"/>
      <c r="D82" s="134"/>
    </row>
    <row r="83" spans="1:4" ht="13.5" customHeight="1" x14ac:dyDescent="0.35">
      <c r="A83" s="188"/>
      <c r="B83" s="26"/>
    </row>
    <row r="84" spans="1:4" s="2" customFormat="1" ht="17.25" customHeight="1" x14ac:dyDescent="0.35">
      <c r="A84" s="28" t="s">
        <v>34</v>
      </c>
      <c r="B84" s="28"/>
      <c r="C84" s="28"/>
      <c r="D84" s="28"/>
    </row>
    <row r="85" spans="1:4" s="2" customFormat="1" ht="12.75" customHeight="1" x14ac:dyDescent="0.35">
      <c r="A85" s="28"/>
      <c r="B85" s="28"/>
      <c r="C85" s="28"/>
      <c r="D85" s="28"/>
    </row>
    <row r="86" spans="1:4" s="2" customFormat="1" ht="15" customHeight="1" x14ac:dyDescent="0.35">
      <c r="A86" s="28" t="s">
        <v>108</v>
      </c>
      <c r="B86" s="29"/>
      <c r="C86" s="28"/>
      <c r="D86" s="28"/>
    </row>
    <row r="87" spans="1:4" s="2" customFormat="1" ht="14.25" customHeight="1" x14ac:dyDescent="0.35">
      <c r="A87" s="28"/>
      <c r="B87" s="161"/>
      <c r="C87" s="28"/>
      <c r="D87" s="28"/>
    </row>
  </sheetData>
  <mergeCells count="7">
    <mergeCell ref="A82:B82"/>
    <mergeCell ref="A7:C7"/>
    <mergeCell ref="A9:B9"/>
    <mergeCell ref="A10:B10"/>
    <mergeCell ref="A78:B78"/>
    <mergeCell ref="A79:B79"/>
    <mergeCell ref="A81:B81"/>
  </mergeCells>
  <pageMargins left="0.7" right="0.7" top="0.75" bottom="0.75" header="0.3" footer="0.3"/>
  <pageSetup paperSize="9" scale="69" orientation="portrait" r:id="rId1"/>
  <headerFooter>
    <oddFooter>&amp;F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G72"/>
  <sheetViews>
    <sheetView view="pageLayout" zoomScale="80" zoomScaleNormal="100" zoomScaleSheetLayoutView="90" zoomScalePageLayoutView="80" workbookViewId="0">
      <selection activeCell="B12" sqref="B12:C12"/>
    </sheetView>
  </sheetViews>
  <sheetFormatPr defaultColWidth="9.1796875" defaultRowHeight="15.5" x14ac:dyDescent="0.35"/>
  <cols>
    <col min="1" max="1" width="11.26953125" style="13" customWidth="1"/>
    <col min="2" max="2" width="84.453125" style="13" customWidth="1"/>
    <col min="3" max="3" width="26.54296875" style="13" customWidth="1"/>
    <col min="4" max="16384" width="9.1796875" style="13"/>
  </cols>
  <sheetData>
    <row r="1" spans="1:3" x14ac:dyDescent="0.35">
      <c r="B1" s="15"/>
      <c r="C1" s="15" t="s">
        <v>10</v>
      </c>
    </row>
    <row r="2" spans="1:3" x14ac:dyDescent="0.35">
      <c r="B2" s="15"/>
      <c r="C2" s="15" t="s">
        <v>32</v>
      </c>
    </row>
    <row r="3" spans="1:3" x14ac:dyDescent="0.35">
      <c r="B3" s="311"/>
      <c r="C3" s="15" t="s">
        <v>66</v>
      </c>
    </row>
    <row r="4" spans="1:3" x14ac:dyDescent="0.35">
      <c r="B4" s="15"/>
      <c r="C4" s="15"/>
    </row>
    <row r="5" spans="1:3" x14ac:dyDescent="0.35">
      <c r="B5" s="15"/>
      <c r="C5" s="15" t="s">
        <v>333</v>
      </c>
    </row>
    <row r="6" spans="1:3" ht="15.75" customHeight="1" x14ac:dyDescent="0.35">
      <c r="B6" s="453"/>
      <c r="C6" s="453"/>
    </row>
    <row r="7" spans="1:3" x14ac:dyDescent="0.35">
      <c r="A7" s="416" t="s">
        <v>9</v>
      </c>
      <c r="B7" s="416"/>
      <c r="C7" s="416"/>
    </row>
    <row r="8" spans="1:3" x14ac:dyDescent="0.35">
      <c r="A8" s="70"/>
      <c r="B8" s="70"/>
      <c r="C8" s="70"/>
    </row>
    <row r="9" spans="1:3" x14ac:dyDescent="0.35">
      <c r="A9" s="419" t="s">
        <v>1</v>
      </c>
      <c r="B9" s="419"/>
      <c r="C9" s="419"/>
    </row>
    <row r="10" spans="1:3" ht="15.75" customHeight="1" x14ac:dyDescent="0.35">
      <c r="A10" s="419" t="s">
        <v>0</v>
      </c>
      <c r="B10" s="419"/>
      <c r="C10" s="419"/>
    </row>
    <row r="11" spans="1:3" x14ac:dyDescent="0.35">
      <c r="A11" s="11"/>
      <c r="B11" s="419" t="s">
        <v>301</v>
      </c>
      <c r="C11" s="419"/>
    </row>
    <row r="12" spans="1:3" x14ac:dyDescent="0.35">
      <c r="A12" s="11"/>
      <c r="B12" s="419" t="s">
        <v>388</v>
      </c>
      <c r="C12" s="419"/>
    </row>
    <row r="13" spans="1:3" ht="15.75" customHeight="1" x14ac:dyDescent="0.35">
      <c r="A13" s="11" t="s">
        <v>2</v>
      </c>
      <c r="B13" s="11" t="s">
        <v>250</v>
      </c>
      <c r="C13" s="11"/>
    </row>
    <row r="14" spans="1:3" ht="79.5" customHeight="1" x14ac:dyDescent="0.35">
      <c r="A14" s="19" t="s">
        <v>3</v>
      </c>
      <c r="B14" s="19" t="s">
        <v>4</v>
      </c>
      <c r="C14" s="19" t="s">
        <v>134</v>
      </c>
    </row>
    <row r="15" spans="1:3" x14ac:dyDescent="0.35">
      <c r="A15" s="20">
        <v>1</v>
      </c>
      <c r="B15" s="21">
        <v>2</v>
      </c>
      <c r="C15" s="20">
        <v>3</v>
      </c>
    </row>
    <row r="16" spans="1:3" x14ac:dyDescent="0.35">
      <c r="A16" s="41"/>
      <c r="B16" s="22" t="s">
        <v>5</v>
      </c>
      <c r="C16" s="329"/>
    </row>
    <row r="17" spans="1:3" x14ac:dyDescent="0.35">
      <c r="A17" s="31">
        <v>1100</v>
      </c>
      <c r="B17" s="288" t="s">
        <v>132</v>
      </c>
      <c r="C17" s="133">
        <v>7.97</v>
      </c>
    </row>
    <row r="18" spans="1:3" x14ac:dyDescent="0.35">
      <c r="A18" s="31">
        <v>1200</v>
      </c>
      <c r="B18" s="83" t="s">
        <v>133</v>
      </c>
      <c r="C18" s="133">
        <v>1.88</v>
      </c>
    </row>
    <row r="19" spans="1:3" ht="31" x14ac:dyDescent="0.35">
      <c r="A19" s="31">
        <v>2224</v>
      </c>
      <c r="B19" s="62" t="s">
        <v>143</v>
      </c>
      <c r="C19" s="133">
        <v>0.34</v>
      </c>
    </row>
    <row r="20" spans="1:3" x14ac:dyDescent="0.35">
      <c r="A20" s="31">
        <v>2243</v>
      </c>
      <c r="B20" s="22" t="s">
        <v>137</v>
      </c>
      <c r="C20" s="133">
        <v>0.38</v>
      </c>
    </row>
    <row r="21" spans="1:3" x14ac:dyDescent="0.35">
      <c r="A21" s="31">
        <v>2244</v>
      </c>
      <c r="B21" s="22" t="s">
        <v>138</v>
      </c>
      <c r="C21" s="133">
        <v>0.75</v>
      </c>
    </row>
    <row r="22" spans="1:3" x14ac:dyDescent="0.35">
      <c r="A22" s="31">
        <v>2263</v>
      </c>
      <c r="B22" s="62" t="s">
        <v>149</v>
      </c>
      <c r="C22" s="133">
        <v>92.1</v>
      </c>
    </row>
    <row r="23" spans="1:3" x14ac:dyDescent="0.35">
      <c r="A23" s="31">
        <v>2513</v>
      </c>
      <c r="B23" s="61" t="s">
        <v>121</v>
      </c>
      <c r="C23" s="133">
        <v>1.29</v>
      </c>
    </row>
    <row r="24" spans="1:3" x14ac:dyDescent="0.35">
      <c r="A24" s="31">
        <v>2515</v>
      </c>
      <c r="B24" s="62" t="s">
        <v>155</v>
      </c>
      <c r="C24" s="133">
        <v>0.23</v>
      </c>
    </row>
    <row r="25" spans="1:3" x14ac:dyDescent="0.35">
      <c r="A25" s="31">
        <v>5220</v>
      </c>
      <c r="B25" s="61" t="s">
        <v>128</v>
      </c>
      <c r="C25" s="133">
        <v>0.1</v>
      </c>
    </row>
    <row r="26" spans="1:3" x14ac:dyDescent="0.35">
      <c r="A26" s="31">
        <v>5231</v>
      </c>
      <c r="B26" s="61" t="s">
        <v>285</v>
      </c>
      <c r="C26" s="133">
        <v>0.97</v>
      </c>
    </row>
    <row r="27" spans="1:3" x14ac:dyDescent="0.35">
      <c r="A27" s="31"/>
      <c r="B27" s="78" t="s">
        <v>6</v>
      </c>
      <c r="C27" s="23">
        <f>SUM(C17:C26)</f>
        <v>106.00999999999999</v>
      </c>
    </row>
    <row r="28" spans="1:3" x14ac:dyDescent="0.35">
      <c r="A28" s="38"/>
      <c r="B28" s="288" t="s">
        <v>7</v>
      </c>
      <c r="C28" s="133"/>
    </row>
    <row r="29" spans="1:3" x14ac:dyDescent="0.35">
      <c r="A29" s="31">
        <v>1100</v>
      </c>
      <c r="B29" s="31" t="s">
        <v>132</v>
      </c>
      <c r="C29" s="133">
        <f>C17*0.5</f>
        <v>3.9849999999999999</v>
      </c>
    </row>
    <row r="30" spans="1:3" x14ac:dyDescent="0.35">
      <c r="A30" s="31">
        <v>1200</v>
      </c>
      <c r="B30" s="32" t="s">
        <v>133</v>
      </c>
      <c r="C30" s="133">
        <v>0.94</v>
      </c>
    </row>
    <row r="31" spans="1:3" hidden="1" x14ac:dyDescent="0.35">
      <c r="A31" s="31"/>
      <c r="B31" s="24"/>
      <c r="C31" s="133"/>
    </row>
    <row r="32" spans="1:3" hidden="1" x14ac:dyDescent="0.35">
      <c r="A32" s="34">
        <v>2210</v>
      </c>
      <c r="B32" s="32" t="s">
        <v>120</v>
      </c>
      <c r="C32" s="133"/>
    </row>
    <row r="33" spans="1:7" x14ac:dyDescent="0.35">
      <c r="A33" s="31">
        <v>2222</v>
      </c>
      <c r="B33" s="62" t="s">
        <v>135</v>
      </c>
      <c r="C33" s="133">
        <v>1.58</v>
      </c>
      <c r="G33" s="58"/>
    </row>
    <row r="34" spans="1:7" x14ac:dyDescent="0.35">
      <c r="A34" s="31">
        <v>2223</v>
      </c>
      <c r="B34" s="62" t="s">
        <v>136</v>
      </c>
      <c r="C34" s="133">
        <v>7.12</v>
      </c>
    </row>
    <row r="35" spans="1:7" ht="31" hidden="1" x14ac:dyDescent="0.35">
      <c r="A35" s="31">
        <v>2224</v>
      </c>
      <c r="B35" s="62" t="s">
        <v>143</v>
      </c>
      <c r="C35" s="133"/>
    </row>
    <row r="36" spans="1:7" hidden="1" x14ac:dyDescent="0.35">
      <c r="A36" s="31"/>
      <c r="B36" s="22"/>
      <c r="C36" s="133"/>
    </row>
    <row r="37" spans="1:7" hidden="1" x14ac:dyDescent="0.35">
      <c r="A37" s="31"/>
      <c r="B37" s="75"/>
      <c r="C37" s="133"/>
    </row>
    <row r="38" spans="1:7" hidden="1" x14ac:dyDescent="0.35">
      <c r="A38" s="31"/>
      <c r="B38" s="22"/>
      <c r="C38" s="133"/>
    </row>
    <row r="39" spans="1:7" hidden="1" x14ac:dyDescent="0.35">
      <c r="A39" s="31"/>
      <c r="B39" s="22"/>
      <c r="C39" s="133"/>
    </row>
    <row r="40" spans="1:7" x14ac:dyDescent="0.35">
      <c r="A40" s="31">
        <v>2242</v>
      </c>
      <c r="B40" s="62" t="s">
        <v>145</v>
      </c>
      <c r="C40" s="133">
        <v>0.91</v>
      </c>
    </row>
    <row r="41" spans="1:7" ht="14.25" customHeight="1" x14ac:dyDescent="0.35">
      <c r="A41" s="31">
        <v>2243</v>
      </c>
      <c r="B41" s="22" t="s">
        <v>137</v>
      </c>
      <c r="C41" s="133">
        <v>2.12</v>
      </c>
    </row>
    <row r="42" spans="1:7" x14ac:dyDescent="0.35">
      <c r="A42" s="31">
        <v>2244</v>
      </c>
      <c r="B42" s="22" t="s">
        <v>138</v>
      </c>
      <c r="C42" s="133">
        <v>8.82</v>
      </c>
    </row>
    <row r="43" spans="1:7" hidden="1" x14ac:dyDescent="0.35">
      <c r="A43" s="61">
        <v>2247</v>
      </c>
      <c r="B43" s="22" t="s">
        <v>146</v>
      </c>
      <c r="C43" s="133">
        <v>0</v>
      </c>
    </row>
    <row r="44" spans="1:7" hidden="1" x14ac:dyDescent="0.35">
      <c r="A44" s="61"/>
      <c r="B44" s="62"/>
      <c r="C44" s="133"/>
    </row>
    <row r="45" spans="1:7" x14ac:dyDescent="0.35">
      <c r="A45" s="31">
        <v>2250</v>
      </c>
      <c r="B45" s="22" t="s">
        <v>124</v>
      </c>
      <c r="C45" s="133">
        <v>3.68</v>
      </c>
    </row>
    <row r="46" spans="1:7" hidden="1" x14ac:dyDescent="0.35">
      <c r="A46" s="31"/>
      <c r="B46" s="62"/>
      <c r="C46" s="133"/>
    </row>
    <row r="47" spans="1:7" hidden="1" x14ac:dyDescent="0.35">
      <c r="A47" s="31"/>
      <c r="B47" s="62"/>
      <c r="C47" s="133"/>
    </row>
    <row r="48" spans="1:7" x14ac:dyDescent="0.35">
      <c r="A48" s="31">
        <v>2264</v>
      </c>
      <c r="B48" s="22" t="s">
        <v>150</v>
      </c>
      <c r="C48" s="133">
        <v>0.03</v>
      </c>
    </row>
    <row r="49" spans="1:5" x14ac:dyDescent="0.35">
      <c r="A49" s="31">
        <v>2311</v>
      </c>
      <c r="B49" s="62" t="s">
        <v>151</v>
      </c>
      <c r="C49" s="133">
        <v>0.09</v>
      </c>
    </row>
    <row r="50" spans="1:5" hidden="1" x14ac:dyDescent="0.35">
      <c r="A50" s="31"/>
      <c r="B50" s="75"/>
      <c r="C50" s="133"/>
    </row>
    <row r="51" spans="1:5" x14ac:dyDescent="0.35">
      <c r="A51" s="31">
        <v>2321</v>
      </c>
      <c r="B51" s="62" t="s">
        <v>139</v>
      </c>
      <c r="C51" s="133">
        <v>7.8</v>
      </c>
    </row>
    <row r="52" spans="1:5" x14ac:dyDescent="0.35">
      <c r="A52" s="31">
        <v>2322</v>
      </c>
      <c r="B52" s="62" t="s">
        <v>153</v>
      </c>
      <c r="C52" s="133">
        <v>1.27</v>
      </c>
    </row>
    <row r="53" spans="1:5" hidden="1" x14ac:dyDescent="0.35">
      <c r="A53" s="31"/>
      <c r="B53" s="62"/>
      <c r="C53" s="133"/>
    </row>
    <row r="54" spans="1:5" hidden="1" x14ac:dyDescent="0.35">
      <c r="A54" s="31"/>
      <c r="B54" s="61"/>
      <c r="C54" s="133"/>
    </row>
    <row r="55" spans="1:5" hidden="1" x14ac:dyDescent="0.35">
      <c r="A55" s="31"/>
      <c r="B55" s="62"/>
      <c r="C55" s="133"/>
    </row>
    <row r="56" spans="1:5" hidden="1" x14ac:dyDescent="0.35">
      <c r="A56" s="31"/>
      <c r="B56" s="62"/>
      <c r="C56" s="133"/>
    </row>
    <row r="57" spans="1:5" hidden="1" x14ac:dyDescent="0.35">
      <c r="A57" s="31"/>
      <c r="B57" s="62"/>
      <c r="C57" s="133"/>
    </row>
    <row r="58" spans="1:5" hidden="1" x14ac:dyDescent="0.35">
      <c r="A58" s="31"/>
      <c r="B58" s="61"/>
      <c r="C58" s="133"/>
    </row>
    <row r="59" spans="1:5" x14ac:dyDescent="0.35">
      <c r="A59" s="31">
        <v>5239</v>
      </c>
      <c r="B59" s="13" t="s">
        <v>130</v>
      </c>
      <c r="C59" s="133">
        <v>2.5</v>
      </c>
    </row>
    <row r="60" spans="1:5" x14ac:dyDescent="0.35">
      <c r="A60" s="31">
        <v>5250</v>
      </c>
      <c r="B60" s="62" t="s">
        <v>131</v>
      </c>
      <c r="C60" s="133">
        <v>1.94</v>
      </c>
      <c r="D60" s="58"/>
    </row>
    <row r="61" spans="1:5" x14ac:dyDescent="0.35">
      <c r="A61" s="38"/>
      <c r="B61" s="79" t="s">
        <v>8</v>
      </c>
      <c r="C61" s="23">
        <f>SUM(C29:C60)</f>
        <v>42.785000000000004</v>
      </c>
      <c r="D61" s="58"/>
    </row>
    <row r="62" spans="1:5" x14ac:dyDescent="0.35">
      <c r="A62" s="334"/>
      <c r="B62" s="79" t="s">
        <v>29</v>
      </c>
      <c r="C62" s="23">
        <f>C61+C27</f>
        <v>148.79499999999999</v>
      </c>
      <c r="E62" s="58"/>
    </row>
    <row r="63" spans="1:5" x14ac:dyDescent="0.35">
      <c r="A63" s="15"/>
      <c r="B63" s="25"/>
      <c r="C63" s="59"/>
    </row>
    <row r="64" spans="1:5" x14ac:dyDescent="0.35">
      <c r="A64" s="417" t="s">
        <v>106</v>
      </c>
      <c r="B64" s="417"/>
      <c r="C64" s="19">
        <v>60</v>
      </c>
    </row>
    <row r="65" spans="1:4" x14ac:dyDescent="0.35">
      <c r="A65" s="417" t="s">
        <v>58</v>
      </c>
      <c r="B65" s="417"/>
      <c r="C65" s="37">
        <f>ROUND(C62/C64,2)</f>
        <v>2.48</v>
      </c>
    </row>
    <row r="66" spans="1:4" x14ac:dyDescent="0.35">
      <c r="A66" s="25"/>
      <c r="B66" s="26"/>
      <c r="C66" s="189"/>
    </row>
    <row r="67" spans="1:4" x14ac:dyDescent="0.35">
      <c r="A67" s="417" t="s">
        <v>33</v>
      </c>
      <c r="B67" s="417"/>
      <c r="C67" s="27"/>
    </row>
    <row r="68" spans="1:4" s="28" customFormat="1" ht="19.5" customHeight="1" x14ac:dyDescent="0.35">
      <c r="A68" s="417" t="s">
        <v>64</v>
      </c>
      <c r="B68" s="417"/>
      <c r="C68" s="27"/>
    </row>
    <row r="69" spans="1:4" s="28" customFormat="1" ht="31.5" customHeight="1" x14ac:dyDescent="0.35"/>
    <row r="70" spans="1:4" ht="13.5" customHeight="1" x14ac:dyDescent="0.35">
      <c r="A70" s="28" t="s">
        <v>34</v>
      </c>
      <c r="B70" s="28"/>
      <c r="C70" s="28"/>
    </row>
    <row r="71" spans="1:4" s="28" customFormat="1" ht="17.25" customHeight="1" x14ac:dyDescent="0.35">
      <c r="A71" s="16"/>
      <c r="B71" s="16"/>
      <c r="C71" s="13"/>
      <c r="D71" s="81"/>
    </row>
    <row r="72" spans="1:4" s="28" customFormat="1" ht="12.75" customHeight="1" x14ac:dyDescent="0.35">
      <c r="A72" s="28" t="s">
        <v>177</v>
      </c>
      <c r="B72" s="29"/>
    </row>
  </sheetData>
  <mergeCells count="10">
    <mergeCell ref="A64:B64"/>
    <mergeCell ref="A65:B65"/>
    <mergeCell ref="A67:B67"/>
    <mergeCell ref="A68:B68"/>
    <mergeCell ref="B6:C6"/>
    <mergeCell ref="A7:C7"/>
    <mergeCell ref="A9:C9"/>
    <mergeCell ref="A10:C10"/>
    <mergeCell ref="B11:C11"/>
    <mergeCell ref="B12:C12"/>
  </mergeCells>
  <pageMargins left="0.7" right="0.7" top="0.75" bottom="0.75" header="0.3" footer="0.3"/>
  <pageSetup paperSize="9" scale="73" orientation="portrait" r:id="rId1"/>
  <headerFooter>
    <oddFooter>&amp;F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B2:F64"/>
  <sheetViews>
    <sheetView topLeftCell="A34" workbookViewId="0">
      <selection activeCell="D62" sqref="D62"/>
    </sheetView>
  </sheetViews>
  <sheetFormatPr defaultRowHeight="12.5" x14ac:dyDescent="0.25"/>
  <cols>
    <col min="3" max="3" width="57.7265625" bestFit="1" customWidth="1"/>
    <col min="4" max="4" width="13" customWidth="1"/>
  </cols>
  <sheetData>
    <row r="2" spans="2:4" ht="15.5" x14ac:dyDescent="0.25">
      <c r="B2" s="31">
        <v>1100</v>
      </c>
      <c r="C2" s="31" t="s">
        <v>132</v>
      </c>
      <c r="D2" s="286">
        <f>'4.4.1.'!G18+'4.4.2.'!E18+'4.5.1.'!F18+'4.5.2.'!D18+'4.6.1.'!F18+'4.6.2.'!D18+'4.7.'!F18+'4.8.'!F18+'4.9.'!D18+'4.10.'!G18+'4.11.'!G18+'4.12.'!F18+'4.13.'!C18</f>
        <v>7780.2058518025633</v>
      </c>
    </row>
    <row r="3" spans="2:4" ht="31" x14ac:dyDescent="0.35">
      <c r="B3" s="31">
        <v>1200</v>
      </c>
      <c r="C3" s="285" t="s">
        <v>133</v>
      </c>
      <c r="D3" s="286">
        <f>'4.4.1.'!G19+'4.4.2.'!E19+'4.5.1.'!F19+'4.5.2.'!D19+'4.6.1.'!F19+'4.6.2.'!D19+'4.7.'!F19+'4.8.'!F19+'4.9.'!D19+'4.10.'!G19+'4.11.'!G19+'4.12.'!F19+'4.13.'!C19</f>
        <v>1835.3952507547622</v>
      </c>
    </row>
    <row r="4" spans="2:4" ht="15.5" x14ac:dyDescent="0.35">
      <c r="B4" s="31">
        <v>2210</v>
      </c>
      <c r="C4" s="62" t="s">
        <v>120</v>
      </c>
      <c r="D4" s="286">
        <f>'4.4.1.'!G20+'4.4.2.'!E20+'4.5.1.'!F20+'4.5.2.'!D20+'4.6.1.'!F20+'4.6.2.'!D20+'4.7.'!F20+'4.8.'!F20+'4.9.'!D20+'4.10.'!G20+'4.11.'!G20+'4.12.'!F20+'4.13.'!C20</f>
        <v>208.34470507619045</v>
      </c>
    </row>
    <row r="5" spans="2:4" ht="15.5" x14ac:dyDescent="0.35">
      <c r="B5" s="31">
        <v>2222</v>
      </c>
      <c r="C5" s="62" t="s">
        <v>135</v>
      </c>
      <c r="D5" s="286">
        <f>'4.4.1.'!G21+'4.4.2.'!E21+'4.5.1.'!F21+'4.5.2.'!D21+'4.6.1.'!F21+'4.6.2.'!D21+'4.7.'!F21+'4.8.'!F21+'4.9.'!D21+'4.10.'!G21+'4.11.'!G21+'4.12.'!F21+'4.13.'!C21</f>
        <v>4746.5373927943228</v>
      </c>
    </row>
    <row r="6" spans="2:4" ht="15.5" x14ac:dyDescent="0.25">
      <c r="B6" s="31">
        <v>2223</v>
      </c>
      <c r="C6" s="32" t="s">
        <v>136</v>
      </c>
      <c r="D6" s="286">
        <f>'4.4.1.'!G22+'4.4.2.'!E22+'4.5.1.'!F22+'4.5.2.'!D22+'4.6.1.'!F22+'4.6.2.'!D22+'4.7.'!F22+'4.8.'!F22+'4.9.'!D22+'4.10.'!G22+'4.11.'!G22+'4.12.'!F22+'4.13.'!C22</f>
        <v>7762.7185726203306</v>
      </c>
    </row>
    <row r="7" spans="2:4" ht="15.5" x14ac:dyDescent="0.25">
      <c r="B7" s="31">
        <v>2243</v>
      </c>
      <c r="C7" s="151" t="s">
        <v>137</v>
      </c>
      <c r="D7" s="286">
        <f>'4.4.1.'!G23+'4.4.2.'!E23+'4.5.1.'!F23+'4.5.2.'!D23+'4.6.1.'!F23+'4.6.2.'!D23+'4.7.'!F23+'4.8.'!F23+'4.9.'!D23+'4.10.'!G23+'4.11.'!G23+'4.12.'!F23+'4.13.'!C23</f>
        <v>246.17725785219778</v>
      </c>
    </row>
    <row r="8" spans="2:4" ht="15.5" x14ac:dyDescent="0.35">
      <c r="B8" s="31">
        <v>2244</v>
      </c>
      <c r="C8" s="22" t="s">
        <v>138</v>
      </c>
      <c r="D8" s="286">
        <f>'4.4.1.'!G24+'4.4.2.'!E24+'4.5.1.'!F24+'4.5.2.'!D24+'4.6.1.'!F24+'4.6.2.'!D24+'4.7.'!F24+'4.8.'!F24+'4.9.'!D24+'4.10.'!G24+'4.11.'!G24+'4.12.'!F24+'4.13.'!C24</f>
        <v>5523.752865557256</v>
      </c>
    </row>
    <row r="9" spans="2:4" ht="15.5" x14ac:dyDescent="0.35">
      <c r="B9" s="31">
        <v>2250</v>
      </c>
      <c r="C9" s="22" t="s">
        <v>124</v>
      </c>
      <c r="D9" s="286">
        <f>'4.4.1.'!G25+'4.4.2.'!E25+'4.5.1.'!F25+'4.5.2.'!D25+'4.6.1.'!F25+'4.6.2.'!D25+'4.7.'!F25+'4.8.'!F25+'4.9.'!D25+'4.10.'!G25+'4.11.'!G25+'4.12.'!F25+'4.13.'!C25</f>
        <v>0</v>
      </c>
    </row>
    <row r="10" spans="2:4" ht="15.5" x14ac:dyDescent="0.25">
      <c r="B10" s="31">
        <v>2263</v>
      </c>
      <c r="C10" s="32" t="s">
        <v>149</v>
      </c>
      <c r="D10" s="286" t="e">
        <f>'4.4.1.'!G26+'4.4.2.'!E26+'4.5.1.'!F26+'4.5.2.'!D26+'4.6.1.'!F26+'4.6.2.'!D26+'4.7.'!F26+'4.8.'!F26+'4.9.'!D26+'4.10.'!G26+'4.11.'!G26+'4.12.'!#REF!+'4.13.'!C26</f>
        <v>#REF!</v>
      </c>
    </row>
    <row r="11" spans="2:4" ht="15.5" x14ac:dyDescent="0.25">
      <c r="B11" s="31">
        <v>2311</v>
      </c>
      <c r="C11" s="32" t="s">
        <v>151</v>
      </c>
      <c r="D11" s="286">
        <f>'4.4.1.'!G27+'4.4.2.'!E27+'4.5.1.'!F27+'4.5.2.'!D27+'4.6.1.'!F27+'4.6.2.'!D27+'4.7.'!F27+'4.8.'!F27+'4.9.'!D27+'4.10.'!G27+'4.11.'!G27+'4.12.'!F27+'4.13.'!C27</f>
        <v>88.869230769230768</v>
      </c>
    </row>
    <row r="12" spans="2:4" ht="15.5" x14ac:dyDescent="0.25">
      <c r="B12" s="31">
        <v>2312</v>
      </c>
      <c r="C12" s="32" t="s">
        <v>116</v>
      </c>
      <c r="D12" s="286">
        <f>'4.4.1.'!G28+'4.4.2.'!E28+'4.5.1.'!F28+'4.5.2.'!D28+'4.6.1.'!F28+'4.6.2.'!D28+'4.7.'!F28+'4.8.'!F28+'4.9.'!D28+'4.10.'!G28+'4.11.'!G28+'4.12.'!F28+'4.13.'!C28</f>
        <v>784.6064168930402</v>
      </c>
    </row>
    <row r="13" spans="2:4" ht="15.5" x14ac:dyDescent="0.25">
      <c r="B13" s="31">
        <v>2321</v>
      </c>
      <c r="C13" s="32" t="s">
        <v>139</v>
      </c>
      <c r="D13" s="286">
        <f>'4.4.1.'!G29+'4.4.2.'!E29+'4.5.1.'!F29+'4.5.2.'!D29+'4.6.1.'!F29+'4.6.2.'!D29+'4.7.'!F29+'4.8.'!F29+'4.9.'!D29+'4.10.'!G29+'4.11.'!G29+'4.12.'!F29+'4.13.'!C29</f>
        <v>7450.2660011377293</v>
      </c>
    </row>
    <row r="14" spans="2:4" ht="15.5" x14ac:dyDescent="0.35">
      <c r="B14" s="31">
        <v>2350</v>
      </c>
      <c r="C14" s="61" t="s">
        <v>125</v>
      </c>
      <c r="D14" s="286">
        <f>'4.4.1.'!G30+'4.4.2.'!E30+'4.5.1.'!F30+'4.5.2.'!D30+'4.6.1.'!F30+'4.6.2.'!D30+'4.7.'!F30+'4.8.'!F30+'4.9.'!D30+'4.10.'!G30+'4.11.'!G30+'4.12.'!F30+'4.13.'!C30</f>
        <v>630.2732336217947</v>
      </c>
    </row>
    <row r="15" spans="2:4" ht="15.5" x14ac:dyDescent="0.25">
      <c r="B15" s="31">
        <v>2361</v>
      </c>
      <c r="C15" s="32" t="s">
        <v>141</v>
      </c>
      <c r="D15" s="286">
        <f>'4.4.1.'!G31+'4.4.2.'!E31+'4.5.1.'!F31+'4.5.2.'!D31+'4.6.1.'!F31+'4.6.2.'!D31+'4.7.'!F31+'4.8.'!F31+'4.9.'!D31+'4.10.'!G31+'4.11.'!G31+'4.12.'!F31+'4.13.'!C31</f>
        <v>570.98206586648348</v>
      </c>
    </row>
    <row r="16" spans="2:4" ht="15.5" x14ac:dyDescent="0.35">
      <c r="B16" s="31">
        <v>2362</v>
      </c>
      <c r="C16" s="83" t="s">
        <v>156</v>
      </c>
      <c r="D16" s="286">
        <f>'4.4.1.'!G32+'4.4.2.'!E32+'4.5.1.'!F32+'4.5.2.'!D32+'4.6.1.'!F32+'4.6.2.'!D32+'4.7.'!F32+'4.8.'!F32+'4.9.'!D32+'4.10.'!G32+'4.11.'!G32+'4.12.'!F32+'4.13.'!C32</f>
        <v>14.607692307692309</v>
      </c>
    </row>
    <row r="17" spans="2:6" ht="15.5" x14ac:dyDescent="0.35">
      <c r="B17" s="31">
        <v>2363</v>
      </c>
      <c r="C17" s="62" t="s">
        <v>142</v>
      </c>
      <c r="D17" s="286">
        <f>'4.4.1.'!G33+'4.4.2.'!E33+'4.5.1.'!F33+'4.5.2.'!D33+'4.6.1.'!F33+'4.6.2.'!D33+'4.7.'!F33+'4.8.'!F33+'4.9.'!D33+'4.10.'!G33+'4.11.'!G33+'4.12.'!F33+'4.13.'!C33</f>
        <v>1674</v>
      </c>
    </row>
    <row r="18" spans="2:6" ht="15.5" x14ac:dyDescent="0.35">
      <c r="B18" s="31">
        <v>2513</v>
      </c>
      <c r="C18" s="61" t="s">
        <v>121</v>
      </c>
      <c r="D18" s="286">
        <f>'4.4.1.'!G34+'4.4.2.'!E34+'4.5.1.'!F34+'4.5.2.'!D34+'4.6.1.'!F34+'4.6.2.'!D34+'4.7.'!F34+'4.8.'!F34+'4.9.'!D34+'4.10.'!G34+'4.11.'!G34+'4.12.'!F34+'4.13.'!C34</f>
        <v>1719.1796324574557</v>
      </c>
    </row>
    <row r="19" spans="2:6" ht="15.5" x14ac:dyDescent="0.25">
      <c r="B19" s="31">
        <v>2519</v>
      </c>
      <c r="C19" s="32" t="s">
        <v>122</v>
      </c>
      <c r="D19" s="286">
        <f>'4.4.1.'!G35+'4.4.2.'!E35+'4.5.1.'!F35+'4.5.2.'!D35+'4.6.1.'!F35+'4.6.2.'!D35+'4.7.'!F35+'4.8.'!F35+'4.9.'!D35+'4.10.'!G35+'4.11.'!G35+'4.12.'!F35+'4.13.'!C35</f>
        <v>256.59779243819918</v>
      </c>
    </row>
    <row r="20" spans="2:6" ht="15.5" x14ac:dyDescent="0.35">
      <c r="B20" s="31">
        <v>5239</v>
      </c>
      <c r="C20" s="288" t="s">
        <v>130</v>
      </c>
      <c r="D20" s="286">
        <f>'4.4.1.'!G36+'4.4.2.'!E36+'4.5.1.'!F36+'4.5.2.'!D36+'4.6.1.'!F36+'4.6.2.'!D36+'4.7.'!F36+'4.8.'!F36+'4.9.'!D36+'4.10.'!G36+'4.11.'!G36+'4.12.'!F36+'4.13.'!C36</f>
        <v>983.37285074631893</v>
      </c>
    </row>
    <row r="21" spans="2:6" x14ac:dyDescent="0.25">
      <c r="D21" s="289" t="e">
        <f>SUM(D2:D20)</f>
        <v>#REF!</v>
      </c>
      <c r="E21" s="290">
        <f>'4.4.1.'!G37+'4.4.2.'!E37+'4.5.1.'!F37+'4.5.2.'!D37+'4.6.1.'!F37+'4.6.2.'!D37+'4.7.'!F37+'4.8.'!F37+'4.9.'!D37+'4.10.'!G37+'4.11.'!G37+'4.12.'!F37+'4.13.'!C37</f>
        <v>45947.202028338732</v>
      </c>
      <c r="F21" s="290" t="e">
        <f>E21-D21</f>
        <v>#REF!</v>
      </c>
    </row>
    <row r="22" spans="2:6" x14ac:dyDescent="0.25">
      <c r="D22" s="56"/>
    </row>
    <row r="24" spans="2:6" ht="15.5" x14ac:dyDescent="0.25">
      <c r="B24" s="31">
        <v>1100</v>
      </c>
      <c r="C24" s="31" t="s">
        <v>132</v>
      </c>
      <c r="D24" s="286">
        <f>'4.4.1.'!G39+'4.4.2.'!E39+'4.5.1.'!F39+'4.5.2.'!D39+'4.6.1.'!F39+'4.6.2.'!D39+'4.7.'!F39+'4.8.'!F39+'4.9.'!D39+'4.10.'!G39+'4.11.'!G39+'4.12.'!F39+'4.13.'!C39</f>
        <v>6181.0043912287547</v>
      </c>
    </row>
    <row r="25" spans="2:6" ht="31" x14ac:dyDescent="0.35">
      <c r="B25" s="31">
        <v>1200</v>
      </c>
      <c r="C25" s="285" t="s">
        <v>133</v>
      </c>
      <c r="D25" s="286">
        <f>'4.4.1.'!G40+'4.4.2.'!E40+'4.5.1.'!F40+'4.5.2.'!D40+'4.6.1.'!F40+'4.6.2.'!D40+'4.7.'!F40+'4.8.'!F40+'4.9.'!D40+'4.10.'!G40+'4.11.'!G40+'4.12.'!F40+'4.13.'!C40</f>
        <v>1458.0714361117214</v>
      </c>
    </row>
    <row r="26" spans="2:6" ht="31" x14ac:dyDescent="0.25">
      <c r="B26" s="31">
        <v>2100</v>
      </c>
      <c r="C26" s="24" t="s">
        <v>45</v>
      </c>
      <c r="D26" s="286">
        <f>'4.4.1.'!G41+'4.4.2.'!E41+'4.5.1.'!F41+'4.5.2.'!D41+'4.6.1.'!F41+'4.6.2.'!D41+'4.7.'!F41+'4.8.'!F41+'4.9.'!D41+'4.10.'!G41+'4.11.'!G41+'4.12.'!F41+'4.13.'!C41</f>
        <v>3.3692307692307688</v>
      </c>
    </row>
    <row r="27" spans="2:6" ht="15.5" x14ac:dyDescent="0.35">
      <c r="B27" s="31">
        <v>2210</v>
      </c>
      <c r="C27" s="62" t="s">
        <v>120</v>
      </c>
      <c r="D27" s="286">
        <f>'4.4.1.'!G42+'4.4.2.'!E42+'4.5.1.'!F42+'4.5.2.'!D42+'4.6.1.'!F42+'4.6.2.'!D42+'4.7.'!F42+'4.8.'!F42+'4.9.'!D42+'4.10.'!G42+'4.11.'!G42+'4.12.'!F42+'4.13.'!C42</f>
        <v>22.312307692307691</v>
      </c>
    </row>
    <row r="28" spans="2:6" ht="15.5" x14ac:dyDescent="0.35">
      <c r="B28" s="31">
        <v>2222</v>
      </c>
      <c r="C28" s="62" t="s">
        <v>135</v>
      </c>
      <c r="D28" s="286">
        <f>'4.4.1.'!G43+'4.4.2.'!E43+'4.5.1.'!F43+'4.5.2.'!D43+'4.6.1.'!F43+'4.6.2.'!D43+'4.7.'!F43+'4.8.'!F43+'4.9.'!D43+'4.10.'!G43+'4.11.'!G43+'4.12.'!F43+'4.13.'!C43</f>
        <v>31.615384615384613</v>
      </c>
    </row>
    <row r="29" spans="2:6" ht="15.5" x14ac:dyDescent="0.25">
      <c r="B29" s="31">
        <v>2223</v>
      </c>
      <c r="C29" s="32" t="s">
        <v>136</v>
      </c>
      <c r="D29" s="286">
        <f>'4.4.1.'!G44+'4.4.2.'!E44+'4.5.1.'!F44+'4.5.2.'!D44+'4.6.1.'!F44+'4.6.2.'!D44+'4.7.'!F44+'4.8.'!F44+'4.9.'!D44+'4.10.'!G44+'4.11.'!G44+'4.12.'!F44+'4.13.'!C44</f>
        <v>161.16576923076923</v>
      </c>
    </row>
    <row r="30" spans="2:6" ht="46.5" x14ac:dyDescent="0.35">
      <c r="B30" s="31">
        <v>2224</v>
      </c>
      <c r="C30" s="62" t="s">
        <v>176</v>
      </c>
      <c r="D30" s="286">
        <f>'4.4.1.'!G45+'4.4.2.'!E45+'4.5.1.'!F45+'4.5.2.'!D45+'4.6.1.'!F45+'4.6.2.'!D45+'4.7.'!F45+'4.8.'!F45+'4.9.'!D45+'4.10.'!G45+'4.11.'!G45+'4.12.'!F45+'4.13.'!C45</f>
        <v>366.36448332216122</v>
      </c>
    </row>
    <row r="31" spans="2:6" ht="15.5" x14ac:dyDescent="0.35">
      <c r="B31" s="31">
        <v>2231</v>
      </c>
      <c r="C31" s="22" t="s">
        <v>126</v>
      </c>
      <c r="D31" s="286">
        <f>'4.4.1.'!G46+'4.4.2.'!E46+'4.5.1.'!F46+'4.5.2.'!D46+'4.6.1.'!F46+'4.6.2.'!D46+'4.7.'!F46+'4.8.'!F46+'4.9.'!D46+'4.10.'!G46+'4.11.'!G46+'4.12.'!F46+'4.13.'!C46</f>
        <v>4.6469230769230769</v>
      </c>
    </row>
    <row r="32" spans="2:6" ht="15.5" x14ac:dyDescent="0.25">
      <c r="B32" s="31">
        <v>2235</v>
      </c>
      <c r="C32" s="75" t="s">
        <v>127</v>
      </c>
      <c r="D32" s="286">
        <f>'4.4.1.'!G47+'4.4.2.'!E47+'4.5.1.'!F47+'4.5.2.'!D47+'4.6.1.'!F47+'4.6.2.'!D47+'4.7.'!F47+'4.8.'!F47+'4.9.'!D47+'4.10.'!G47+'4.11.'!G47+'4.12.'!F47+'4.13.'!C47</f>
        <v>4.7769230769230768</v>
      </c>
    </row>
    <row r="33" spans="2:4" ht="15.5" x14ac:dyDescent="0.25">
      <c r="B33" s="31">
        <v>2239</v>
      </c>
      <c r="C33" s="32" t="s">
        <v>144</v>
      </c>
      <c r="D33" s="286">
        <f>'4.4.1.'!G48+'4.4.2.'!E48+'4.5.1.'!F48+'4.5.2.'!D48+'4.6.1.'!F48+'4.6.2.'!D48+'4.7.'!F48+'4.8.'!F48+'4.9.'!D48+'4.10.'!G48+'4.11.'!G48+'4.12.'!F48+'4.13.'!C48</f>
        <v>62.079823897252751</v>
      </c>
    </row>
    <row r="34" spans="2:4" ht="15.5" x14ac:dyDescent="0.35">
      <c r="B34" s="31">
        <v>2241</v>
      </c>
      <c r="C34" s="22" t="s">
        <v>123</v>
      </c>
      <c r="D34" s="286">
        <f>'4.4.1.'!G49+'4.4.2.'!E49+'4.5.1.'!F49+'4.5.2.'!D49+'4.6.1.'!F49+'4.6.2.'!D49+'4.7.'!F49+'4.8.'!F49+'4.9.'!D49+'4.10.'!G49+'4.11.'!G49+'4.12.'!F49+'4.13.'!C49</f>
        <v>360.50888017435892</v>
      </c>
    </row>
    <row r="35" spans="2:4" ht="15.5" x14ac:dyDescent="0.25">
      <c r="B35" s="31">
        <v>2242</v>
      </c>
      <c r="C35" s="32" t="s">
        <v>145</v>
      </c>
      <c r="D35" s="286">
        <f>'4.4.1.'!G50+'4.4.2.'!E50+'4.5.1.'!F50+'4.5.2.'!D50+'4.6.1.'!F50+'4.6.2.'!D50+'4.7.'!F50+'4.8.'!F50+'4.9.'!D50+'4.10.'!G50+'4.11.'!G50+'4.12.'!F50+'4.13.'!C50</f>
        <v>45.646321245054942</v>
      </c>
    </row>
    <row r="36" spans="2:4" ht="31" x14ac:dyDescent="0.25">
      <c r="B36" s="31">
        <v>2243</v>
      </c>
      <c r="C36" s="32" t="s">
        <v>137</v>
      </c>
      <c r="D36" s="286">
        <f>'4.4.1.'!G51+'4.4.2.'!E51+'4.5.1.'!F51+'4.5.2.'!D51+'4.6.1.'!F51+'4.6.2.'!D51+'4.7.'!F51+'4.8.'!F51+'4.9.'!D51+'4.10.'!G51+'4.11.'!G51+'4.12.'!F51+'4.13.'!C51</f>
        <v>198.49582970989013</v>
      </c>
    </row>
    <row r="37" spans="2:4" ht="15.5" x14ac:dyDescent="0.35">
      <c r="B37" s="31">
        <v>2244</v>
      </c>
      <c r="C37" s="22" t="s">
        <v>138</v>
      </c>
      <c r="D37" s="286">
        <f>'4.4.1.'!G52+'4.4.2.'!E52+'4.5.1.'!F52+'4.5.2.'!D52+'4.6.1.'!F52+'4.6.2.'!D52+'4.7.'!F52+'4.8.'!F52+'4.9.'!D52+'4.10.'!G52+'4.11.'!G52+'4.12.'!F52+'4.13.'!C52</f>
        <v>452.01628475183151</v>
      </c>
    </row>
    <row r="38" spans="2:4" ht="15.5" x14ac:dyDescent="0.35">
      <c r="B38" s="31">
        <v>2247</v>
      </c>
      <c r="C38" s="22"/>
      <c r="D38" s="286">
        <f>'4.4.1.'!G53+'4.4.2.'!E53+'4.5.1.'!F53+'4.5.2.'!D53+'4.6.1.'!F53+'4.6.2.'!D53+'4.7.'!F53+'4.8.'!F53+'4.9.'!D53+'4.10.'!G53+'4.11.'!G53+'4.12.'!F53+'4.13.'!C53</f>
        <v>2.0769230769230771</v>
      </c>
    </row>
    <row r="39" spans="2:4" ht="15.5" x14ac:dyDescent="0.35">
      <c r="B39" s="31">
        <v>2249</v>
      </c>
      <c r="C39" s="22" t="s">
        <v>171</v>
      </c>
      <c r="D39" s="286">
        <f>'4.4.1.'!G54+'4.4.2.'!E54+'4.5.1.'!F54+'4.5.2.'!D54+'4.6.1.'!F54+'4.6.2.'!D54+'4.7.'!F54+'4.8.'!F54+'4.9.'!D54+'4.10.'!G54+'4.11.'!G54+'4.12.'!F54+'4.13.'!C54</f>
        <v>45.975418090659346</v>
      </c>
    </row>
    <row r="40" spans="2:4" ht="15.5" x14ac:dyDescent="0.35">
      <c r="B40" s="31">
        <v>2250</v>
      </c>
      <c r="C40" s="22" t="s">
        <v>124</v>
      </c>
      <c r="D40" s="286">
        <f>'4.4.1.'!G55+'4.4.2.'!E55+'4.5.1.'!F55+'4.5.2.'!D55+'4.6.1.'!F55+'4.6.2.'!D55+'4.7.'!F55+'4.8.'!F55+'4.9.'!D55+'4.10.'!G55+'4.11.'!G55+'4.12.'!F55+'4.13.'!C55</f>
        <v>188.14662145201464</v>
      </c>
    </row>
    <row r="41" spans="2:4" ht="15.5" x14ac:dyDescent="0.25">
      <c r="B41" s="31">
        <v>2262</v>
      </c>
      <c r="C41" s="32" t="s">
        <v>148</v>
      </c>
      <c r="D41" s="286">
        <f>'4.4.1.'!G56+'4.4.2.'!E56+'4.5.1.'!F56+'4.5.2.'!D56+'4.6.1.'!F56+'4.6.2.'!D56+'4.7.'!F56+'4.8.'!F56+'4.9.'!D56+'4.10.'!G56+'4.11.'!G56+'4.12.'!F56+'4.13.'!C56</f>
        <v>93.249119928571432</v>
      </c>
    </row>
    <row r="42" spans="2:4" ht="15.5" x14ac:dyDescent="0.25">
      <c r="B42" s="31">
        <v>2263</v>
      </c>
      <c r="C42" s="32" t="s">
        <v>149</v>
      </c>
      <c r="D42" s="286">
        <f>'4.4.1.'!G57+'4.4.2.'!E57+'4.5.1.'!F57+'4.5.2.'!D57+'4.6.1.'!F57+'4.6.2.'!D57+'4.7.'!F57+'4.8.'!F57+'4.9.'!D57+'4.10.'!G57+'4.11.'!G57+'4.12.'!F57+'4.13.'!C57</f>
        <v>18.115384615384617</v>
      </c>
    </row>
    <row r="43" spans="2:4" ht="15.5" x14ac:dyDescent="0.25">
      <c r="B43" s="31">
        <v>2264</v>
      </c>
      <c r="C43" s="32" t="s">
        <v>173</v>
      </c>
      <c r="D43" s="286">
        <f>'4.4.1.'!G58+'4.4.2.'!E58+'4.5.1.'!F58+'4.5.2.'!D58+'4.6.1.'!F58+'4.6.2.'!D58+'4.7.'!F58+'4.8.'!F58+'4.9.'!D58+'4.10.'!G58+'4.11.'!G58+'4.12.'!F26+'4.13.'!C58</f>
        <v>183.71162313939396</v>
      </c>
    </row>
    <row r="44" spans="2:4" ht="15.5" x14ac:dyDescent="0.25">
      <c r="B44" s="31">
        <v>2311</v>
      </c>
      <c r="C44" s="32" t="s">
        <v>151</v>
      </c>
      <c r="D44" s="286">
        <f>'4.4.1.'!G59+'4.4.2.'!E59+'4.5.1.'!F59+'4.5.2.'!D59+'4.6.1.'!F59+'4.6.2.'!D59+'4.7.'!F59+'4.8.'!F59+'4.9.'!D59+'4.10.'!G59+'4.11.'!G59+'4.12.'!F59+'4.13.'!C59</f>
        <v>70.622823682051276</v>
      </c>
    </row>
    <row r="45" spans="2:4" ht="15.5" x14ac:dyDescent="0.25">
      <c r="B45" s="31">
        <v>2312</v>
      </c>
      <c r="C45" s="32" t="s">
        <v>116</v>
      </c>
      <c r="D45" s="286">
        <f>'4.4.1.'!G60+'4.4.2.'!E60+'4.5.1.'!F60+'4.5.2.'!D60+'4.6.1.'!F60+'4.6.2.'!D60+'4.7.'!F60+'4.8.'!F60+'4.9.'!D60+'4.10.'!G60+'4.11.'!G60+'4.12.'!F60+'4.13.'!C60</f>
        <v>13.800000000000002</v>
      </c>
    </row>
    <row r="46" spans="2:4" ht="31" x14ac:dyDescent="0.25">
      <c r="B46" s="31">
        <v>2314</v>
      </c>
      <c r="C46" s="75" t="s">
        <v>152</v>
      </c>
      <c r="D46" s="286">
        <f>'4.4.1.'!G61+'4.4.2.'!E61+'4.5.1.'!F61+'4.5.2.'!D61+'4.6.1.'!F61+'4.6.2.'!D61+'4.7.'!F61+'4.8.'!F61+'4.9.'!D61+'4.10.'!G61+'4.11.'!G61+'4.12.'!F61+'4.13.'!C61</f>
        <v>16.753846153846155</v>
      </c>
    </row>
    <row r="47" spans="2:4" ht="15.5" x14ac:dyDescent="0.25">
      <c r="B47" s="31">
        <v>2321</v>
      </c>
      <c r="C47" s="32" t="s">
        <v>139</v>
      </c>
      <c r="D47" s="286">
        <f>'4.4.1.'!G62+'4.4.2.'!E62+'4.5.1.'!F62+'4.5.2.'!D62+'4.6.1.'!F62+'4.6.2.'!D62+'4.7.'!F62+'4.8.'!F62+'4.9.'!D62+'4.10.'!G62+'4.11.'!G62+'4.12.'!F62+'4.13.'!C62</f>
        <v>50.415384615384625</v>
      </c>
    </row>
    <row r="48" spans="2:4" ht="15.5" x14ac:dyDescent="0.25">
      <c r="B48" s="31">
        <v>2322</v>
      </c>
      <c r="C48" s="32" t="s">
        <v>153</v>
      </c>
      <c r="D48" s="286">
        <f>'4.4.1.'!G63+'4.4.2.'!E63+'4.5.1.'!F63+'4.5.2.'!D63+'4.6.1.'!F63+'4.6.2.'!D63+'4.7.'!F63+'4.8.'!F63+'4.9.'!D63+'4.10.'!G63+'4.11.'!G63+'4.12.'!F63+'4.13.'!C63</f>
        <v>326.2894259098901</v>
      </c>
    </row>
    <row r="49" spans="2:4" ht="15.5" x14ac:dyDescent="0.35">
      <c r="B49" s="31">
        <v>2341</v>
      </c>
      <c r="C49" s="62" t="s">
        <v>140</v>
      </c>
      <c r="D49" s="286">
        <f>'4.4.1.'!G64+'4.4.2.'!E64+'4.5.1.'!F64+'4.5.2.'!D64+'4.6.1.'!F64+'4.6.2.'!D64+'4.7.'!F64+'4.8.'!F64+'4.9.'!D64+'4.10.'!G64+'4.11.'!G64+'4.12.'!F64+'4.13.'!C64</f>
        <v>12.623076923076923</v>
      </c>
    </row>
    <row r="50" spans="2:4" ht="15.5" x14ac:dyDescent="0.35">
      <c r="B50" s="31">
        <v>2350</v>
      </c>
      <c r="C50" s="61" t="s">
        <v>125</v>
      </c>
      <c r="D50" s="286">
        <f>'4.4.1.'!G65+'4.4.2.'!E65+'4.5.1.'!F65+'4.5.2.'!D65+'4.6.1.'!F65+'4.6.2.'!D65+'4.7.'!F65+'4.8.'!F65+'4.9.'!D65+'4.10.'!G65+'4.11.'!G65+'4.12.'!F65+'4.13.'!C65</f>
        <v>272.83674899523805</v>
      </c>
    </row>
    <row r="51" spans="2:4" ht="15.5" x14ac:dyDescent="0.35">
      <c r="B51" s="31">
        <v>2513</v>
      </c>
      <c r="C51" s="61" t="s">
        <v>121</v>
      </c>
      <c r="D51" s="286">
        <f>'4.4.1.'!G66+'4.4.2.'!E66+'4.5.1.'!F66+'4.5.2.'!D66+'4.6.1.'!F66+'4.6.2.'!D66+'4.7.'!F66+'4.8.'!F66+'4.9.'!D66+'4.10.'!G66+'4.11.'!G66+'4.12.'!F66+'4.13.'!C66</f>
        <v>24.6</v>
      </c>
    </row>
    <row r="52" spans="2:4" ht="15.5" x14ac:dyDescent="0.25">
      <c r="B52" s="31">
        <v>2515</v>
      </c>
      <c r="C52" s="32" t="s">
        <v>155</v>
      </c>
      <c r="D52" s="286">
        <f>'4.4.1.'!G67+'4.4.2.'!E67+'4.5.1.'!F67+'4.5.2.'!D67+'4.6.1.'!F67+'4.6.2.'!D67+'4.7.'!F67+'4.8.'!F67+'4.9.'!D67+'4.10.'!G67+'4.11.'!G67+'4.12.'!F67+'4.13.'!C67</f>
        <v>196.55386511863662</v>
      </c>
    </row>
    <row r="53" spans="2:4" ht="15.5" x14ac:dyDescent="0.25">
      <c r="B53" s="31">
        <v>2519</v>
      </c>
      <c r="C53" s="32" t="s">
        <v>122</v>
      </c>
      <c r="D53" s="286">
        <f>'4.4.1.'!G68+'4.4.2.'!E68+'4.5.1.'!F68+'4.5.2.'!D68+'4.6.1.'!F68+'4.6.2.'!D68+'4.7.'!F68+'4.8.'!F68+'4.9.'!D68+'4.10.'!G68+'4.11.'!G68+'4.12.'!F68+'4.13.'!C68</f>
        <v>21.796841017882588</v>
      </c>
    </row>
    <row r="54" spans="2:4" ht="15.5" x14ac:dyDescent="0.35">
      <c r="B54" s="31">
        <v>5220</v>
      </c>
      <c r="C54" s="62" t="s">
        <v>128</v>
      </c>
      <c r="D54" s="286">
        <f>'4.4.1.'!G69+'4.4.2.'!E69+'4.5.1.'!F69+'4.5.2.'!D69+'4.6.1.'!F69+'4.6.2.'!D69+'4.7.'!F69+'4.8.'!F69+'4.9.'!D69+'4.10.'!G69+'4.11.'!G69+'4.12.'!F69+'4.13.'!C69</f>
        <v>48.463805390344525</v>
      </c>
    </row>
    <row r="55" spans="2:4" ht="15.5" x14ac:dyDescent="0.35">
      <c r="B55" s="31">
        <v>5238</v>
      </c>
      <c r="C55" s="61" t="s">
        <v>129</v>
      </c>
      <c r="D55" s="286">
        <f>'4.4.1.'!G70+'4.4.2.'!E70+'4.5.1.'!F70+'4.5.2.'!D70+'4.6.1.'!F70+'4.6.2.'!D70+'4.7.'!F70+'4.8.'!F70+'4.9.'!D70+'4.10.'!G70+'4.11.'!G70+'4.12.'!F70+'4.13.'!C70</f>
        <v>200.248533704945</v>
      </c>
    </row>
    <row r="56" spans="2:4" ht="15.5" x14ac:dyDescent="0.35">
      <c r="B56" s="31">
        <v>5239</v>
      </c>
      <c r="C56" s="61" t="s">
        <v>130</v>
      </c>
      <c r="D56" s="286">
        <f>'4.4.1.'!G71+'4.4.2.'!E71+'4.5.1.'!F71+'4.5.2.'!D71+'4.6.1.'!F71+'4.6.2.'!D71+'4.7.'!F71+'4.8.'!F71+'4.9.'!D71+'4.10.'!G71+'4.11.'!G71+'4.12.'!F71+'4.13.'!C71</f>
        <v>698.08147071739904</v>
      </c>
    </row>
    <row r="57" spans="2:4" ht="15.5" x14ac:dyDescent="0.25">
      <c r="B57" s="31">
        <v>5250</v>
      </c>
      <c r="C57" s="32" t="s">
        <v>131</v>
      </c>
      <c r="D57" s="286">
        <f>'4.4.1.'!G72+'4.4.2.'!E72+'4.5.1.'!F72+'4.5.2.'!D72+'4.6.1.'!F72+'4.6.2.'!D72+'4.7.'!F72+'4.8.'!F72+'4.9.'!D72+'4.10.'!G72+'4.11.'!G72+'4.12.'!F72+'4.13.'!C72</f>
        <v>518.98734738809537</v>
      </c>
    </row>
    <row r="58" spans="2:4" x14ac:dyDescent="0.25">
      <c r="D58" s="286">
        <f>SUM(D24:D57)</f>
        <v>12355.422248822302</v>
      </c>
    </row>
    <row r="59" spans="2:4" ht="13" x14ac:dyDescent="0.3">
      <c r="D59" s="287" t="e">
        <f>D21+D58</f>
        <v>#REF!</v>
      </c>
    </row>
    <row r="62" spans="2:4" x14ac:dyDescent="0.25">
      <c r="D62" s="56">
        <f>'4.4.1.'!G74+'4.4.2.'!E74+'4.5.1.'!F74+'4.5.2.'!D74+'4.6.1.'!F74+'4.6.2.'!D74+'4.7.'!F74+'4.8.'!F74+'4.9.'!D74+'4.10.'!G74+'4.11.'!G74+'4.12.'!F75+'4.13.'!C74</f>
        <v>58141.156793478061</v>
      </c>
    </row>
    <row r="64" spans="2:4" x14ac:dyDescent="0.25">
      <c r="D64" s="56" t="e">
        <f>D62-D59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B2:D41"/>
  <sheetViews>
    <sheetView topLeftCell="A13" workbookViewId="0">
      <selection activeCell="D2" sqref="D2"/>
    </sheetView>
  </sheetViews>
  <sheetFormatPr defaultRowHeight="12.5" x14ac:dyDescent="0.25"/>
  <cols>
    <col min="3" max="3" width="57.7265625" bestFit="1" customWidth="1"/>
    <col min="4" max="4" width="13" customWidth="1"/>
  </cols>
  <sheetData>
    <row r="2" spans="2:4" ht="15.5" x14ac:dyDescent="0.25">
      <c r="B2" s="31">
        <v>1100</v>
      </c>
      <c r="C2" s="31" t="s">
        <v>132</v>
      </c>
      <c r="D2" s="286">
        <f>'T-N_ekk'!D2+'T-N_ekk'!D24</f>
        <v>13961.210243031317</v>
      </c>
    </row>
    <row r="3" spans="2:4" ht="31" x14ac:dyDescent="0.35">
      <c r="B3" s="31">
        <v>1200</v>
      </c>
      <c r="C3" s="285" t="s">
        <v>133</v>
      </c>
      <c r="D3" s="286">
        <f>'T-N_ekk'!D3+'T-N_ekk'!D25</f>
        <v>3293.4666868664835</v>
      </c>
    </row>
    <row r="4" spans="2:4" ht="31" x14ac:dyDescent="0.25">
      <c r="B4" s="31">
        <v>2100</v>
      </c>
      <c r="C4" s="24" t="s">
        <v>45</v>
      </c>
      <c r="D4" s="286">
        <f>'T-N_ekk'!D26</f>
        <v>3.3692307692307688</v>
      </c>
    </row>
    <row r="5" spans="2:4" ht="15.5" x14ac:dyDescent="0.35">
      <c r="B5" s="31">
        <v>2210</v>
      </c>
      <c r="C5" s="62" t="s">
        <v>120</v>
      </c>
      <c r="D5" s="286">
        <f>'T-N_ekk'!D4+'T-N_ekk'!D27</f>
        <v>230.65701276849813</v>
      </c>
    </row>
    <row r="6" spans="2:4" ht="15.5" x14ac:dyDescent="0.35">
      <c r="B6" s="31">
        <v>2222</v>
      </c>
      <c r="C6" s="62" t="s">
        <v>135</v>
      </c>
      <c r="D6" s="286">
        <f>'T-N_ekk'!D5+'T-N_ekk'!D28</f>
        <v>4778.1527774097076</v>
      </c>
    </row>
    <row r="7" spans="2:4" ht="15.5" x14ac:dyDescent="0.25">
      <c r="B7" s="31">
        <v>2223</v>
      </c>
      <c r="C7" s="32" t="s">
        <v>136</v>
      </c>
      <c r="D7" s="286">
        <f>'T-N_ekk'!D6+'T-N_ekk'!D29</f>
        <v>7923.8843418510996</v>
      </c>
    </row>
    <row r="8" spans="2:4" ht="46.5" x14ac:dyDescent="0.25">
      <c r="B8" s="31">
        <v>2224</v>
      </c>
      <c r="C8" s="32" t="s">
        <v>176</v>
      </c>
      <c r="D8" s="286">
        <f>'T-N_ekk'!D30</f>
        <v>366.36448332216122</v>
      </c>
    </row>
    <row r="9" spans="2:4" ht="15.5" x14ac:dyDescent="0.35">
      <c r="B9" s="31">
        <v>2231</v>
      </c>
      <c r="C9" s="22" t="s">
        <v>126</v>
      </c>
      <c r="D9" s="286">
        <f>'T-N_ekk'!D31</f>
        <v>4.6469230769230769</v>
      </c>
    </row>
    <row r="10" spans="2:4" ht="15.5" x14ac:dyDescent="0.25">
      <c r="B10" s="31">
        <v>2235</v>
      </c>
      <c r="C10" s="75" t="s">
        <v>127</v>
      </c>
      <c r="D10" s="286">
        <f>'T-N_ekk'!D32</f>
        <v>4.7769230769230768</v>
      </c>
    </row>
    <row r="11" spans="2:4" ht="15.5" x14ac:dyDescent="0.25">
      <c r="B11" s="31">
        <v>2239</v>
      </c>
      <c r="C11" s="32" t="s">
        <v>144</v>
      </c>
      <c r="D11" s="286">
        <f>'T-N_ekk'!D33</f>
        <v>62.079823897252751</v>
      </c>
    </row>
    <row r="12" spans="2:4" ht="15.5" x14ac:dyDescent="0.35">
      <c r="B12" s="31">
        <v>2241</v>
      </c>
      <c r="C12" s="22" t="s">
        <v>123</v>
      </c>
      <c r="D12" s="286">
        <f>'T-N_ekk'!D34</f>
        <v>360.50888017435892</v>
      </c>
    </row>
    <row r="13" spans="2:4" ht="15.5" x14ac:dyDescent="0.25">
      <c r="B13" s="31">
        <v>2242</v>
      </c>
      <c r="C13" s="32" t="s">
        <v>145</v>
      </c>
      <c r="D13" s="286">
        <f>'T-N_ekk'!D35</f>
        <v>45.646321245054942</v>
      </c>
    </row>
    <row r="14" spans="2:4" ht="31" x14ac:dyDescent="0.25">
      <c r="B14" s="31">
        <v>2243</v>
      </c>
      <c r="C14" s="32" t="s">
        <v>137</v>
      </c>
      <c r="D14" s="286">
        <f>'T-N_ekk'!D36+'T-N_ekk'!D7</f>
        <v>444.67308756208791</v>
      </c>
    </row>
    <row r="15" spans="2:4" ht="15.5" x14ac:dyDescent="0.35">
      <c r="B15" s="31">
        <v>2244</v>
      </c>
      <c r="C15" s="22" t="s">
        <v>138</v>
      </c>
      <c r="D15" s="286">
        <f>'T-N_ekk'!D8+'T-N_ekk'!D37</f>
        <v>5975.7691503090873</v>
      </c>
    </row>
    <row r="16" spans="2:4" ht="15.5" x14ac:dyDescent="0.35">
      <c r="B16" s="31">
        <v>2247</v>
      </c>
      <c r="C16" s="22"/>
      <c r="D16" s="286">
        <f>'T-N_ekk'!D38</f>
        <v>2.0769230769230771</v>
      </c>
    </row>
    <row r="17" spans="2:4" ht="15.5" x14ac:dyDescent="0.35">
      <c r="B17" s="31">
        <v>2249</v>
      </c>
      <c r="C17" s="22" t="s">
        <v>171</v>
      </c>
      <c r="D17" s="286">
        <f>'T-N_ekk'!D39</f>
        <v>45.975418090659346</v>
      </c>
    </row>
    <row r="18" spans="2:4" ht="15.5" x14ac:dyDescent="0.35">
      <c r="B18" s="31">
        <v>2250</v>
      </c>
      <c r="C18" s="22" t="s">
        <v>124</v>
      </c>
      <c r="D18" s="286">
        <f>'T-N_ekk'!D9+'T-N_ekk'!D40</f>
        <v>188.14662145201464</v>
      </c>
    </row>
    <row r="19" spans="2:4" ht="15.5" x14ac:dyDescent="0.25">
      <c r="B19" s="31">
        <v>2262</v>
      </c>
      <c r="C19" s="32" t="s">
        <v>148</v>
      </c>
      <c r="D19" s="286">
        <f>'T-N_ekk'!D41</f>
        <v>93.249119928571432</v>
      </c>
    </row>
    <row r="20" spans="2:4" ht="15.5" x14ac:dyDescent="0.25">
      <c r="B20" s="31">
        <v>2263</v>
      </c>
      <c r="C20" s="32" t="s">
        <v>149</v>
      </c>
      <c r="D20" s="286" t="e">
        <f>'T-N_ekk'!D10+'T-N_ekk'!D42</f>
        <v>#REF!</v>
      </c>
    </row>
    <row r="21" spans="2:4" ht="15.5" x14ac:dyDescent="0.25">
      <c r="B21" s="31">
        <v>2264</v>
      </c>
      <c r="C21" s="32" t="s">
        <v>173</v>
      </c>
      <c r="D21" s="286">
        <f>'T-N_ekk'!D43</f>
        <v>183.71162313939396</v>
      </c>
    </row>
    <row r="22" spans="2:4" ht="15.5" x14ac:dyDescent="0.25">
      <c r="B22" s="31">
        <v>2311</v>
      </c>
      <c r="C22" s="32" t="s">
        <v>151</v>
      </c>
      <c r="D22" s="286">
        <f>'T-N_ekk'!D11+'T-N_ekk'!D44</f>
        <v>159.49205445128206</v>
      </c>
    </row>
    <row r="23" spans="2:4" ht="15.5" x14ac:dyDescent="0.25">
      <c r="B23" s="31">
        <v>2312</v>
      </c>
      <c r="C23" s="32" t="s">
        <v>116</v>
      </c>
      <c r="D23" s="286">
        <f>'T-N_ekk'!D12+'T-N_ekk'!D45</f>
        <v>798.40641689304016</v>
      </c>
    </row>
    <row r="24" spans="2:4" ht="31" x14ac:dyDescent="0.25">
      <c r="B24" s="31">
        <v>2314</v>
      </c>
      <c r="C24" s="75" t="s">
        <v>152</v>
      </c>
      <c r="D24" s="286">
        <f>'T-N_ekk'!D46</f>
        <v>16.753846153846155</v>
      </c>
    </row>
    <row r="25" spans="2:4" ht="15.5" x14ac:dyDescent="0.25">
      <c r="B25" s="31">
        <v>2321</v>
      </c>
      <c r="C25" s="32" t="s">
        <v>139</v>
      </c>
      <c r="D25" s="286">
        <f>'T-N_ekk'!D13+'T-N_ekk'!D47</f>
        <v>7500.6813857531142</v>
      </c>
    </row>
    <row r="26" spans="2:4" ht="15.5" x14ac:dyDescent="0.25">
      <c r="B26" s="31">
        <v>2322</v>
      </c>
      <c r="C26" s="32" t="s">
        <v>153</v>
      </c>
      <c r="D26" s="286">
        <f>'T-N_ekk'!D48</f>
        <v>326.2894259098901</v>
      </c>
    </row>
    <row r="27" spans="2:4" ht="15.5" x14ac:dyDescent="0.35">
      <c r="B27" s="31">
        <v>2341</v>
      </c>
      <c r="C27" s="62" t="s">
        <v>140</v>
      </c>
      <c r="D27" s="286">
        <f>'T-N_ekk'!D49</f>
        <v>12.623076923076923</v>
      </c>
    </row>
    <row r="28" spans="2:4" ht="15.5" x14ac:dyDescent="0.35">
      <c r="B28" s="31">
        <v>2350</v>
      </c>
      <c r="C28" s="61" t="s">
        <v>125</v>
      </c>
      <c r="D28" s="286">
        <f>'T-N_ekk'!D14+'T-N_ekk'!D50</f>
        <v>903.10998261703276</v>
      </c>
    </row>
    <row r="29" spans="2:4" ht="15.5" x14ac:dyDescent="0.25">
      <c r="B29" s="31">
        <v>2361</v>
      </c>
      <c r="C29" s="32" t="s">
        <v>141</v>
      </c>
      <c r="D29" s="286">
        <f>'T-N_ekk'!D15</f>
        <v>570.98206586648348</v>
      </c>
    </row>
    <row r="30" spans="2:4" ht="15.5" x14ac:dyDescent="0.35">
      <c r="B30" s="31">
        <v>2362</v>
      </c>
      <c r="C30" s="83" t="s">
        <v>156</v>
      </c>
      <c r="D30" s="286">
        <f>'T-N_ekk'!D16</f>
        <v>14.607692307692309</v>
      </c>
    </row>
    <row r="31" spans="2:4" ht="15.5" x14ac:dyDescent="0.35">
      <c r="B31" s="31">
        <v>2363</v>
      </c>
      <c r="C31" s="62" t="s">
        <v>142</v>
      </c>
      <c r="D31" s="286">
        <f>'T-N_ekk'!D17</f>
        <v>1674</v>
      </c>
    </row>
    <row r="32" spans="2:4" ht="15.5" x14ac:dyDescent="0.35">
      <c r="B32" s="31">
        <v>2513</v>
      </c>
      <c r="C32" s="61" t="s">
        <v>121</v>
      </c>
      <c r="D32" s="286">
        <f>'T-N_ekk'!D18+'T-N_ekk'!D51</f>
        <v>1743.7796324574556</v>
      </c>
    </row>
    <row r="33" spans="2:4" ht="15.5" x14ac:dyDescent="0.25">
      <c r="B33" s="31">
        <v>2515</v>
      </c>
      <c r="C33" s="32" t="s">
        <v>155</v>
      </c>
      <c r="D33" s="286">
        <f>'T-N_ekk'!D52</f>
        <v>196.55386511863662</v>
      </c>
    </row>
    <row r="34" spans="2:4" ht="15.5" x14ac:dyDescent="0.25">
      <c r="B34" s="31">
        <v>2519</v>
      </c>
      <c r="C34" s="32" t="s">
        <v>122</v>
      </c>
      <c r="D34" s="286">
        <f>'T-N_ekk'!D19+'T-N_ekk'!D53</f>
        <v>278.39463345608175</v>
      </c>
    </row>
    <row r="35" spans="2:4" ht="15.5" x14ac:dyDescent="0.35">
      <c r="B35" s="31">
        <v>5220</v>
      </c>
      <c r="C35" s="62" t="s">
        <v>128</v>
      </c>
      <c r="D35" s="286">
        <f>'T-N_ekk'!D54</f>
        <v>48.463805390344525</v>
      </c>
    </row>
    <row r="36" spans="2:4" ht="15.5" x14ac:dyDescent="0.35">
      <c r="B36" s="31">
        <v>5238</v>
      </c>
      <c r="C36" s="61" t="s">
        <v>129</v>
      </c>
      <c r="D36" s="286">
        <f>'T-N_ekk'!D55</f>
        <v>200.248533704945</v>
      </c>
    </row>
    <row r="37" spans="2:4" ht="31" x14ac:dyDescent="0.35">
      <c r="B37" s="31">
        <v>5239</v>
      </c>
      <c r="C37" s="285" t="s">
        <v>130</v>
      </c>
      <c r="D37" s="286">
        <f>'T-N_ekk'!D20+'T-N_ekk'!D56</f>
        <v>1681.4543214637179</v>
      </c>
    </row>
    <row r="38" spans="2:4" ht="15.5" x14ac:dyDescent="0.25">
      <c r="B38" s="31">
        <v>5250</v>
      </c>
      <c r="C38" s="32" t="s">
        <v>131</v>
      </c>
      <c r="D38" s="286">
        <f>'T-N_ekk'!D57</f>
        <v>518.98734738809537</v>
      </c>
    </row>
    <row r="39" spans="2:4" ht="13" x14ac:dyDescent="0.3">
      <c r="D39" s="287" t="e">
        <f>SUM(D2:D38)</f>
        <v>#REF!</v>
      </c>
    </row>
    <row r="41" spans="2:4" x14ac:dyDescent="0.25">
      <c r="D41" s="56" t="e">
        <f>'T-N_ekk'!D59-'Kopā EKK'!D39</f>
        <v>#REF!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AC47E1565D4743AF9DEAC01606DCE4" ma:contentTypeVersion="9" ma:contentTypeDescription="Create a new document." ma:contentTypeScope="" ma:versionID="8946ab86aadf0addf3326c5bdf637208">
  <xsd:schema xmlns:xsd="http://www.w3.org/2001/XMLSchema" xmlns:xs="http://www.w3.org/2001/XMLSchema" xmlns:p="http://schemas.microsoft.com/office/2006/metadata/properties" xmlns:ns3="0d0e5512-b085-4211-a297-d6d7fa6c12d2" targetNamespace="http://schemas.microsoft.com/office/2006/metadata/properties" ma:root="true" ma:fieldsID="227022268a5461b7d3596c0a8f2d263b" ns3:_="">
    <xsd:import namespace="0d0e5512-b085-4211-a297-d6d7fa6c12d2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0e5512-b085-4211-a297-d6d7fa6c12d2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AFF704-3827-4A60-8A00-9AE37602FA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5D0658-8FCA-456F-A9C9-D8FC2435FB46}">
  <ds:schemaRefs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0d0e5512-b085-4211-a297-d6d7fa6c12d2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39AFD40-1A5A-42AD-889D-EC0AC9EE93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0e5512-b085-4211-a297-d6d7fa6c12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63</vt:i4>
      </vt:variant>
    </vt:vector>
  </HeadingPairs>
  <TitlesOfParts>
    <vt:vector size="63" baseType="lpstr">
      <vt:lpstr>Satursvec</vt:lpstr>
      <vt:lpstr>4.1.1.</vt:lpstr>
      <vt:lpstr>4.1.2.</vt:lpstr>
      <vt:lpstr>4.2.1.</vt:lpstr>
      <vt:lpstr>4.2.2.</vt:lpstr>
      <vt:lpstr>4.2.3.</vt:lpstr>
      <vt:lpstr>4.2.4.</vt:lpstr>
      <vt:lpstr>4.2.5.</vt:lpstr>
      <vt:lpstr>7.3.1._vec</vt:lpstr>
      <vt:lpstr>7.3.2.vec</vt:lpstr>
      <vt:lpstr>7.4.1.vec</vt:lpstr>
      <vt:lpstr>7.4.2.vec</vt:lpstr>
      <vt:lpstr>7.4.3.</vt:lpstr>
      <vt:lpstr>4.3.1.</vt:lpstr>
      <vt:lpstr>4.3.2.</vt:lpstr>
      <vt:lpstr>7.5.3.vec</vt:lpstr>
      <vt:lpstr>7.5.4.</vt:lpstr>
      <vt:lpstr>4.3.3.</vt:lpstr>
      <vt:lpstr>7.5.7.</vt:lpstr>
      <vt:lpstr>7.5.8.</vt:lpstr>
      <vt:lpstr>4.3.4.</vt:lpstr>
      <vt:lpstr>Saturs</vt:lpstr>
      <vt:lpstr>2.2.2.1.</vt:lpstr>
      <vt:lpstr>2.2.2.2.</vt:lpstr>
      <vt:lpstr>2.3.2.4.</vt:lpstr>
      <vt:lpstr>2.3.1.5.</vt:lpstr>
      <vt:lpstr>2.3.2.6.</vt:lpstr>
      <vt:lpstr>2.4.7.</vt:lpstr>
      <vt:lpstr>3.2.2.</vt:lpstr>
      <vt:lpstr>3.5.2.</vt:lpstr>
      <vt:lpstr>3.11.2.</vt:lpstr>
      <vt:lpstr>4.4.1.</vt:lpstr>
      <vt:lpstr>4.4.2.</vt:lpstr>
      <vt:lpstr>4.5.1.</vt:lpstr>
      <vt:lpstr>4.5.2.</vt:lpstr>
      <vt:lpstr>4.6.1.</vt:lpstr>
      <vt:lpstr>4.6.2.</vt:lpstr>
      <vt:lpstr>4.7.</vt:lpstr>
      <vt:lpstr>4.8.</vt:lpstr>
      <vt:lpstr>4.9.</vt:lpstr>
      <vt:lpstr>4.10.</vt:lpstr>
      <vt:lpstr>4.11.</vt:lpstr>
      <vt:lpstr>4.12.</vt:lpstr>
      <vt:lpstr>4.13.</vt:lpstr>
      <vt:lpstr>6.6.</vt:lpstr>
      <vt:lpstr>7.1.1.</vt:lpstr>
      <vt:lpstr>7.1.2.</vt:lpstr>
      <vt:lpstr>7.3.</vt:lpstr>
      <vt:lpstr>7.3.1.</vt:lpstr>
      <vt:lpstr>7.3.2.</vt:lpstr>
      <vt:lpstr>7.4.</vt:lpstr>
      <vt:lpstr>7.4.1.</vt:lpstr>
      <vt:lpstr>7.4.2.</vt:lpstr>
      <vt:lpstr>7.5.1.</vt:lpstr>
      <vt:lpstr>7.2.</vt:lpstr>
      <vt:lpstr>7.5.2.</vt:lpstr>
      <vt:lpstr>7.5.3.</vt:lpstr>
      <vt:lpstr>7.6.1.</vt:lpstr>
      <vt:lpstr>7.6.2.</vt:lpstr>
      <vt:lpstr>8.2.6.</vt:lpstr>
      <vt:lpstr>8.13.</vt:lpstr>
      <vt:lpstr>T-N_ekk</vt:lpstr>
      <vt:lpstr>Kopā EKK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</dc:creator>
  <dc:description>Inese Ķīse, 67021651, Inese.Kise@lm.gov.lv, fakss 67021678</dc:description>
  <cp:lastModifiedBy>Inese Veinberga</cp:lastModifiedBy>
  <cp:lastPrinted>2025-07-31T09:47:29Z</cp:lastPrinted>
  <dcterms:created xsi:type="dcterms:W3CDTF">2008-09-26T08:09:16Z</dcterms:created>
  <dcterms:modified xsi:type="dcterms:W3CDTF">2025-09-08T11:09:50Z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0x01010059AC47E1565D4743AF9DEAC01606DCE4</vt:lpwstr>
  </property>
</Properties>
</file>