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9AA86318-30D8-4C98-A9D8-ED0DBD9164D6}" xr6:coauthVersionLast="36" xr6:coauthVersionMax="36" xr10:uidLastSave="{00000000-0000-0000-0000-000000000000}"/>
  <bookViews>
    <workbookView xWindow="0" yWindow="0" windowWidth="12180" windowHeight="5412" xr2:uid="{CB758268-6B64-42C4-B2CE-2DCEDCDF43A3}"/>
  </bookViews>
  <sheets>
    <sheet name="kopsavilkums" sheetId="20" r:id="rId1"/>
    <sheet name="3.tabula_VP kopā" sheetId="19" r:id="rId2"/>
    <sheet name="4.tabula_VRS kopā" sheetId="3" r:id="rId3"/>
    <sheet name="5.tabula_VRK kopā " sheetId="14" r:id="rId4"/>
    <sheet name="6.tabula_PMLP kopā" sheetId="2" r:id="rId5"/>
    <sheet name="7.tabula_VDD kopā" sheetId="17" r:id="rId6"/>
  </sheets>
  <definedNames>
    <definedName name="_xlnm.Print_Area" localSheetId="1">'3.tabula_VP kopā'!$A$1:$I$37</definedName>
    <definedName name="_xlnm.Print_Titles" localSheetId="1">'3.tabula_VP kopā'!$5:$5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9" l="1"/>
  <c r="D11" i="19"/>
  <c r="B37" i="20" l="1"/>
  <c r="E37" i="20" s="1"/>
  <c r="B35" i="20"/>
  <c r="E35" i="20" s="1"/>
  <c r="D30" i="20"/>
  <c r="D32" i="20" s="1"/>
  <c r="E47" i="20" s="1"/>
  <c r="B30" i="20"/>
  <c r="B43" i="20" s="1"/>
  <c r="E28" i="20"/>
  <c r="B28" i="20"/>
  <c r="H18" i="20"/>
  <c r="G18" i="20"/>
  <c r="M17" i="20"/>
  <c r="K17" i="20"/>
  <c r="J17" i="20"/>
  <c r="I17" i="20"/>
  <c r="L16" i="20"/>
  <c r="K16" i="20"/>
  <c r="I16" i="20"/>
  <c r="E16" i="20"/>
  <c r="M16" i="20" s="1"/>
  <c r="B16" i="20"/>
  <c r="J16" i="20" s="1"/>
  <c r="M15" i="20"/>
  <c r="L15" i="20"/>
  <c r="K15" i="20"/>
  <c r="I15" i="20"/>
  <c r="M14" i="20"/>
  <c r="L14" i="20"/>
  <c r="K14" i="20"/>
  <c r="J14" i="20"/>
  <c r="N14" i="20" s="1"/>
  <c r="I14" i="20"/>
  <c r="F14" i="20"/>
  <c r="B14" i="20"/>
  <c r="M13" i="20"/>
  <c r="I13" i="20"/>
  <c r="E34" i="19"/>
  <c r="D34" i="19"/>
  <c r="C34" i="19"/>
  <c r="I18" i="20" l="1"/>
  <c r="B41" i="20"/>
  <c r="E30" i="20"/>
  <c r="E43" i="20" s="1"/>
  <c r="E41" i="20"/>
  <c r="N16" i="20"/>
  <c r="M18" i="20"/>
  <c r="F16" i="20"/>
  <c r="E18" i="20"/>
  <c r="D43" i="20"/>
  <c r="D45" i="20" s="1"/>
  <c r="E33" i="19" l="1"/>
  <c r="D33" i="19"/>
  <c r="C33" i="19"/>
  <c r="G37" i="19"/>
  <c r="H36" i="19"/>
  <c r="F36" i="19"/>
  <c r="E36" i="19"/>
  <c r="D36" i="19"/>
  <c r="C36" i="19"/>
  <c r="H33" i="19"/>
  <c r="E29" i="19"/>
  <c r="G28" i="19"/>
  <c r="F27" i="19"/>
  <c r="E27" i="19"/>
  <c r="D27" i="19"/>
  <c r="F26" i="19"/>
  <c r="E26" i="19"/>
  <c r="D26" i="19"/>
  <c r="E25" i="19"/>
  <c r="D25" i="19"/>
  <c r="C25" i="19"/>
  <c r="E24" i="19"/>
  <c r="C24" i="19"/>
  <c r="G23" i="19"/>
  <c r="F22" i="19"/>
  <c r="E22" i="19"/>
  <c r="D22" i="19"/>
  <c r="G21" i="19"/>
  <c r="H20" i="19"/>
  <c r="G19" i="19"/>
  <c r="G18" i="19"/>
  <c r="F17" i="19"/>
  <c r="G16" i="19"/>
  <c r="H15" i="19"/>
  <c r="E15" i="19"/>
  <c r="D15" i="19"/>
  <c r="C15" i="19"/>
  <c r="H11" i="19"/>
  <c r="F11" i="19"/>
  <c r="E11" i="19"/>
  <c r="H9" i="19"/>
  <c r="H14" i="19" l="1"/>
  <c r="I19" i="19"/>
  <c r="E14" i="19"/>
  <c r="G22" i="19"/>
  <c r="I22" i="19" s="1"/>
  <c r="G29" i="19"/>
  <c r="H32" i="19"/>
  <c r="H31" i="19" s="1"/>
  <c r="D14" i="19"/>
  <c r="G36" i="19"/>
  <c r="I16" i="19"/>
  <c r="I28" i="19"/>
  <c r="I23" i="19"/>
  <c r="I21" i="19"/>
  <c r="F34" i="19"/>
  <c r="F35" i="19" s="1"/>
  <c r="I18" i="19"/>
  <c r="C8" i="19"/>
  <c r="C35" i="19"/>
  <c r="H8" i="19"/>
  <c r="C14" i="19"/>
  <c r="G27" i="19"/>
  <c r="I37" i="19"/>
  <c r="C20" i="19"/>
  <c r="D20" i="19"/>
  <c r="F20" i="19"/>
  <c r="H10" i="19"/>
  <c r="G24" i="19"/>
  <c r="D8" i="19"/>
  <c r="E8" i="19"/>
  <c r="G26" i="19"/>
  <c r="D35" i="19"/>
  <c r="E20" i="19"/>
  <c r="E35" i="19"/>
  <c r="G17" i="19"/>
  <c r="G11" i="19"/>
  <c r="G25" i="19"/>
  <c r="F15" i="19"/>
  <c r="H13" i="19" l="1"/>
  <c r="I29" i="19"/>
  <c r="G35" i="19"/>
  <c r="F9" i="19"/>
  <c r="F10" i="19"/>
  <c r="I36" i="19"/>
  <c r="I25" i="19"/>
  <c r="F14" i="19"/>
  <c r="D10" i="19"/>
  <c r="C10" i="19"/>
  <c r="E10" i="19"/>
  <c r="I24" i="19"/>
  <c r="I26" i="19"/>
  <c r="E9" i="19"/>
  <c r="E7" i="19" s="1"/>
  <c r="I27" i="19"/>
  <c r="D9" i="19"/>
  <c r="D7" i="19" s="1"/>
  <c r="H7" i="19"/>
  <c r="G34" i="19"/>
  <c r="G33" i="19" s="1"/>
  <c r="F33" i="19"/>
  <c r="F32" i="19" s="1"/>
  <c r="D13" i="20"/>
  <c r="C32" i="19"/>
  <c r="C9" i="19"/>
  <c r="I11" i="19"/>
  <c r="E13" i="19"/>
  <c r="G20" i="19"/>
  <c r="C13" i="19"/>
  <c r="D13" i="19"/>
  <c r="F8" i="19"/>
  <c r="G15" i="19"/>
  <c r="I17" i="19"/>
  <c r="E32" i="19"/>
  <c r="D32" i="19"/>
  <c r="I34" i="19" l="1"/>
  <c r="F13" i="19"/>
  <c r="G32" i="19"/>
  <c r="H6" i="19"/>
  <c r="C34" i="20"/>
  <c r="F31" i="19"/>
  <c r="I15" i="19"/>
  <c r="I8" i="19" s="1"/>
  <c r="G9" i="19"/>
  <c r="I20" i="19"/>
  <c r="D31" i="19"/>
  <c r="I33" i="19"/>
  <c r="G10" i="19"/>
  <c r="E31" i="19"/>
  <c r="G14" i="19"/>
  <c r="G8" i="19"/>
  <c r="L13" i="20"/>
  <c r="C7" i="19"/>
  <c r="C31" i="19"/>
  <c r="E6" i="19"/>
  <c r="I35" i="19"/>
  <c r="D6" i="19"/>
  <c r="F7" i="19"/>
  <c r="G13" i="19" l="1"/>
  <c r="I9" i="19"/>
  <c r="I32" i="19"/>
  <c r="I31" i="19" s="1"/>
  <c r="I10" i="19"/>
  <c r="C27" i="20"/>
  <c r="I14" i="19"/>
  <c r="C13" i="20"/>
  <c r="K13" i="20" s="1"/>
  <c r="G7" i="19"/>
  <c r="G6" i="19" s="1"/>
  <c r="C6" i="19"/>
  <c r="G31" i="19"/>
  <c r="I7" i="19"/>
  <c r="F6" i="19"/>
  <c r="C18" i="20" l="1"/>
  <c r="I13" i="19"/>
  <c r="B27" i="20"/>
  <c r="I6" i="19"/>
  <c r="C40" i="20"/>
  <c r="B34" i="20"/>
  <c r="B13" i="20"/>
  <c r="K18" i="20"/>
  <c r="E27" i="20" l="1"/>
  <c r="B40" i="20"/>
  <c r="E34" i="20"/>
  <c r="F13" i="20"/>
  <c r="J13" i="20"/>
  <c r="E40" i="20" l="1"/>
  <c r="N13" i="20"/>
  <c r="F8" i="17" l="1"/>
  <c r="E7" i="17"/>
  <c r="E6" i="17" s="1"/>
  <c r="F7" i="17" l="1"/>
  <c r="D7" i="17"/>
  <c r="D6" i="17" l="1"/>
  <c r="D17" i="20"/>
  <c r="F6" i="17"/>
  <c r="C31" i="20"/>
  <c r="F14" i="14"/>
  <c r="F13" i="14"/>
  <c r="E12" i="14"/>
  <c r="D12" i="14"/>
  <c r="D11" i="14" s="1"/>
  <c r="D10" i="14" s="1"/>
  <c r="C12" i="14"/>
  <c r="L17" i="20" l="1"/>
  <c r="F17" i="20"/>
  <c r="D18" i="20"/>
  <c r="C44" i="20"/>
  <c r="C45" i="20" s="1"/>
  <c r="E31" i="20"/>
  <c r="E44" i="20" s="1"/>
  <c r="C32" i="20"/>
  <c r="C47" i="20" s="1"/>
  <c r="F12" i="14"/>
  <c r="F11" i="14" s="1"/>
  <c r="C11" i="14"/>
  <c r="C10" i="14" s="1"/>
  <c r="C18" i="14"/>
  <c r="C7" i="14" s="1"/>
  <c r="D18" i="14"/>
  <c r="D7" i="14" s="1"/>
  <c r="E11" i="14"/>
  <c r="E10" i="14" s="1"/>
  <c r="E18" i="14"/>
  <c r="N17" i="20" l="1"/>
  <c r="L18" i="20"/>
  <c r="F10" i="14"/>
  <c r="B29" i="20"/>
  <c r="E19" i="14"/>
  <c r="E8" i="14" s="1"/>
  <c r="D19" i="14"/>
  <c r="D8" i="14" s="1"/>
  <c r="D6" i="14" s="1"/>
  <c r="C19" i="14"/>
  <c r="C17" i="14" s="1"/>
  <c r="C16" i="14" s="1"/>
  <c r="C5" i="14" s="1"/>
  <c r="F18" i="14"/>
  <c r="E7" i="14"/>
  <c r="E29" i="20" l="1"/>
  <c r="B32" i="20"/>
  <c r="F7" i="14"/>
  <c r="D17" i="14"/>
  <c r="D16" i="14" s="1"/>
  <c r="D5" i="14" s="1"/>
  <c r="E6" i="14"/>
  <c r="F19" i="14"/>
  <c r="C8" i="14"/>
  <c r="C6" i="14" s="1"/>
  <c r="E17" i="14"/>
  <c r="E16" i="14" s="1"/>
  <c r="E5" i="14" s="1"/>
  <c r="E32" i="20" l="1"/>
  <c r="F8" i="14"/>
  <c r="F6" i="14" s="1"/>
  <c r="B15" i="20" s="1"/>
  <c r="F17" i="14"/>
  <c r="F16" i="14" l="1"/>
  <c r="F5" i="14" s="1"/>
  <c r="B36" i="20"/>
  <c r="J15" i="20"/>
  <c r="F15" i="20"/>
  <c r="F18" i="20" s="1"/>
  <c r="B18" i="20"/>
  <c r="G15" i="3"/>
  <c r="I15" i="3" s="1"/>
  <c r="G14" i="3"/>
  <c r="I14" i="3" s="1"/>
  <c r="G13" i="3"/>
  <c r="I13" i="3" s="1"/>
  <c r="F12" i="3"/>
  <c r="F19" i="3" s="1"/>
  <c r="E36" i="20" l="1"/>
  <c r="B38" i="20"/>
  <c r="B47" i="20" s="1"/>
  <c r="B42" i="20"/>
  <c r="B45" i="20" s="1"/>
  <c r="N15" i="20"/>
  <c r="N18" i="20" s="1"/>
  <c r="J18" i="20"/>
  <c r="G12" i="3"/>
  <c r="G11" i="3" s="1"/>
  <c r="F20" i="3"/>
  <c r="F8" i="3" s="1"/>
  <c r="F7" i="3"/>
  <c r="F11" i="3"/>
  <c r="F10" i="3" s="1"/>
  <c r="E38" i="20" l="1"/>
  <c r="E42" i="20"/>
  <c r="E45" i="20" s="1"/>
  <c r="G10" i="3"/>
  <c r="F6" i="3"/>
  <c r="F18" i="3"/>
  <c r="F17" i="3" s="1"/>
  <c r="F5" i="3" s="1"/>
  <c r="E12" i="3" l="1"/>
  <c r="E19" i="3" s="1"/>
  <c r="E20" i="3" l="1"/>
  <c r="E8" i="3" s="1"/>
  <c r="E11" i="3"/>
  <c r="E10" i="3" s="1"/>
  <c r="E7" i="3"/>
  <c r="E6" i="3" l="1"/>
  <c r="E18" i="3"/>
  <c r="E17" i="3" s="1"/>
  <c r="E5" i="3" s="1"/>
  <c r="D12" i="3" l="1"/>
  <c r="D19" i="3" l="1"/>
  <c r="D11" i="3"/>
  <c r="D20" i="3" l="1"/>
  <c r="D18" i="3" s="1"/>
  <c r="D10" i="3"/>
  <c r="D7" i="3"/>
  <c r="D17" i="3" l="1"/>
  <c r="D8" i="3"/>
  <c r="I12" i="3"/>
  <c r="I11" i="3" s="1"/>
  <c r="H12" i="3"/>
  <c r="H7" i="3" s="1"/>
  <c r="C12" i="3"/>
  <c r="C11" i="3" s="1"/>
  <c r="C10" i="3" s="1"/>
  <c r="H8" i="3"/>
  <c r="H6" i="3" l="1"/>
  <c r="D5" i="3"/>
  <c r="D6" i="3"/>
  <c r="H11" i="3"/>
  <c r="H10" i="3" s="1"/>
  <c r="H5" i="3" s="1"/>
  <c r="C19" i="3"/>
  <c r="G19" i="3" s="1"/>
  <c r="I19" i="3" s="1"/>
  <c r="G7" i="3" l="1"/>
  <c r="I10" i="3"/>
  <c r="C20" i="3"/>
  <c r="G20" i="3" s="1"/>
  <c r="I7" i="3"/>
  <c r="C7" i="3"/>
  <c r="G18" i="3" l="1"/>
  <c r="G17" i="3" s="1"/>
  <c r="G5" i="3" s="1"/>
  <c r="I20" i="3"/>
  <c r="I18" i="3" s="1"/>
  <c r="G8" i="3"/>
  <c r="G6" i="3" s="1"/>
  <c r="C8" i="3"/>
  <c r="C6" i="3" s="1"/>
  <c r="I8" i="3"/>
  <c r="I6" i="3" s="1"/>
  <c r="C18" i="3"/>
  <c r="I17" i="3" l="1"/>
  <c r="C17" i="3"/>
  <c r="C5" i="3" s="1"/>
  <c r="I5" i="3" l="1"/>
  <c r="H13" i="2"/>
  <c r="H7" i="2" s="1"/>
  <c r="H8" i="2"/>
  <c r="G18" i="2"/>
  <c r="G15" i="2"/>
  <c r="I15" i="2" s="1"/>
  <c r="G16" i="2"/>
  <c r="I16" i="2" s="1"/>
  <c r="G14" i="2"/>
  <c r="I14" i="2" s="1"/>
  <c r="C17" i="2"/>
  <c r="C9" i="2" s="1"/>
  <c r="C13" i="2"/>
  <c r="C12" i="2" s="1"/>
  <c r="C11" i="2" s="1"/>
  <c r="G17" i="2" l="1"/>
  <c r="G9" i="2" s="1"/>
  <c r="I18" i="2"/>
  <c r="I17" i="2" s="1"/>
  <c r="H6" i="2"/>
  <c r="I13" i="2"/>
  <c r="H12" i="2"/>
  <c r="H11" i="2" s="1"/>
  <c r="H5" i="2" s="1"/>
  <c r="G13" i="2"/>
  <c r="C22" i="2"/>
  <c r="I9" i="2" l="1"/>
  <c r="G12" i="2"/>
  <c r="G11" i="2" s="1"/>
  <c r="I12" i="2"/>
  <c r="C23" i="2"/>
  <c r="C7" i="2"/>
  <c r="I11" i="2" l="1"/>
  <c r="C8" i="2"/>
  <c r="C6" i="2" s="1"/>
  <c r="C21" i="2"/>
  <c r="C20" i="2" s="1"/>
  <c r="C5" i="2" s="1"/>
  <c r="D17" i="2" l="1"/>
  <c r="D9" i="2" s="1"/>
  <c r="D13" i="2"/>
  <c r="D22" i="2" s="1"/>
  <c r="D12" i="2" l="1"/>
  <c r="D11" i="2" s="1"/>
  <c r="D23" i="2"/>
  <c r="D7" i="2"/>
  <c r="E17" i="2"/>
  <c r="E9" i="2" s="1"/>
  <c r="E13" i="2"/>
  <c r="E12" i="2" s="1"/>
  <c r="E11" i="2" s="1"/>
  <c r="D8" i="2" l="1"/>
  <c r="D6" i="2" s="1"/>
  <c r="D21" i="2"/>
  <c r="D20" i="2" s="1"/>
  <c r="D5" i="2" s="1"/>
  <c r="E22" i="2"/>
  <c r="E23" i="2" l="1"/>
  <c r="E7" i="2"/>
  <c r="E8" i="2" l="1"/>
  <c r="E6" i="2" s="1"/>
  <c r="E21" i="2"/>
  <c r="E20" i="2" s="1"/>
  <c r="E5" i="2" s="1"/>
  <c r="F17" i="2" l="1"/>
  <c r="F9" i="2" s="1"/>
  <c r="F13" i="2"/>
  <c r="F22" i="2" s="1"/>
  <c r="G22" i="2" s="1"/>
  <c r="I22" i="2" s="1"/>
  <c r="G7" i="2" l="1"/>
  <c r="F23" i="2"/>
  <c r="F7" i="2"/>
  <c r="F12" i="2"/>
  <c r="F11" i="2" s="1"/>
  <c r="I7" i="2" l="1"/>
  <c r="F8" i="2"/>
  <c r="F6" i="2" s="1"/>
  <c r="G23" i="2"/>
  <c r="I23" i="2" s="1"/>
  <c r="F21" i="2"/>
  <c r="F20" i="2" s="1"/>
  <c r="F5" i="2" s="1"/>
  <c r="I21" i="2" l="1"/>
  <c r="G21" i="2"/>
  <c r="I8" i="2"/>
  <c r="I6" i="2" s="1"/>
  <c r="G8" i="2"/>
  <c r="G6" i="2" s="1"/>
  <c r="G20" i="2"/>
  <c r="G5" i="2" s="1"/>
  <c r="I20" i="2" l="1"/>
  <c r="I5" i="2" s="1"/>
</calcChain>
</file>

<file path=xl/sharedStrings.xml><?xml version="1.0" encoding="utf-8"?>
<sst xmlns="http://schemas.openxmlformats.org/spreadsheetml/2006/main" count="189" uniqueCount="84">
  <si>
    <t>Kods</t>
  </si>
  <si>
    <t>Koda nosaukums</t>
  </si>
  <si>
    <t>Izdevumi kopā ar vidējās izpeļņas pieauguma kompensēšanu</t>
  </si>
  <si>
    <t>Atlīdzība</t>
  </si>
  <si>
    <t>Atalgojums</t>
  </si>
  <si>
    <t>Darba devēja valsts sociālās apdrošināšanas obligātās iemaksas</t>
  </si>
  <si>
    <t>Sociālie pabalsti</t>
  </si>
  <si>
    <t>1)    Izdevumi saistībā ar rīkojuma Nr. 518 izpildei nepieciešamo pasākumu īstenošanu</t>
  </si>
  <si>
    <t>Samaksa par virsstundu darbu un darbu svētku dienās</t>
  </si>
  <si>
    <t>Citas normatīvajos aktos noteiktās piemaksas, kas nav iepriekš klasificētas</t>
  </si>
  <si>
    <t>Pārējie valsts pabalsti un kompensācijas</t>
  </si>
  <si>
    <t>2) Vidējās izpeļņas pieauguma kompensēšanai</t>
  </si>
  <si>
    <t>2023.gada aprīlis</t>
  </si>
  <si>
    <t>2023.gada janvāris</t>
  </si>
  <si>
    <t>2023.gada februāris</t>
  </si>
  <si>
    <t>2023.gada marts</t>
  </si>
  <si>
    <r>
      <t>Papildus nepieciešamais finansējums,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</si>
  <si>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r>
      <t>Piešķirts finansējums PP "Atlīdzības nodrošināšana amatpersonām (darbiniekiem) saistībā ar situāciju uz Latvijas Republikas - Krievijas Federācijas un Baltkrievijas Republikas valsts robežas",</t>
    </r>
    <r>
      <rPr>
        <b/>
        <i/>
        <sz val="9"/>
        <color indexed="8"/>
        <rFont val="Times New Roman"/>
        <family val="1"/>
        <charset val="186"/>
      </rPr>
      <t xml:space="preserve"> euro</t>
    </r>
  </si>
  <si>
    <t>Kopā 2023.gada janvāris-aprīlis</t>
  </si>
  <si>
    <t>1.pielikums</t>
  </si>
  <si>
    <r>
      <t xml:space="preserve">Pilsonības un migrācijas lietu pārvaldei papildu nepieciešamais finansējums, nodrošinot patvēruma procedūras efektīvu norisi, būtiski pieaugot patvēruma meklētāju skaitam saistībā ar situāciju uz Latvijas Republikas - Baltkrievijas Republikas valsts robežas, </t>
    </r>
    <r>
      <rPr>
        <b/>
        <sz val="14"/>
        <color rgb="FFFF0000"/>
        <rFont val="Times New Roman"/>
        <family val="1"/>
        <charset val="186"/>
      </rPr>
      <t xml:space="preserve"> </t>
    </r>
    <r>
      <rPr>
        <b/>
        <sz val="14"/>
        <rFont val="Times New Roman"/>
        <family val="1"/>
        <charset val="186"/>
      </rPr>
      <t>par laika periodu no 2023. gada 1.janvāra līdz 30.aprīlim</t>
    </r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</si>
  <si>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</si>
  <si>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</si>
  <si>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r>
      <t xml:space="preserve">Piešķirts finansējums PP "Atlīdzības nodrošināšana amatpersonām (darbiniekiem) saistībā ar situāciju uz Latvijas Republikas - Krievijas Federācijas un Baltkrievijas Republikas valsts robežas", </t>
    </r>
    <r>
      <rPr>
        <b/>
        <i/>
        <sz val="9"/>
        <color theme="1"/>
        <rFont val="Times New Roman"/>
        <family val="1"/>
        <charset val="186"/>
      </rPr>
      <t>euro</t>
    </r>
  </si>
  <si>
    <r>
      <t>Papildus nepieciešamais finansējums 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</si>
  <si>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</si>
  <si>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Piemaksa par darbu īpašos apstākļos, speciālās piemaksas</t>
  </si>
  <si>
    <t>1000</t>
  </si>
  <si>
    <t xml:space="preserve">Valsts robežsardzei papildu nepieciešamais finansējums saistībā ar situāciju uz Latvijas Republikas - Baltkrievijas Republikas valsts robežas no 2023. gada 1. janvāra līdz 30. aprīlim </t>
  </si>
  <si>
    <t>Preces un pakalpojumi</t>
  </si>
  <si>
    <t>Mēnešalga amatpersonām ar speciālajām dienesta pakāpēm</t>
  </si>
  <si>
    <t xml:space="preserve">Piemaksa par nakts darbu </t>
  </si>
  <si>
    <t>Dienas nauda</t>
  </si>
  <si>
    <t>Pārējie komandējumu un darba braucienu izdevumi</t>
  </si>
  <si>
    <t>Izdevumi, kas saistīti ar operatīvo darbību</t>
  </si>
  <si>
    <t>Inventārs</t>
  </si>
  <si>
    <t>Degviela</t>
  </si>
  <si>
    <t>Kārtējā remonta un iestāžu uzturēšanas materiāli</t>
  </si>
  <si>
    <t>Ēdināšanas izdevumi</t>
  </si>
  <si>
    <t>Pārējie specifiskas lietošanas materiāli un inventārs</t>
  </si>
  <si>
    <t>Pārējās preces</t>
  </si>
  <si>
    <r>
      <t>Piešķirts finansējums PP "Atlīdzības nodrošināšana amatpersonām (darbiniekiem) saistībā ar situāciju uz Latvijas Republikas - Krievijas Federācijas un Baltkrievijas Republikas valsts robežas",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</si>
  <si>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r>
      <t xml:space="preserve">Papildus nepieciešamais finansējums, </t>
    </r>
    <r>
      <rPr>
        <b/>
        <i/>
        <sz val="11"/>
        <rFont val="Times New Roman"/>
        <family val="1"/>
        <charset val="186"/>
      </rPr>
      <t>euro</t>
    </r>
  </si>
  <si>
    <t>Kopā 2023.gada janvāris-aprīlis -papildu nepieciešamais finansējums , euro</t>
  </si>
  <si>
    <t xml:space="preserve">Valsts robežsardzes koledžai papildu nepieciešamais finansējums saistībā ar situāciju uz Latvijas Republikas - Baltkrievijas Republikas valsts robežas no 2023. gada 1. janvāra līdz 30. aprīlim </t>
  </si>
  <si>
    <t>Iestāde</t>
  </si>
  <si>
    <t>Atlīdzība EKK1000</t>
  </si>
  <si>
    <t>Sociālie pabalsti EKK6000</t>
  </si>
  <si>
    <t xml:space="preserve">Kopā </t>
  </si>
  <si>
    <t>I. Izdevumi saistībā ar rīkojuma Nr. 518 izpildei nepieciešamo pasākumu īstenošanu</t>
  </si>
  <si>
    <t>Valsts policija</t>
  </si>
  <si>
    <t>Valsts robežsardze</t>
  </si>
  <si>
    <t>Valsts robežsardzes koledža</t>
  </si>
  <si>
    <t>Pilsonības un migrācijas lietu pārvalde</t>
  </si>
  <si>
    <t>Valsts drošības dienests</t>
  </si>
  <si>
    <t>KOPĀ</t>
  </si>
  <si>
    <t>II. Vidējās izpeļņas pieauguma kompensēšanai*</t>
  </si>
  <si>
    <t>III. Izdevumi saistībā ar rīkojuma Nr. 518 izpildei nepieciešamo pasākumu īstenošanu un vidējās izpeļņas pieauguma kompensēšanai</t>
  </si>
  <si>
    <t>pārbaude</t>
  </si>
  <si>
    <t>*tai skaitā EKK 2271 Izdevumi, kas saistīti ar operatīvo darbību (informācija klasificēta).</t>
  </si>
  <si>
    <t>Preces  un pakalpojumi EKK2000, bez EKK2271</t>
  </si>
  <si>
    <t>Izdevumi, kas saistīti ar operatīvo darbību EKK2271</t>
  </si>
  <si>
    <t xml:space="preserve"> Izdevumi saistībā ar rīkojuma Nr. 518 izpildei nepieciešamo pasākumu īstenošanu</t>
  </si>
  <si>
    <t xml:space="preserve">Valsts drošības dienestam papildu nepieciešamais finansējums saistībā ar situāciju uz Latvijas Republikas - Baltkrievijas Republikas valsts robežas no 2023. gada 1. janvāra līdz 30. aprīlim </t>
  </si>
  <si>
    <t>Piešķirts budžetā PP*</t>
  </si>
  <si>
    <t>* 2023.-2025. gada prioritārajam pasākumam “Atlīdzības nodrošināšana amatpersonām (darbiniekiem) saistībā ar situāciju uz Latvijas Republikas - Krievijas Federācijas un Baltkrievijas Republikas valsts robežas” piešķirtais finansējums</t>
  </si>
  <si>
    <t>Faktiskie izdevumi 2023. janvāris-aprīlis</t>
  </si>
  <si>
    <t>Kopsavilkums par papildu nepieciešamo finansējumu Iekšlietu ministrijas padotības iestādēm saistībā ar situāciju uz Latvijas Republikas - Baltkrievijas Republikas valsts robežas - valsts robežas nelikumīgās šķērsošanas gadījumu skaita straujo pieaugumu  2023.gada 1.janvāris līdz 30.aprīlis</t>
  </si>
  <si>
    <t>1.tabula</t>
  </si>
  <si>
    <t>2.tabula</t>
  </si>
  <si>
    <t xml:space="preserve">Iekšlietu ministrijas padotības iestādēm papildu nepieciešmais finansējums </t>
  </si>
  <si>
    <t xml:space="preserve">Iekšlietu ministrijas padotības iestāžu faktiskie izdevumi un papildu nepieciešmais finansējums </t>
  </si>
  <si>
    <t>1.pielikuma 4.tabula</t>
  </si>
  <si>
    <t>1.pielikuma 5.tabula</t>
  </si>
  <si>
    <t>1.pielikuma 6.tabula</t>
  </si>
  <si>
    <t>1.pielikuma 7.tabula</t>
  </si>
  <si>
    <t>Preces  un pakalpojumi EKK2000*</t>
  </si>
  <si>
    <t>Papildu nepieciešams par 2023.janvāris-aprīlis, atskaitot piešķirto PP</t>
  </si>
  <si>
    <t>1.pielikuma 3.tabula</t>
  </si>
  <si>
    <t xml:space="preserve">Valsts policijai papildu nepieciešmais finansējums saistībā ar situāciju uz Latvijas Republikas - Baltkrievijas Republikas valsts robežas no 2023. gada 1. janvāra līdz 30. aprīlim </t>
  </si>
  <si>
    <r>
      <t xml:space="preserve">Informācija klasificēta.
Aprēķins par laika periodu no 2023.gada 1. janvāri līdz 30. aprīlim (janvāris 224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+ februāris 224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+ marts   3688,43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+ aprīlis  15 611,75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= 33 343,04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 .</t>
    </r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</si>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</sst>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i/>
      <sz val="9"/>
      <color indexed="8"/>
      <name val="Times New Roman"/>
      <family val="1"/>
      <charset val="186"/>
    </font>
    <font>
      <b/>
      <i/>
      <sz val="9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i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BaltHelvetica"/>
    </font>
    <font>
      <b/>
      <i/>
      <sz val="11"/>
      <color theme="1"/>
      <name val="Times New Roman"/>
      <family val="1"/>
      <charset val="186"/>
    </font>
    <font>
      <b/>
      <i/>
      <sz val="10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</borders>
  <cellStyleXfs count="112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2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6">
    <xf numFmtId="0" fontId="0" fillId="0" borderId="0" xfId="0"/>
    <xf numFmtId="0" fontId="3" fillId="0" borderId="0" xfId="1" applyFont="1" applyFill="1" applyAlignment="1">
      <alignment vertical="top"/>
    </xf>
    <xf numFmtId="0" fontId="3" fillId="0" borderId="0" xfId="1" applyFont="1" applyFill="1" applyAlignment="1">
      <alignment vertical="top" wrapText="1"/>
    </xf>
    <xf numFmtId="1" fontId="5" fillId="2" borderId="0" xfId="1" applyNumberFormat="1" applyFont="1" applyFill="1" applyAlignment="1">
      <alignment horizontal="right"/>
    </xf>
    <xf numFmtId="0" fontId="4" fillId="0" borderId="0" xfId="3" applyFont="1" applyAlignment="1">
      <alignment vertical="center"/>
    </xf>
    <xf numFmtId="0" fontId="5" fillId="2" borderId="0" xfId="1" applyFont="1" applyFill="1" applyAlignment="1">
      <alignment horizontal="right"/>
    </xf>
    <xf numFmtId="0" fontId="9" fillId="0" borderId="1" xfId="3" applyFont="1" applyBorder="1" applyAlignment="1">
      <alignment horizontal="center" vertical="center"/>
    </xf>
    <xf numFmtId="3" fontId="9" fillId="0" borderId="1" xfId="3" applyNumberFormat="1" applyFont="1" applyBorder="1" applyAlignment="1">
      <alignment horizontal="center" vertical="center" wrapText="1"/>
    </xf>
    <xf numFmtId="4" fontId="9" fillId="3" borderId="1" xfId="7" applyNumberFormat="1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left" vertical="center"/>
    </xf>
    <xf numFmtId="0" fontId="9" fillId="4" borderId="1" xfId="3" applyFont="1" applyFill="1" applyBorder="1" applyAlignment="1">
      <alignment vertical="center"/>
    </xf>
    <xf numFmtId="4" fontId="9" fillId="4" borderId="1" xfId="8" applyNumberFormat="1" applyFont="1" applyFill="1" applyBorder="1" applyAlignment="1">
      <alignment horizontal="center" vertical="center" wrapText="1"/>
    </xf>
    <xf numFmtId="4" fontId="4" fillId="0" borderId="0" xfId="3" applyNumberFormat="1" applyFont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4" fontId="13" fillId="0" borderId="1" xfId="8" applyNumberFormat="1" applyFont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4" fontId="9" fillId="4" borderId="1" xfId="3" applyNumberFormat="1" applyFont="1" applyFill="1" applyBorder="1" applyAlignment="1">
      <alignment horizontal="center" vertical="center"/>
    </xf>
    <xf numFmtId="4" fontId="9" fillId="4" borderId="1" xfId="3" applyNumberFormat="1" applyFont="1" applyFill="1" applyBorder="1" applyAlignment="1">
      <alignment horizontal="center" vertical="center" wrapText="1"/>
    </xf>
    <xf numFmtId="4" fontId="9" fillId="4" borderId="1" xfId="7" applyNumberFormat="1" applyFont="1" applyFill="1" applyBorder="1" applyAlignment="1">
      <alignment horizontal="center" vertical="center" wrapText="1"/>
    </xf>
    <xf numFmtId="0" fontId="13" fillId="0" borderId="1" xfId="6" applyFont="1" applyBorder="1" applyAlignment="1">
      <alignment horizontal="center" vertical="center"/>
    </xf>
    <xf numFmtId="0" fontId="13" fillId="0" borderId="1" xfId="6" applyFont="1" applyBorder="1" applyAlignment="1">
      <alignment vertical="center"/>
    </xf>
    <xf numFmtId="4" fontId="3" fillId="0" borderId="1" xfId="6" applyNumberFormat="1" applyFont="1" applyBorder="1" applyAlignment="1">
      <alignment horizontal="center" vertical="center" wrapText="1"/>
    </xf>
    <xf numFmtId="0" fontId="13" fillId="0" borderId="2" xfId="6" applyFont="1" applyFill="1" applyBorder="1" applyAlignment="1">
      <alignment horizontal="center" vertical="center"/>
    </xf>
    <xf numFmtId="0" fontId="13" fillId="0" borderId="2" xfId="6" applyFont="1" applyBorder="1" applyAlignment="1">
      <alignment horizontal="center" vertical="center" wrapText="1"/>
    </xf>
    <xf numFmtId="4" fontId="3" fillId="0" borderId="1" xfId="10" applyNumberFormat="1" applyFont="1" applyFill="1" applyBorder="1" applyAlignment="1">
      <alignment horizontal="right" vertical="center" wrapText="1"/>
    </xf>
    <xf numFmtId="0" fontId="13" fillId="0" borderId="2" xfId="6" applyFont="1" applyFill="1" applyBorder="1" applyAlignment="1">
      <alignment horizontal="center" vertical="center" wrapText="1"/>
    </xf>
    <xf numFmtId="4" fontId="3" fillId="0" borderId="1" xfId="10" applyNumberFormat="1" applyFont="1" applyFill="1" applyBorder="1" applyAlignment="1">
      <alignment horizontal="right" vertical="center"/>
    </xf>
    <xf numFmtId="0" fontId="13" fillId="0" borderId="1" xfId="6" applyFont="1" applyBorder="1" applyAlignment="1">
      <alignment vertical="center" wrapText="1"/>
    </xf>
    <xf numFmtId="4" fontId="3" fillId="0" borderId="1" xfId="10" applyNumberFormat="1" applyFont="1" applyFill="1" applyBorder="1" applyAlignment="1">
      <alignment horizontal="center" vertical="center" wrapText="1"/>
    </xf>
    <xf numFmtId="3" fontId="9" fillId="4" borderId="1" xfId="3" applyNumberFormat="1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wrapText="1"/>
    </xf>
    <xf numFmtId="3" fontId="3" fillId="0" borderId="1" xfId="10" applyNumberFormat="1" applyFont="1" applyBorder="1" applyAlignment="1">
      <alignment horizontal="center" vertical="center"/>
    </xf>
    <xf numFmtId="4" fontId="14" fillId="4" borderId="1" xfId="6" applyNumberFormat="1" applyFont="1" applyFill="1" applyBorder="1" applyAlignment="1">
      <alignment vertical="top"/>
    </xf>
    <xf numFmtId="0" fontId="14" fillId="4" borderId="1" xfId="7" applyFont="1" applyFill="1" applyBorder="1" applyAlignment="1">
      <alignment horizontal="left" vertical="center"/>
    </xf>
    <xf numFmtId="0" fontId="14" fillId="4" borderId="1" xfId="7" applyFont="1" applyFill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4" fontId="13" fillId="2" borderId="1" xfId="6" applyNumberFormat="1" applyFont="1" applyFill="1" applyBorder="1" applyAlignment="1">
      <alignment vertical="top"/>
    </xf>
    <xf numFmtId="0" fontId="3" fillId="0" borderId="1" xfId="1" applyFont="1" applyBorder="1" applyAlignment="1">
      <alignment vertical="center" wrapText="1"/>
    </xf>
    <xf numFmtId="2" fontId="13" fillId="0" borderId="1" xfId="8" applyNumberFormat="1" applyFont="1" applyBorder="1" applyAlignment="1">
      <alignment vertical="center"/>
    </xf>
    <xf numFmtId="4" fontId="3" fillId="0" borderId="1" xfId="1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1" xfId="6" applyNumberFormat="1" applyFont="1" applyFill="1" applyBorder="1" applyAlignment="1">
      <alignment horizontal="center" vertical="center" wrapText="1"/>
    </xf>
    <xf numFmtId="4" fontId="3" fillId="0" borderId="1" xfId="5" applyNumberFormat="1" applyFont="1" applyBorder="1" applyAlignment="1">
      <alignment horizontal="center" vertical="center"/>
    </xf>
    <xf numFmtId="4" fontId="4" fillId="0" borderId="1" xfId="8" applyNumberFormat="1" applyFont="1" applyBorder="1" applyAlignment="1">
      <alignment vertical="center"/>
    </xf>
    <xf numFmtId="4" fontId="3" fillId="0" borderId="1" xfId="6" applyNumberFormat="1" applyFont="1" applyFill="1" applyBorder="1" applyAlignment="1">
      <alignment horizontal="right" vertical="center" wrapText="1"/>
    </xf>
    <xf numFmtId="4" fontId="3" fillId="0" borderId="1" xfId="6" applyNumberFormat="1" applyFont="1" applyFill="1" applyBorder="1" applyAlignment="1">
      <alignment horizontal="right" vertical="center"/>
    </xf>
    <xf numFmtId="4" fontId="4" fillId="0" borderId="1" xfId="3" applyNumberFormat="1" applyFont="1" applyBorder="1" applyAlignment="1">
      <alignment vertical="center"/>
    </xf>
    <xf numFmtId="4" fontId="4" fillId="2" borderId="1" xfId="6" applyNumberFormat="1" applyFont="1" applyFill="1" applyBorder="1" applyAlignment="1">
      <alignment vertical="top"/>
    </xf>
    <xf numFmtId="3" fontId="9" fillId="0" borderId="1" xfId="5" applyNumberFormat="1" applyFont="1" applyBorder="1" applyAlignment="1">
      <alignment horizontal="center" vertical="center" wrapText="1"/>
    </xf>
    <xf numFmtId="4" fontId="4" fillId="0" borderId="1" xfId="5" applyNumberFormat="1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3" fontId="16" fillId="0" borderId="1" xfId="5" applyNumberFormat="1" applyFont="1" applyBorder="1" applyAlignment="1">
      <alignment horizontal="center" vertical="center" wrapText="1"/>
    </xf>
    <xf numFmtId="0" fontId="4" fillId="0" borderId="0" xfId="2" applyFont="1"/>
    <xf numFmtId="0" fontId="4" fillId="0" borderId="0" xfId="2" applyFont="1" applyAlignment="1">
      <alignment wrapText="1"/>
    </xf>
    <xf numFmtId="0" fontId="4" fillId="0" borderId="0" xfId="8" applyFont="1" applyAlignment="1">
      <alignment vertical="center"/>
    </xf>
    <xf numFmtId="0" fontId="4" fillId="0" borderId="0" xfId="2" applyFont="1" applyAlignment="1">
      <alignment horizontal="right"/>
    </xf>
    <xf numFmtId="0" fontId="9" fillId="0" borderId="1" xfId="8" applyFont="1" applyBorder="1" applyAlignment="1">
      <alignment horizontal="center" vertical="center"/>
    </xf>
    <xf numFmtId="3" fontId="16" fillId="0" borderId="1" xfId="6" applyNumberFormat="1" applyFont="1" applyBorder="1" applyAlignment="1">
      <alignment horizontal="center" vertical="center" wrapText="1"/>
    </xf>
    <xf numFmtId="3" fontId="9" fillId="0" borderId="1" xfId="6" applyNumberFormat="1" applyFont="1" applyBorder="1" applyAlignment="1">
      <alignment horizontal="center" vertical="center" wrapText="1"/>
    </xf>
    <xf numFmtId="0" fontId="9" fillId="4" borderId="1" xfId="8" applyFont="1" applyFill="1" applyBorder="1" applyAlignment="1">
      <alignment horizontal="left" vertical="center"/>
    </xf>
    <xf numFmtId="0" fontId="9" fillId="4" borderId="1" xfId="8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wrapText="1"/>
    </xf>
    <xf numFmtId="4" fontId="4" fillId="0" borderId="0" xfId="8" applyNumberFormat="1" applyFont="1" applyAlignment="1">
      <alignment vertical="center"/>
    </xf>
    <xf numFmtId="0" fontId="13" fillId="2" borderId="1" xfId="8" applyFont="1" applyFill="1" applyBorder="1" applyAlignment="1">
      <alignment horizontal="center" vertical="center"/>
    </xf>
    <xf numFmtId="0" fontId="13" fillId="2" borderId="1" xfId="8" applyFont="1" applyFill="1" applyBorder="1" applyAlignment="1">
      <alignment vertical="center"/>
    </xf>
    <xf numFmtId="4" fontId="13" fillId="2" borderId="1" xfId="8" applyNumberFormat="1" applyFont="1" applyFill="1" applyBorder="1" applyAlignment="1">
      <alignment horizontal="center" vertical="center" wrapText="1"/>
    </xf>
    <xf numFmtId="0" fontId="13" fillId="2" borderId="1" xfId="8" applyFont="1" applyFill="1" applyBorder="1" applyAlignment="1">
      <alignment horizontal="right" vertical="center"/>
    </xf>
    <xf numFmtId="0" fontId="13" fillId="2" borderId="1" xfId="8" applyFont="1" applyFill="1" applyBorder="1" applyAlignment="1">
      <alignment horizontal="left" vertical="center" wrapText="1"/>
    </xf>
    <xf numFmtId="4" fontId="13" fillId="2" borderId="1" xfId="8" applyNumberFormat="1" applyFont="1" applyFill="1" applyBorder="1" applyAlignment="1">
      <alignment horizontal="right" vertical="center"/>
    </xf>
    <xf numFmtId="4" fontId="3" fillId="2" borderId="1" xfId="8" applyNumberFormat="1" applyFont="1" applyFill="1" applyBorder="1" applyAlignment="1">
      <alignment horizontal="right" vertical="center"/>
    </xf>
    <xf numFmtId="0" fontId="13" fillId="2" borderId="1" xfId="8" applyFont="1" applyFill="1" applyBorder="1" applyAlignment="1">
      <alignment vertical="center" wrapText="1"/>
    </xf>
    <xf numFmtId="4" fontId="1" fillId="0" borderId="0" xfId="8" applyNumberFormat="1" applyAlignment="1">
      <alignment vertical="center"/>
    </xf>
    <xf numFmtId="49" fontId="15" fillId="4" borderId="1" xfId="6" applyNumberFormat="1" applyFont="1" applyFill="1" applyBorder="1" applyAlignment="1">
      <alignment horizontal="left" vertical="top"/>
    </xf>
    <xf numFmtId="49" fontId="15" fillId="4" borderId="1" xfId="6" applyNumberFormat="1" applyFont="1" applyFill="1" applyBorder="1" applyAlignment="1">
      <alignment horizontal="left" vertical="top" wrapText="1"/>
    </xf>
    <xf numFmtId="3" fontId="14" fillId="4" borderId="1" xfId="6" applyNumberFormat="1" applyFont="1" applyFill="1" applyBorder="1" applyAlignment="1">
      <alignment vertical="top"/>
    </xf>
    <xf numFmtId="3" fontId="9" fillId="4" borderId="1" xfId="8" applyNumberFormat="1" applyFont="1" applyFill="1" applyBorder="1" applyAlignment="1">
      <alignment horizontal="center" vertical="center" wrapText="1"/>
    </xf>
    <xf numFmtId="3" fontId="9" fillId="3" borderId="1" xfId="7" applyNumberFormat="1" applyFont="1" applyFill="1" applyBorder="1" applyAlignment="1">
      <alignment horizontal="center" vertical="center" wrapText="1"/>
    </xf>
    <xf numFmtId="3" fontId="9" fillId="4" borderId="1" xfId="3" applyNumberFormat="1" applyFont="1" applyFill="1" applyBorder="1" applyAlignment="1">
      <alignment horizontal="center" vertical="center" wrapText="1"/>
    </xf>
    <xf numFmtId="3" fontId="9" fillId="4" borderId="1" xfId="7" applyNumberFormat="1" applyFont="1" applyFill="1" applyBorder="1" applyAlignment="1">
      <alignment horizontal="center" vertical="center" wrapText="1"/>
    </xf>
    <xf numFmtId="3" fontId="14" fillId="4" borderId="1" xfId="7" applyNumberFormat="1" applyFont="1" applyFill="1" applyBorder="1" applyAlignment="1">
      <alignment horizontal="right" vertical="center" wrapText="1"/>
    </xf>
    <xf numFmtId="4" fontId="14" fillId="3" borderId="1" xfId="7" applyNumberFormat="1" applyFont="1" applyFill="1" applyBorder="1" applyAlignment="1">
      <alignment horizontal="center" vertical="center" wrapText="1"/>
    </xf>
    <xf numFmtId="3" fontId="14" fillId="3" borderId="1" xfId="7" applyNumberFormat="1" applyFont="1" applyFill="1" applyBorder="1" applyAlignment="1">
      <alignment horizontal="center" vertical="center" wrapText="1"/>
    </xf>
    <xf numFmtId="3" fontId="4" fillId="0" borderId="0" xfId="3" applyNumberFormat="1" applyFont="1" applyAlignment="1">
      <alignment vertical="center"/>
    </xf>
    <xf numFmtId="3" fontId="15" fillId="3" borderId="1" xfId="9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right" vertical="center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right" vertical="center"/>
    </xf>
    <xf numFmtId="3" fontId="15" fillId="2" borderId="1" xfId="0" applyNumberFormat="1" applyFont="1" applyFill="1" applyBorder="1" applyAlignment="1">
      <alignment horizontal="right" vertical="center"/>
    </xf>
    <xf numFmtId="3" fontId="5" fillId="2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3" fontId="5" fillId="0" borderId="1" xfId="0" applyNumberFormat="1" applyFont="1" applyFill="1" applyBorder="1" applyAlignment="1">
      <alignment horizontal="right" vertical="center"/>
    </xf>
    <xf numFmtId="3" fontId="9" fillId="0" borderId="1" xfId="5" applyNumberFormat="1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right" vertical="center"/>
    </xf>
    <xf numFmtId="0" fontId="0" fillId="0" borderId="0" xfId="0"/>
    <xf numFmtId="0" fontId="19" fillId="0" borderId="0" xfId="0" applyFont="1" applyAlignme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right" vertical="center" wrapText="1"/>
    </xf>
    <xf numFmtId="3" fontId="5" fillId="0" borderId="5" xfId="0" applyNumberFormat="1" applyFont="1" applyFill="1" applyBorder="1" applyAlignment="1">
      <alignment horizontal="right" vertical="center" wrapText="1"/>
    </xf>
    <xf numFmtId="3" fontId="15" fillId="0" borderId="1" xfId="0" applyNumberFormat="1" applyFont="1" applyFill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Fill="1" applyAlignment="1">
      <alignment vertical="center"/>
    </xf>
    <xf numFmtId="3" fontId="15" fillId="0" borderId="1" xfId="0" applyNumberFormat="1" applyFont="1" applyBorder="1" applyAlignment="1">
      <alignment vertical="center"/>
    </xf>
    <xf numFmtId="3" fontId="5" fillId="0" borderId="5" xfId="0" applyNumberFormat="1" applyFont="1" applyFill="1" applyBorder="1" applyAlignment="1">
      <alignment horizontal="right" vertical="center"/>
    </xf>
    <xf numFmtId="1" fontId="5" fillId="2" borderId="0" xfId="0" applyNumberFormat="1" applyFont="1" applyFill="1" applyAlignment="1">
      <alignment horizontal="right"/>
    </xf>
    <xf numFmtId="3" fontId="15" fillId="3" borderId="1" xfId="0" applyNumberFormat="1" applyFont="1" applyFill="1" applyBorder="1" applyAlignment="1">
      <alignment horizontal="right" vertical="center" wrapText="1"/>
    </xf>
    <xf numFmtId="3" fontId="15" fillId="4" borderId="1" xfId="0" applyNumberFormat="1" applyFont="1" applyFill="1" applyBorder="1" applyAlignment="1">
      <alignment horizontal="right" vertical="center" wrapText="1"/>
    </xf>
    <xf numFmtId="0" fontId="15" fillId="4" borderId="1" xfId="0" applyFont="1" applyFill="1" applyBorder="1" applyAlignment="1">
      <alignment horizontal="left" vertical="center"/>
    </xf>
    <xf numFmtId="3" fontId="15" fillId="4" borderId="1" xfId="0" applyNumberFormat="1" applyFont="1" applyFill="1" applyBorder="1" applyAlignment="1">
      <alignment horizontal="right" vertical="center"/>
    </xf>
    <xf numFmtId="0" fontId="15" fillId="4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4" fillId="0" borderId="0" xfId="6" applyFont="1"/>
    <xf numFmtId="0" fontId="3" fillId="0" borderId="0" xfId="6" applyFont="1" applyAlignment="1">
      <alignment vertical="center" wrapText="1"/>
    </xf>
    <xf numFmtId="0" fontId="3" fillId="0" borderId="0" xfId="6" applyFont="1" applyAlignment="1">
      <alignment vertical="center"/>
    </xf>
    <xf numFmtId="0" fontId="5" fillId="0" borderId="1" xfId="6" applyFont="1" applyBorder="1" applyAlignment="1">
      <alignment horizontal="center" vertical="top"/>
    </xf>
    <xf numFmtId="0" fontId="5" fillId="0" borderId="1" xfId="6" applyFont="1" applyBorder="1" applyAlignment="1">
      <alignment horizontal="center" vertical="top" wrapText="1"/>
    </xf>
    <xf numFmtId="3" fontId="4" fillId="0" borderId="0" xfId="6" applyNumberFormat="1" applyFont="1"/>
    <xf numFmtId="3" fontId="15" fillId="2" borderId="1" xfId="6" applyNumberFormat="1" applyFont="1" applyFill="1" applyBorder="1" applyAlignment="1">
      <alignment horizontal="right" vertical="top"/>
    </xf>
    <xf numFmtId="0" fontId="5" fillId="0" borderId="0" xfId="6" applyFont="1" applyBorder="1" applyAlignment="1">
      <alignment horizontal="center" vertical="top" wrapText="1"/>
    </xf>
    <xf numFmtId="0" fontId="5" fillId="0" borderId="0" xfId="6" applyFont="1" applyBorder="1" applyAlignment="1">
      <alignment horizontal="right" vertical="top" wrapText="1"/>
    </xf>
    <xf numFmtId="3" fontId="5" fillId="0" borderId="1" xfId="6" applyNumberFormat="1" applyFont="1" applyBorder="1" applyAlignment="1">
      <alignment horizontal="center" vertical="top"/>
    </xf>
    <xf numFmtId="0" fontId="5" fillId="0" borderId="0" xfId="6" applyFont="1" applyBorder="1" applyAlignment="1">
      <alignment vertical="top" wrapText="1"/>
    </xf>
    <xf numFmtId="3" fontId="4" fillId="0" borderId="0" xfId="6" applyNumberFormat="1" applyFont="1" applyBorder="1" applyAlignment="1">
      <alignment vertical="top"/>
    </xf>
    <xf numFmtId="0" fontId="4" fillId="0" borderId="0" xfId="6" applyFont="1" applyAlignment="1">
      <alignment horizontal="left" vertical="top"/>
    </xf>
    <xf numFmtId="0" fontId="11" fillId="0" borderId="0" xfId="6"/>
    <xf numFmtId="0" fontId="14" fillId="0" borderId="0" xfId="6" applyFont="1" applyAlignment="1">
      <alignment horizontal="center" vertical="center"/>
    </xf>
    <xf numFmtId="0" fontId="9" fillId="0" borderId="1" xfId="29" applyFont="1" applyBorder="1" applyAlignment="1">
      <alignment horizontal="center" vertical="center"/>
    </xf>
    <xf numFmtId="3" fontId="9" fillId="0" borderId="1" xfId="29" applyNumberFormat="1" applyFont="1" applyBorder="1" applyAlignment="1">
      <alignment horizontal="center" vertical="center" wrapText="1"/>
    </xf>
    <xf numFmtId="0" fontId="13" fillId="0" borderId="1" xfId="29" applyFont="1" applyBorder="1" applyAlignment="1">
      <alignment horizontal="center" vertical="center"/>
    </xf>
    <xf numFmtId="0" fontId="13" fillId="0" borderId="1" xfId="29" applyFont="1" applyBorder="1" applyAlignment="1">
      <alignment vertical="center" wrapText="1"/>
    </xf>
    <xf numFmtId="0" fontId="13" fillId="0" borderId="1" xfId="29" applyFont="1" applyBorder="1" applyAlignment="1">
      <alignment horizontal="left" vertical="center" wrapText="1"/>
    </xf>
    <xf numFmtId="3" fontId="13" fillId="2" borderId="1" xfId="29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left" vertical="top" wrapText="1"/>
    </xf>
    <xf numFmtId="3" fontId="5" fillId="2" borderId="1" xfId="0" applyNumberFormat="1" applyFont="1" applyFill="1" applyBorder="1" applyAlignment="1">
      <alignment horizontal="center" vertical="top"/>
    </xf>
    <xf numFmtId="3" fontId="5" fillId="2" borderId="3" xfId="0" applyNumberFormat="1" applyFont="1" applyFill="1" applyBorder="1" applyAlignment="1">
      <alignment horizontal="center" vertical="top"/>
    </xf>
    <xf numFmtId="3" fontId="4" fillId="0" borderId="10" xfId="0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center"/>
    </xf>
    <xf numFmtId="3" fontId="4" fillId="0" borderId="1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4" fillId="0" borderId="12" xfId="0" applyNumberFormat="1" applyFont="1" applyBorder="1" applyAlignment="1">
      <alignment horizontal="center"/>
    </xf>
    <xf numFmtId="3" fontId="15" fillId="2" borderId="1" xfId="0" applyNumberFormat="1" applyFont="1" applyFill="1" applyBorder="1" applyAlignment="1">
      <alignment horizontal="right" vertical="top"/>
    </xf>
    <xf numFmtId="3" fontId="4" fillId="2" borderId="1" xfId="0" applyNumberFormat="1" applyFont="1" applyFill="1" applyBorder="1" applyAlignment="1">
      <alignment horizontal="center" vertical="top"/>
    </xf>
    <xf numFmtId="3" fontId="14" fillId="2" borderId="3" xfId="0" applyNumberFormat="1" applyFont="1" applyFill="1" applyBorder="1" applyAlignment="1">
      <alignment horizontal="center" vertical="top"/>
    </xf>
    <xf numFmtId="3" fontId="4" fillId="0" borderId="8" xfId="0" applyNumberFormat="1" applyFont="1" applyBorder="1" applyAlignment="1">
      <alignment horizontal="center"/>
    </xf>
    <xf numFmtId="3" fontId="14" fillId="0" borderId="11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3" fontId="5" fillId="2" borderId="11" xfId="0" applyNumberFormat="1" applyFont="1" applyFill="1" applyBorder="1" applyAlignment="1">
      <alignment horizontal="center" vertical="top" wrapText="1"/>
    </xf>
    <xf numFmtId="3" fontId="4" fillId="2" borderId="10" xfId="0" applyNumberFormat="1" applyFont="1" applyFill="1" applyBorder="1" applyAlignment="1">
      <alignment horizontal="center" vertical="top"/>
    </xf>
    <xf numFmtId="3" fontId="14" fillId="2" borderId="11" xfId="0" applyNumberFormat="1" applyFont="1" applyFill="1" applyBorder="1" applyAlignment="1">
      <alignment horizontal="center" vertical="top"/>
    </xf>
    <xf numFmtId="0" fontId="6" fillId="0" borderId="0" xfId="0" applyFont="1" applyAlignment="1">
      <alignment horizontal="center" wrapText="1"/>
    </xf>
    <xf numFmtId="0" fontId="8" fillId="0" borderId="0" xfId="6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3" fontId="3" fillId="0" borderId="0" xfId="6" applyNumberFormat="1" applyFont="1" applyAlignment="1">
      <alignment vertical="center"/>
    </xf>
    <xf numFmtId="4" fontId="15" fillId="4" borderId="1" xfId="0" applyNumberFormat="1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3" fontId="12" fillId="2" borderId="1" xfId="6" applyNumberFormat="1" applyFont="1" applyFill="1" applyBorder="1" applyAlignment="1">
      <alignment horizontal="center" vertical="top"/>
    </xf>
    <xf numFmtId="3" fontId="5" fillId="2" borderId="1" xfId="6" applyNumberFormat="1" applyFont="1" applyFill="1" applyBorder="1" applyAlignment="1">
      <alignment horizontal="left" vertical="top" wrapText="1"/>
    </xf>
    <xf numFmtId="3" fontId="5" fillId="2" borderId="1" xfId="6" applyNumberFormat="1" applyFont="1" applyFill="1" applyBorder="1" applyAlignment="1">
      <alignment horizontal="center" vertical="top"/>
    </xf>
    <xf numFmtId="3" fontId="5" fillId="2" borderId="1" xfId="6" applyNumberFormat="1" applyFont="1" applyFill="1" applyBorder="1" applyAlignment="1">
      <alignment horizontal="center" vertical="top" wrapText="1"/>
    </xf>
    <xf numFmtId="3" fontId="15" fillId="2" borderId="1" xfId="6" applyNumberFormat="1" applyFont="1" applyFill="1" applyBorder="1" applyAlignment="1">
      <alignment horizontal="center" vertical="top" wrapText="1"/>
    </xf>
    <xf numFmtId="3" fontId="4" fillId="2" borderId="1" xfId="6" applyNumberFormat="1" applyFont="1" applyFill="1" applyBorder="1" applyAlignment="1">
      <alignment horizontal="center" vertical="top"/>
    </xf>
    <xf numFmtId="3" fontId="14" fillId="2" borderId="1" xfId="6" applyNumberFormat="1" applyFont="1" applyFill="1" applyBorder="1" applyAlignment="1">
      <alignment horizontal="center" vertical="top"/>
    </xf>
    <xf numFmtId="3" fontId="9" fillId="3" borderId="1" xfId="29" applyNumberFormat="1" applyFont="1" applyFill="1" applyBorder="1" applyAlignment="1">
      <alignment horizontal="center" vertical="center" wrapText="1"/>
    </xf>
    <xf numFmtId="3" fontId="9" fillId="3" borderId="1" xfId="35" applyNumberFormat="1" applyFont="1" applyFill="1" applyBorder="1" applyAlignment="1">
      <alignment horizontal="center" vertical="center" wrapText="1"/>
    </xf>
    <xf numFmtId="0" fontId="9" fillId="4" borderId="1" xfId="29" applyFont="1" applyFill="1" applyBorder="1" applyAlignment="1">
      <alignment horizontal="left" vertical="center"/>
    </xf>
    <xf numFmtId="0" fontId="9" fillId="4" borderId="1" xfId="29" applyFont="1" applyFill="1" applyBorder="1" applyAlignment="1">
      <alignment vertical="center"/>
    </xf>
    <xf numFmtId="0" fontId="9" fillId="4" borderId="1" xfId="29" applyFont="1" applyFill="1" applyBorder="1" applyAlignment="1">
      <alignment horizontal="center" vertical="center"/>
    </xf>
    <xf numFmtId="3" fontId="9" fillId="4" borderId="1" xfId="29" applyNumberFormat="1" applyFont="1" applyFill="1" applyBorder="1" applyAlignment="1">
      <alignment horizontal="center" vertical="center" wrapText="1"/>
    </xf>
    <xf numFmtId="0" fontId="4" fillId="0" borderId="0" xfId="6" applyFont="1" applyAlignment="1">
      <alignment horizontal="right"/>
    </xf>
    <xf numFmtId="0" fontId="4" fillId="0" borderId="0" xfId="0" applyFont="1" applyAlignment="1">
      <alignment horizontal="right" wrapText="1"/>
    </xf>
    <xf numFmtId="3" fontId="24" fillId="2" borderId="1" xfId="6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3" fillId="0" borderId="1" xfId="6" applyFont="1" applyBorder="1" applyAlignment="1">
      <alignment horizontal="center"/>
    </xf>
    <xf numFmtId="3" fontId="24" fillId="2" borderId="1" xfId="6" applyNumberFormat="1" applyFont="1" applyFill="1" applyBorder="1" applyAlignment="1">
      <alignment horizontal="left" vertical="top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0" fontId="21" fillId="3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14" fillId="4" borderId="1" xfId="6" applyFont="1" applyFill="1" applyBorder="1" applyAlignment="1">
      <alignment horizontal="left" wrapText="1"/>
    </xf>
    <xf numFmtId="0" fontId="9" fillId="4" borderId="3" xfId="8" applyFont="1" applyFill="1" applyBorder="1" applyAlignment="1">
      <alignment horizontal="left" vertical="center" wrapText="1"/>
    </xf>
    <xf numFmtId="0" fontId="9" fillId="4" borderId="4" xfId="8" applyFont="1" applyFill="1" applyBorder="1" applyAlignment="1">
      <alignment horizontal="left" vertical="center" wrapText="1"/>
    </xf>
    <xf numFmtId="0" fontId="12" fillId="3" borderId="3" xfId="7" applyFont="1" applyFill="1" applyBorder="1" applyAlignment="1">
      <alignment horizontal="left" vertical="center" wrapText="1"/>
    </xf>
    <xf numFmtId="0" fontId="12" fillId="3" borderId="4" xfId="7" applyFont="1" applyFill="1" applyBorder="1" applyAlignment="1">
      <alignment horizontal="left" vertical="center" wrapText="1"/>
    </xf>
    <xf numFmtId="0" fontId="12" fillId="3" borderId="1" xfId="6" applyFont="1" applyFill="1" applyBorder="1" applyAlignment="1">
      <alignment horizontal="left" vertical="center" wrapText="1"/>
    </xf>
    <xf numFmtId="0" fontId="14" fillId="4" borderId="3" xfId="6" applyFont="1" applyFill="1" applyBorder="1" applyAlignment="1">
      <alignment horizontal="left" wrapText="1"/>
    </xf>
    <xf numFmtId="0" fontId="14" fillId="4" borderId="4" xfId="6" applyFont="1" applyFill="1" applyBorder="1" applyAlignment="1">
      <alignment horizontal="left" wrapText="1"/>
    </xf>
    <xf numFmtId="0" fontId="6" fillId="0" borderId="0" xfId="5" applyFont="1" applyAlignment="1">
      <alignment horizontal="center" vertical="center" wrapText="1"/>
    </xf>
    <xf numFmtId="0" fontId="14" fillId="4" borderId="3" xfId="6" applyFont="1" applyFill="1" applyBorder="1" applyAlignment="1">
      <alignment horizontal="left" vertical="center" wrapText="1"/>
    </xf>
    <xf numFmtId="0" fontId="14" fillId="4" borderId="4" xfId="6" applyFont="1" applyFill="1" applyBorder="1" applyAlignment="1">
      <alignment horizontal="left" vertical="center" wrapText="1"/>
    </xf>
    <xf numFmtId="0" fontId="9" fillId="3" borderId="3" xfId="29" applyFont="1" applyFill="1" applyBorder="1" applyAlignment="1">
      <alignment horizontal="left" vertical="center"/>
    </xf>
    <xf numFmtId="0" fontId="9" fillId="3" borderId="6" xfId="29" applyFont="1" applyFill="1" applyBorder="1" applyAlignment="1">
      <alignment horizontal="left" vertical="center"/>
    </xf>
    <xf numFmtId="0" fontId="9" fillId="3" borderId="4" xfId="29" applyFont="1" applyFill="1" applyBorder="1" applyAlignment="1">
      <alignment horizontal="left" vertical="center"/>
    </xf>
    <xf numFmtId="0" fontId="6" fillId="0" borderId="0" xfId="6" applyFont="1" applyAlignment="1">
      <alignment horizontal="center" vertical="center" wrapText="1"/>
    </xf>
  </cellXfs>
  <cellStyles count="112">
    <cellStyle name="Normal" xfId="0" builtinId="0"/>
    <cellStyle name="Normal 10" xfId="30" xr:uid="{00000000-0005-0000-0000-000000000000}"/>
    <cellStyle name="Normal 11" xfId="31" xr:uid="{00000000-0005-0000-0000-000001000000}"/>
    <cellStyle name="Normal 11 10" xfId="66" xr:uid="{00000000-0005-0000-0000-000002000000}"/>
    <cellStyle name="Normal 11 11" xfId="72" xr:uid="{00000000-0005-0000-0000-000003000000}"/>
    <cellStyle name="Normal 11 2" xfId="33" xr:uid="{00000000-0005-0000-0000-000004000000}"/>
    <cellStyle name="Normal 11 3" xfId="34" xr:uid="{00000000-0005-0000-0000-000005000000}"/>
    <cellStyle name="Normal 11 4" xfId="38" xr:uid="{00000000-0005-0000-0000-000006000000}"/>
    <cellStyle name="Normal 11 5" xfId="41" xr:uid="{00000000-0005-0000-0000-000007000000}"/>
    <cellStyle name="Normal 11 6" xfId="45" xr:uid="{00000000-0005-0000-0000-000008000000}"/>
    <cellStyle name="Normal 11 7" xfId="51" xr:uid="{00000000-0005-0000-0000-000009000000}"/>
    <cellStyle name="Normal 11 8" xfId="53" xr:uid="{00000000-0005-0000-0000-00000A000000}"/>
    <cellStyle name="Normal 11 9" xfId="61" xr:uid="{00000000-0005-0000-0000-00000B000000}"/>
    <cellStyle name="Normal 12" xfId="35" xr:uid="{00000000-0005-0000-0000-00000C000000}"/>
    <cellStyle name="Normal 12 10" xfId="78" xr:uid="{00000000-0005-0000-0000-00000D000000}"/>
    <cellStyle name="Normal 12 2" xfId="39" xr:uid="{00000000-0005-0000-0000-00000E000000}"/>
    <cellStyle name="Normal 12 3" xfId="44" xr:uid="{00000000-0005-0000-0000-00000F000000}"/>
    <cellStyle name="Normal 12 4" xfId="46" xr:uid="{00000000-0005-0000-0000-000010000000}"/>
    <cellStyle name="Normal 12 5" xfId="54" xr:uid="{00000000-0005-0000-0000-000011000000}"/>
    <cellStyle name="Normal 12 6" xfId="55" xr:uid="{00000000-0005-0000-0000-000012000000}"/>
    <cellStyle name="Normal 12 7" xfId="65" xr:uid="{00000000-0005-0000-0000-000013000000}"/>
    <cellStyle name="Normal 12 8" xfId="71" xr:uid="{00000000-0005-0000-0000-000014000000}"/>
    <cellStyle name="Normal 12 9" xfId="7" xr:uid="{89083B43-8B07-4440-836F-BD51768A4002}"/>
    <cellStyle name="Normal 13" xfId="9" xr:uid="{6C80247C-BCE8-4CA9-9C43-D8B0347B53AA}"/>
    <cellStyle name="Normal 13 2" xfId="52" xr:uid="{00000000-0005-0000-0000-000016000000}"/>
    <cellStyle name="Normal 14" xfId="3" xr:uid="{AD2128F7-A863-418E-961B-FC585043F5B8}"/>
    <cellStyle name="Normal 14 2" xfId="42" xr:uid="{00000000-0005-0000-0000-000018000000}"/>
    <cellStyle name="Normal 14 3" xfId="49" xr:uid="{00000000-0005-0000-0000-000019000000}"/>
    <cellStyle name="Normal 14 4" xfId="59" xr:uid="{00000000-0005-0000-0000-00001A000000}"/>
    <cellStyle name="Normal 14 5" xfId="64" xr:uid="{00000000-0005-0000-0000-00001B000000}"/>
    <cellStyle name="Normal 14 6" xfId="69" xr:uid="{00000000-0005-0000-0000-00001C000000}"/>
    <cellStyle name="Normal 15" xfId="81" xr:uid="{00000000-0005-0000-0000-00001D000000}"/>
    <cellStyle name="Normal 15 2" xfId="1" xr:uid="{AE9C880C-B578-4078-B400-55289CA01D13}"/>
    <cellStyle name="Normal 16" xfId="43" xr:uid="{00000000-0005-0000-0000-00001F000000}"/>
    <cellStyle name="Normal 16 2" xfId="50" xr:uid="{00000000-0005-0000-0000-000020000000}"/>
    <cellStyle name="Normal 16 3" xfId="60" xr:uid="{00000000-0005-0000-0000-000021000000}"/>
    <cellStyle name="Normal 17" xfId="47" xr:uid="{00000000-0005-0000-0000-000022000000}"/>
    <cellStyle name="Normal 17 2" xfId="62" xr:uid="{00000000-0005-0000-0000-000023000000}"/>
    <cellStyle name="Normal 17 3" xfId="70" xr:uid="{00000000-0005-0000-0000-000024000000}"/>
    <cellStyle name="Normal 17 4" xfId="86" xr:uid="{00000000-0005-0000-0000-000025000000}"/>
    <cellStyle name="Normal 17 4 2" xfId="15" xr:uid="{C405A1C9-18C3-4895-88EC-AB0EDE766A30}"/>
    <cellStyle name="Normal 18" xfId="82" xr:uid="{00000000-0005-0000-0000-000027000000}"/>
    <cellStyle name="Normal 18 2" xfId="88" xr:uid="{00000000-0005-0000-0000-000028000000}"/>
    <cellStyle name="Normal 19" xfId="57" xr:uid="{00000000-0005-0000-0000-000029000000}"/>
    <cellStyle name="Normal 19 2" xfId="67" xr:uid="{00000000-0005-0000-0000-00002A000000}"/>
    <cellStyle name="Normal 2" xfId="6" xr:uid="{BDF075A6-2B44-477A-A17F-390E86667588}"/>
    <cellStyle name="Normal 20" xfId="63" xr:uid="{00000000-0005-0000-0000-00002C000000}"/>
    <cellStyle name="Normal 20 2" xfId="68" xr:uid="{00000000-0005-0000-0000-00002D000000}"/>
    <cellStyle name="Normal 21" xfId="83" xr:uid="{00000000-0005-0000-0000-00002E000000}"/>
    <cellStyle name="Normal 22" xfId="90" xr:uid="{00000000-0005-0000-0000-00002F000000}"/>
    <cellStyle name="Normal 24" xfId="12" xr:uid="{79B413DA-8698-4AE8-B5A9-4476C4BD3BC3}"/>
    <cellStyle name="Normal 3" xfId="28" xr:uid="{00000000-0005-0000-0000-000031000000}"/>
    <cellStyle name="Normal 3 2" xfId="11" xr:uid="{7EA02DA2-20D3-4E96-B2DE-5DDE1DC932D7}"/>
    <cellStyle name="Normal 30" xfId="5" xr:uid="{80131315-1171-4334-BE38-AF12FD6BBFD6}"/>
    <cellStyle name="Normal 32" xfId="10" xr:uid="{E7805813-11CA-494C-955B-9D4F18B39D87}"/>
    <cellStyle name="Normal 32 2" xfId="14" xr:uid="{35BD3CE9-B1CC-4617-94BB-BD5B7ACF1218}"/>
    <cellStyle name="Normal 4" xfId="36" xr:uid="{00000000-0005-0000-0000-000033000000}"/>
    <cellStyle name="Normal 5" xfId="56" xr:uid="{00000000-0005-0000-0000-000034000000}"/>
    <cellStyle name="Normal 6" xfId="73" xr:uid="{00000000-0005-0000-0000-000035000000}"/>
    <cellStyle name="Normal 6 2" xfId="74" xr:uid="{00000000-0005-0000-0000-000036000000}"/>
    <cellStyle name="Normal 7" xfId="29" xr:uid="{00000000-0005-0000-0000-000037000000}"/>
    <cellStyle name="Normal 7 2" xfId="32" xr:uid="{00000000-0005-0000-0000-000038000000}"/>
    <cellStyle name="Normal 7 3" xfId="37" xr:uid="{00000000-0005-0000-0000-000039000000}"/>
    <cellStyle name="Normal 7 4" xfId="40" xr:uid="{00000000-0005-0000-0000-00003A000000}"/>
    <cellStyle name="Normal 7 5" xfId="48" xr:uid="{00000000-0005-0000-0000-00003B000000}"/>
    <cellStyle name="Normal 7 6" xfId="58" xr:uid="{00000000-0005-0000-0000-00003C000000}"/>
    <cellStyle name="Normal 7 7" xfId="8" xr:uid="{A81867DA-1AAE-4376-A6DF-53665DBDD6F8}"/>
    <cellStyle name="Normal 7 8" xfId="91" xr:uid="{17ED8113-54C9-4C04-B37C-BF90EAB0E645}"/>
    <cellStyle name="Normal 8" xfId="75" xr:uid="{00000000-0005-0000-0000-00003E000000}"/>
    <cellStyle name="Normal 8 2" xfId="2" xr:uid="{5EBF96C2-0681-4EB4-9A7A-CCD0A7324364}"/>
    <cellStyle name="Normal 8 3" xfId="4" xr:uid="{5B74386D-48B9-4EE1-9019-B5AB4E6654F1}"/>
    <cellStyle name="Normal 9" xfId="13" xr:uid="{9BE72588-4398-4D59-B0C7-8F7972815552}"/>
    <cellStyle name="Normal 9 2" xfId="87" xr:uid="{00000000-0005-0000-0000-000041000000}"/>
    <cellStyle name="Parastais_FMLikp01_p05_221205_pap_afp_makp" xfId="85" xr:uid="{00000000-0005-0000-0000-000042000000}"/>
    <cellStyle name="Parasts 2" xfId="17" xr:uid="{00000000-0005-0000-0000-000044000000}"/>
    <cellStyle name="Parasts 2 2" xfId="24" xr:uid="{00000000-0005-0000-0000-000045000000}"/>
    <cellStyle name="Parasts 2 2 2" xfId="96" xr:uid="{00000000-0005-0000-0000-000005000000}"/>
    <cellStyle name="Parasts 2 2 2 2" xfId="101" xr:uid="{00000000-0005-0000-0000-000006000000}"/>
    <cellStyle name="Parasts 2 2 2 2 2" xfId="110" xr:uid="{00000000-0005-0000-0000-000007000000}"/>
    <cellStyle name="Parasts 2 2 2 3" xfId="105" xr:uid="{00000000-0005-0000-0000-000008000000}"/>
    <cellStyle name="Parasts 2 2 3" xfId="99" xr:uid="{00000000-0005-0000-0000-000009000000}"/>
    <cellStyle name="Parasts 2 2 3 2" xfId="108" xr:uid="{00000000-0005-0000-0000-00000A000000}"/>
    <cellStyle name="Parasts 2 2 4" xfId="93" xr:uid="{00000000-0005-0000-0000-00000B000000}"/>
    <cellStyle name="Parasts 2 3" xfId="27" xr:uid="{00000000-0005-0000-0000-000046000000}"/>
    <cellStyle name="Parasts 2 3 2" xfId="98" xr:uid="{00000000-0005-0000-0000-00000D000000}"/>
    <cellStyle name="Parasts 2 3 2 2" xfId="107" xr:uid="{00000000-0005-0000-0000-00000E000000}"/>
    <cellStyle name="Parasts 2 3 3" xfId="104" xr:uid="{00000000-0005-0000-0000-00000F000000}"/>
    <cellStyle name="Parasts 2 3 4" xfId="95" xr:uid="{00000000-0005-0000-0000-000010000000}"/>
    <cellStyle name="Parasts 2 4" xfId="94" xr:uid="{00000000-0005-0000-0000-000011000000}"/>
    <cellStyle name="Parasts 2 4 2" xfId="100" xr:uid="{00000000-0005-0000-0000-000012000000}"/>
    <cellStyle name="Parasts 2 4 2 2" xfId="109" xr:uid="{00000000-0005-0000-0000-000013000000}"/>
    <cellStyle name="Parasts 2 4 3" xfId="103" xr:uid="{00000000-0005-0000-0000-000014000000}"/>
    <cellStyle name="Parasts 2 5" xfId="97" xr:uid="{00000000-0005-0000-0000-000015000000}"/>
    <cellStyle name="Parasts 2 5 2" xfId="106" xr:uid="{00000000-0005-0000-0000-000016000000}"/>
    <cellStyle name="Parasts 2 6" xfId="102" xr:uid="{00000000-0005-0000-0000-000017000000}"/>
    <cellStyle name="Parasts 2 7" xfId="111" xr:uid="{00000000-0005-0000-0000-000018000000}"/>
    <cellStyle name="Parasts 3" xfId="16" xr:uid="{00000000-0005-0000-0000-000047000000}"/>
    <cellStyle name="Parasts 3 2" xfId="21" xr:uid="{00000000-0005-0000-0000-000048000000}"/>
    <cellStyle name="Parasts 3 3" xfId="19" xr:uid="{00000000-0005-0000-0000-000049000000}"/>
    <cellStyle name="Parasts 4" xfId="20" xr:uid="{00000000-0005-0000-0000-00004A000000}"/>
    <cellStyle name="Parasts 5" xfId="18" xr:uid="{00000000-0005-0000-0000-00004B000000}"/>
    <cellStyle name="Parasts 5 2" xfId="25" xr:uid="{00000000-0005-0000-0000-00004C000000}"/>
    <cellStyle name="Parasts 6" xfId="23" xr:uid="{00000000-0005-0000-0000-00004D000000}"/>
    <cellStyle name="Parasts 6 2" xfId="26" xr:uid="{00000000-0005-0000-0000-00004E000000}"/>
    <cellStyle name="Parasts 7" xfId="92" xr:uid="{00000000-0005-0000-0000-000021000000}"/>
    <cellStyle name="Percent 2" xfId="76" xr:uid="{00000000-0005-0000-0000-00004F000000}"/>
    <cellStyle name="Percent 2 2" xfId="77" xr:uid="{00000000-0005-0000-0000-000050000000}"/>
    <cellStyle name="Percent 3" xfId="80" xr:uid="{00000000-0005-0000-0000-000051000000}"/>
    <cellStyle name="Percent 3 2" xfId="89" xr:uid="{00000000-0005-0000-0000-000052000000}"/>
    <cellStyle name="Percent 4" xfId="84" xr:uid="{00000000-0005-0000-0000-000053000000}"/>
    <cellStyle name="Percent 5" xfId="79" xr:uid="{00000000-0005-0000-0000-000054000000}"/>
    <cellStyle name="Procenti 2" xfId="22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0306B-BB90-483B-B6FC-A0F25E787D40}">
  <sheetPr>
    <pageSetUpPr fitToPage="1"/>
  </sheetPr>
  <dimension ref="A1:O51"/>
  <sheetViews>
    <sheetView showZeros="0" tabSelected="1" zoomScale="91" zoomScaleNormal="91" workbookViewId="0">
      <selection activeCell="R16" sqref="R16"/>
    </sheetView>
  </sheetViews>
  <sheetFormatPr defaultColWidth="8.88671875" defaultRowHeight="13.8"/>
  <cols>
    <col min="1" max="1" width="37.33203125" style="139" customWidth="1"/>
    <col min="2" max="2" width="12.21875" style="139" customWidth="1"/>
    <col min="3" max="3" width="12" style="139" bestFit="1" customWidth="1"/>
    <col min="4" max="4" width="11.44140625" style="139" customWidth="1"/>
    <col min="5" max="5" width="13.5546875" style="139" customWidth="1"/>
    <col min="6" max="6" width="13.44140625" style="139" customWidth="1"/>
    <col min="7" max="7" width="12.21875" style="139" customWidth="1"/>
    <col min="8" max="8" width="12.109375" style="139" customWidth="1"/>
    <col min="9" max="9" width="11.77734375" style="139" customWidth="1"/>
    <col min="10" max="10" width="11.88671875" style="139" customWidth="1"/>
    <col min="11" max="11" width="9.77734375" style="139" bestFit="1" customWidth="1"/>
    <col min="12" max="12" width="9.88671875" style="139" bestFit="1" customWidth="1"/>
    <col min="13" max="13" width="9.77734375" style="139" bestFit="1" customWidth="1"/>
    <col min="14" max="14" width="11.5546875" style="139" customWidth="1"/>
    <col min="15" max="15" width="9.77734375" style="139" bestFit="1" customWidth="1"/>
    <col min="16" max="16384" width="8.88671875" style="139"/>
  </cols>
  <sheetData>
    <row r="1" spans="1:15">
      <c r="N1" s="3" t="s">
        <v>19</v>
      </c>
    </row>
    <row r="2" spans="1:15">
      <c r="N2" s="5" t="s">
        <v>81</v>
      </c>
    </row>
    <row r="3" spans="1:15">
      <c r="N3" s="5" t="s">
        <v>82</v>
      </c>
    </row>
    <row r="4" spans="1:15">
      <c r="N4" s="5" t="s">
        <v>83</v>
      </c>
    </row>
    <row r="5" spans="1:15">
      <c r="N5" s="59"/>
    </row>
    <row r="7" spans="1:15" ht="41.4" customHeight="1">
      <c r="A7" s="205" t="s">
        <v>67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</row>
    <row r="8" spans="1:15" ht="17.399999999999999">
      <c r="A8" s="183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203" t="s">
        <v>68</v>
      </c>
    </row>
    <row r="9" spans="1:15" ht="17.399999999999999">
      <c r="A9" s="184" t="s">
        <v>71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</row>
    <row r="10" spans="1:15" ht="14.4">
      <c r="A10" s="117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60"/>
      <c r="N10" s="160"/>
    </row>
    <row r="11" spans="1:15" ht="34.200000000000003" customHeight="1">
      <c r="A11" s="160"/>
      <c r="B11" s="206" t="s">
        <v>66</v>
      </c>
      <c r="C11" s="206"/>
      <c r="D11" s="206"/>
      <c r="E11" s="206"/>
      <c r="F11" s="207"/>
      <c r="G11" s="208" t="s">
        <v>64</v>
      </c>
      <c r="H11" s="209"/>
      <c r="I11" s="210"/>
      <c r="J11" s="211" t="s">
        <v>77</v>
      </c>
      <c r="K11" s="212"/>
      <c r="L11" s="212"/>
      <c r="M11" s="212"/>
      <c r="N11" s="213"/>
    </row>
    <row r="12" spans="1:15" ht="82.8">
      <c r="A12" s="161" t="s">
        <v>45</v>
      </c>
      <c r="B12" s="162" t="s">
        <v>46</v>
      </c>
      <c r="C12" s="162" t="s">
        <v>60</v>
      </c>
      <c r="D12" s="162" t="s">
        <v>61</v>
      </c>
      <c r="E12" s="162" t="s">
        <v>47</v>
      </c>
      <c r="F12" s="163" t="s">
        <v>48</v>
      </c>
      <c r="G12" s="164" t="s">
        <v>46</v>
      </c>
      <c r="H12" s="163" t="s">
        <v>61</v>
      </c>
      <c r="I12" s="165" t="s">
        <v>48</v>
      </c>
      <c r="J12" s="164" t="s">
        <v>46</v>
      </c>
      <c r="K12" s="162" t="s">
        <v>60</v>
      </c>
      <c r="L12" s="162" t="s">
        <v>61</v>
      </c>
      <c r="M12" s="162" t="s">
        <v>47</v>
      </c>
      <c r="N12" s="165" t="s">
        <v>48</v>
      </c>
    </row>
    <row r="13" spans="1:15">
      <c r="A13" s="166" t="s">
        <v>50</v>
      </c>
      <c r="B13" s="167">
        <f>'3.tabula_VP kopā'!G7</f>
        <v>1510205</v>
      </c>
      <c r="C13" s="167">
        <f>'3.tabula_VP kopā'!G10-'3.tabula_VP kopā'!G11</f>
        <v>95733</v>
      </c>
      <c r="D13" s="167">
        <f>'3.tabula_VP kopā'!G11</f>
        <v>64683</v>
      </c>
      <c r="E13" s="167"/>
      <c r="F13" s="168">
        <f>SUM(B13:E13)</f>
        <v>1670621</v>
      </c>
      <c r="G13" s="169">
        <v>623377</v>
      </c>
      <c r="H13" s="170">
        <v>6517</v>
      </c>
      <c r="I13" s="171">
        <f t="shared" ref="I13:I17" si="0">G13+H13</f>
        <v>629894</v>
      </c>
      <c r="J13" s="169">
        <f>IF(B13-G13&lt;0,0,B13-G13)</f>
        <v>886828</v>
      </c>
      <c r="K13" s="172">
        <f>C13</f>
        <v>95733</v>
      </c>
      <c r="L13" s="172">
        <f>D13-H13</f>
        <v>58166</v>
      </c>
      <c r="M13" s="172">
        <f>E13</f>
        <v>0</v>
      </c>
      <c r="N13" s="180">
        <f>SUM(J13:M13)</f>
        <v>1040727</v>
      </c>
      <c r="O13" s="144"/>
    </row>
    <row r="14" spans="1:15">
      <c r="A14" s="166" t="s">
        <v>51</v>
      </c>
      <c r="B14" s="167">
        <f>'4.tabula_VRS kopā'!G6</f>
        <v>234054</v>
      </c>
      <c r="C14" s="167"/>
      <c r="D14" s="167"/>
      <c r="E14" s="167"/>
      <c r="F14" s="168">
        <f t="shared" ref="F14:F17" si="1">SUM(B14:E14)</f>
        <v>234054</v>
      </c>
      <c r="G14" s="169">
        <v>31261</v>
      </c>
      <c r="H14" s="170"/>
      <c r="I14" s="171">
        <f t="shared" si="0"/>
        <v>31261</v>
      </c>
      <c r="J14" s="169">
        <f t="shared" ref="J14:J17" si="2">IF(B14-G14&lt;0,0,B14-G14)</f>
        <v>202793</v>
      </c>
      <c r="K14" s="172">
        <f>IF(C14-H14&lt;0,0,C14-H14)</f>
        <v>0</v>
      </c>
      <c r="L14" s="172">
        <f t="shared" ref="L14:L17" si="3">D14-H14</f>
        <v>0</v>
      </c>
      <c r="M14" s="172">
        <f>E14</f>
        <v>0</v>
      </c>
      <c r="N14" s="180">
        <f t="shared" ref="N14:N17" si="4">SUM(J14:M14)</f>
        <v>202793</v>
      </c>
    </row>
    <row r="15" spans="1:15">
      <c r="A15" s="166" t="s">
        <v>52</v>
      </c>
      <c r="B15" s="167">
        <f>'5.tabula_VRK kopā '!F6</f>
        <v>554</v>
      </c>
      <c r="C15" s="167"/>
      <c r="D15" s="167"/>
      <c r="E15" s="167"/>
      <c r="F15" s="168">
        <f t="shared" si="1"/>
        <v>554</v>
      </c>
      <c r="G15" s="169"/>
      <c r="H15" s="170"/>
      <c r="I15" s="171">
        <f t="shared" si="0"/>
        <v>0</v>
      </c>
      <c r="J15" s="169">
        <f t="shared" si="2"/>
        <v>554</v>
      </c>
      <c r="K15" s="172">
        <f>IF(C15-H15&lt;0,0,C15-H15)</f>
        <v>0</v>
      </c>
      <c r="L15" s="172">
        <f t="shared" si="3"/>
        <v>0</v>
      </c>
      <c r="M15" s="172">
        <f>E15</f>
        <v>0</v>
      </c>
      <c r="N15" s="180">
        <f t="shared" si="4"/>
        <v>554</v>
      </c>
    </row>
    <row r="16" spans="1:15">
      <c r="A16" s="166" t="s">
        <v>53</v>
      </c>
      <c r="B16" s="167">
        <f>'6.tabula_PMLP kopā'!G6</f>
        <v>108941</v>
      </c>
      <c r="C16" s="167"/>
      <c r="D16" s="167"/>
      <c r="E16" s="167">
        <f>'6.tabula_PMLP kopā'!G9</f>
        <v>36500</v>
      </c>
      <c r="F16" s="168">
        <f t="shared" si="1"/>
        <v>145441</v>
      </c>
      <c r="G16" s="169">
        <v>13226</v>
      </c>
      <c r="H16" s="170"/>
      <c r="I16" s="171">
        <f t="shared" si="0"/>
        <v>13226</v>
      </c>
      <c r="J16" s="169">
        <f t="shared" si="2"/>
        <v>95715</v>
      </c>
      <c r="K16" s="172">
        <f>IF(C16-H16&lt;0,0,C16-H16)</f>
        <v>0</v>
      </c>
      <c r="L16" s="172">
        <f t="shared" si="3"/>
        <v>0</v>
      </c>
      <c r="M16" s="172">
        <f>E16</f>
        <v>36500</v>
      </c>
      <c r="N16" s="180">
        <f t="shared" si="4"/>
        <v>132215</v>
      </c>
    </row>
    <row r="17" spans="1:14">
      <c r="A17" s="166" t="s">
        <v>54</v>
      </c>
      <c r="B17" s="167"/>
      <c r="C17" s="167"/>
      <c r="D17" s="167">
        <f>'7.tabula_VDD kopā'!D7</f>
        <v>33344</v>
      </c>
      <c r="E17" s="167"/>
      <c r="F17" s="168">
        <f t="shared" si="1"/>
        <v>33344</v>
      </c>
      <c r="G17" s="173"/>
      <c r="H17" s="170">
        <v>8012</v>
      </c>
      <c r="I17" s="171">
        <f t="shared" si="0"/>
        <v>8012</v>
      </c>
      <c r="J17" s="169">
        <f t="shared" si="2"/>
        <v>0</v>
      </c>
      <c r="K17" s="172">
        <f>IF(C17-H17&lt;0,0,C17-H17)</f>
        <v>0</v>
      </c>
      <c r="L17" s="172">
        <f t="shared" si="3"/>
        <v>25332</v>
      </c>
      <c r="M17" s="172">
        <f>E17</f>
        <v>0</v>
      </c>
      <c r="N17" s="180">
        <f t="shared" si="4"/>
        <v>25332</v>
      </c>
    </row>
    <row r="18" spans="1:14">
      <c r="A18" s="174" t="s">
        <v>55</v>
      </c>
      <c r="B18" s="175">
        <f>SUM(B13:B17)</f>
        <v>1853754</v>
      </c>
      <c r="C18" s="175">
        <f t="shared" ref="C18:H18" si="5">SUM(C13:C17)</f>
        <v>95733</v>
      </c>
      <c r="D18" s="175">
        <f t="shared" si="5"/>
        <v>98027</v>
      </c>
      <c r="E18" s="175">
        <f t="shared" si="5"/>
        <v>36500</v>
      </c>
      <c r="F18" s="176">
        <f t="shared" si="5"/>
        <v>2084014</v>
      </c>
      <c r="G18" s="177">
        <f t="shared" si="5"/>
        <v>667864</v>
      </c>
      <c r="H18" s="170">
        <f t="shared" si="5"/>
        <v>14529</v>
      </c>
      <c r="I18" s="178">
        <f>SUM(I13:I17)</f>
        <v>682393</v>
      </c>
      <c r="J18" s="181">
        <f>SUM(J13:J17)</f>
        <v>1185890</v>
      </c>
      <c r="K18" s="175">
        <f t="shared" ref="K18:N18" si="6">SUM(K13:K17)</f>
        <v>95733</v>
      </c>
      <c r="L18" s="175">
        <f t="shared" si="6"/>
        <v>83498</v>
      </c>
      <c r="M18" s="175">
        <f t="shared" si="6"/>
        <v>36500</v>
      </c>
      <c r="N18" s="182">
        <f t="shared" si="6"/>
        <v>1401621</v>
      </c>
    </row>
    <row r="19" spans="1:14">
      <c r="A19" s="179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</row>
    <row r="20" spans="1:14" ht="33" customHeight="1">
      <c r="A20" s="216" t="s">
        <v>65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</row>
    <row r="21" spans="1:14">
      <c r="A21" s="160"/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</row>
    <row r="22" spans="1:14">
      <c r="E22" s="202" t="s">
        <v>69</v>
      </c>
    </row>
    <row r="23" spans="1:14" ht="17.399999999999999">
      <c r="A23" s="184" t="s">
        <v>70</v>
      </c>
      <c r="B23" s="140"/>
      <c r="C23" s="141"/>
      <c r="D23" s="141"/>
      <c r="E23" s="141"/>
      <c r="F23" s="141"/>
    </row>
    <row r="24" spans="1:14" ht="13.95" customHeight="1">
      <c r="F24" s="141"/>
    </row>
    <row r="25" spans="1:14" ht="45.6" customHeight="1">
      <c r="A25" s="142" t="s">
        <v>45</v>
      </c>
      <c r="B25" s="143" t="s">
        <v>46</v>
      </c>
      <c r="C25" s="143" t="s">
        <v>76</v>
      </c>
      <c r="D25" s="143" t="s">
        <v>47</v>
      </c>
      <c r="E25" s="143" t="s">
        <v>48</v>
      </c>
      <c r="F25" s="141"/>
    </row>
    <row r="26" spans="1:14" ht="14.4">
      <c r="A26" s="214" t="s">
        <v>49</v>
      </c>
      <c r="B26" s="214"/>
      <c r="C26" s="214"/>
      <c r="D26" s="214"/>
      <c r="E26" s="214"/>
      <c r="F26" s="141"/>
    </row>
    <row r="27" spans="1:14">
      <c r="A27" s="190" t="s">
        <v>50</v>
      </c>
      <c r="B27" s="191">
        <f>'3.tabula_VP kopā'!I14</f>
        <v>818630</v>
      </c>
      <c r="C27" s="191">
        <f>'3.tabula_VP kopā'!I20</f>
        <v>150093</v>
      </c>
      <c r="D27" s="191"/>
      <c r="E27" s="192">
        <f>SUM(B27:D27)</f>
        <v>968723</v>
      </c>
      <c r="F27" s="186"/>
      <c r="G27" s="144"/>
    </row>
    <row r="28" spans="1:14">
      <c r="A28" s="190" t="s">
        <v>51</v>
      </c>
      <c r="B28" s="191">
        <f>'4.tabula_VRS kopā'!I11</f>
        <v>184795</v>
      </c>
      <c r="C28" s="191"/>
      <c r="D28" s="191"/>
      <c r="E28" s="192">
        <f>SUM(B28:D28)</f>
        <v>184795</v>
      </c>
      <c r="F28" s="186"/>
      <c r="G28" s="144"/>
    </row>
    <row r="29" spans="1:14">
      <c r="A29" s="190" t="s">
        <v>52</v>
      </c>
      <c r="B29" s="191">
        <f>'5.tabula_VRK kopā '!F11</f>
        <v>511</v>
      </c>
      <c r="C29" s="191"/>
      <c r="D29" s="191"/>
      <c r="E29" s="192">
        <f>SUM(B29:D29)</f>
        <v>511</v>
      </c>
      <c r="F29" s="186"/>
      <c r="G29" s="144"/>
    </row>
    <row r="30" spans="1:14">
      <c r="A30" s="190" t="s">
        <v>53</v>
      </c>
      <c r="B30" s="191">
        <f>'6.tabula_PMLP kopā'!I12</f>
        <v>87337</v>
      </c>
      <c r="C30" s="191"/>
      <c r="D30" s="191">
        <f>'6.tabula_PMLP kopā'!I17</f>
        <v>36500</v>
      </c>
      <c r="E30" s="192">
        <f>SUM(B30:D30)</f>
        <v>123837</v>
      </c>
      <c r="F30" s="186"/>
      <c r="G30" s="144"/>
    </row>
    <row r="31" spans="1:14">
      <c r="A31" s="190" t="s">
        <v>54</v>
      </c>
      <c r="B31" s="191"/>
      <c r="C31" s="191">
        <f>'7.tabula_VDD kopā'!F7</f>
        <v>25332</v>
      </c>
      <c r="D31" s="191"/>
      <c r="E31" s="192">
        <f>SUM(B31:D31)</f>
        <v>25332</v>
      </c>
      <c r="F31" s="186"/>
      <c r="G31" s="144"/>
    </row>
    <row r="32" spans="1:14">
      <c r="A32" s="145" t="s">
        <v>55</v>
      </c>
      <c r="B32" s="193">
        <f>SUM(B27:B31)</f>
        <v>1091273</v>
      </c>
      <c r="C32" s="193">
        <f>SUM(C27:C31)</f>
        <v>175425</v>
      </c>
      <c r="D32" s="193">
        <f>SUM(D27:D31)</f>
        <v>36500</v>
      </c>
      <c r="E32" s="193">
        <f>SUM(E27:E31)</f>
        <v>1303198</v>
      </c>
      <c r="F32" s="186"/>
      <c r="G32" s="144"/>
    </row>
    <row r="33" spans="1:15">
      <c r="A33" s="215" t="s">
        <v>56</v>
      </c>
      <c r="B33" s="215"/>
      <c r="C33" s="215"/>
      <c r="D33" s="215"/>
      <c r="E33" s="215"/>
      <c r="F33" s="141"/>
      <c r="G33" s="144"/>
    </row>
    <row r="34" spans="1:15">
      <c r="A34" s="190" t="s">
        <v>50</v>
      </c>
      <c r="B34" s="191">
        <f>'3.tabula_VP kopā'!I32</f>
        <v>68198</v>
      </c>
      <c r="C34" s="194">
        <f>'3.tabula_VP kopā'!I36</f>
        <v>3806</v>
      </c>
      <c r="D34" s="194"/>
      <c r="E34" s="192">
        <f>SUM(B34:D34)</f>
        <v>72004</v>
      </c>
      <c r="F34" s="186"/>
      <c r="G34" s="144"/>
    </row>
    <row r="35" spans="1:15">
      <c r="A35" s="190" t="s">
        <v>51</v>
      </c>
      <c r="B35" s="194">
        <f>'4.tabula_VRS kopā'!I18</f>
        <v>17998</v>
      </c>
      <c r="C35" s="194"/>
      <c r="D35" s="194"/>
      <c r="E35" s="192">
        <f>SUM(B35:D35)</f>
        <v>17998</v>
      </c>
      <c r="F35" s="186"/>
      <c r="G35" s="144"/>
    </row>
    <row r="36" spans="1:15">
      <c r="A36" s="190" t="s">
        <v>52</v>
      </c>
      <c r="B36" s="194">
        <f>'5.tabula_VRK kopā '!F17</f>
        <v>43</v>
      </c>
      <c r="C36" s="194"/>
      <c r="D36" s="194"/>
      <c r="E36" s="192">
        <f>SUM(B36:D36)</f>
        <v>43</v>
      </c>
      <c r="F36" s="186"/>
      <c r="G36" s="144"/>
    </row>
    <row r="37" spans="1:15">
      <c r="A37" s="190" t="s">
        <v>53</v>
      </c>
      <c r="B37" s="194">
        <f>'6.tabula_PMLP kopā'!I21</f>
        <v>8378</v>
      </c>
      <c r="C37" s="194"/>
      <c r="D37" s="194"/>
      <c r="E37" s="192">
        <f>SUM(B37:D37)</f>
        <v>8378</v>
      </c>
      <c r="F37" s="186"/>
      <c r="G37" s="144"/>
    </row>
    <row r="38" spans="1:15">
      <c r="A38" s="145" t="s">
        <v>55</v>
      </c>
      <c r="B38" s="195">
        <f>SUM(B34:B37)</f>
        <v>94617</v>
      </c>
      <c r="C38" s="195"/>
      <c r="D38" s="195"/>
      <c r="E38" s="195">
        <f>SUM(E34:E37)</f>
        <v>98423</v>
      </c>
      <c r="F38" s="186"/>
      <c r="G38" s="144"/>
    </row>
    <row r="39" spans="1:15" ht="30" customHeight="1">
      <c r="A39" s="204" t="s">
        <v>57</v>
      </c>
      <c r="B39" s="204"/>
      <c r="C39" s="204"/>
      <c r="D39" s="204"/>
      <c r="E39" s="204"/>
      <c r="F39" s="141"/>
      <c r="G39" s="144"/>
    </row>
    <row r="40" spans="1:15">
      <c r="A40" s="190" t="s">
        <v>50</v>
      </c>
      <c r="B40" s="191">
        <f>B27+B34</f>
        <v>886828</v>
      </c>
      <c r="C40" s="191">
        <f>C27+C34</f>
        <v>153899</v>
      </c>
      <c r="D40" s="191"/>
      <c r="E40" s="191">
        <f>E27+E34</f>
        <v>1040727</v>
      </c>
      <c r="F40" s="186"/>
      <c r="G40" s="144"/>
      <c r="I40" s="144"/>
      <c r="J40" s="144"/>
      <c r="K40" s="144"/>
      <c r="L40" s="144"/>
      <c r="N40" s="144"/>
      <c r="O40" s="144"/>
    </row>
    <row r="41" spans="1:15">
      <c r="A41" s="190" t="s">
        <v>51</v>
      </c>
      <c r="B41" s="191">
        <f>B28+B35</f>
        <v>202793</v>
      </c>
      <c r="C41" s="191"/>
      <c r="D41" s="191"/>
      <c r="E41" s="191">
        <f>E28+E35</f>
        <v>202793</v>
      </c>
      <c r="F41" s="186"/>
      <c r="G41" s="144"/>
      <c r="I41" s="144"/>
      <c r="J41" s="144"/>
      <c r="K41" s="144"/>
      <c r="L41" s="144"/>
      <c r="N41" s="144"/>
      <c r="O41" s="144"/>
    </row>
    <row r="42" spans="1:15">
      <c r="A42" s="190" t="s">
        <v>52</v>
      </c>
      <c r="B42" s="191">
        <f>B29+B36</f>
        <v>554</v>
      </c>
      <c r="C42" s="191"/>
      <c r="D42" s="191"/>
      <c r="E42" s="191">
        <f>E29+E36</f>
        <v>554</v>
      </c>
      <c r="F42" s="186"/>
      <c r="G42" s="144"/>
      <c r="I42" s="144"/>
      <c r="J42" s="144"/>
      <c r="K42" s="144"/>
      <c r="L42" s="144"/>
      <c r="N42" s="144"/>
      <c r="O42" s="144"/>
    </row>
    <row r="43" spans="1:15">
      <c r="A43" s="190" t="s">
        <v>53</v>
      </c>
      <c r="B43" s="191">
        <f>B30+B37</f>
        <v>95715</v>
      </c>
      <c r="C43" s="191"/>
      <c r="D43" s="191">
        <f>D30+D37</f>
        <v>36500</v>
      </c>
      <c r="E43" s="191">
        <f>E30+E37</f>
        <v>132215</v>
      </c>
      <c r="F43" s="186"/>
      <c r="G43" s="144"/>
      <c r="I43" s="144"/>
      <c r="J43" s="144"/>
      <c r="K43" s="144"/>
      <c r="L43" s="144"/>
      <c r="N43" s="144"/>
      <c r="O43" s="144"/>
    </row>
    <row r="44" spans="1:15">
      <c r="A44" s="190" t="s">
        <v>54</v>
      </c>
      <c r="B44" s="191"/>
      <c r="C44" s="191">
        <f>C31</f>
        <v>25332</v>
      </c>
      <c r="D44" s="191"/>
      <c r="E44" s="191">
        <f>E31</f>
        <v>25332</v>
      </c>
      <c r="F44" s="186"/>
      <c r="G44" s="144"/>
      <c r="I44" s="144"/>
      <c r="J44" s="144"/>
      <c r="K44" s="144"/>
      <c r="L44" s="144"/>
      <c r="N44" s="144"/>
      <c r="O44" s="144"/>
    </row>
    <row r="45" spans="1:15" ht="15.6">
      <c r="A45" s="145" t="s">
        <v>55</v>
      </c>
      <c r="B45" s="195">
        <f t="shared" ref="B45:E45" si="7">SUM(B40:B44)</f>
        <v>1185890</v>
      </c>
      <c r="C45" s="195">
        <f t="shared" si="7"/>
        <v>179231</v>
      </c>
      <c r="D45" s="195">
        <f t="shared" si="7"/>
        <v>36500</v>
      </c>
      <c r="E45" s="189">
        <f t="shared" si="7"/>
        <v>1401621</v>
      </c>
      <c r="F45" s="186"/>
      <c r="G45" s="144"/>
      <c r="I45" s="144"/>
      <c r="J45" s="144"/>
      <c r="K45" s="144"/>
      <c r="L45" s="144"/>
      <c r="N45" s="144"/>
      <c r="O45" s="144"/>
    </row>
    <row r="46" spans="1:15" hidden="1">
      <c r="A46" s="146"/>
      <c r="F46" s="141"/>
    </row>
    <row r="47" spans="1:15" hidden="1">
      <c r="A47" s="147" t="s">
        <v>58</v>
      </c>
      <c r="B47" s="148">
        <f>B32+B38</f>
        <v>1185890</v>
      </c>
      <c r="C47" s="148">
        <f>C32+C38</f>
        <v>175425</v>
      </c>
      <c r="D47" s="148"/>
      <c r="E47" s="148">
        <f>D32+D38</f>
        <v>36500</v>
      </c>
      <c r="F47" s="141"/>
    </row>
    <row r="48" spans="1:15" hidden="1">
      <c r="A48" s="149"/>
      <c r="B48" s="150"/>
      <c r="F48" s="141"/>
    </row>
    <row r="49" spans="1:6">
      <c r="A49" s="151" t="s">
        <v>59</v>
      </c>
      <c r="F49" s="141"/>
    </row>
    <row r="50" spans="1:6">
      <c r="F50" s="141"/>
    </row>
    <row r="51" spans="1:6">
      <c r="F51" s="141"/>
    </row>
  </sheetData>
  <mergeCells count="8">
    <mergeCell ref="A39:E39"/>
    <mergeCell ref="A7:N7"/>
    <mergeCell ref="B11:F11"/>
    <mergeCell ref="G11:I11"/>
    <mergeCell ref="J11:N11"/>
    <mergeCell ref="A26:E26"/>
    <mergeCell ref="A33:E33"/>
    <mergeCell ref="A20:N20"/>
  </mergeCells>
  <pageMargins left="0.7" right="0.7" top="0.75" bottom="0.75" header="0.3" footer="0.3"/>
  <pageSetup paperSize="9" scale="24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012C0-5B7E-4897-A6DF-EDD720B1DD49}">
  <sheetPr>
    <tabColor theme="2"/>
    <pageSetUpPr fitToPage="1"/>
  </sheetPr>
  <dimension ref="A1:X38"/>
  <sheetViews>
    <sheetView zoomScale="85" zoomScaleNormal="85" zoomScaleSheetLayoutView="70" workbookViewId="0">
      <selection activeCell="A13" sqref="A13:B13"/>
    </sheetView>
  </sheetViews>
  <sheetFormatPr defaultColWidth="9.109375" defaultRowHeight="14.4"/>
  <cols>
    <col min="1" max="1" width="8.109375" style="118" customWidth="1"/>
    <col min="2" max="2" width="31.6640625" style="118" customWidth="1"/>
    <col min="3" max="5" width="11.33203125" style="125" customWidth="1"/>
    <col min="6" max="6" width="13.77734375" style="125" bestFit="1" customWidth="1"/>
    <col min="7" max="7" width="14.5546875" style="125" customWidth="1"/>
    <col min="8" max="8" width="23.5546875" style="125" customWidth="1"/>
    <col min="9" max="24" width="14.44140625" style="118" customWidth="1"/>
    <col min="25" max="16384" width="9.109375" style="118"/>
  </cols>
  <sheetData>
    <row r="1" spans="1:24">
      <c r="I1" s="3" t="s">
        <v>78</v>
      </c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</row>
    <row r="3" spans="1:24" ht="38.4" customHeight="1">
      <c r="A3" s="217" t="s">
        <v>79</v>
      </c>
      <c r="B3" s="217"/>
      <c r="C3" s="217"/>
      <c r="D3" s="217"/>
      <c r="E3" s="217"/>
      <c r="F3" s="217"/>
      <c r="G3" s="217"/>
      <c r="H3" s="217"/>
      <c r="I3" s="217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</row>
    <row r="4" spans="1:24" ht="17.399999999999999">
      <c r="A4" s="138"/>
      <c r="B4" s="137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</row>
    <row r="5" spans="1:24" ht="118.8" customHeight="1">
      <c r="A5" s="135" t="s">
        <v>0</v>
      </c>
      <c r="B5" s="135" t="s">
        <v>1</v>
      </c>
      <c r="C5" s="7" t="s">
        <v>13</v>
      </c>
      <c r="D5" s="7" t="s">
        <v>14</v>
      </c>
      <c r="E5" s="7" t="s">
        <v>15</v>
      </c>
      <c r="F5" s="7" t="s">
        <v>12</v>
      </c>
      <c r="G5" s="7" t="s">
        <v>18</v>
      </c>
      <c r="H5" s="61" t="s">
        <v>23</v>
      </c>
      <c r="I5" s="136" t="s">
        <v>42</v>
      </c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</row>
    <row r="6" spans="1:24" ht="39" customHeight="1">
      <c r="A6" s="218" t="s">
        <v>25</v>
      </c>
      <c r="B6" s="218"/>
      <c r="C6" s="130">
        <f>C7+C10</f>
        <v>98083</v>
      </c>
      <c r="D6" s="130">
        <f t="shared" ref="D6:H6" si="0">D7+D10</f>
        <v>78133</v>
      </c>
      <c r="E6" s="130">
        <f t="shared" si="0"/>
        <v>91319</v>
      </c>
      <c r="F6" s="130">
        <f t="shared" si="0"/>
        <v>1403086</v>
      </c>
      <c r="G6" s="130">
        <f t="shared" si="0"/>
        <v>1670621</v>
      </c>
      <c r="H6" s="130">
        <f t="shared" si="0"/>
        <v>629894</v>
      </c>
      <c r="I6" s="130">
        <f>I7+I10</f>
        <v>1040726.98</v>
      </c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</row>
    <row r="7" spans="1:24" ht="17.399999999999999">
      <c r="A7" s="119">
        <v>1000</v>
      </c>
      <c r="B7" s="120" t="s">
        <v>3</v>
      </c>
      <c r="C7" s="121">
        <f>ROUNDUP(C8+C9,0)</f>
        <v>69031</v>
      </c>
      <c r="D7" s="121">
        <f>ROUND(D8+D9,0)</f>
        <v>54376</v>
      </c>
      <c r="E7" s="121">
        <f>ROUND(E8+E9,0)</f>
        <v>57449</v>
      </c>
      <c r="F7" s="121">
        <f>ROUND(F8+F9,0)</f>
        <v>1329349</v>
      </c>
      <c r="G7" s="121">
        <f>ROUND(G8+G9,0)</f>
        <v>1510205</v>
      </c>
      <c r="H7" s="121">
        <f>ROUNDUP(H8+H9,0)</f>
        <v>623377</v>
      </c>
      <c r="I7" s="121">
        <f t="shared" ref="I7" si="1">ROUND(I8+I9,2)</f>
        <v>886827.98</v>
      </c>
      <c r="J7" s="185"/>
      <c r="K7" s="185"/>
      <c r="L7" s="185"/>
      <c r="M7" s="185"/>
      <c r="N7" s="185"/>
      <c r="O7" s="185"/>
      <c r="P7" s="185"/>
      <c r="Q7" s="185"/>
      <c r="R7" s="185"/>
      <c r="S7" s="185"/>
      <c r="T7" s="185"/>
      <c r="U7" s="185"/>
      <c r="V7" s="185"/>
      <c r="W7" s="185"/>
      <c r="X7" s="185"/>
    </row>
    <row r="8" spans="1:24" ht="17.399999999999999">
      <c r="A8" s="98">
        <v>1100</v>
      </c>
      <c r="B8" s="99" t="s">
        <v>4</v>
      </c>
      <c r="C8" s="105">
        <f t="shared" ref="C8:I8" si="2">C33+C15</f>
        <v>55856.36</v>
      </c>
      <c r="D8" s="105">
        <f t="shared" si="2"/>
        <v>43998.520000000004</v>
      </c>
      <c r="E8" s="105">
        <f t="shared" si="2"/>
        <v>46484.04</v>
      </c>
      <c r="F8" s="105">
        <f t="shared" si="2"/>
        <v>1075647.5100000002</v>
      </c>
      <c r="G8" s="97">
        <f t="shared" si="2"/>
        <v>1221986.43</v>
      </c>
      <c r="H8" s="97">
        <f t="shared" si="2"/>
        <v>504394</v>
      </c>
      <c r="I8" s="97">
        <f t="shared" si="2"/>
        <v>717592.43000000017</v>
      </c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185"/>
      <c r="U8" s="185"/>
      <c r="V8" s="185"/>
      <c r="W8" s="185"/>
      <c r="X8" s="185"/>
    </row>
    <row r="9" spans="1:24" ht="36.75" customHeight="1">
      <c r="A9" s="98">
        <v>1210</v>
      </c>
      <c r="B9" s="101" t="s">
        <v>5</v>
      </c>
      <c r="C9" s="105">
        <f t="shared" ref="C9:I10" si="3">C35+C19</f>
        <v>13174.08</v>
      </c>
      <c r="D9" s="105">
        <f t="shared" si="3"/>
        <v>10377.08</v>
      </c>
      <c r="E9" s="105">
        <f t="shared" si="3"/>
        <v>10965.029999999999</v>
      </c>
      <c r="F9" s="105">
        <f t="shared" si="3"/>
        <v>253701.73</v>
      </c>
      <c r="G9" s="97">
        <f t="shared" si="3"/>
        <v>288218.15999999997</v>
      </c>
      <c r="H9" s="97">
        <f t="shared" si="3"/>
        <v>118982.61</v>
      </c>
      <c r="I9" s="97">
        <f t="shared" si="3"/>
        <v>169235.55</v>
      </c>
      <c r="J9" s="185"/>
      <c r="K9" s="185"/>
      <c r="L9" s="18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</row>
    <row r="10" spans="1:24" ht="17.399999999999999">
      <c r="A10" s="119">
        <v>2000</v>
      </c>
      <c r="B10" s="120" t="s">
        <v>29</v>
      </c>
      <c r="C10" s="123">
        <f t="shared" si="3"/>
        <v>29052</v>
      </c>
      <c r="D10" s="123">
        <f t="shared" si="3"/>
        <v>23757</v>
      </c>
      <c r="E10" s="94">
        <f t="shared" si="3"/>
        <v>33870</v>
      </c>
      <c r="F10" s="94">
        <f t="shared" si="3"/>
        <v>73737</v>
      </c>
      <c r="G10" s="127">
        <f t="shared" si="3"/>
        <v>160416</v>
      </c>
      <c r="H10" s="127">
        <f t="shared" si="3"/>
        <v>6517</v>
      </c>
      <c r="I10" s="127">
        <f t="shared" si="3"/>
        <v>153899</v>
      </c>
      <c r="J10" s="185"/>
      <c r="K10" s="185"/>
      <c r="L10" s="185"/>
      <c r="M10" s="185"/>
      <c r="N10" s="185"/>
      <c r="O10" s="185"/>
      <c r="P10" s="185"/>
      <c r="Q10" s="185"/>
      <c r="R10" s="185"/>
      <c r="S10" s="185"/>
      <c r="T10" s="185"/>
      <c r="U10" s="185"/>
      <c r="V10" s="185"/>
      <c r="W10" s="185"/>
      <c r="X10" s="185"/>
    </row>
    <row r="11" spans="1:24" ht="31.8" customHeight="1">
      <c r="A11" s="99">
        <v>2271</v>
      </c>
      <c r="B11" s="101" t="s">
        <v>34</v>
      </c>
      <c r="C11" s="114">
        <f t="shared" ref="C11:I11" si="4">C23+C37</f>
        <v>5111</v>
      </c>
      <c r="D11" s="114">
        <f t="shared" si="4"/>
        <v>5797</v>
      </c>
      <c r="E11" s="114">
        <f t="shared" si="4"/>
        <v>6220</v>
      </c>
      <c r="F11" s="114">
        <f t="shared" si="4"/>
        <v>47555</v>
      </c>
      <c r="G11" s="114">
        <f t="shared" si="4"/>
        <v>64683</v>
      </c>
      <c r="H11" s="114">
        <f t="shared" si="4"/>
        <v>6517</v>
      </c>
      <c r="I11" s="114">
        <f t="shared" si="4"/>
        <v>58166</v>
      </c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</row>
    <row r="12" spans="1:24" ht="17.399999999999999">
      <c r="A12" s="92"/>
      <c r="B12" s="92"/>
      <c r="C12" s="93"/>
      <c r="D12" s="93"/>
      <c r="E12" s="93"/>
      <c r="F12" s="93"/>
      <c r="G12" s="92"/>
      <c r="H12" s="92"/>
      <c r="I12" s="92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5"/>
      <c r="W12" s="185"/>
      <c r="X12" s="185"/>
    </row>
    <row r="13" spans="1:24" ht="37.200000000000003" customHeight="1">
      <c r="A13" s="219" t="s">
        <v>7</v>
      </c>
      <c r="B13" s="219"/>
      <c r="C13" s="131">
        <f t="shared" ref="C13:I13" si="5">C14+C20</f>
        <v>92537</v>
      </c>
      <c r="D13" s="131">
        <f t="shared" si="5"/>
        <v>73505</v>
      </c>
      <c r="E13" s="131">
        <f t="shared" si="5"/>
        <v>86597</v>
      </c>
      <c r="F13" s="131">
        <f t="shared" si="5"/>
        <v>1297360</v>
      </c>
      <c r="G13" s="131">
        <f t="shared" si="5"/>
        <v>1549999</v>
      </c>
      <c r="H13" s="131">
        <f t="shared" si="5"/>
        <v>581276</v>
      </c>
      <c r="I13" s="131">
        <f t="shared" si="5"/>
        <v>968723</v>
      </c>
      <c r="J13" s="185"/>
      <c r="K13" s="185"/>
      <c r="L13" s="185"/>
      <c r="M13" s="185"/>
      <c r="N13" s="185"/>
      <c r="O13" s="185"/>
      <c r="P13" s="185"/>
      <c r="Q13" s="185"/>
      <c r="R13" s="185"/>
      <c r="S13" s="185"/>
      <c r="T13" s="185"/>
      <c r="U13" s="185"/>
      <c r="V13" s="185"/>
      <c r="W13" s="185"/>
      <c r="X13" s="185"/>
    </row>
    <row r="14" spans="1:24" ht="28.5" customHeight="1">
      <c r="A14" s="132">
        <v>1000</v>
      </c>
      <c r="B14" s="132" t="s">
        <v>3</v>
      </c>
      <c r="C14" s="187">
        <f>ROUNDUP(C15+C19,0)</f>
        <v>63723</v>
      </c>
      <c r="D14" s="187">
        <f>ROUNDUP(D15+D19,0)</f>
        <v>50194</v>
      </c>
      <c r="E14" s="187">
        <f>ROUNDUP(E15+E19,0)</f>
        <v>53031</v>
      </c>
      <c r="F14" s="187">
        <f>ROUND(F15+F19,0)</f>
        <v>1227125</v>
      </c>
      <c r="G14" s="187">
        <f>ROUNDUP(G15+G19,0)</f>
        <v>1394073</v>
      </c>
      <c r="H14" s="187">
        <f>ROUNDUP(H15+H19,0)</f>
        <v>575443</v>
      </c>
      <c r="I14" s="187">
        <f>ROUND(I15+I19,0)</f>
        <v>818630</v>
      </c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</row>
    <row r="15" spans="1:24" ht="17.399999999999999">
      <c r="A15" s="102">
        <v>1100</v>
      </c>
      <c r="B15" s="96" t="s">
        <v>4</v>
      </c>
      <c r="C15" s="103">
        <f t="shared" ref="C15:I15" si="6">SUM(C16:C18)</f>
        <v>51561.3</v>
      </c>
      <c r="D15" s="103">
        <f t="shared" si="6"/>
        <v>40614.520000000004</v>
      </c>
      <c r="E15" s="103">
        <f t="shared" si="6"/>
        <v>42909.66</v>
      </c>
      <c r="F15" s="103">
        <f t="shared" si="6"/>
        <v>992935.51000000013</v>
      </c>
      <c r="G15" s="97">
        <f t="shared" si="6"/>
        <v>1128020.99</v>
      </c>
      <c r="H15" s="97">
        <f t="shared" si="6"/>
        <v>465609</v>
      </c>
      <c r="I15" s="97">
        <f t="shared" si="6"/>
        <v>662411.99000000011</v>
      </c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</row>
    <row r="16" spans="1:24" ht="17.399999999999999">
      <c r="A16" s="98">
        <v>1141</v>
      </c>
      <c r="B16" s="101" t="s">
        <v>31</v>
      </c>
      <c r="C16" s="116">
        <v>21618.26</v>
      </c>
      <c r="D16" s="105">
        <v>16687.55</v>
      </c>
      <c r="E16" s="105">
        <v>18348.77</v>
      </c>
      <c r="F16" s="105">
        <v>18410.18</v>
      </c>
      <c r="G16" s="97">
        <f>SUM(C16:F16)</f>
        <v>75064.760000000009</v>
      </c>
      <c r="H16" s="97">
        <v>74204</v>
      </c>
      <c r="I16" s="97">
        <f>G16-H16</f>
        <v>860.76000000000931</v>
      </c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</row>
    <row r="17" spans="1:24" ht="27.6">
      <c r="A17" s="108">
        <v>1142</v>
      </c>
      <c r="B17" s="109" t="s">
        <v>8</v>
      </c>
      <c r="C17" s="105">
        <v>4594.1400000000003</v>
      </c>
      <c r="D17" s="105">
        <v>3109.89</v>
      </c>
      <c r="E17" s="105"/>
      <c r="F17" s="105">
        <f>12946.05+938943.12</f>
        <v>951889.17</v>
      </c>
      <c r="G17" s="97">
        <f>SUM(C17:F17)</f>
        <v>959593.20000000007</v>
      </c>
      <c r="H17" s="97">
        <v>305157</v>
      </c>
      <c r="I17" s="97">
        <f>G17-H17</f>
        <v>654436.20000000007</v>
      </c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</row>
    <row r="18" spans="1:24" ht="27.6">
      <c r="A18" s="91">
        <v>1145</v>
      </c>
      <c r="B18" s="90" t="s">
        <v>26</v>
      </c>
      <c r="C18" s="105">
        <v>25348.9</v>
      </c>
      <c r="D18" s="105">
        <v>20817.080000000002</v>
      </c>
      <c r="E18" s="105">
        <v>24560.89</v>
      </c>
      <c r="F18" s="105">
        <v>22636.16</v>
      </c>
      <c r="G18" s="97">
        <f t="shared" ref="G18:G37" si="7">SUM(C18:F18)</f>
        <v>93363.03</v>
      </c>
      <c r="H18" s="97">
        <v>86248</v>
      </c>
      <c r="I18" s="97">
        <f>G18-H18</f>
        <v>7115.0299999999988</v>
      </c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</row>
    <row r="19" spans="1:24" ht="27.6">
      <c r="A19" s="102">
        <v>1210</v>
      </c>
      <c r="B19" s="106" t="s">
        <v>5</v>
      </c>
      <c r="C19" s="104">
        <v>12161.08</v>
      </c>
      <c r="D19" s="104">
        <v>9579.08</v>
      </c>
      <c r="E19" s="104">
        <v>10121.029999999999</v>
      </c>
      <c r="F19" s="104">
        <v>234189.97</v>
      </c>
      <c r="G19" s="97">
        <f t="shared" si="7"/>
        <v>266051.15999999997</v>
      </c>
      <c r="H19" s="97">
        <v>109833.61</v>
      </c>
      <c r="I19" s="97">
        <f>G19-H19</f>
        <v>156217.54999999999</v>
      </c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  <c r="W19" s="185"/>
      <c r="X19" s="185"/>
    </row>
    <row r="20" spans="1:24" ht="31.5" customHeight="1">
      <c r="A20" s="132">
        <v>2000</v>
      </c>
      <c r="B20" s="132" t="s">
        <v>29</v>
      </c>
      <c r="C20" s="133">
        <f>ROUNDUP(SUM(C21:C29),0)</f>
        <v>28814</v>
      </c>
      <c r="D20" s="133">
        <f>ROUNDDOWN(SUM(D21:D29),0)</f>
        <v>23311</v>
      </c>
      <c r="E20" s="133">
        <f>ROUNDUP(SUM(E21:E29),0)</f>
        <v>33566</v>
      </c>
      <c r="F20" s="133">
        <f>ROUND(SUM(F21:F29),0)</f>
        <v>70235</v>
      </c>
      <c r="G20" s="133">
        <f>ROUNDUP(SUM(G21:G29),0)</f>
        <v>155926</v>
      </c>
      <c r="H20" s="133">
        <f>ROUNDUP(SUM(H21:H29),0)</f>
        <v>5833</v>
      </c>
      <c r="I20" s="133">
        <f>ROUND(SUM(I21:I29),0)</f>
        <v>150093</v>
      </c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</row>
    <row r="21" spans="1:24" ht="17.399999999999999">
      <c r="A21" s="99">
        <v>2111</v>
      </c>
      <c r="B21" s="101" t="s">
        <v>32</v>
      </c>
      <c r="C21" s="104">
        <v>613.6</v>
      </c>
      <c r="D21" s="104">
        <v>566.4</v>
      </c>
      <c r="E21" s="104">
        <v>1551.2</v>
      </c>
      <c r="F21" s="104">
        <v>1476.8</v>
      </c>
      <c r="G21" s="97">
        <f t="shared" si="7"/>
        <v>4208</v>
      </c>
      <c r="H21" s="97"/>
      <c r="I21" s="97">
        <f t="shared" ref="I21:I29" si="8">G21-H21</f>
        <v>4208</v>
      </c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85"/>
    </row>
    <row r="22" spans="1:24" ht="27.6">
      <c r="A22" s="108">
        <v>2112</v>
      </c>
      <c r="B22" s="107" t="s">
        <v>33</v>
      </c>
      <c r="C22" s="104">
        <v>2730</v>
      </c>
      <c r="D22" s="104">
        <f>(12*12*15)+(3*13*15)</f>
        <v>2745</v>
      </c>
      <c r="E22" s="104">
        <f>(13*28*15)</f>
        <v>5460</v>
      </c>
      <c r="F22" s="104">
        <f>(13*27*15)+(4*12*15)</f>
        <v>5985</v>
      </c>
      <c r="G22" s="97">
        <f t="shared" si="7"/>
        <v>16920</v>
      </c>
      <c r="H22" s="97"/>
      <c r="I22" s="97">
        <f t="shared" si="8"/>
        <v>16920</v>
      </c>
      <c r="J22" s="185"/>
      <c r="K22" s="185"/>
      <c r="L22" s="185"/>
      <c r="M22" s="185"/>
      <c r="N22" s="185"/>
      <c r="O22" s="185"/>
      <c r="P22" s="185"/>
      <c r="Q22" s="185"/>
      <c r="R22" s="185"/>
      <c r="S22" s="185"/>
      <c r="T22" s="185"/>
      <c r="U22" s="185"/>
      <c r="V22" s="185"/>
      <c r="W22" s="185"/>
      <c r="X22" s="185"/>
    </row>
    <row r="23" spans="1:24" s="126" customFormat="1" ht="33.75" customHeight="1">
      <c r="A23" s="99">
        <v>2271</v>
      </c>
      <c r="B23" s="101" t="s">
        <v>34</v>
      </c>
      <c r="C23" s="104">
        <v>4873</v>
      </c>
      <c r="D23" s="104">
        <v>5351</v>
      </c>
      <c r="E23" s="104">
        <v>5916</v>
      </c>
      <c r="F23" s="104">
        <v>44053</v>
      </c>
      <c r="G23" s="97">
        <f t="shared" si="7"/>
        <v>60193</v>
      </c>
      <c r="H23" s="97">
        <v>5833</v>
      </c>
      <c r="I23" s="97">
        <f t="shared" si="8"/>
        <v>54360</v>
      </c>
      <c r="J23" s="185"/>
      <c r="K23" s="185"/>
      <c r="L23" s="185"/>
      <c r="M23" s="185"/>
      <c r="N23" s="185"/>
      <c r="O23" s="185"/>
      <c r="P23" s="185"/>
      <c r="Q23" s="185"/>
      <c r="R23" s="185"/>
      <c r="S23" s="185"/>
      <c r="T23" s="185"/>
      <c r="U23" s="185"/>
      <c r="V23" s="185"/>
      <c r="W23" s="185"/>
      <c r="X23" s="185"/>
    </row>
    <row r="24" spans="1:24" s="126" customFormat="1" ht="17.399999999999999">
      <c r="A24" s="99">
        <v>2312</v>
      </c>
      <c r="B24" s="101" t="s">
        <v>35</v>
      </c>
      <c r="C24" s="104">
        <f>1016.4+333.96</f>
        <v>1350.36</v>
      </c>
      <c r="D24" s="104"/>
      <c r="E24" s="104">
        <f>7*111.32</f>
        <v>779.24</v>
      </c>
      <c r="F24" s="104"/>
      <c r="G24" s="97">
        <f t="shared" si="7"/>
        <v>2129.6</v>
      </c>
      <c r="H24" s="97"/>
      <c r="I24" s="97">
        <f t="shared" si="8"/>
        <v>2129.6</v>
      </c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</row>
    <row r="25" spans="1:24" ht="17.399999999999999">
      <c r="A25" s="96">
        <v>2322</v>
      </c>
      <c r="B25" s="96" t="s">
        <v>36</v>
      </c>
      <c r="C25" s="104">
        <f>ROUND((76*1341.55*1.564*8.84)/100,2)+0.04</f>
        <v>14096.480000000001</v>
      </c>
      <c r="D25" s="104">
        <f>ROUNDUP((78*1029.38*1.543*8.33)/100,2)+0.03</f>
        <v>10320.070000000002</v>
      </c>
      <c r="E25" s="104">
        <f>ROUNDUP((102*901.78*1.466*8.39)/100,2)+0.05</f>
        <v>11313.55</v>
      </c>
      <c r="F25" s="104">
        <v>9835.94</v>
      </c>
      <c r="G25" s="97">
        <f t="shared" si="7"/>
        <v>45566.040000000008</v>
      </c>
      <c r="H25" s="97"/>
      <c r="I25" s="97">
        <f t="shared" si="8"/>
        <v>45566.040000000008</v>
      </c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</row>
    <row r="26" spans="1:24" ht="31.5" customHeight="1">
      <c r="A26" s="96">
        <v>2350</v>
      </c>
      <c r="B26" s="109" t="s">
        <v>37</v>
      </c>
      <c r="C26" s="104">
        <v>51.46</v>
      </c>
      <c r="D26" s="104">
        <f>51.46+49.13+26.75+25.7</f>
        <v>153.04</v>
      </c>
      <c r="E26" s="104">
        <f>(4*13.495)+(100*2.7723)+(100*0.3146)+(100*0.3025)</f>
        <v>392.92</v>
      </c>
      <c r="F26" s="104">
        <f>(50*2.7704)</f>
        <v>138.52000000000001</v>
      </c>
      <c r="G26" s="97">
        <f t="shared" si="7"/>
        <v>735.94</v>
      </c>
      <c r="H26" s="97"/>
      <c r="I26" s="97">
        <f t="shared" si="8"/>
        <v>735.94</v>
      </c>
      <c r="J26" s="185"/>
      <c r="K26" s="185"/>
      <c r="L26" s="185"/>
      <c r="M26" s="185"/>
      <c r="N26" s="185"/>
      <c r="O26" s="185"/>
      <c r="P26" s="185"/>
      <c r="Q26" s="185"/>
      <c r="R26" s="185"/>
      <c r="S26" s="185"/>
      <c r="T26" s="185"/>
      <c r="U26" s="185"/>
      <c r="V26" s="185"/>
      <c r="W26" s="185"/>
      <c r="X26" s="185"/>
    </row>
    <row r="27" spans="1:24" ht="17.399999999999999">
      <c r="A27" s="110">
        <v>2363</v>
      </c>
      <c r="B27" s="106" t="s">
        <v>38</v>
      </c>
      <c r="C27" s="104">
        <v>3948</v>
      </c>
      <c r="D27" s="104">
        <f>726+984+976+1342</f>
        <v>4028</v>
      </c>
      <c r="E27" s="104">
        <f>(236*6)+(243*8)+(242*8)+(123*22)</f>
        <v>8002</v>
      </c>
      <c r="F27" s="104">
        <f>1620+2128+2160+2838</f>
        <v>8746</v>
      </c>
      <c r="G27" s="97">
        <f t="shared" si="7"/>
        <v>24724</v>
      </c>
      <c r="H27" s="97"/>
      <c r="I27" s="97">
        <f t="shared" si="8"/>
        <v>24724</v>
      </c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5"/>
      <c r="X27" s="185"/>
    </row>
    <row r="28" spans="1:24" ht="27.6">
      <c r="A28" s="110">
        <v>2389</v>
      </c>
      <c r="B28" s="106" t="s">
        <v>39</v>
      </c>
      <c r="C28" s="104">
        <v>996</v>
      </c>
      <c r="D28" s="104"/>
      <c r="E28" s="104"/>
      <c r="F28" s="104"/>
      <c r="G28" s="97">
        <f t="shared" si="7"/>
        <v>996</v>
      </c>
      <c r="H28" s="97"/>
      <c r="I28" s="97">
        <f t="shared" si="8"/>
        <v>996</v>
      </c>
      <c r="J28" s="185"/>
      <c r="K28" s="185"/>
      <c r="L28" s="185"/>
      <c r="M28" s="185"/>
      <c r="N28" s="185"/>
      <c r="O28" s="185"/>
      <c r="P28" s="185"/>
      <c r="Q28" s="185"/>
      <c r="R28" s="185"/>
      <c r="S28" s="185"/>
      <c r="T28" s="185"/>
      <c r="U28" s="185"/>
      <c r="V28" s="185"/>
      <c r="W28" s="185"/>
      <c r="X28" s="185"/>
    </row>
    <row r="29" spans="1:24" ht="22.5" customHeight="1">
      <c r="A29" s="96">
        <v>2390</v>
      </c>
      <c r="B29" s="109" t="s">
        <v>40</v>
      </c>
      <c r="C29" s="104">
        <v>155</v>
      </c>
      <c r="D29" s="104">
        <v>147.62</v>
      </c>
      <c r="E29" s="104">
        <f>(204*0.7381)</f>
        <v>150.57239999999999</v>
      </c>
      <c r="F29" s="104"/>
      <c r="G29" s="97">
        <f t="shared" si="7"/>
        <v>453.19240000000002</v>
      </c>
      <c r="H29" s="97"/>
      <c r="I29" s="97">
        <f t="shared" si="8"/>
        <v>453.19240000000002</v>
      </c>
      <c r="J29" s="185"/>
      <c r="K29" s="185"/>
      <c r="L29" s="185"/>
      <c r="M29" s="185"/>
      <c r="N29" s="185"/>
      <c r="O29" s="185"/>
      <c r="P29" s="185"/>
      <c r="Q29" s="185"/>
      <c r="R29" s="185"/>
      <c r="S29" s="185"/>
      <c r="T29" s="185"/>
      <c r="U29" s="185"/>
      <c r="V29" s="185"/>
      <c r="W29" s="185"/>
      <c r="X29" s="185"/>
    </row>
    <row r="30" spans="1:24" ht="17.399999999999999">
      <c r="G30" s="118"/>
      <c r="H30" s="118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</row>
    <row r="31" spans="1:24" ht="34.200000000000003" customHeight="1">
      <c r="A31" s="219" t="s">
        <v>11</v>
      </c>
      <c r="B31" s="219"/>
      <c r="C31" s="131">
        <f t="shared" ref="C31:I31" si="9">C32+C36</f>
        <v>5546.06</v>
      </c>
      <c r="D31" s="131">
        <f t="shared" si="9"/>
        <v>4628</v>
      </c>
      <c r="E31" s="131">
        <f t="shared" si="9"/>
        <v>4722.38</v>
      </c>
      <c r="F31" s="131">
        <f t="shared" si="9"/>
        <v>105725.75999999999</v>
      </c>
      <c r="G31" s="131">
        <f t="shared" si="9"/>
        <v>120622</v>
      </c>
      <c r="H31" s="131">
        <f t="shared" si="9"/>
        <v>48618</v>
      </c>
      <c r="I31" s="131">
        <f t="shared" si="9"/>
        <v>72004</v>
      </c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85"/>
    </row>
    <row r="32" spans="1:24" ht="17.399999999999999">
      <c r="A32" s="132">
        <v>1000</v>
      </c>
      <c r="B32" s="134" t="s">
        <v>3</v>
      </c>
      <c r="C32" s="131">
        <f>C33+C35</f>
        <v>5308.06</v>
      </c>
      <c r="D32" s="131">
        <f>D33+D35</f>
        <v>4182</v>
      </c>
      <c r="E32" s="131">
        <f>E33+E35</f>
        <v>4418.38</v>
      </c>
      <c r="F32" s="131">
        <f>F33+F35</f>
        <v>102223.76</v>
      </c>
      <c r="G32" s="131">
        <f>ROUND(G33+G35,0)</f>
        <v>116132</v>
      </c>
      <c r="H32" s="131">
        <f>ROUNDUP(H33+H35,0)</f>
        <v>47934</v>
      </c>
      <c r="I32" s="131">
        <f>ROUND(I33+I35,0)</f>
        <v>68198</v>
      </c>
      <c r="J32" s="185"/>
      <c r="K32" s="185"/>
      <c r="L32" s="185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  <c r="X32" s="185"/>
    </row>
    <row r="33" spans="1:24" ht="17.399999999999999">
      <c r="A33" s="102">
        <v>1100</v>
      </c>
      <c r="B33" s="96" t="s">
        <v>4</v>
      </c>
      <c r="C33" s="124">
        <f>C34</f>
        <v>4295.0600000000004</v>
      </c>
      <c r="D33" s="124">
        <f>D34</f>
        <v>3384</v>
      </c>
      <c r="E33" s="124">
        <f>E34</f>
        <v>3574.38</v>
      </c>
      <c r="F33" s="124">
        <f>F34</f>
        <v>82712</v>
      </c>
      <c r="G33" s="103">
        <f>ROUND(SUM(G34:G34),2)</f>
        <v>93965.440000000002</v>
      </c>
      <c r="H33" s="111">
        <f>ROUND(SUM(H34:H34),2)</f>
        <v>38785</v>
      </c>
      <c r="I33" s="111">
        <f>ROUND(SUM(I34:I34),2)</f>
        <v>55180.44</v>
      </c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</row>
    <row r="34" spans="1:24" ht="27.6">
      <c r="A34" s="112">
        <v>1116</v>
      </c>
      <c r="B34" s="113" t="s">
        <v>30</v>
      </c>
      <c r="C34" s="116">
        <f>ROUNDUP((C17+C18+C16)*8.33%,2)</f>
        <v>4295.0600000000004</v>
      </c>
      <c r="D34" s="188">
        <f>ROUNDUP((D17+D18+D16)*8.33%,0)</f>
        <v>3384</v>
      </c>
      <c r="E34" s="116">
        <f>ROUNDUP((E17+E18+E16)*8.33%,2)</f>
        <v>3574.38</v>
      </c>
      <c r="F34" s="114">
        <f>ROUND((F17+F18+F16)*8.33%,0)</f>
        <v>82712</v>
      </c>
      <c r="G34" s="97">
        <f>ROUND(SUM(C34:F34),2)</f>
        <v>93965.440000000002</v>
      </c>
      <c r="H34" s="97">
        <v>38785</v>
      </c>
      <c r="I34" s="97">
        <f>G34-H34</f>
        <v>55180.44</v>
      </c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</row>
    <row r="35" spans="1:24" ht="27.6">
      <c r="A35" s="102">
        <v>1210</v>
      </c>
      <c r="B35" s="109" t="s">
        <v>5</v>
      </c>
      <c r="C35" s="100">
        <f>ROUNDDOWN(C34*0.2359,0)</f>
        <v>1013</v>
      </c>
      <c r="D35" s="122">
        <f>ROUNDDOWN(D34*0.2359,0)</f>
        <v>798</v>
      </c>
      <c r="E35" s="95">
        <f>ROUNDUP(E34*0.2359,0)</f>
        <v>844</v>
      </c>
      <c r="F35" s="105">
        <f>ROUND(F34*0.2359,2)</f>
        <v>19511.759999999998</v>
      </c>
      <c r="G35" s="97">
        <f>ROUNDUP(SUM(C35:F35),0)</f>
        <v>22167</v>
      </c>
      <c r="H35" s="97">
        <v>9149</v>
      </c>
      <c r="I35" s="97">
        <f>G35-H35</f>
        <v>13018</v>
      </c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</row>
    <row r="36" spans="1:24" ht="17.399999999999999">
      <c r="A36" s="132">
        <v>2000</v>
      </c>
      <c r="B36" s="134" t="s">
        <v>29</v>
      </c>
      <c r="C36" s="133">
        <f>ROUNDUP(SUM(C37:C37),2)</f>
        <v>238</v>
      </c>
      <c r="D36" s="133">
        <f>ROUNDUP(SUM(D37:D37),2)</f>
        <v>446</v>
      </c>
      <c r="E36" s="133">
        <f>ROUNDUP(SUM(E37:E37),2)</f>
        <v>304</v>
      </c>
      <c r="F36" s="133">
        <f>ROUND(SUM(F37:F37),2)</f>
        <v>3502</v>
      </c>
      <c r="G36" s="133">
        <f>ROUNDUP(SUM(G37:G37),0)</f>
        <v>4490</v>
      </c>
      <c r="H36" s="133">
        <f>ROUNDUP(SUM(H37:H37),0)</f>
        <v>684</v>
      </c>
      <c r="I36" s="133">
        <f t="shared" ref="I36" si="10">ROUND(SUM(I37:I37),2)</f>
        <v>3806</v>
      </c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</row>
    <row r="37" spans="1:24" ht="27.6">
      <c r="A37" s="99">
        <v>2271</v>
      </c>
      <c r="B37" s="101" t="s">
        <v>34</v>
      </c>
      <c r="C37" s="114">
        <v>238</v>
      </c>
      <c r="D37" s="128">
        <v>446</v>
      </c>
      <c r="E37" s="114">
        <v>304</v>
      </c>
      <c r="F37" s="114">
        <v>3502</v>
      </c>
      <c r="G37" s="97">
        <f t="shared" si="7"/>
        <v>4490</v>
      </c>
      <c r="H37" s="97">
        <v>684</v>
      </c>
      <c r="I37" s="97">
        <f>G37-H37</f>
        <v>3806</v>
      </c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</row>
    <row r="38" spans="1:24" ht="17.399999999999999"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</row>
  </sheetData>
  <mergeCells count="4">
    <mergeCell ref="A3:I3"/>
    <mergeCell ref="A6:B6"/>
    <mergeCell ref="A13:B13"/>
    <mergeCell ref="A31:B31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5A18-6135-41C9-87D3-8D5809B41A1D}">
  <sheetPr>
    <pageSetUpPr fitToPage="1"/>
  </sheetPr>
  <dimension ref="A1:J20"/>
  <sheetViews>
    <sheetView zoomScale="91" zoomScaleNormal="91" workbookViewId="0">
      <selection activeCell="I1" sqref="I1"/>
    </sheetView>
  </sheetViews>
  <sheetFormatPr defaultColWidth="9.109375" defaultRowHeight="13.8"/>
  <cols>
    <col min="1" max="1" width="8.109375" style="58" customWidth="1"/>
    <col min="2" max="2" width="29.109375" style="58" customWidth="1"/>
    <col min="3" max="3" width="13.5546875" style="58" customWidth="1"/>
    <col min="4" max="4" width="12.33203125" style="58" customWidth="1"/>
    <col min="5" max="5" width="10.77734375" style="58" customWidth="1"/>
    <col min="6" max="6" width="11.44140625" style="58" customWidth="1"/>
    <col min="7" max="7" width="13.44140625" style="58" customWidth="1"/>
    <col min="8" max="8" width="20" style="58" customWidth="1"/>
    <col min="9" max="9" width="14.33203125" style="58" customWidth="1"/>
    <col min="10" max="16384" width="9.109375" style="58"/>
  </cols>
  <sheetData>
    <row r="1" spans="1:10">
      <c r="A1" s="1"/>
      <c r="B1" s="2"/>
      <c r="C1" s="57"/>
      <c r="D1" s="57"/>
      <c r="E1" s="57"/>
      <c r="F1" s="57"/>
      <c r="G1" s="57"/>
      <c r="H1" s="56"/>
      <c r="I1" s="3" t="s">
        <v>72</v>
      </c>
    </row>
    <row r="2" spans="1:10" ht="36" customHeight="1">
      <c r="A2" s="220" t="s">
        <v>28</v>
      </c>
      <c r="B2" s="220"/>
      <c r="C2" s="220"/>
      <c r="D2" s="220"/>
      <c r="E2" s="220"/>
      <c r="F2" s="220"/>
      <c r="G2" s="220"/>
      <c r="H2" s="220"/>
      <c r="I2" s="220"/>
    </row>
    <row r="4" spans="1:10" ht="111.6" customHeight="1">
      <c r="A4" s="60" t="s">
        <v>0</v>
      </c>
      <c r="B4" s="60" t="s">
        <v>1</v>
      </c>
      <c r="C4" s="7" t="s">
        <v>13</v>
      </c>
      <c r="D4" s="7" t="s">
        <v>14</v>
      </c>
      <c r="E4" s="7" t="s">
        <v>15</v>
      </c>
      <c r="F4" s="7" t="s">
        <v>12</v>
      </c>
      <c r="G4" s="7" t="s">
        <v>18</v>
      </c>
      <c r="H4" s="61" t="s">
        <v>23</v>
      </c>
      <c r="I4" s="62" t="s">
        <v>24</v>
      </c>
    </row>
    <row r="5" spans="1:10" ht="34.200000000000003" customHeight="1">
      <c r="A5" s="224" t="s">
        <v>25</v>
      </c>
      <c r="B5" s="225"/>
      <c r="C5" s="8">
        <f t="shared" ref="C5:I5" si="0">C10+C17</f>
        <v>58356.24</v>
      </c>
      <c r="D5" s="8">
        <f t="shared" si="0"/>
        <v>52025.03</v>
      </c>
      <c r="E5" s="8">
        <f t="shared" si="0"/>
        <v>65275.119999999995</v>
      </c>
      <c r="F5" s="8">
        <f t="shared" si="0"/>
        <v>58396.619999999995</v>
      </c>
      <c r="G5" s="82">
        <f t="shared" si="0"/>
        <v>234054</v>
      </c>
      <c r="H5" s="82">
        <f t="shared" si="0"/>
        <v>31261</v>
      </c>
      <c r="I5" s="82">
        <f t="shared" si="0"/>
        <v>202793</v>
      </c>
    </row>
    <row r="6" spans="1:10">
      <c r="A6" s="63">
        <v>1000</v>
      </c>
      <c r="B6" s="64" t="s">
        <v>3</v>
      </c>
      <c r="C6" s="11">
        <f>ROUND(C7+C8,2)</f>
        <v>58356.24</v>
      </c>
      <c r="D6" s="11">
        <f>ROUND(D7+D8,2)</f>
        <v>52025.03</v>
      </c>
      <c r="E6" s="11">
        <f>ROUND(E7+E8,2)</f>
        <v>65275.12</v>
      </c>
      <c r="F6" s="11">
        <f>ROUND(F7+F8,2)</f>
        <v>58396.62</v>
      </c>
      <c r="G6" s="81">
        <f>ROUNDUP(G7+G8,0)</f>
        <v>234054</v>
      </c>
      <c r="H6" s="81">
        <f t="shared" ref="H6" si="1">ROUND(H7+H8,2)</f>
        <v>31261</v>
      </c>
      <c r="I6" s="81">
        <f>ROUNDUP(I7+I8,0)</f>
        <v>202793</v>
      </c>
    </row>
    <row r="7" spans="1:10">
      <c r="A7" s="65">
        <v>1100</v>
      </c>
      <c r="B7" s="66" t="s">
        <v>4</v>
      </c>
      <c r="C7" s="47">
        <f t="shared" ref="C7:I7" si="2">C12+C19</f>
        <v>47217.580000000009</v>
      </c>
      <c r="D7" s="47">
        <f t="shared" si="2"/>
        <v>42094.740000000005</v>
      </c>
      <c r="E7" s="47">
        <f t="shared" si="2"/>
        <v>52815.880000000005</v>
      </c>
      <c r="F7" s="47">
        <f t="shared" si="2"/>
        <v>47250.270000000026</v>
      </c>
      <c r="G7" s="47">
        <f t="shared" si="2"/>
        <v>189378.47000000006</v>
      </c>
      <c r="H7" s="47">
        <f t="shared" si="2"/>
        <v>25294</v>
      </c>
      <c r="I7" s="47">
        <f t="shared" si="2"/>
        <v>164084.47000000006</v>
      </c>
    </row>
    <row r="8" spans="1:10" ht="27.6">
      <c r="A8" s="65">
        <v>1210</v>
      </c>
      <c r="B8" s="67" t="s">
        <v>5</v>
      </c>
      <c r="C8" s="47">
        <f t="shared" ref="C8:I8" si="3">C15+C20</f>
        <v>11138.660000000007</v>
      </c>
      <c r="D8" s="47">
        <f t="shared" si="3"/>
        <v>9930.2900000000045</v>
      </c>
      <c r="E8" s="47">
        <f t="shared" si="3"/>
        <v>12459.239999999996</v>
      </c>
      <c r="F8" s="47">
        <f t="shared" si="3"/>
        <v>11146.35</v>
      </c>
      <c r="G8" s="47">
        <f t="shared" si="3"/>
        <v>44674.540000000008</v>
      </c>
      <c r="H8" s="47">
        <f t="shared" si="3"/>
        <v>5967</v>
      </c>
      <c r="I8" s="47">
        <f t="shared" si="3"/>
        <v>38707.540000000008</v>
      </c>
    </row>
    <row r="9" spans="1:10" ht="14.4">
      <c r="C9" s="68"/>
      <c r="D9" s="77"/>
      <c r="E9" s="68"/>
      <c r="F9" s="77"/>
      <c r="G9" s="77"/>
      <c r="H9" s="68"/>
      <c r="I9" s="68"/>
    </row>
    <row r="10" spans="1:10" ht="27.6" customHeight="1">
      <c r="A10" s="222" t="s">
        <v>7</v>
      </c>
      <c r="B10" s="223"/>
      <c r="C10" s="11">
        <f t="shared" ref="C10:I10" si="4">C11</f>
        <v>53868.959999999999</v>
      </c>
      <c r="D10" s="11">
        <f t="shared" si="4"/>
        <v>48024.59</v>
      </c>
      <c r="E10" s="11">
        <f t="shared" si="4"/>
        <v>60255.81</v>
      </c>
      <c r="F10" s="11">
        <f t="shared" si="4"/>
        <v>53906.239999999998</v>
      </c>
      <c r="G10" s="81">
        <f t="shared" si="4"/>
        <v>216056</v>
      </c>
      <c r="H10" s="81">
        <f t="shared" si="4"/>
        <v>31261</v>
      </c>
      <c r="I10" s="81">
        <f t="shared" si="4"/>
        <v>184795</v>
      </c>
    </row>
    <row r="11" spans="1:10">
      <c r="A11" s="63">
        <v>1000</v>
      </c>
      <c r="B11" s="64" t="s">
        <v>3</v>
      </c>
      <c r="C11" s="11">
        <f>ROUND(C12+C15,2)</f>
        <v>53868.959999999999</v>
      </c>
      <c r="D11" s="11">
        <f>ROUND(D12+D15,2)</f>
        <v>48024.59</v>
      </c>
      <c r="E11" s="11">
        <f>ROUND(E12+E15,2)</f>
        <v>60255.81</v>
      </c>
      <c r="F11" s="11">
        <f>ROUND(F12+F15,2)</f>
        <v>53906.239999999998</v>
      </c>
      <c r="G11" s="81">
        <f>ROUNDUP(G12+G15,0)</f>
        <v>216056</v>
      </c>
      <c r="H11" s="81">
        <f>ROUND(H12+H15,2)</f>
        <v>31261</v>
      </c>
      <c r="I11" s="81">
        <f>ROUNDUP(I12+I15,0)</f>
        <v>184795</v>
      </c>
    </row>
    <row r="12" spans="1:10">
      <c r="A12" s="69">
        <v>1100</v>
      </c>
      <c r="B12" s="70" t="s">
        <v>4</v>
      </c>
      <c r="C12" s="71">
        <f t="shared" ref="C12:I12" si="5">SUM(C13:C14)</f>
        <v>43586.80000000001</v>
      </c>
      <c r="D12" s="71">
        <f t="shared" si="5"/>
        <v>38857.880000000005</v>
      </c>
      <c r="E12" s="71">
        <f t="shared" si="5"/>
        <v>48754.62</v>
      </c>
      <c r="F12" s="71">
        <f t="shared" si="5"/>
        <v>43616.980000000025</v>
      </c>
      <c r="G12" s="71">
        <f t="shared" si="5"/>
        <v>174816.28000000006</v>
      </c>
      <c r="H12" s="71">
        <f t="shared" si="5"/>
        <v>25294</v>
      </c>
      <c r="I12" s="71">
        <f t="shared" si="5"/>
        <v>149522.28000000006</v>
      </c>
    </row>
    <row r="13" spans="1:10" ht="26.4">
      <c r="A13" s="72">
        <v>1145</v>
      </c>
      <c r="B13" s="73" t="s">
        <v>26</v>
      </c>
      <c r="C13" s="74">
        <v>38833.260000000009</v>
      </c>
      <c r="D13" s="74">
        <v>35841.480000000003</v>
      </c>
      <c r="E13" s="74">
        <v>45027.58</v>
      </c>
      <c r="F13" s="74">
        <v>39936.920000000027</v>
      </c>
      <c r="G13" s="25">
        <f>SUM(C13:F13)</f>
        <v>159639.24000000005</v>
      </c>
      <c r="H13" s="74">
        <v>24860.43</v>
      </c>
      <c r="I13" s="74">
        <f>G13-H13</f>
        <v>134778.81000000006</v>
      </c>
    </row>
    <row r="14" spans="1:10" ht="70.2" customHeight="1">
      <c r="A14" s="23">
        <v>1149</v>
      </c>
      <c r="B14" s="26" t="s">
        <v>9</v>
      </c>
      <c r="C14" s="75">
        <v>4753.54</v>
      </c>
      <c r="D14" s="75">
        <v>3016.3999999999996</v>
      </c>
      <c r="E14" s="75">
        <v>3727.0399999999995</v>
      </c>
      <c r="F14" s="75">
        <v>3680.0600000000004</v>
      </c>
      <c r="G14" s="25">
        <f t="shared" ref="G14:G15" si="6">SUM(C14:F14)</f>
        <v>15177.04</v>
      </c>
      <c r="H14" s="75">
        <v>433.57</v>
      </c>
      <c r="I14" s="74">
        <f t="shared" ref="I14:I15" si="7">G14-H14</f>
        <v>14743.470000000001</v>
      </c>
      <c r="J14" s="68"/>
    </row>
    <row r="15" spans="1:10" ht="26.4">
      <c r="A15" s="69">
        <v>1210</v>
      </c>
      <c r="B15" s="76" t="s">
        <v>5</v>
      </c>
      <c r="C15" s="71">
        <v>10282.160000000007</v>
      </c>
      <c r="D15" s="71">
        <v>9166.7100000000046</v>
      </c>
      <c r="E15" s="71">
        <v>11501.189999999997</v>
      </c>
      <c r="F15" s="71">
        <v>10289.26</v>
      </c>
      <c r="G15" s="25">
        <f t="shared" si="6"/>
        <v>41239.320000000007</v>
      </c>
      <c r="H15" s="71">
        <v>5967</v>
      </c>
      <c r="I15" s="74">
        <f t="shared" si="7"/>
        <v>35272.320000000007</v>
      </c>
    </row>
    <row r="16" spans="1:10" ht="14.4">
      <c r="C16" s="68"/>
      <c r="D16" s="77"/>
      <c r="E16" s="68"/>
      <c r="F16" s="77"/>
      <c r="G16" s="68"/>
      <c r="H16" s="68"/>
      <c r="I16" s="68"/>
    </row>
    <row r="17" spans="1:9" ht="28.2" customHeight="1">
      <c r="A17" s="221" t="s">
        <v>11</v>
      </c>
      <c r="B17" s="221"/>
      <c r="C17" s="34">
        <f>C18</f>
        <v>4487.28</v>
      </c>
      <c r="D17" s="34">
        <f>D18</f>
        <v>4000.44</v>
      </c>
      <c r="E17" s="34">
        <f>E18</f>
        <v>5019.3100000000004</v>
      </c>
      <c r="F17" s="34">
        <f>F18</f>
        <v>4490.38</v>
      </c>
      <c r="G17" s="80">
        <f>G18</f>
        <v>17998</v>
      </c>
      <c r="H17" s="34"/>
      <c r="I17" s="80">
        <f>I18</f>
        <v>17998</v>
      </c>
    </row>
    <row r="18" spans="1:9">
      <c r="A18" s="78" t="s">
        <v>27</v>
      </c>
      <c r="B18" s="79" t="s">
        <v>3</v>
      </c>
      <c r="C18" s="34">
        <f>ROUND(C19+C20,2)</f>
        <v>4487.28</v>
      </c>
      <c r="D18" s="34">
        <f>ROUND(D19+D20,2)</f>
        <v>4000.44</v>
      </c>
      <c r="E18" s="34">
        <f>ROUND(E19+E20,2)</f>
        <v>5019.3100000000004</v>
      </c>
      <c r="F18" s="34">
        <f>ROUND(F19+F20,2)</f>
        <v>4490.38</v>
      </c>
      <c r="G18" s="80">
        <f>ROUNDUP(G19+G20,0)</f>
        <v>17998</v>
      </c>
      <c r="H18" s="34"/>
      <c r="I18" s="80">
        <f>ROUNDUP(I19+I20,0)</f>
        <v>17998</v>
      </c>
    </row>
    <row r="19" spans="1:9">
      <c r="A19" s="65">
        <v>1100</v>
      </c>
      <c r="B19" s="66" t="s">
        <v>4</v>
      </c>
      <c r="C19" s="51">
        <f>ROUND(C12*0.0833,2)</f>
        <v>3630.78</v>
      </c>
      <c r="D19" s="51">
        <f>ROUND(D12*0.0833,2)</f>
        <v>3236.86</v>
      </c>
      <c r="E19" s="51">
        <f>ROUND(E12*0.0833,2)</f>
        <v>4061.26</v>
      </c>
      <c r="F19" s="51">
        <f>ROUND(F12*0.0833,2)</f>
        <v>3633.29</v>
      </c>
      <c r="G19" s="25">
        <f t="shared" ref="G19:G20" si="8">SUM(C19:F19)</f>
        <v>14562.190000000002</v>
      </c>
      <c r="H19" s="47"/>
      <c r="I19" s="74">
        <f t="shared" ref="I19:I20" si="9">G19-H19</f>
        <v>14562.190000000002</v>
      </c>
    </row>
    <row r="20" spans="1:9" ht="27.6">
      <c r="A20" s="65">
        <v>1210</v>
      </c>
      <c r="B20" s="67" t="s">
        <v>5</v>
      </c>
      <c r="C20" s="47">
        <f>ROUND(C19*0.2359,2)</f>
        <v>856.5</v>
      </c>
      <c r="D20" s="47">
        <f>ROUND(D19*0.2359,2)</f>
        <v>763.58</v>
      </c>
      <c r="E20" s="47">
        <f>ROUND(E19*0.2359,2)</f>
        <v>958.05</v>
      </c>
      <c r="F20" s="47">
        <f>ROUND(F19*0.2359,2)</f>
        <v>857.09</v>
      </c>
      <c r="G20" s="25">
        <f t="shared" si="8"/>
        <v>3435.2200000000003</v>
      </c>
      <c r="H20" s="47"/>
      <c r="I20" s="74">
        <f t="shared" si="9"/>
        <v>3435.2200000000003</v>
      </c>
    </row>
  </sheetData>
  <mergeCells count="4">
    <mergeCell ref="A2:I2"/>
    <mergeCell ref="A17:B17"/>
    <mergeCell ref="A10:B10"/>
    <mergeCell ref="A5:B5"/>
  </mergeCells>
  <pageMargins left="0.7" right="0.7" top="0.75" bottom="0.75" header="0.3" footer="0.3"/>
  <pageSetup paperSize="9" scale="65" fitToHeight="0" orientation="portrait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73624-70C5-4DD3-8BB0-8EC6AC629EFF}">
  <sheetPr>
    <pageSetUpPr fitToPage="1"/>
  </sheetPr>
  <dimension ref="A1:F19"/>
  <sheetViews>
    <sheetView topLeftCell="A4" zoomScale="88" zoomScaleNormal="88" workbookViewId="0">
      <selection activeCell="F1" sqref="F1"/>
    </sheetView>
  </sheetViews>
  <sheetFormatPr defaultColWidth="9.109375" defaultRowHeight="13.8"/>
  <cols>
    <col min="1" max="1" width="8.109375" style="58" customWidth="1"/>
    <col min="2" max="2" width="29.109375" style="58" customWidth="1"/>
    <col min="3" max="3" width="13.5546875" style="58" customWidth="1"/>
    <col min="4" max="4" width="12.33203125" style="58" customWidth="1"/>
    <col min="5" max="5" width="11.44140625" style="58" customWidth="1"/>
    <col min="6" max="6" width="13.44140625" style="58" customWidth="1"/>
    <col min="7" max="16384" width="9.109375" style="58"/>
  </cols>
  <sheetData>
    <row r="1" spans="1:6">
      <c r="A1" s="1"/>
      <c r="B1" s="2"/>
      <c r="C1" s="57"/>
      <c r="D1" s="57"/>
      <c r="E1" s="57"/>
      <c r="F1" s="3" t="s">
        <v>73</v>
      </c>
    </row>
    <row r="2" spans="1:6" ht="59.4" customHeight="1">
      <c r="A2" s="220" t="s">
        <v>44</v>
      </c>
      <c r="B2" s="220"/>
      <c r="C2" s="220"/>
      <c r="D2" s="220"/>
      <c r="E2" s="220"/>
      <c r="F2" s="220"/>
    </row>
    <row r="4" spans="1:6" ht="111.6" customHeight="1">
      <c r="A4" s="60" t="s">
        <v>0</v>
      </c>
      <c r="B4" s="60" t="s">
        <v>1</v>
      </c>
      <c r="C4" s="7" t="s">
        <v>13</v>
      </c>
      <c r="D4" s="7" t="s">
        <v>14</v>
      </c>
      <c r="E4" s="7" t="s">
        <v>12</v>
      </c>
      <c r="F4" s="7" t="s">
        <v>43</v>
      </c>
    </row>
    <row r="5" spans="1:6" ht="34.200000000000003" customHeight="1">
      <c r="A5" s="224" t="s">
        <v>25</v>
      </c>
      <c r="B5" s="225"/>
      <c r="C5" s="8">
        <f>C10+C16</f>
        <v>362.44</v>
      </c>
      <c r="D5" s="8">
        <f>D10+D16</f>
        <v>189.56</v>
      </c>
      <c r="E5" s="8">
        <f>E10+E16</f>
        <v>1.4800000000000002</v>
      </c>
      <c r="F5" s="82">
        <f>F10+F16</f>
        <v>554</v>
      </c>
    </row>
    <row r="6" spans="1:6">
      <c r="A6" s="63">
        <v>1000</v>
      </c>
      <c r="B6" s="64" t="s">
        <v>3</v>
      </c>
      <c r="C6" s="11">
        <f>ROUND(C7+C8,2)</f>
        <v>362.44</v>
      </c>
      <c r="D6" s="11">
        <f>ROUND(D7+D8,2)</f>
        <v>189.56</v>
      </c>
      <c r="E6" s="11">
        <f>ROUND(E7+E8,2)</f>
        <v>1.48</v>
      </c>
      <c r="F6" s="81">
        <f>ROUNDUP(F7+F8,0)</f>
        <v>554</v>
      </c>
    </row>
    <row r="7" spans="1:6">
      <c r="A7" s="65">
        <v>1100</v>
      </c>
      <c r="B7" s="66" t="s">
        <v>4</v>
      </c>
      <c r="C7" s="47">
        <f>C12+C18</f>
        <v>293.27</v>
      </c>
      <c r="D7" s="47">
        <f>D12+D18</f>
        <v>153.38</v>
      </c>
      <c r="E7" s="47">
        <f>E12+E18</f>
        <v>1.2000000000000002</v>
      </c>
      <c r="F7" s="47">
        <f>F12+F18</f>
        <v>447.84999999999997</v>
      </c>
    </row>
    <row r="8" spans="1:6" ht="27.6">
      <c r="A8" s="65">
        <v>1210</v>
      </c>
      <c r="B8" s="67" t="s">
        <v>5</v>
      </c>
      <c r="C8" s="47">
        <f>C14+C19</f>
        <v>69.169999999999987</v>
      </c>
      <c r="D8" s="47">
        <f>D14+D19</f>
        <v>36.179999999999993</v>
      </c>
      <c r="E8" s="47">
        <f>E14+E19</f>
        <v>0.28000000000000003</v>
      </c>
      <c r="F8" s="47">
        <f>F14+F19</f>
        <v>105.63</v>
      </c>
    </row>
    <row r="9" spans="1:6" ht="14.4">
      <c r="C9" s="68"/>
      <c r="D9" s="77"/>
      <c r="E9" s="77"/>
      <c r="F9" s="77"/>
    </row>
    <row r="10" spans="1:6" ht="27.6" customHeight="1">
      <c r="A10" s="222" t="s">
        <v>7</v>
      </c>
      <c r="B10" s="223"/>
      <c r="C10" s="11">
        <f>C11</f>
        <v>334.57</v>
      </c>
      <c r="D10" s="11">
        <f>D11</f>
        <v>174.99</v>
      </c>
      <c r="E10" s="11">
        <f>E11</f>
        <v>1.37</v>
      </c>
      <c r="F10" s="81">
        <f>F11</f>
        <v>511</v>
      </c>
    </row>
    <row r="11" spans="1:6">
      <c r="A11" s="63">
        <v>1000</v>
      </c>
      <c r="B11" s="64" t="s">
        <v>3</v>
      </c>
      <c r="C11" s="11">
        <f>ROUND(C12+C14,2)</f>
        <v>334.57</v>
      </c>
      <c r="D11" s="11">
        <f>ROUND(D12+D14,2)</f>
        <v>174.99</v>
      </c>
      <c r="E11" s="11">
        <f>ROUND(E12+E14,2)</f>
        <v>1.37</v>
      </c>
      <c r="F11" s="81">
        <f>ROUNDUP(F12+F14,0)</f>
        <v>511</v>
      </c>
    </row>
    <row r="12" spans="1:6">
      <c r="A12" s="69">
        <v>1100</v>
      </c>
      <c r="B12" s="70" t="s">
        <v>4</v>
      </c>
      <c r="C12" s="71">
        <f>SUM(C13:C13)</f>
        <v>270.71999999999997</v>
      </c>
      <c r="D12" s="71">
        <f>SUM(D13:D13)</f>
        <v>141.59</v>
      </c>
      <c r="E12" s="71">
        <f>SUM(E13:E13)</f>
        <v>1.1100000000000001</v>
      </c>
      <c r="F12" s="71">
        <f>SUM(F13:F13)</f>
        <v>413.41999999999996</v>
      </c>
    </row>
    <row r="13" spans="1:6" ht="26.4">
      <c r="A13" s="72">
        <v>1145</v>
      </c>
      <c r="B13" s="73" t="s">
        <v>26</v>
      </c>
      <c r="C13" s="74">
        <v>270.71999999999997</v>
      </c>
      <c r="D13" s="74">
        <v>141.59</v>
      </c>
      <c r="E13" s="74">
        <v>1.1100000000000001</v>
      </c>
      <c r="F13" s="25">
        <f>SUM(C13:E13)</f>
        <v>413.41999999999996</v>
      </c>
    </row>
    <row r="14" spans="1:6" ht="26.4">
      <c r="A14" s="69">
        <v>1210</v>
      </c>
      <c r="B14" s="76" t="s">
        <v>5</v>
      </c>
      <c r="C14" s="71">
        <v>63.849999999999994</v>
      </c>
      <c r="D14" s="71">
        <v>33.399999999999991</v>
      </c>
      <c r="E14" s="71">
        <v>0.26</v>
      </c>
      <c r="F14" s="25">
        <f>SUM(C14:E14)</f>
        <v>97.509999999999991</v>
      </c>
    </row>
    <row r="15" spans="1:6" ht="14.4">
      <c r="C15" s="68"/>
      <c r="D15" s="77"/>
      <c r="E15" s="77"/>
      <c r="F15" s="68"/>
    </row>
    <row r="16" spans="1:6" ht="28.2" customHeight="1">
      <c r="A16" s="221" t="s">
        <v>11</v>
      </c>
      <c r="B16" s="221"/>
      <c r="C16" s="34">
        <f>C17</f>
        <v>27.87</v>
      </c>
      <c r="D16" s="34">
        <f>D17</f>
        <v>14.57</v>
      </c>
      <c r="E16" s="34">
        <f>E17</f>
        <v>0.11</v>
      </c>
      <c r="F16" s="80">
        <f>F17</f>
        <v>43</v>
      </c>
    </row>
    <row r="17" spans="1:6">
      <c r="A17" s="78" t="s">
        <v>27</v>
      </c>
      <c r="B17" s="79" t="s">
        <v>3</v>
      </c>
      <c r="C17" s="34">
        <f>ROUND(C18+C19,2)</f>
        <v>27.87</v>
      </c>
      <c r="D17" s="34">
        <f>ROUND(D18+D19,2)</f>
        <v>14.57</v>
      </c>
      <c r="E17" s="34">
        <f>ROUND(E18+E19,2)</f>
        <v>0.11</v>
      </c>
      <c r="F17" s="80">
        <f>ROUNDUP(F18+F19,0)</f>
        <v>43</v>
      </c>
    </row>
    <row r="18" spans="1:6">
      <c r="A18" s="65">
        <v>1100</v>
      </c>
      <c r="B18" s="66" t="s">
        <v>4</v>
      </c>
      <c r="C18" s="51">
        <f>ROUND(C12*0.0833,2)</f>
        <v>22.55</v>
      </c>
      <c r="D18" s="51">
        <f>ROUND(D12*0.0833,2)</f>
        <v>11.79</v>
      </c>
      <c r="E18" s="51">
        <f>ROUND(E12*0.0833,2)</f>
        <v>0.09</v>
      </c>
      <c r="F18" s="25">
        <f>SUM(C18:E18)</f>
        <v>34.430000000000007</v>
      </c>
    </row>
    <row r="19" spans="1:6" ht="27.6">
      <c r="A19" s="65">
        <v>1210</v>
      </c>
      <c r="B19" s="67" t="s">
        <v>5</v>
      </c>
      <c r="C19" s="47">
        <f>ROUND(C18*0.2359,2)</f>
        <v>5.32</v>
      </c>
      <c r="D19" s="47">
        <f>ROUND(D18*0.2359,2)</f>
        <v>2.78</v>
      </c>
      <c r="E19" s="47">
        <f>ROUND(E18*0.2359,2)</f>
        <v>0.02</v>
      </c>
      <c r="F19" s="25">
        <f>SUM(C19:E19)</f>
        <v>8.1199999999999992</v>
      </c>
    </row>
  </sheetData>
  <mergeCells count="4">
    <mergeCell ref="A2:F2"/>
    <mergeCell ref="A5:B5"/>
    <mergeCell ref="A10:B10"/>
    <mergeCell ref="A16:B16"/>
  </mergeCells>
  <pageMargins left="0.7" right="0.7" top="0.75" bottom="0.75" header="0.3" footer="0.3"/>
  <pageSetup paperSize="9" scale="99" fitToHeight="0" orientation="portrait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FB855-9DA9-4897-84F4-0999C45C805D}">
  <sheetPr>
    <pageSetUpPr fitToPage="1"/>
  </sheetPr>
  <dimension ref="A1:K23"/>
  <sheetViews>
    <sheetView topLeftCell="A4" zoomScale="94" zoomScaleNormal="94" workbookViewId="0">
      <selection activeCell="K5" sqref="K5"/>
    </sheetView>
  </sheetViews>
  <sheetFormatPr defaultColWidth="9.109375" defaultRowHeight="13.8"/>
  <cols>
    <col min="1" max="1" width="8.109375" style="4" customWidth="1"/>
    <col min="2" max="2" width="29.109375" style="4" customWidth="1"/>
    <col min="3" max="4" width="12" style="4" customWidth="1"/>
    <col min="5" max="5" width="11.77734375" style="4" customWidth="1"/>
    <col min="6" max="6" width="11.5546875" style="4" customWidth="1"/>
    <col min="7" max="7" width="11.33203125" style="4" customWidth="1"/>
    <col min="8" max="8" width="19.77734375" style="4" customWidth="1"/>
    <col min="9" max="9" width="12.33203125" style="4" customWidth="1"/>
    <col min="10" max="16384" width="9.109375" style="4"/>
  </cols>
  <sheetData>
    <row r="1" spans="1:11">
      <c r="A1" s="1"/>
      <c r="B1" s="2"/>
      <c r="C1" s="2"/>
      <c r="D1" s="2"/>
      <c r="E1" s="2"/>
      <c r="I1" s="3" t="s">
        <v>74</v>
      </c>
    </row>
    <row r="2" spans="1:11" ht="66" customHeight="1">
      <c r="A2" s="229" t="s">
        <v>20</v>
      </c>
      <c r="B2" s="229"/>
      <c r="C2" s="229"/>
      <c r="D2" s="229"/>
      <c r="E2" s="229"/>
      <c r="F2" s="229"/>
      <c r="G2" s="229"/>
      <c r="H2" s="229"/>
      <c r="I2" s="229"/>
    </row>
    <row r="4" spans="1:11" ht="103.2">
      <c r="A4" s="6" t="s">
        <v>0</v>
      </c>
      <c r="B4" s="6" t="s">
        <v>1</v>
      </c>
      <c r="C4" s="7" t="s">
        <v>13</v>
      </c>
      <c r="D4" s="7" t="s">
        <v>14</v>
      </c>
      <c r="E4" s="7" t="s">
        <v>15</v>
      </c>
      <c r="F4" s="7" t="s">
        <v>12</v>
      </c>
      <c r="G4" s="7" t="s">
        <v>18</v>
      </c>
      <c r="H4" s="55" t="s">
        <v>17</v>
      </c>
      <c r="I4" s="52" t="s">
        <v>16</v>
      </c>
    </row>
    <row r="5" spans="1:11" ht="30.6" customHeight="1">
      <c r="A5" s="226" t="s">
        <v>2</v>
      </c>
      <c r="B5" s="226"/>
      <c r="C5" s="86">
        <f t="shared" ref="C5:I5" si="0">C11+C20</f>
        <v>39494.51</v>
      </c>
      <c r="D5" s="86">
        <f t="shared" si="0"/>
        <v>34666.93</v>
      </c>
      <c r="E5" s="86">
        <f t="shared" si="0"/>
        <v>32745.02</v>
      </c>
      <c r="F5" s="86">
        <f t="shared" si="0"/>
        <v>38534.239999999998</v>
      </c>
      <c r="G5" s="87">
        <f t="shared" si="0"/>
        <v>145441</v>
      </c>
      <c r="H5" s="89">
        <f t="shared" si="0"/>
        <v>13226</v>
      </c>
      <c r="I5" s="89">
        <f t="shared" si="0"/>
        <v>132215</v>
      </c>
      <c r="K5" s="88"/>
    </row>
    <row r="6" spans="1:11">
      <c r="A6" s="9">
        <v>1000</v>
      </c>
      <c r="B6" s="10" t="s">
        <v>3</v>
      </c>
      <c r="C6" s="11">
        <f>ROUND(C7+C8,2)</f>
        <v>29494.51</v>
      </c>
      <c r="D6" s="11">
        <f>ROUND(D7+D8,2)</f>
        <v>25166.93</v>
      </c>
      <c r="E6" s="11">
        <f>ROUND(E7+E8,2)</f>
        <v>24245.02</v>
      </c>
      <c r="F6" s="11">
        <f>ROUND(F7+F8,2)</f>
        <v>30034.240000000002</v>
      </c>
      <c r="G6" s="81">
        <f>ROUNDUP(G7+G8,0)</f>
        <v>108941</v>
      </c>
      <c r="H6" s="81">
        <f t="shared" ref="H6" si="1">ROUND(H7+H8,2)</f>
        <v>13226</v>
      </c>
      <c r="I6" s="81">
        <f>ROUNDUP(I7+I8,0)</f>
        <v>95715</v>
      </c>
    </row>
    <row r="7" spans="1:11">
      <c r="A7" s="13">
        <v>1100</v>
      </c>
      <c r="B7" s="14" t="s">
        <v>4</v>
      </c>
      <c r="C7" s="47">
        <f>C13+C22</f>
        <v>23869.020000000004</v>
      </c>
      <c r="D7" s="15">
        <f>D13+D22</f>
        <v>20363.940000000006</v>
      </c>
      <c r="E7" s="15">
        <f>E13+E22</f>
        <v>19617.300000000003</v>
      </c>
      <c r="F7" s="15">
        <f>F13+F22</f>
        <v>24306.89</v>
      </c>
      <c r="G7" s="15">
        <f>G13+G22</f>
        <v>88157.150000000023</v>
      </c>
      <c r="H7" s="47">
        <f t="shared" ref="H7:I7" si="2">H13+H22</f>
        <v>10701.52</v>
      </c>
      <c r="I7" s="47">
        <f t="shared" si="2"/>
        <v>77455.63</v>
      </c>
    </row>
    <row r="8" spans="1:11" ht="26.4">
      <c r="A8" s="13">
        <v>1210</v>
      </c>
      <c r="B8" s="16" t="s">
        <v>5</v>
      </c>
      <c r="C8" s="47">
        <f>C16+C23</f>
        <v>5625.49</v>
      </c>
      <c r="D8" s="15">
        <f>D16+D23</f>
        <v>4802.9900000000007</v>
      </c>
      <c r="E8" s="15">
        <f>E16+E23</f>
        <v>4627.72</v>
      </c>
      <c r="F8" s="15">
        <f>F16+F23</f>
        <v>5727.35</v>
      </c>
      <c r="G8" s="15">
        <f>G16+G23</f>
        <v>20783.55</v>
      </c>
      <c r="H8" s="47">
        <f t="shared" ref="H8:I8" si="3">H16+H23</f>
        <v>2524.48</v>
      </c>
      <c r="I8" s="47">
        <f t="shared" si="3"/>
        <v>18259.07</v>
      </c>
    </row>
    <row r="9" spans="1:11">
      <c r="A9" s="9">
        <v>6000</v>
      </c>
      <c r="B9" s="10" t="s">
        <v>6</v>
      </c>
      <c r="C9" s="17">
        <f>C17</f>
        <v>10000</v>
      </c>
      <c r="D9" s="17">
        <f>D17</f>
        <v>9500</v>
      </c>
      <c r="E9" s="17">
        <f>E17</f>
        <v>8500</v>
      </c>
      <c r="F9" s="17">
        <f>F17</f>
        <v>8500</v>
      </c>
      <c r="G9" s="30">
        <f>G17</f>
        <v>36500</v>
      </c>
      <c r="H9" s="30"/>
      <c r="I9" s="30">
        <f>I17</f>
        <v>36500</v>
      </c>
    </row>
    <row r="10" spans="1:11">
      <c r="C10" s="12"/>
      <c r="D10" s="12"/>
      <c r="E10" s="12"/>
      <c r="F10" s="12"/>
      <c r="G10" s="12"/>
      <c r="H10" s="12"/>
      <c r="I10" s="12"/>
    </row>
    <row r="11" spans="1:11" ht="40.799999999999997" customHeight="1">
      <c r="A11" s="230" t="s">
        <v>7</v>
      </c>
      <c r="B11" s="231"/>
      <c r="C11" s="18">
        <f t="shared" ref="C11:I11" si="4">C12+C17</f>
        <v>37226.14</v>
      </c>
      <c r="D11" s="18">
        <f t="shared" si="4"/>
        <v>32731.66</v>
      </c>
      <c r="E11" s="18">
        <f t="shared" si="4"/>
        <v>30880.7</v>
      </c>
      <c r="F11" s="18">
        <f t="shared" si="4"/>
        <v>36224.259999999995</v>
      </c>
      <c r="G11" s="83">
        <f t="shared" si="4"/>
        <v>137063</v>
      </c>
      <c r="H11" s="83">
        <f t="shared" si="4"/>
        <v>13226</v>
      </c>
      <c r="I11" s="83">
        <f t="shared" si="4"/>
        <v>123837</v>
      </c>
    </row>
    <row r="12" spans="1:11">
      <c r="A12" s="9">
        <v>1000</v>
      </c>
      <c r="B12" s="10" t="s">
        <v>3</v>
      </c>
      <c r="C12" s="19">
        <f>ROUND(C13+C16,2)</f>
        <v>27226.14</v>
      </c>
      <c r="D12" s="19">
        <f>ROUND(D13+D16,2)</f>
        <v>23231.66</v>
      </c>
      <c r="E12" s="19">
        <f>ROUND(E13+E16,2)</f>
        <v>22380.7</v>
      </c>
      <c r="F12" s="19">
        <f>ROUND(F13+F16,2)</f>
        <v>27724.26</v>
      </c>
      <c r="G12" s="84">
        <f>ROUNDUP(G13+G16,0)</f>
        <v>100563</v>
      </c>
      <c r="H12" s="84">
        <f t="shared" ref="H12" si="5">ROUND(H13+H16,2)</f>
        <v>13226</v>
      </c>
      <c r="I12" s="84">
        <f>ROUNDUP(I13+I16,0)</f>
        <v>87337</v>
      </c>
    </row>
    <row r="13" spans="1:11">
      <c r="A13" s="20">
        <v>1100</v>
      </c>
      <c r="B13" s="21" t="s">
        <v>4</v>
      </c>
      <c r="C13" s="22">
        <f t="shared" ref="C13:I13" si="6">SUM(C14:C15)</f>
        <v>22033.620000000003</v>
      </c>
      <c r="D13" s="22">
        <f t="shared" si="6"/>
        <v>18798.060000000005</v>
      </c>
      <c r="E13" s="22">
        <f t="shared" si="6"/>
        <v>18108.830000000002</v>
      </c>
      <c r="F13" s="22">
        <f t="shared" si="6"/>
        <v>22437.82</v>
      </c>
      <c r="G13" s="22">
        <f t="shared" si="6"/>
        <v>81378.330000000016</v>
      </c>
      <c r="H13" s="22">
        <f t="shared" si="6"/>
        <v>10701.52</v>
      </c>
      <c r="I13" s="22">
        <f t="shared" si="6"/>
        <v>70676.810000000012</v>
      </c>
    </row>
    <row r="14" spans="1:11" ht="26.4">
      <c r="A14" s="23">
        <v>1142</v>
      </c>
      <c r="B14" s="24" t="s">
        <v>8</v>
      </c>
      <c r="C14" s="48">
        <v>12983.490000000002</v>
      </c>
      <c r="D14" s="43">
        <v>11010.350000000002</v>
      </c>
      <c r="E14" s="25">
        <v>10868.63</v>
      </c>
      <c r="F14" s="25">
        <v>14561.150000000001</v>
      </c>
      <c r="G14" s="25">
        <f>SUM(C14:F14)</f>
        <v>49423.62</v>
      </c>
      <c r="H14" s="53">
        <v>10701.52</v>
      </c>
      <c r="I14" s="53">
        <f>G14-H14</f>
        <v>38722.100000000006</v>
      </c>
    </row>
    <row r="15" spans="1:11" ht="57" customHeight="1">
      <c r="A15" s="23">
        <v>1149</v>
      </c>
      <c r="B15" s="26" t="s">
        <v>9</v>
      </c>
      <c r="C15" s="49">
        <v>9050.130000000001</v>
      </c>
      <c r="D15" s="44">
        <v>7787.7100000000019</v>
      </c>
      <c r="E15" s="27">
        <v>7240.2000000000016</v>
      </c>
      <c r="F15" s="27">
        <v>7876.67</v>
      </c>
      <c r="G15" s="25">
        <f t="shared" ref="G15:G18" si="7">SUM(C15:F15)</f>
        <v>31954.710000000006</v>
      </c>
      <c r="H15" s="53"/>
      <c r="I15" s="53">
        <f t="shared" ref="I15:I16" si="8">G15-H15</f>
        <v>31954.710000000006</v>
      </c>
    </row>
    <row r="16" spans="1:11" ht="26.4">
      <c r="A16" s="20">
        <v>1210</v>
      </c>
      <c r="B16" s="28" t="s">
        <v>5</v>
      </c>
      <c r="C16" s="45">
        <v>5192.5199999999995</v>
      </c>
      <c r="D16" s="45">
        <v>4433.6000000000004</v>
      </c>
      <c r="E16" s="29">
        <v>4271.87</v>
      </c>
      <c r="F16" s="29">
        <v>5286.4400000000005</v>
      </c>
      <c r="G16" s="25">
        <f t="shared" si="7"/>
        <v>19184.43</v>
      </c>
      <c r="H16" s="53">
        <v>2524.48</v>
      </c>
      <c r="I16" s="53">
        <f t="shared" si="8"/>
        <v>16659.95</v>
      </c>
    </row>
    <row r="17" spans="1:9">
      <c r="A17" s="9">
        <v>6000</v>
      </c>
      <c r="B17" s="10" t="s">
        <v>6</v>
      </c>
      <c r="C17" s="17">
        <f>C18</f>
        <v>10000</v>
      </c>
      <c r="D17" s="17">
        <f>D18</f>
        <v>9500</v>
      </c>
      <c r="E17" s="17">
        <f>E18</f>
        <v>8500</v>
      </c>
      <c r="F17" s="30">
        <f>F18</f>
        <v>8500</v>
      </c>
      <c r="G17" s="30">
        <f>G18</f>
        <v>36500</v>
      </c>
      <c r="H17" s="17"/>
      <c r="I17" s="30">
        <f t="shared" ref="I17" si="9">I18</f>
        <v>36500</v>
      </c>
    </row>
    <row r="18" spans="1:9" ht="43.8" customHeight="1">
      <c r="A18" s="31">
        <v>6239</v>
      </c>
      <c r="B18" s="32" t="s">
        <v>10</v>
      </c>
      <c r="C18" s="50">
        <v>10000</v>
      </c>
      <c r="D18" s="46">
        <v>9500</v>
      </c>
      <c r="E18" s="42">
        <v>8500</v>
      </c>
      <c r="F18" s="33">
        <v>8500</v>
      </c>
      <c r="G18" s="25">
        <f t="shared" si="7"/>
        <v>36500</v>
      </c>
      <c r="H18" s="53"/>
      <c r="I18" s="53">
        <f>G18-H18</f>
        <v>36500</v>
      </c>
    </row>
    <row r="19" spans="1:9">
      <c r="C19" s="12"/>
      <c r="D19" s="12"/>
      <c r="E19" s="12"/>
      <c r="H19" s="12"/>
      <c r="I19" s="12"/>
    </row>
    <row r="20" spans="1:9" ht="28.2" customHeight="1">
      <c r="A20" s="227" t="s">
        <v>11</v>
      </c>
      <c r="B20" s="228"/>
      <c r="C20" s="34">
        <f>C21</f>
        <v>2268.37</v>
      </c>
      <c r="D20" s="34">
        <f>D21</f>
        <v>1935.27</v>
      </c>
      <c r="E20" s="34">
        <f>E21</f>
        <v>1864.32</v>
      </c>
      <c r="F20" s="34">
        <f>F21</f>
        <v>2309.98</v>
      </c>
      <c r="G20" s="80">
        <f>G21</f>
        <v>8378</v>
      </c>
      <c r="H20" s="85"/>
      <c r="I20" s="80">
        <f>I21</f>
        <v>8378</v>
      </c>
    </row>
    <row r="21" spans="1:9">
      <c r="A21" s="35">
        <v>1000</v>
      </c>
      <c r="B21" s="36" t="s">
        <v>3</v>
      </c>
      <c r="C21" s="34">
        <f>ROUND(C22+C23,2)</f>
        <v>2268.37</v>
      </c>
      <c r="D21" s="34">
        <f>ROUND(D22+D23,2)</f>
        <v>1935.27</v>
      </c>
      <c r="E21" s="34">
        <f>ROUND(E22+E23,2)</f>
        <v>1864.32</v>
      </c>
      <c r="F21" s="34">
        <f>ROUND(F22+F23,2)</f>
        <v>2309.98</v>
      </c>
      <c r="G21" s="80">
        <f>ROUNDUP(G22+G23,0)</f>
        <v>8378</v>
      </c>
      <c r="H21" s="80"/>
      <c r="I21" s="80">
        <f t="shared" ref="I21" si="10">ROUNDUP(I22+I23,0)</f>
        <v>8378</v>
      </c>
    </row>
    <row r="22" spans="1:9">
      <c r="A22" s="37">
        <v>1100</v>
      </c>
      <c r="B22" s="38" t="s">
        <v>4</v>
      </c>
      <c r="C22" s="51">
        <f>ROUND(C13*0.0833,2)</f>
        <v>1835.4</v>
      </c>
      <c r="D22" s="39">
        <f>ROUND(D13*0.0833,2)</f>
        <v>1565.88</v>
      </c>
      <c r="E22" s="39">
        <f>ROUND(E13*0.0833,2)</f>
        <v>1508.47</v>
      </c>
      <c r="F22" s="39">
        <f>ROUND(F13*0.0833,2)</f>
        <v>1869.07</v>
      </c>
      <c r="G22" s="25">
        <f t="shared" ref="G22:G23" si="11">SUM(C22:F22)</f>
        <v>6778.82</v>
      </c>
      <c r="H22" s="54"/>
      <c r="I22" s="53">
        <f>G22-H22</f>
        <v>6778.82</v>
      </c>
    </row>
    <row r="23" spans="1:9" ht="26.4">
      <c r="A23" s="37">
        <v>1210</v>
      </c>
      <c r="B23" s="40" t="s">
        <v>5</v>
      </c>
      <c r="C23" s="47">
        <f>ROUND(C22*0.2359,2)</f>
        <v>432.97</v>
      </c>
      <c r="D23" s="15">
        <f>ROUND(D22*0.2359,2)</f>
        <v>369.39</v>
      </c>
      <c r="E23" s="15">
        <f>ROUND(E22*0.2359,2)</f>
        <v>355.85</v>
      </c>
      <c r="F23" s="41">
        <f>ROUND(F22*0.2359,2)</f>
        <v>440.91</v>
      </c>
      <c r="G23" s="25">
        <f t="shared" si="11"/>
        <v>1599.1200000000001</v>
      </c>
      <c r="H23" s="54"/>
      <c r="I23" s="53">
        <f>G23-H23</f>
        <v>1599.1200000000001</v>
      </c>
    </row>
  </sheetData>
  <mergeCells count="4">
    <mergeCell ref="A5:B5"/>
    <mergeCell ref="A20:B20"/>
    <mergeCell ref="A2:I2"/>
    <mergeCell ref="A11:B11"/>
  </mergeCells>
  <pageMargins left="0.7" right="0.7" top="0.75" bottom="0.75" header="0.3" footer="0.3"/>
  <pageSetup paperSize="9" scale="68" fitToHeight="0" orientation="portrait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AF4F8-D446-47A7-AA5A-8AE9CA1E5AF9}">
  <sheetPr>
    <pageSetUpPr fitToPage="1"/>
  </sheetPr>
  <dimension ref="A1:F8"/>
  <sheetViews>
    <sheetView zoomScale="89" zoomScaleNormal="89" workbookViewId="0">
      <selection activeCell="J5" sqref="J5"/>
    </sheetView>
  </sheetViews>
  <sheetFormatPr defaultRowHeight="14.4"/>
  <cols>
    <col min="1" max="1" width="8.88671875" style="152"/>
    <col min="2" max="2" width="19.6640625" style="152" customWidth="1"/>
    <col min="3" max="3" width="46.109375" style="152" customWidth="1"/>
    <col min="4" max="4" width="8.88671875" style="152"/>
    <col min="5" max="5" width="24.88671875" style="152" customWidth="1"/>
    <col min="6" max="6" width="12.44140625" style="152" customWidth="1"/>
    <col min="7" max="16384" width="8.88671875" style="152"/>
  </cols>
  <sheetData>
    <row r="1" spans="1:6">
      <c r="F1" s="3" t="s">
        <v>75</v>
      </c>
    </row>
    <row r="2" spans="1:6">
      <c r="A2" s="153"/>
    </row>
    <row r="3" spans="1:6" ht="43.8" customHeight="1">
      <c r="A3" s="235" t="s">
        <v>63</v>
      </c>
      <c r="B3" s="235"/>
      <c r="C3" s="235"/>
      <c r="D3" s="235"/>
      <c r="E3" s="235"/>
      <c r="F3" s="235"/>
    </row>
    <row r="5" spans="1:6" ht="120">
      <c r="A5" s="154" t="s">
        <v>0</v>
      </c>
      <c r="B5" s="154" t="s">
        <v>1</v>
      </c>
      <c r="C5" s="154" t="s">
        <v>21</v>
      </c>
      <c r="D5" s="155" t="s">
        <v>22</v>
      </c>
      <c r="E5" s="115" t="s">
        <v>41</v>
      </c>
      <c r="F5" s="115" t="s">
        <v>16</v>
      </c>
    </row>
    <row r="6" spans="1:6">
      <c r="A6" s="232" t="s">
        <v>62</v>
      </c>
      <c r="B6" s="233"/>
      <c r="C6" s="234"/>
      <c r="D6" s="196">
        <f t="shared" ref="D6:F6" si="0">D7</f>
        <v>33344</v>
      </c>
      <c r="E6" s="197">
        <f t="shared" si="0"/>
        <v>8012</v>
      </c>
      <c r="F6" s="197">
        <f t="shared" si="0"/>
        <v>25332</v>
      </c>
    </row>
    <row r="7" spans="1:6">
      <c r="A7" s="198">
        <v>2000</v>
      </c>
      <c r="B7" s="199" t="s">
        <v>29</v>
      </c>
      <c r="C7" s="200"/>
      <c r="D7" s="201">
        <f>D8</f>
        <v>33344</v>
      </c>
      <c r="E7" s="201">
        <f>E8</f>
        <v>8012</v>
      </c>
      <c r="F7" s="201">
        <f>F8</f>
        <v>25332</v>
      </c>
    </row>
    <row r="8" spans="1:6" ht="80.400000000000006" customHeight="1">
      <c r="A8" s="156">
        <v>2271</v>
      </c>
      <c r="B8" s="157" t="s">
        <v>34</v>
      </c>
      <c r="C8" s="158" t="s">
        <v>80</v>
      </c>
      <c r="D8" s="159">
        <v>33344</v>
      </c>
      <c r="E8" s="159">
        <v>8012</v>
      </c>
      <c r="F8" s="159">
        <f>D8-E8</f>
        <v>25332</v>
      </c>
    </row>
  </sheetData>
  <mergeCells count="2">
    <mergeCell ref="A6:C6"/>
    <mergeCell ref="A3:F3"/>
  </mergeCells>
  <pageMargins left="0.7" right="0.7" top="0.75" bottom="0.75" header="0.3" footer="0.3"/>
  <pageSetup paperSize="9" scale="72" fitToHeight="0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kopsavilkums</vt:lpstr>
      <vt:lpstr>3.tabula_VP kopā</vt:lpstr>
      <vt:lpstr>4.tabula_VRS kopā</vt:lpstr>
      <vt:lpstr>5.tabula_VRK kopā </vt:lpstr>
      <vt:lpstr>6.tabula_PMLP kopā</vt:lpstr>
      <vt:lpstr>7.tabula_VDD kopā</vt:lpstr>
      <vt:lpstr>'3.tabula_VP kopā'!Print_Area</vt:lpstr>
      <vt:lpstr>'3.tabula_VP kopā'!Print_Titles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1.pielikums</dc:title>
  <dc:creator>Inga Ošiņa</dc:creator>
  <cp:lastModifiedBy>Inga Ošiņa</cp:lastModifiedBy>
  <cp:lastPrinted>2023-06-12T06:43:04Z</cp:lastPrinted>
  <dcterms:created xsi:type="dcterms:W3CDTF">2023-06-06T14:28:53Z</dcterms:created>
  <dcterms:modified xsi:type="dcterms:W3CDTF">2023-06-20T11:31:35Z</dcterms:modified>
</cp:coreProperties>
</file>