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731"/>
  <workbookPr defaultThemeVersion="166925"/>
  <mc:AlternateContent xmlns:mc="http://schemas.openxmlformats.org/markup-compatibility/2006">
    <mc:Choice Requires="x15">
      <x15ac:absPath xmlns:x15ac="http://schemas.microsoft.com/office/spreadsheetml/2010/11/ac" url="C:\Users\Linda.Gurecka\OneDrive - zm.gov.lv\Documents\Projekti\PVD maksas\PVD cenrādis 2023\PVD cenrādis RKP 2023 dec\Saskaņošana ar PVD un JD 05.01.2024\"/>
    </mc:Choice>
  </mc:AlternateContent>
  <xr:revisionPtr revIDLastSave="0" documentId="13_ncr:1_{6410E57C-3A7A-4EB4-8F0F-F28DF09F551F}" xr6:coauthVersionLast="47" xr6:coauthVersionMax="47" xr10:uidLastSave="{00000000-0000-0000-0000-000000000000}"/>
  <bookViews>
    <workbookView xWindow="-110" yWindow="-110" windowWidth="19420" windowHeight="10420" xr2:uid="{4AFA6DFC-C0E2-476F-9692-6901E7779089}"/>
  </bookViews>
  <sheets>
    <sheet name="Sheet1" sheetId="1" r:id="rId1"/>
  </sheets>
  <definedNames>
    <definedName name="_Hlk23255370" localSheetId="0">Sheet1!#REF!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2" i="1" l="1"/>
  <c r="D43" i="1"/>
  <c r="AP43" i="1"/>
  <c r="AO43" i="1"/>
  <c r="AN43" i="1"/>
  <c r="AM43" i="1"/>
  <c r="AL43" i="1"/>
  <c r="AK43" i="1"/>
  <c r="AJ43" i="1"/>
  <c r="AI43" i="1"/>
  <c r="AH43" i="1"/>
  <c r="AG43" i="1"/>
  <c r="AF43" i="1"/>
  <c r="AE43" i="1"/>
  <c r="AD43" i="1"/>
  <c r="AC43" i="1"/>
  <c r="AB43" i="1"/>
  <c r="AA43" i="1"/>
  <c r="Z43" i="1"/>
  <c r="Y43" i="1"/>
  <c r="X43" i="1"/>
  <c r="W43" i="1"/>
  <c r="V43" i="1"/>
  <c r="U43" i="1"/>
  <c r="T43" i="1"/>
  <c r="S43" i="1"/>
  <c r="R43" i="1"/>
  <c r="Q43" i="1"/>
  <c r="P43" i="1"/>
  <c r="O43" i="1"/>
  <c r="N43" i="1"/>
  <c r="AQ43" i="1" s="1"/>
  <c r="M43" i="1" s="1"/>
  <c r="G43" i="1"/>
  <c r="E43" i="1" s="1"/>
  <c r="AP42" i="1"/>
  <c r="AO42" i="1"/>
  <c r="AN42" i="1"/>
  <c r="AM42" i="1"/>
  <c r="AL42" i="1"/>
  <c r="AK42" i="1"/>
  <c r="AJ42" i="1"/>
  <c r="AI42" i="1"/>
  <c r="AH42" i="1"/>
  <c r="AG42" i="1"/>
  <c r="AF42" i="1"/>
  <c r="AE42" i="1"/>
  <c r="AD42" i="1"/>
  <c r="AC42" i="1"/>
  <c r="AB42" i="1"/>
  <c r="AA42" i="1"/>
  <c r="Z42" i="1"/>
  <c r="Y42" i="1"/>
  <c r="X42" i="1"/>
  <c r="W42" i="1"/>
  <c r="V42" i="1"/>
  <c r="U42" i="1"/>
  <c r="T42" i="1"/>
  <c r="S42" i="1"/>
  <c r="R42" i="1"/>
  <c r="Q42" i="1"/>
  <c r="P42" i="1"/>
  <c r="O42" i="1"/>
  <c r="N42" i="1"/>
  <c r="G42" i="1"/>
  <c r="E42" i="1" s="1"/>
  <c r="AQ47" i="1"/>
  <c r="M47" i="1" s="1"/>
  <c r="E47" i="1"/>
  <c r="L47" i="1" s="1"/>
  <c r="AP40" i="1"/>
  <c r="AN40" i="1"/>
  <c r="AM40" i="1"/>
  <c r="AL40" i="1"/>
  <c r="AJ40" i="1"/>
  <c r="AI40" i="1"/>
  <c r="AH40" i="1"/>
  <c r="AF40" i="1"/>
  <c r="AE40" i="1"/>
  <c r="AD40" i="1"/>
  <c r="AC40" i="1"/>
  <c r="AB40" i="1"/>
  <c r="AA40" i="1"/>
  <c r="Z40" i="1"/>
  <c r="Y40" i="1"/>
  <c r="X40" i="1"/>
  <c r="W40" i="1"/>
  <c r="V40" i="1"/>
  <c r="U40" i="1"/>
  <c r="T40" i="1"/>
  <c r="S40" i="1"/>
  <c r="R40" i="1"/>
  <c r="Q40" i="1"/>
  <c r="P40" i="1"/>
  <c r="O40" i="1"/>
  <c r="G40" i="1"/>
  <c r="E40" i="1" s="1"/>
  <c r="L40" i="1" s="1"/>
  <c r="AP39" i="1"/>
  <c r="AN39" i="1"/>
  <c r="AM39" i="1"/>
  <c r="AL39" i="1"/>
  <c r="AJ39" i="1"/>
  <c r="AI39" i="1"/>
  <c r="AH39" i="1"/>
  <c r="AF39" i="1"/>
  <c r="AE39" i="1"/>
  <c r="AD39" i="1"/>
  <c r="AC39" i="1"/>
  <c r="AB39" i="1"/>
  <c r="AA39" i="1"/>
  <c r="Z39" i="1"/>
  <c r="Y39" i="1"/>
  <c r="X39" i="1"/>
  <c r="W39" i="1"/>
  <c r="V39" i="1"/>
  <c r="U39" i="1"/>
  <c r="T39" i="1"/>
  <c r="S39" i="1"/>
  <c r="R39" i="1"/>
  <c r="Q39" i="1"/>
  <c r="P39" i="1"/>
  <c r="O39" i="1"/>
  <c r="G39" i="1"/>
  <c r="E39" i="1" s="1"/>
  <c r="L39" i="1" s="1"/>
  <c r="AP38" i="1"/>
  <c r="AN38" i="1"/>
  <c r="AM38" i="1"/>
  <c r="AL38" i="1"/>
  <c r="AJ38" i="1"/>
  <c r="AI38" i="1"/>
  <c r="AH38" i="1"/>
  <c r="AF38" i="1"/>
  <c r="AE38" i="1"/>
  <c r="AD38" i="1"/>
  <c r="AC38" i="1"/>
  <c r="AB38" i="1"/>
  <c r="AA38" i="1"/>
  <c r="Z38" i="1"/>
  <c r="Y38" i="1"/>
  <c r="X38" i="1"/>
  <c r="W38" i="1"/>
  <c r="V38" i="1"/>
  <c r="U38" i="1"/>
  <c r="T38" i="1"/>
  <c r="S38" i="1"/>
  <c r="R38" i="1"/>
  <c r="Q38" i="1"/>
  <c r="P38" i="1"/>
  <c r="O38" i="1"/>
  <c r="G38" i="1"/>
  <c r="E38" i="1" s="1"/>
  <c r="L38" i="1" s="1"/>
  <c r="AQ37" i="1"/>
  <c r="M37" i="1" s="1"/>
  <c r="E37" i="1"/>
  <c r="L37" i="1" s="1"/>
  <c r="AQ31" i="1"/>
  <c r="M31" i="1" s="1"/>
  <c r="E31" i="1"/>
  <c r="L31" i="1" s="1"/>
  <c r="AQ30" i="1"/>
  <c r="M30" i="1" s="1"/>
  <c r="E30" i="1"/>
  <c r="L30" i="1" s="1"/>
  <c r="AP29" i="1"/>
  <c r="AN29" i="1"/>
  <c r="AM29" i="1"/>
  <c r="AL29" i="1"/>
  <c r="AJ29" i="1"/>
  <c r="AI29" i="1"/>
  <c r="AH29" i="1"/>
  <c r="AF29" i="1"/>
  <c r="AE29" i="1"/>
  <c r="AD29" i="1"/>
  <c r="AC29" i="1"/>
  <c r="AB29" i="1"/>
  <c r="AA29" i="1"/>
  <c r="Z29" i="1"/>
  <c r="Y29" i="1"/>
  <c r="X29" i="1"/>
  <c r="W29" i="1"/>
  <c r="V29" i="1"/>
  <c r="U29" i="1"/>
  <c r="T29" i="1"/>
  <c r="S29" i="1"/>
  <c r="R29" i="1"/>
  <c r="Q29" i="1"/>
  <c r="P29" i="1"/>
  <c r="O29" i="1"/>
  <c r="G29" i="1"/>
  <c r="E29" i="1" s="1"/>
  <c r="L29" i="1" s="1"/>
  <c r="AP27" i="1"/>
  <c r="AN27" i="1"/>
  <c r="AM27" i="1"/>
  <c r="AL27" i="1"/>
  <c r="AJ27" i="1"/>
  <c r="AI27" i="1"/>
  <c r="AH27" i="1"/>
  <c r="AF27" i="1"/>
  <c r="AE27" i="1"/>
  <c r="AD27" i="1"/>
  <c r="AC27" i="1"/>
  <c r="AB27" i="1"/>
  <c r="AA27" i="1"/>
  <c r="Z27" i="1"/>
  <c r="Y27" i="1"/>
  <c r="X27" i="1"/>
  <c r="W27" i="1"/>
  <c r="V27" i="1"/>
  <c r="U27" i="1"/>
  <c r="T27" i="1"/>
  <c r="S27" i="1"/>
  <c r="R27" i="1"/>
  <c r="Q27" i="1"/>
  <c r="P27" i="1"/>
  <c r="O27" i="1"/>
  <c r="G27" i="1"/>
  <c r="E27" i="1" s="1"/>
  <c r="L27" i="1" s="1"/>
  <c r="AQ25" i="1"/>
  <c r="M25" i="1" s="1"/>
  <c r="E25" i="1"/>
  <c r="L25" i="1" s="1"/>
  <c r="AQ24" i="1"/>
  <c r="M24" i="1" s="1"/>
  <c r="E24" i="1"/>
  <c r="L24" i="1" s="1"/>
  <c r="AP23" i="1"/>
  <c r="AN23" i="1"/>
  <c r="AM23" i="1"/>
  <c r="AL23" i="1"/>
  <c r="AJ23" i="1"/>
  <c r="AI23" i="1"/>
  <c r="AH23" i="1"/>
  <c r="AF23" i="1"/>
  <c r="AE23" i="1"/>
  <c r="AD23" i="1"/>
  <c r="AC23" i="1"/>
  <c r="AB23" i="1"/>
  <c r="AA23" i="1"/>
  <c r="Z23" i="1"/>
  <c r="Y23" i="1"/>
  <c r="X23" i="1"/>
  <c r="W23" i="1"/>
  <c r="V23" i="1"/>
  <c r="U23" i="1"/>
  <c r="T23" i="1"/>
  <c r="S23" i="1"/>
  <c r="R23" i="1"/>
  <c r="Q23" i="1"/>
  <c r="P23" i="1"/>
  <c r="O23" i="1"/>
  <c r="G23" i="1"/>
  <c r="E23" i="1" s="1"/>
  <c r="L23" i="1" s="1"/>
  <c r="AP21" i="1"/>
  <c r="AN21" i="1"/>
  <c r="AM21" i="1"/>
  <c r="AL21" i="1"/>
  <c r="AJ21" i="1"/>
  <c r="AI21" i="1"/>
  <c r="AH21" i="1"/>
  <c r="AF21" i="1"/>
  <c r="AE21" i="1"/>
  <c r="AD21" i="1"/>
  <c r="AC21" i="1"/>
  <c r="AB21" i="1"/>
  <c r="AA21" i="1"/>
  <c r="Z21" i="1"/>
  <c r="Y21" i="1"/>
  <c r="X21" i="1"/>
  <c r="W21" i="1"/>
  <c r="V21" i="1"/>
  <c r="U21" i="1"/>
  <c r="T21" i="1"/>
  <c r="S21" i="1"/>
  <c r="R21" i="1"/>
  <c r="Q21" i="1"/>
  <c r="P21" i="1"/>
  <c r="O21" i="1"/>
  <c r="G21" i="1"/>
  <c r="E21" i="1" s="1"/>
  <c r="L21" i="1" s="1"/>
  <c r="AP19" i="1"/>
  <c r="AN19" i="1"/>
  <c r="AM19" i="1"/>
  <c r="AL19" i="1"/>
  <c r="AJ19" i="1"/>
  <c r="AI19" i="1"/>
  <c r="AH19" i="1"/>
  <c r="AF19" i="1"/>
  <c r="AE19" i="1"/>
  <c r="AD19" i="1"/>
  <c r="AC19" i="1"/>
  <c r="AB19" i="1"/>
  <c r="AA19" i="1"/>
  <c r="Z19" i="1"/>
  <c r="Y19" i="1"/>
  <c r="X19" i="1"/>
  <c r="W19" i="1"/>
  <c r="V19" i="1"/>
  <c r="U19" i="1"/>
  <c r="T19" i="1"/>
  <c r="S19" i="1"/>
  <c r="R19" i="1"/>
  <c r="Q19" i="1"/>
  <c r="P19" i="1"/>
  <c r="O19" i="1"/>
  <c r="G19" i="1"/>
  <c r="E19" i="1" s="1"/>
  <c r="L19" i="1" s="1"/>
  <c r="AQ18" i="1"/>
  <c r="M18" i="1" s="1"/>
  <c r="E18" i="1"/>
  <c r="L18" i="1" s="1"/>
  <c r="L43" i="1" l="1"/>
  <c r="AR43" i="1" s="1"/>
  <c r="AT43" i="1" s="1"/>
  <c r="L42" i="1"/>
  <c r="AQ42" i="1"/>
  <c r="M42" i="1" s="1"/>
  <c r="AR47" i="1"/>
  <c r="AT47" i="1" s="1"/>
  <c r="AQ39" i="1"/>
  <c r="M39" i="1" s="1"/>
  <c r="AR39" i="1" s="1"/>
  <c r="AT39" i="1" s="1"/>
  <c r="AR18" i="1"/>
  <c r="AT18" i="1" s="1"/>
  <c r="AQ29" i="1"/>
  <c r="M29" i="1" s="1"/>
  <c r="AR29" i="1" s="1"/>
  <c r="AT29" i="1" s="1"/>
  <c r="AQ27" i="1"/>
  <c r="M27" i="1" s="1"/>
  <c r="AR27" i="1" s="1"/>
  <c r="AT27" i="1" s="1"/>
  <c r="AR37" i="1"/>
  <c r="AT37" i="1" s="1"/>
  <c r="AR30" i="1"/>
  <c r="AT30" i="1" s="1"/>
  <c r="AQ38" i="1"/>
  <c r="M38" i="1" s="1"/>
  <c r="AR38" i="1" s="1"/>
  <c r="AT38" i="1" s="1"/>
  <c r="AR31" i="1"/>
  <c r="AT31" i="1" s="1"/>
  <c r="AQ19" i="1"/>
  <c r="M19" i="1" s="1"/>
  <c r="AR19" i="1" s="1"/>
  <c r="AT19" i="1" s="1"/>
  <c r="AQ21" i="1"/>
  <c r="M21" i="1" s="1"/>
  <c r="AR21" i="1" s="1"/>
  <c r="AT21" i="1" s="1"/>
  <c r="AQ23" i="1"/>
  <c r="M23" i="1" s="1"/>
  <c r="AR23" i="1" s="1"/>
  <c r="AT23" i="1" s="1"/>
  <c r="AR25" i="1"/>
  <c r="AT25" i="1" s="1"/>
  <c r="AR24" i="1"/>
  <c r="AT24" i="1" s="1"/>
  <c r="AQ40" i="1"/>
  <c r="M40" i="1" s="1"/>
  <c r="AR40" i="1" s="1"/>
  <c r="AT40" i="1" s="1"/>
  <c r="E36" i="1"/>
  <c r="L36" i="1" s="1"/>
  <c r="G35" i="1"/>
  <c r="E35" i="1" s="1"/>
  <c r="L35" i="1" s="1"/>
  <c r="O35" i="1"/>
  <c r="P35" i="1"/>
  <c r="Q35" i="1"/>
  <c r="R35" i="1"/>
  <c r="S35" i="1"/>
  <c r="T35" i="1"/>
  <c r="U35" i="1"/>
  <c r="V35" i="1"/>
  <c r="W35" i="1"/>
  <c r="X35" i="1"/>
  <c r="Y35" i="1"/>
  <c r="Z35" i="1"/>
  <c r="AA35" i="1"/>
  <c r="AB35" i="1"/>
  <c r="AC35" i="1"/>
  <c r="AD35" i="1"/>
  <c r="AE35" i="1"/>
  <c r="AF35" i="1"/>
  <c r="AH35" i="1"/>
  <c r="AI35" i="1"/>
  <c r="AJ35" i="1"/>
  <c r="AL35" i="1"/>
  <c r="AM35" i="1"/>
  <c r="AN35" i="1"/>
  <c r="AP35" i="1"/>
  <c r="AQ36" i="1"/>
  <c r="M36" i="1" s="1"/>
  <c r="G33" i="1"/>
  <c r="E33" i="1" s="1"/>
  <c r="L33" i="1" s="1"/>
  <c r="O33" i="1"/>
  <c r="P33" i="1"/>
  <c r="Q33" i="1"/>
  <c r="R33" i="1"/>
  <c r="S33" i="1"/>
  <c r="T33" i="1"/>
  <c r="U33" i="1"/>
  <c r="V33" i="1"/>
  <c r="W33" i="1"/>
  <c r="X33" i="1"/>
  <c r="Y33" i="1"/>
  <c r="Z33" i="1"/>
  <c r="AA33" i="1"/>
  <c r="AB33" i="1"/>
  <c r="AC33" i="1"/>
  <c r="AD33" i="1"/>
  <c r="AE33" i="1"/>
  <c r="AF33" i="1"/>
  <c r="AH33" i="1"/>
  <c r="AI33" i="1"/>
  <c r="AJ33" i="1"/>
  <c r="AL33" i="1"/>
  <c r="AM33" i="1"/>
  <c r="AN33" i="1"/>
  <c r="AP33" i="1"/>
  <c r="AR42" i="1" l="1"/>
  <c r="AT42" i="1" s="1"/>
  <c r="AQ33" i="1"/>
  <c r="M33" i="1" s="1"/>
  <c r="AR33" i="1" s="1"/>
  <c r="AT33" i="1" s="1"/>
  <c r="AR36" i="1"/>
  <c r="AT36" i="1" s="1"/>
  <c r="AQ35" i="1"/>
  <c r="M35" i="1" s="1"/>
  <c r="AR35" i="1" s="1"/>
  <c r="AT35" i="1" s="1"/>
  <c r="G8" i="1" l="1"/>
  <c r="G16" i="1"/>
  <c r="AP16" i="1"/>
  <c r="AN16" i="1"/>
  <c r="AM16" i="1"/>
  <c r="AL16" i="1"/>
  <c r="AJ16" i="1"/>
  <c r="AI16" i="1"/>
  <c r="AH16" i="1"/>
  <c r="AF16" i="1"/>
  <c r="AE16" i="1"/>
  <c r="AD16" i="1"/>
  <c r="AC16" i="1"/>
  <c r="AB16" i="1"/>
  <c r="AA16" i="1"/>
  <c r="Z16" i="1"/>
  <c r="Y16" i="1"/>
  <c r="X16" i="1"/>
  <c r="W16" i="1"/>
  <c r="V16" i="1"/>
  <c r="U16" i="1"/>
  <c r="T16" i="1"/>
  <c r="S16" i="1"/>
  <c r="R16" i="1"/>
  <c r="Q16" i="1"/>
  <c r="P16" i="1"/>
  <c r="O16" i="1"/>
  <c r="AP13" i="1"/>
  <c r="AN13" i="1"/>
  <c r="AM13" i="1"/>
  <c r="AL13" i="1"/>
  <c r="AJ13" i="1"/>
  <c r="AI13" i="1"/>
  <c r="AH13" i="1"/>
  <c r="AF13" i="1"/>
  <c r="AE13" i="1"/>
  <c r="AD13" i="1"/>
  <c r="AC13" i="1"/>
  <c r="AB13" i="1"/>
  <c r="AA13" i="1"/>
  <c r="Z13" i="1"/>
  <c r="Y13" i="1"/>
  <c r="X13" i="1"/>
  <c r="W13" i="1"/>
  <c r="V13" i="1"/>
  <c r="U13" i="1"/>
  <c r="T13" i="1"/>
  <c r="S13" i="1"/>
  <c r="R13" i="1"/>
  <c r="Q13" i="1"/>
  <c r="P13" i="1"/>
  <c r="O13" i="1"/>
  <c r="G13" i="1"/>
  <c r="AP10" i="1" l="1"/>
  <c r="AN10" i="1"/>
  <c r="AM10" i="1"/>
  <c r="AL10" i="1"/>
  <c r="AJ10" i="1"/>
  <c r="AI10" i="1"/>
  <c r="AH10" i="1"/>
  <c r="AF10" i="1"/>
  <c r="AE10" i="1"/>
  <c r="AD10" i="1"/>
  <c r="AC10" i="1"/>
  <c r="AB10" i="1"/>
  <c r="AA10" i="1"/>
  <c r="Z10" i="1"/>
  <c r="Y10" i="1"/>
  <c r="X10" i="1"/>
  <c r="W10" i="1"/>
  <c r="V10" i="1"/>
  <c r="U10" i="1"/>
  <c r="T10" i="1"/>
  <c r="S10" i="1"/>
  <c r="R10" i="1"/>
  <c r="Q10" i="1"/>
  <c r="P10" i="1"/>
  <c r="O10" i="1"/>
  <c r="G10" i="1"/>
  <c r="AC8" i="1"/>
  <c r="AE8" i="1"/>
  <c r="AI8" i="1"/>
  <c r="AF8" i="1"/>
  <c r="AD46" i="1"/>
  <c r="AK46" i="1"/>
  <c r="AD8" i="1"/>
  <c r="W8" i="1"/>
  <c r="V8" i="1"/>
  <c r="U8" i="1"/>
  <c r="T8" i="1"/>
  <c r="S8" i="1"/>
  <c r="AH8" i="1"/>
  <c r="AJ8" i="1"/>
  <c r="AL8" i="1"/>
  <c r="AM8" i="1"/>
  <c r="AN8" i="1"/>
  <c r="AP8" i="1"/>
  <c r="AB8" i="1"/>
  <c r="AA8" i="1"/>
  <c r="Z8" i="1"/>
  <c r="Y8" i="1"/>
  <c r="X8" i="1"/>
  <c r="R8" i="1"/>
  <c r="Q8" i="1"/>
  <c r="P8" i="1"/>
  <c r="O8" i="1"/>
  <c r="AQ8" i="1" l="1"/>
  <c r="M8" i="1" l="1"/>
  <c r="AQ10" i="1"/>
  <c r="M10" i="1" s="1"/>
  <c r="AQ11" i="1"/>
  <c r="M11" i="1" s="1"/>
  <c r="AQ13" i="1"/>
  <c r="M13" i="1" s="1"/>
  <c r="AQ14" i="1"/>
  <c r="M14" i="1" s="1"/>
  <c r="AQ16" i="1"/>
  <c r="M16" i="1" s="1"/>
  <c r="AQ17" i="1"/>
  <c r="M17" i="1" s="1"/>
  <c r="E8" i="1"/>
  <c r="L8" i="1" s="1"/>
  <c r="E10" i="1"/>
  <c r="L10" i="1" s="1"/>
  <c r="E11" i="1"/>
  <c r="L11" i="1" s="1"/>
  <c r="E13" i="1"/>
  <c r="L13" i="1" s="1"/>
  <c r="E14" i="1"/>
  <c r="L14" i="1" s="1"/>
  <c r="E16" i="1"/>
  <c r="L16" i="1" s="1"/>
  <c r="E17" i="1"/>
  <c r="L17" i="1" s="1"/>
  <c r="AC46" i="1"/>
  <c r="AF46" i="1"/>
  <c r="AE46" i="1"/>
  <c r="W46" i="1"/>
  <c r="V46" i="1"/>
  <c r="U46" i="1"/>
  <c r="T46" i="1"/>
  <c r="S46" i="1"/>
  <c r="AP46" i="1"/>
  <c r="AM46" i="1"/>
  <c r="AN46" i="1"/>
  <c r="AL46" i="1"/>
  <c r="AJ46" i="1"/>
  <c r="AB46" i="1"/>
  <c r="AA46" i="1"/>
  <c r="Z46" i="1"/>
  <c r="Y46" i="1"/>
  <c r="X46" i="1"/>
  <c r="O46" i="1"/>
  <c r="P46" i="1"/>
  <c r="Q46" i="1"/>
  <c r="R46" i="1"/>
  <c r="AH46" i="1"/>
  <c r="G46" i="1"/>
  <c r="E46" i="1" s="1"/>
  <c r="AQ46" i="1" l="1"/>
  <c r="M46" i="1" s="1"/>
  <c r="AR14" i="1"/>
  <c r="AT14" i="1" s="1"/>
  <c r="AR10" i="1"/>
  <c r="AT10" i="1" s="1"/>
  <c r="AR11" i="1"/>
  <c r="AT11" i="1" s="1"/>
  <c r="AR16" i="1"/>
  <c r="AT16" i="1" s="1"/>
  <c r="AR8" i="1"/>
  <c r="AT8" i="1" s="1"/>
  <c r="AR17" i="1"/>
  <c r="AT17" i="1" s="1"/>
  <c r="AR13" i="1"/>
  <c r="AT13" i="1" s="1"/>
  <c r="L46" i="1"/>
  <c r="AR46" i="1" l="1"/>
  <c r="AT46" i="1" s="1"/>
  <c r="AT48" i="1" l="1"/>
  <c r="AT50" i="1" s="1"/>
</calcChain>
</file>

<file path=xl/sharedStrings.xml><?xml version="1.0" encoding="utf-8"?>
<sst xmlns="http://schemas.openxmlformats.org/spreadsheetml/2006/main" count="168" uniqueCount="132">
  <si>
    <t>Uzraudzības un kontroles darbība</t>
  </si>
  <si>
    <t>Tiešās izmaksas, EUR</t>
  </si>
  <si>
    <t>Netiešās izmaksas, EUR</t>
  </si>
  <si>
    <t>Pakalpojuma izmaksas kopā (bez PVN)</t>
  </si>
  <si>
    <t>Maksas pakalpojuma vienību skaits noteiktā laikposmā (gab.)</t>
  </si>
  <si>
    <t>Prognozētais ieņēmumu apjoms (EUR)</t>
  </si>
  <si>
    <t>Pārējās tiešās izmaksas</t>
  </si>
  <si>
    <t>t.sk.</t>
  </si>
  <si>
    <t>Tiešās izmaksas, kopā</t>
  </si>
  <si>
    <t>Netiešās izmaksas</t>
  </si>
  <si>
    <t>Netiešās izmaksas, kopā</t>
  </si>
  <si>
    <t>EKK 2262</t>
  </si>
  <si>
    <t>EKK 2311</t>
  </si>
  <si>
    <t>EKK 2322</t>
  </si>
  <si>
    <t>EKK 2390</t>
  </si>
  <si>
    <t>EKK 1000</t>
  </si>
  <si>
    <t>EKK 2111</t>
  </si>
  <si>
    <t>EKK 2112</t>
  </si>
  <si>
    <t>EKK 2121</t>
  </si>
  <si>
    <t>EKK 2122</t>
  </si>
  <si>
    <t>EKK 2221</t>
  </si>
  <si>
    <t>EKK 2222</t>
  </si>
  <si>
    <t>EKK 2223</t>
  </si>
  <si>
    <t>EKK 2224</t>
  </si>
  <si>
    <t>EKK 2235</t>
  </si>
  <si>
    <t>EKK 2239</t>
  </si>
  <si>
    <t>EKK 2241</t>
  </si>
  <si>
    <t>EKK 2242</t>
  </si>
  <si>
    <t>EKK 2243</t>
  </si>
  <si>
    <t>EKK 2244</t>
  </si>
  <si>
    <t>EKK 2247</t>
  </si>
  <si>
    <t>EKK 2249</t>
  </si>
  <si>
    <t>EKK 2261</t>
  </si>
  <si>
    <t>EKK 2341</t>
  </si>
  <si>
    <t>EKK 2350</t>
  </si>
  <si>
    <t>EKK 2513</t>
  </si>
  <si>
    <t>EKK 2519</t>
  </si>
  <si>
    <t>EKK 2210</t>
  </si>
  <si>
    <t>EKK 2232</t>
  </si>
  <si>
    <t>EKK 2269</t>
  </si>
  <si>
    <t>KOPĀ, EUR</t>
  </si>
  <si>
    <t>Atlīdzība*</t>
  </si>
  <si>
    <t>Nr.p.k.</t>
  </si>
  <si>
    <t>Cenrāža 3.pielikums</t>
  </si>
  <si>
    <t>ar svaru līdz 10 000 kg</t>
  </si>
  <si>
    <t>papildus par katriem 10 000 kg (no 10 001 kg)</t>
  </si>
  <si>
    <t>Prasībām neatbilstoša sūtījuma uzglabāšana robežkontroles punkta telpās</t>
  </si>
  <si>
    <t>EKK 2233</t>
  </si>
  <si>
    <t>EKK 2231</t>
  </si>
  <si>
    <t>Pārtikas nekaitīguma kontrole (izņemot pārtiku, par kuras kontroli samaksa noteikta regulā Nr. 2017/625):</t>
  </si>
  <si>
    <t>1.1.</t>
  </si>
  <si>
    <t>1.2.</t>
  </si>
  <si>
    <t>sūtījums, ko ved ar vienu autotransporta līdzekli/automašīnu vai konteineru, ar svaru līdz 5000 kg (izņemot šā pielikuma 1.5. apakšpunktā minēto pārtiku)</t>
  </si>
  <si>
    <t>sūtījums, ko ved ar vienu autotransporta līdzekli/automašīnu vai vienu konteineru, ar svaru 5001 kg un vairāk (izņemot šā pielikuma 1.5. apakšpunktā minēto pārtiku):</t>
  </si>
  <si>
    <t>1.2.1.</t>
  </si>
  <si>
    <t>1.2.2.</t>
  </si>
  <si>
    <t>par 5000 kg</t>
  </si>
  <si>
    <t>papildus par katriem 1000 kg (no 5001 kg)</t>
  </si>
  <si>
    <t>Mērvienība</t>
  </si>
  <si>
    <t>sūtījums</t>
  </si>
  <si>
    <t>1000 kg</t>
  </si>
  <si>
    <t>1.3.</t>
  </si>
  <si>
    <t>sūtījums vienā vai vairākos konteineros no viena un tā paša kuģa (viens muitas formalitāšu kārtošanas dokuments), par katru sūtījumu (izņemot šā pielikuma 1.5. apakšpunktā minēto pārtiku):</t>
  </si>
  <si>
    <t>1.3.1.</t>
  </si>
  <si>
    <t>1.3.2.</t>
  </si>
  <si>
    <t>sūtījums vienā vai vairākos vagonos vienā vilciena sastāvā (viens muitas formalitāšu kārtošanas dokuments), par katru sūtījumu (izņemot šā pielikuma 1.5. apakšpunktā minēto pārtiku):</t>
  </si>
  <si>
    <t>1.4.</t>
  </si>
  <si>
    <t>1.4.1.</t>
  </si>
  <si>
    <t>1.4.2.</t>
  </si>
  <si>
    <t>1.4.3.</t>
  </si>
  <si>
    <t>par 10 000 kg</t>
  </si>
  <si>
    <t>10 000 kg</t>
  </si>
  <si>
    <t>1.5.</t>
  </si>
  <si>
    <t>sāls sūtījums neatkarīgi no transportlīdzekļa veida</t>
  </si>
  <si>
    <t>Nekaitīguma kontrole saskarei ar pārtiku paredzētu materiālu un izstrādājumu sūtījumam:</t>
  </si>
  <si>
    <t>2.1.</t>
  </si>
  <si>
    <t>ar svaru līdz 5000 kg</t>
  </si>
  <si>
    <t>2.2.</t>
  </si>
  <si>
    <t>ar svaru 5001 kg un vairāk:</t>
  </si>
  <si>
    <t>2.2.1.</t>
  </si>
  <si>
    <t>2.2.2.</t>
  </si>
  <si>
    <t>2.2.3.</t>
  </si>
  <si>
    <t>maksimālā maksa par 2.2.1. un 2.2.2. apakšpunktā minēto sūtījumu</t>
  </si>
  <si>
    <t>Nepārtikas preču drošuma kontrole zāļu un augu aizsardzības līdzekļu sūtījumam:</t>
  </si>
  <si>
    <t>3.1.</t>
  </si>
  <si>
    <t>3.2.</t>
  </si>
  <si>
    <t>3.2.1.</t>
  </si>
  <si>
    <t>3.2.2.</t>
  </si>
  <si>
    <t>3.2.3.</t>
  </si>
  <si>
    <t>kravai ar svaru līdz 5000 kg</t>
  </si>
  <si>
    <t>kravai ar svaru 5001 kg un vairāk:</t>
  </si>
  <si>
    <t>maksimālā maksa par 3.2.1. un 3.2.2. apakšpunktā minēto sūtījumu</t>
  </si>
  <si>
    <t>4. Dzīvnieku barības kontrole (izņemot dzīvnieku izcelsmes dzīvnieku barību, par kuras kontroli samaksa noteikta regulā Nr. 2017/625) sūtījumam:</t>
  </si>
  <si>
    <t>4.1.</t>
  </si>
  <si>
    <t>4.2.</t>
  </si>
  <si>
    <t>4.2.1.</t>
  </si>
  <si>
    <t>4.2.2.</t>
  </si>
  <si>
    <t>4.3.</t>
  </si>
  <si>
    <t>dzīvnieks</t>
  </si>
  <si>
    <t>stunda</t>
  </si>
  <si>
    <t>kravai ar svaru 10 001 kg un vairāk:</t>
  </si>
  <si>
    <t>Reproduktīvo produktu (mākslīgai pavairošanai paredzēta sperma, ovocīti un embriji, inkubējamas olas) sūtījuma kontrole (izņemot reproduktīvos produktus, par kuru kontroli samaksa noteikta regulā Nr. 2017/625)</t>
  </si>
  <si>
    <t>Šā pielikuma 1., 2., 3. un 4. punktā minēto preču kontrole starptautiskajos pasta sūtījumos, kuru svars ir līdz 30 kg</t>
  </si>
  <si>
    <t>Inspektora (eksperta) vienas darba stundas izmaksas par paraugu ņemšanu un nosūtīšanu laboratoriskiem izmeklējumiem pēc sūtījuma īpašnieka (pilnvarotās personas) pieprasījuma</t>
  </si>
  <si>
    <t>Kopējais ieņēmumu apjoms ar spēkā esošajām cenām, EUR</t>
  </si>
  <si>
    <t>Pānotais ieņēmumu palielinājums, EUR</t>
  </si>
  <si>
    <t>Mājas (istabas) dzīvnieku kontrole**</t>
  </si>
  <si>
    <t>maksimālā maksa par 1.4.1. un 1.4.2. apakšpunktā minēto sūtījumu</t>
  </si>
  <si>
    <t>4.</t>
  </si>
  <si>
    <t>1.</t>
  </si>
  <si>
    <t>2.</t>
  </si>
  <si>
    <t>3.</t>
  </si>
  <si>
    <t>5.</t>
  </si>
  <si>
    <t>6.</t>
  </si>
  <si>
    <t>7.</t>
  </si>
  <si>
    <t>8.</t>
  </si>
  <si>
    <t>9.</t>
  </si>
  <si>
    <t>10.</t>
  </si>
  <si>
    <t>11.</t>
  </si>
  <si>
    <t>* saskaņā ar Ministru kabineta 2005.gada 27.decembra noteikumiem Nr.1031 „Noteikumi par budžetu izdevumu klasifikāciju atbilstoši ekonomiskajām kategorijām”</t>
  </si>
  <si>
    <t>** maksa līdz šim iekasēta regulā 2017/625 noteiktajā apmērā</t>
  </si>
  <si>
    <t>maksimālā maksa, par 4.2.1. un 4.2.2. apakšpunktā minēto sūtījumu</t>
  </si>
  <si>
    <t>Pastiprināta oficiālā kontrole un papildu kontrole gadījumā, ja ir aizdomas par neatbilstību:</t>
  </si>
  <si>
    <t>8.1.</t>
  </si>
  <si>
    <t>8.2.</t>
  </si>
  <si>
    <t>laboratoriskie izmeklējumi</t>
  </si>
  <si>
    <t>Laboratoriskie izmeklējumi, īstenojot pasākumus neatbilstības gadījumā</t>
  </si>
  <si>
    <t>Pielikums
Ministru kabineta noteikumu projekta "Grozījumi Ministru kabineta 2019. gada 17. decembra noteikumos Nr. 681 "Noteikumi par kārtību, kādā aprēķina un veic maksājumus par Pārtikas un veterinārā dienesta valsts uzraudzības un kontroles darbībām, un maksas pakalpojumiem"" anotācijai</t>
  </si>
  <si>
    <t>Darbību un pakalpojumu izcenojuma aprēķins</t>
  </si>
  <si>
    <t>8.3.</t>
  </si>
  <si>
    <t>maksa par pastiprinātu oficiālo kontroli Eiropas Savienības normatīvajos aktos noteiktajos gadījumos</t>
  </si>
  <si>
    <t>maksa par pastiprinātu oficiālo kontroli vai papildu kontroli, kad ir aizdomas par neatbilstību3 (izņemot šā pielikuma 8.1. apakšpunktā minētajā gadījumā)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</si>
</sst>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8" x14ac:knownFonts="1">
    <font>
      <sz val="11"/>
      <color theme="1"/>
      <name val="Calibri"/>
      <family val="2"/>
      <charset val="186"/>
      <scheme val="minor"/>
    </font>
    <font>
      <b/>
      <sz val="11"/>
      <color theme="1"/>
      <name val="Times New Roman"/>
      <family val="1"/>
      <charset val="186"/>
    </font>
    <font>
      <b/>
      <sz val="11"/>
      <name val="Times New Roman"/>
      <family val="1"/>
      <charset val="186"/>
    </font>
    <font>
      <sz val="11"/>
      <color theme="1"/>
      <name val="Times New Roman"/>
      <family val="1"/>
      <charset val="186"/>
    </font>
    <font>
      <sz val="10"/>
      <color theme="1"/>
      <name val="Times New Roman"/>
      <family val="1"/>
      <charset val="186"/>
    </font>
    <font>
      <sz val="10"/>
      <name val="Times New Roman"/>
      <family val="1"/>
      <charset val="186"/>
    </font>
    <font>
      <sz val="11"/>
      <name val="Times New Roman"/>
      <family val="1"/>
      <charset val="186"/>
    </font>
    <font>
      <b/>
      <sz val="12"/>
      <color theme="1"/>
      <name val="Times New Roman"/>
      <family val="1"/>
      <charset val="186"/>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s>
  <cellStyleXfs count="1">
    <xf numFmtId="0" fontId="0" fillId="0" borderId="0"/>
  </cellStyleXfs>
  <cellXfs count="52">
    <xf numFmtId="0" fontId="0" fillId="0" borderId="0" xfId="0"/>
    <xf numFmtId="164" fontId="3" fillId="0" borderId="0" xfId="0" applyNumberFormat="1" applyFont="1" applyAlignment="1">
      <alignment vertical="center"/>
    </xf>
    <xf numFmtId="4" fontId="3" fillId="0" borderId="0" xfId="0" applyNumberFormat="1" applyFont="1" applyAlignment="1">
      <alignment vertical="center"/>
    </xf>
    <xf numFmtId="0" fontId="3" fillId="0" borderId="0" xfId="0" applyFont="1" applyAlignment="1">
      <alignment vertical="center"/>
    </xf>
    <xf numFmtId="0" fontId="3" fillId="0" borderId="0" xfId="0" applyFont="1" applyAlignment="1">
      <alignment horizontal="center" vertical="center"/>
    </xf>
    <xf numFmtId="0" fontId="3" fillId="0" borderId="1" xfId="0" applyFont="1" applyBorder="1" applyAlignment="1">
      <alignment horizontal="left" vertical="center" wrapText="1"/>
    </xf>
    <xf numFmtId="164" fontId="3" fillId="0" borderId="1" xfId="0" applyNumberFormat="1" applyFont="1" applyBorder="1" applyAlignment="1">
      <alignment vertical="center"/>
    </xf>
    <xf numFmtId="4" fontId="1" fillId="0" borderId="1" xfId="0" applyNumberFormat="1" applyFont="1" applyBorder="1" applyAlignment="1">
      <alignment vertical="center"/>
    </xf>
    <xf numFmtId="0" fontId="3" fillId="0" borderId="1" xfId="0" applyFont="1" applyBorder="1" applyAlignment="1">
      <alignment horizontal="center" vertical="center" wrapText="1"/>
    </xf>
    <xf numFmtId="0" fontId="3" fillId="0" borderId="1" xfId="0" applyFont="1" applyBorder="1" applyAlignment="1">
      <alignment horizontal="right" vertical="center" wrapText="1"/>
    </xf>
    <xf numFmtId="3" fontId="3" fillId="0" borderId="1" xfId="0" applyNumberFormat="1" applyFont="1" applyBorder="1" applyAlignment="1">
      <alignment horizontal="center" vertical="center" wrapText="1"/>
    </xf>
    <xf numFmtId="0" fontId="1" fillId="0" borderId="1" xfId="0" applyFont="1" applyBorder="1" applyAlignment="1">
      <alignment horizontal="right" vertical="center" wrapText="1"/>
    </xf>
    <xf numFmtId="3" fontId="1" fillId="0" borderId="1" xfId="0" applyNumberFormat="1" applyFont="1" applyBorder="1" applyAlignment="1">
      <alignment horizontal="center" vertical="center" wrapText="1"/>
    </xf>
    <xf numFmtId="14" fontId="3" fillId="0" borderId="1" xfId="0" applyNumberFormat="1" applyFont="1" applyBorder="1" applyAlignment="1">
      <alignment horizontal="left" vertical="center" wrapText="1"/>
    </xf>
    <xf numFmtId="3" fontId="1" fillId="0" borderId="1" xfId="0" applyNumberFormat="1" applyFont="1" applyBorder="1" applyAlignment="1">
      <alignment horizontal="center" vertical="center"/>
    </xf>
    <xf numFmtId="3" fontId="3" fillId="0" borderId="1" xfId="0" applyNumberFormat="1" applyFont="1" applyBorder="1" applyAlignment="1">
      <alignment horizontal="center" vertical="center"/>
    </xf>
    <xf numFmtId="4" fontId="1" fillId="0" borderId="1" xfId="0" applyNumberFormat="1" applyFont="1" applyBorder="1" applyAlignment="1">
      <alignment horizontal="right" vertical="center"/>
    </xf>
    <xf numFmtId="0" fontId="1" fillId="0" borderId="1" xfId="0" applyFont="1" applyBorder="1" applyAlignment="1">
      <alignment horizontal="left" vertical="center" wrapText="1"/>
    </xf>
    <xf numFmtId="0" fontId="3" fillId="0" borderId="0" xfId="0" applyFont="1" applyAlignment="1">
      <alignment horizontal="center" vertical="center"/>
    </xf>
    <xf numFmtId="164" fontId="1"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3" fillId="0" borderId="0" xfId="0" applyFont="1" applyAlignment="1">
      <alignment vertical="top"/>
    </xf>
    <xf numFmtId="0" fontId="1" fillId="0" borderId="2" xfId="0" applyFont="1" applyBorder="1" applyAlignment="1">
      <alignment horizontal="center" vertical="center"/>
    </xf>
    <xf numFmtId="4" fontId="1" fillId="0" borderId="2" xfId="0" applyNumberFormat="1" applyFont="1" applyBorder="1" applyAlignment="1">
      <alignment vertical="center"/>
    </xf>
    <xf numFmtId="0" fontId="1" fillId="0" borderId="1" xfId="0" applyFont="1" applyBorder="1" applyAlignment="1">
      <alignment vertical="center" wrapText="1"/>
    </xf>
    <xf numFmtId="0" fontId="3" fillId="0" borderId="1" xfId="0" applyFont="1" applyBorder="1" applyAlignment="1">
      <alignment vertical="center" wrapText="1"/>
    </xf>
    <xf numFmtId="0" fontId="6" fillId="0" borderId="1" xfId="0" applyFont="1" applyFill="1" applyBorder="1" applyAlignment="1">
      <alignment horizontal="left" vertical="center" wrapText="1"/>
    </xf>
    <xf numFmtId="0" fontId="6" fillId="0" borderId="1" xfId="0" applyFont="1" applyBorder="1" applyAlignment="1">
      <alignment horizontal="left" vertical="center" wrapText="1"/>
    </xf>
    <xf numFmtId="0" fontId="3" fillId="0" borderId="1" xfId="0" applyFont="1" applyBorder="1" applyAlignment="1">
      <alignment horizontal="left" vertical="top" wrapText="1"/>
    </xf>
    <xf numFmtId="0" fontId="3" fillId="0" borderId="1" xfId="0" applyFont="1" applyBorder="1" applyAlignment="1">
      <alignment horizontal="center" vertical="top" wrapText="1"/>
    </xf>
    <xf numFmtId="0" fontId="3" fillId="0" borderId="1" xfId="0" applyFont="1" applyBorder="1" applyAlignment="1">
      <alignment horizontal="right" vertical="top" wrapText="1"/>
    </xf>
    <xf numFmtId="164" fontId="3" fillId="0" borderId="1" xfId="0" applyNumberFormat="1" applyFont="1" applyBorder="1" applyAlignment="1">
      <alignment vertical="top"/>
    </xf>
    <xf numFmtId="4" fontId="1" fillId="0" borderId="1" xfId="0" applyNumberFormat="1" applyFont="1" applyBorder="1" applyAlignment="1">
      <alignment vertical="top"/>
    </xf>
    <xf numFmtId="3" fontId="3" fillId="0" borderId="1" xfId="0" applyNumberFormat="1" applyFont="1" applyBorder="1" applyAlignment="1">
      <alignment horizontal="center" vertical="top"/>
    </xf>
    <xf numFmtId="0" fontId="4" fillId="0" borderId="0" xfId="0" applyFont="1" applyAlignment="1">
      <alignment horizontal="left" vertical="top" wrapText="1"/>
    </xf>
    <xf numFmtId="0" fontId="1" fillId="0" borderId="1" xfId="0" applyFont="1" applyBorder="1" applyAlignment="1">
      <alignment horizontal="right" vertical="top" wrapText="1"/>
    </xf>
    <xf numFmtId="0" fontId="5" fillId="0" borderId="0" xfId="0" applyFont="1" applyFill="1" applyAlignment="1">
      <alignment horizontal="left" vertical="top"/>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4" fontId="4" fillId="0" borderId="3" xfId="0" applyNumberFormat="1" applyFont="1" applyBorder="1" applyAlignment="1">
      <alignment horizontal="right" vertical="center" wrapText="1"/>
    </xf>
    <xf numFmtId="0" fontId="7" fillId="0" borderId="3" xfId="0" applyFont="1" applyBorder="1" applyAlignment="1">
      <alignment horizontal="center" vertical="center"/>
    </xf>
    <xf numFmtId="4" fontId="2" fillId="0" borderId="1" xfId="0" applyNumberFormat="1" applyFont="1" applyBorder="1" applyAlignment="1">
      <alignment horizontal="center" vertical="center" wrapText="1"/>
    </xf>
    <xf numFmtId="164" fontId="1" fillId="0" borderId="1" xfId="0" applyNumberFormat="1" applyFont="1" applyBorder="1" applyAlignment="1">
      <alignment horizontal="center" vertical="center" wrapText="1"/>
    </xf>
    <xf numFmtId="4" fontId="1"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Fill="1" applyBorder="1" applyAlignment="1">
      <alignment horizontal="left" vertical="center" wrapText="1"/>
    </xf>
    <xf numFmtId="0" fontId="6" fillId="0" borderId="1" xfId="0" applyFont="1" applyFill="1" applyBorder="1" applyAlignment="1">
      <alignment horizontal="justify" vertical="center" wrapText="1"/>
    </xf>
    <xf numFmtId="0" fontId="3" fillId="0" borderId="1" xfId="0" applyFont="1" applyFill="1" applyBorder="1" applyAlignment="1">
      <alignment horizontal="center" vertical="center" wrapText="1"/>
    </xf>
    <xf numFmtId="0" fontId="6" fillId="0" borderId="1" xfId="0" applyFont="1" applyFill="1" applyBorder="1" applyAlignment="1">
      <alignment horizontal="right" vertical="center" wrapText="1"/>
    </xf>
    <xf numFmtId="164" fontId="3" fillId="0" borderId="1" xfId="0" applyNumberFormat="1" applyFont="1" applyFill="1" applyBorder="1" applyAlignment="1">
      <alignment vertical="center"/>
    </xf>
    <xf numFmtId="4" fontId="1" fillId="0" borderId="1" xfId="0" applyNumberFormat="1" applyFont="1" applyFill="1" applyBorder="1" applyAlignment="1">
      <alignment vertical="center"/>
    </xf>
    <xf numFmtId="3" fontId="3" fillId="0" borderId="1" xfId="0" applyNumberFormat="1" applyFont="1" applyFill="1" applyBorder="1" applyAlignment="1">
      <alignment horizontal="center" vertical="center"/>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77EFC-7DD5-4D06-BBB9-1CB2424EA613}">
  <dimension ref="A1:AT50"/>
  <sheetViews>
    <sheetView tabSelected="1" topLeftCell="A41" zoomScaleNormal="100" workbookViewId="0">
      <selection activeCell="B45" sqref="B45"/>
    </sheetView>
  </sheetViews>
  <sheetFormatPr defaultColWidth="8.81640625" defaultRowHeight="14" x14ac:dyDescent="0.35"/>
  <cols>
    <col min="1" max="1" width="8.26953125" style="3" customWidth="1"/>
    <col min="2" max="2" width="58.453125" style="3" customWidth="1"/>
    <col min="3" max="3" width="13.1796875" style="4" bestFit="1" customWidth="1"/>
    <col min="4" max="4" width="10.1796875" style="1" customWidth="1"/>
    <col min="5" max="5" width="9.81640625" style="1" customWidth="1"/>
    <col min="6" max="7" width="8.81640625" style="1"/>
    <col min="8" max="8" width="9" style="1" customWidth="1"/>
    <col min="9" max="9" width="0" style="1" hidden="1" customWidth="1"/>
    <col min="10" max="10" width="8.81640625" style="1"/>
    <col min="11" max="11" width="0" style="1" hidden="1" customWidth="1"/>
    <col min="12" max="12" width="9.81640625" style="1" customWidth="1"/>
    <col min="13" max="13" width="9.26953125" style="1" customWidth="1"/>
    <col min="14" max="42" width="8.81640625" style="1" customWidth="1"/>
    <col min="43" max="43" width="10" style="1" customWidth="1"/>
    <col min="44" max="44" width="13" style="2" customWidth="1"/>
    <col min="45" max="45" width="14" style="4" customWidth="1"/>
    <col min="46" max="46" width="15.26953125" style="3" customWidth="1"/>
    <col min="47" max="16384" width="8.81640625" style="3"/>
  </cols>
  <sheetData>
    <row r="1" spans="1:46" ht="76.5" customHeight="1" x14ac:dyDescent="0.35">
      <c r="C1" s="18"/>
      <c r="AP1" s="39" t="s">
        <v>127</v>
      </c>
      <c r="AQ1" s="39"/>
      <c r="AR1" s="39"/>
      <c r="AS1" s="39"/>
      <c r="AT1" s="39"/>
    </row>
    <row r="2" spans="1:46" ht="15" x14ac:dyDescent="0.35">
      <c r="A2" s="40" t="s">
        <v>128</v>
      </c>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row>
    <row r="3" spans="1:46" ht="15" customHeight="1" x14ac:dyDescent="0.35">
      <c r="A3" s="37" t="s">
        <v>42</v>
      </c>
      <c r="B3" s="37" t="s">
        <v>0</v>
      </c>
      <c r="C3" s="20"/>
      <c r="D3" s="42" t="s">
        <v>1</v>
      </c>
      <c r="E3" s="42"/>
      <c r="F3" s="42"/>
      <c r="G3" s="42"/>
      <c r="H3" s="42"/>
      <c r="I3" s="42"/>
      <c r="J3" s="42"/>
      <c r="K3" s="42"/>
      <c r="L3" s="42"/>
      <c r="M3" s="42" t="s">
        <v>2</v>
      </c>
      <c r="N3" s="42"/>
      <c r="O3" s="42"/>
      <c r="P3" s="42"/>
      <c r="Q3" s="42"/>
      <c r="R3" s="42"/>
      <c r="S3" s="42"/>
      <c r="T3" s="42"/>
      <c r="U3" s="42"/>
      <c r="V3" s="42"/>
      <c r="W3" s="42"/>
      <c r="X3" s="42"/>
      <c r="Y3" s="42"/>
      <c r="Z3" s="42"/>
      <c r="AA3" s="42"/>
      <c r="AB3" s="42"/>
      <c r="AC3" s="42"/>
      <c r="AD3" s="42"/>
      <c r="AE3" s="42"/>
      <c r="AF3" s="42"/>
      <c r="AG3" s="42"/>
      <c r="AH3" s="42"/>
      <c r="AI3" s="42"/>
      <c r="AJ3" s="42"/>
      <c r="AK3" s="42"/>
      <c r="AL3" s="42"/>
      <c r="AM3" s="42"/>
      <c r="AN3" s="42"/>
      <c r="AO3" s="42"/>
      <c r="AP3" s="42"/>
      <c r="AQ3" s="42"/>
      <c r="AR3" s="43" t="s">
        <v>3</v>
      </c>
      <c r="AS3" s="44" t="s">
        <v>4</v>
      </c>
      <c r="AT3" s="41" t="s">
        <v>5</v>
      </c>
    </row>
    <row r="4" spans="1:46" ht="15" customHeight="1" x14ac:dyDescent="0.35">
      <c r="A4" s="37"/>
      <c r="B4" s="37"/>
      <c r="C4" s="37" t="s">
        <v>58</v>
      </c>
      <c r="D4" s="42" t="s">
        <v>41</v>
      </c>
      <c r="E4" s="42" t="s">
        <v>6</v>
      </c>
      <c r="F4" s="19"/>
      <c r="G4" s="19"/>
      <c r="H4" s="42" t="s">
        <v>7</v>
      </c>
      <c r="I4" s="42"/>
      <c r="J4" s="42"/>
      <c r="K4" s="42"/>
      <c r="L4" s="42" t="s">
        <v>8</v>
      </c>
      <c r="M4" s="42" t="s">
        <v>9</v>
      </c>
      <c r="N4" s="42" t="s">
        <v>7</v>
      </c>
      <c r="O4" s="42"/>
      <c r="P4" s="42"/>
      <c r="Q4" s="42"/>
      <c r="R4" s="42"/>
      <c r="S4" s="42"/>
      <c r="T4" s="42"/>
      <c r="U4" s="42"/>
      <c r="V4" s="42"/>
      <c r="W4" s="42"/>
      <c r="X4" s="42"/>
      <c r="Y4" s="42"/>
      <c r="Z4" s="42"/>
      <c r="AA4" s="42"/>
      <c r="AB4" s="42"/>
      <c r="AC4" s="42"/>
      <c r="AD4" s="42"/>
      <c r="AE4" s="42"/>
      <c r="AF4" s="42"/>
      <c r="AG4" s="42"/>
      <c r="AH4" s="42"/>
      <c r="AI4" s="42"/>
      <c r="AJ4" s="42"/>
      <c r="AK4" s="42"/>
      <c r="AL4" s="42"/>
      <c r="AM4" s="42"/>
      <c r="AN4" s="42"/>
      <c r="AO4" s="42"/>
      <c r="AP4" s="42"/>
      <c r="AQ4" s="42" t="s">
        <v>10</v>
      </c>
      <c r="AR4" s="43"/>
      <c r="AS4" s="44"/>
      <c r="AT4" s="41"/>
    </row>
    <row r="5" spans="1:46" ht="71.25" customHeight="1" x14ac:dyDescent="0.35">
      <c r="A5" s="37"/>
      <c r="B5" s="37"/>
      <c r="C5" s="37"/>
      <c r="D5" s="42"/>
      <c r="E5" s="42"/>
      <c r="F5" s="19" t="s">
        <v>22</v>
      </c>
      <c r="G5" s="19" t="s">
        <v>32</v>
      </c>
      <c r="H5" s="19" t="s">
        <v>11</v>
      </c>
      <c r="I5" s="19" t="s">
        <v>12</v>
      </c>
      <c r="J5" s="19" t="s">
        <v>13</v>
      </c>
      <c r="K5" s="19" t="s">
        <v>14</v>
      </c>
      <c r="L5" s="42"/>
      <c r="M5" s="42"/>
      <c r="N5" s="19" t="s">
        <v>15</v>
      </c>
      <c r="O5" s="19" t="s">
        <v>16</v>
      </c>
      <c r="P5" s="19" t="s">
        <v>17</v>
      </c>
      <c r="Q5" s="19" t="s">
        <v>18</v>
      </c>
      <c r="R5" s="19" t="s">
        <v>19</v>
      </c>
      <c r="S5" s="19" t="s">
        <v>37</v>
      </c>
      <c r="T5" s="19" t="s">
        <v>20</v>
      </c>
      <c r="U5" s="19" t="s">
        <v>21</v>
      </c>
      <c r="V5" s="19" t="s">
        <v>22</v>
      </c>
      <c r="W5" s="19" t="s">
        <v>23</v>
      </c>
      <c r="X5" s="19" t="s">
        <v>48</v>
      </c>
      <c r="Y5" s="19" t="s">
        <v>38</v>
      </c>
      <c r="Z5" s="19" t="s">
        <v>47</v>
      </c>
      <c r="AA5" s="19" t="s">
        <v>24</v>
      </c>
      <c r="AB5" s="19" t="s">
        <v>25</v>
      </c>
      <c r="AC5" s="19" t="s">
        <v>26</v>
      </c>
      <c r="AD5" s="19" t="s">
        <v>27</v>
      </c>
      <c r="AE5" s="19" t="s">
        <v>28</v>
      </c>
      <c r="AF5" s="19" t="s">
        <v>29</v>
      </c>
      <c r="AG5" s="19" t="s">
        <v>30</v>
      </c>
      <c r="AH5" s="19" t="s">
        <v>31</v>
      </c>
      <c r="AI5" s="19" t="s">
        <v>39</v>
      </c>
      <c r="AJ5" s="19" t="s">
        <v>12</v>
      </c>
      <c r="AK5" s="19" t="s">
        <v>13</v>
      </c>
      <c r="AL5" s="19" t="s">
        <v>33</v>
      </c>
      <c r="AM5" s="19" t="s">
        <v>34</v>
      </c>
      <c r="AN5" s="19" t="s">
        <v>14</v>
      </c>
      <c r="AO5" s="19" t="s">
        <v>35</v>
      </c>
      <c r="AP5" s="19" t="s">
        <v>36</v>
      </c>
      <c r="AQ5" s="42"/>
      <c r="AR5" s="43"/>
      <c r="AS5" s="44"/>
      <c r="AT5" s="41"/>
    </row>
    <row r="6" spans="1:46" ht="15" customHeight="1" x14ac:dyDescent="0.35">
      <c r="A6" s="38" t="s">
        <v>43</v>
      </c>
      <c r="B6" s="38"/>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row>
    <row r="7" spans="1:46" ht="28" x14ac:dyDescent="0.35">
      <c r="A7" s="5" t="s">
        <v>109</v>
      </c>
      <c r="B7" s="5" t="s">
        <v>49</v>
      </c>
      <c r="C7" s="20"/>
      <c r="D7" s="5"/>
      <c r="E7" s="5"/>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6"/>
      <c r="AR7" s="7"/>
      <c r="AS7" s="8"/>
      <c r="AT7" s="5"/>
    </row>
    <row r="8" spans="1:46" ht="42" x14ac:dyDescent="0.35">
      <c r="A8" s="25" t="s">
        <v>50</v>
      </c>
      <c r="B8" s="5" t="s">
        <v>52</v>
      </c>
      <c r="C8" s="8" t="s">
        <v>59</v>
      </c>
      <c r="D8" s="9">
        <v>14.99</v>
      </c>
      <c r="E8" s="6">
        <f t="shared" ref="E8:E40" si="0">SUM(F8:K8)</f>
        <v>2.1869999999999998</v>
      </c>
      <c r="F8" s="5"/>
      <c r="G8" s="6">
        <f>2.187</f>
        <v>2.1869999999999998</v>
      </c>
      <c r="H8" s="6"/>
      <c r="I8" s="6"/>
      <c r="J8" s="6"/>
      <c r="K8" s="5"/>
      <c r="L8" s="6">
        <f t="shared" ref="L8:L19" si="1">D8+E8</f>
        <v>17.177</v>
      </c>
      <c r="M8" s="6">
        <f>AQ8</f>
        <v>7.1309999999999976</v>
      </c>
      <c r="N8" s="6">
        <v>4.742</v>
      </c>
      <c r="O8" s="6">
        <f>0.007</f>
        <v>7.0000000000000001E-3</v>
      </c>
      <c r="P8" s="6">
        <f>0.015</f>
        <v>1.4999999999999999E-2</v>
      </c>
      <c r="Q8" s="6">
        <f>0.024</f>
        <v>2.4E-2</v>
      </c>
      <c r="R8" s="6">
        <f>0.01</f>
        <v>0.01</v>
      </c>
      <c r="S8" s="6">
        <f>0.12+0.027</f>
        <v>0.14699999999999999</v>
      </c>
      <c r="T8" s="6">
        <f>0.234+0.099</f>
        <v>0.33300000000000002</v>
      </c>
      <c r="U8" s="6">
        <f>0.021+0.004</f>
        <v>2.5000000000000001E-2</v>
      </c>
      <c r="V8" s="6">
        <f>0.567+0.207</f>
        <v>0.77399999999999991</v>
      </c>
      <c r="W8" s="6">
        <f>0.057+0.014</f>
        <v>7.1000000000000008E-2</v>
      </c>
      <c r="X8" s="6">
        <f>0.018</f>
        <v>1.7999999999999999E-2</v>
      </c>
      <c r="Y8" s="6">
        <f>0.011</f>
        <v>1.0999999999999999E-2</v>
      </c>
      <c r="Z8" s="6">
        <f>0.006</f>
        <v>6.0000000000000001E-3</v>
      </c>
      <c r="AA8" s="6">
        <f>0.012</f>
        <v>1.2E-2</v>
      </c>
      <c r="AB8" s="6">
        <f>0.015</f>
        <v>1.4999999999999999E-2</v>
      </c>
      <c r="AC8" s="6">
        <f>0.03</f>
        <v>0.03</v>
      </c>
      <c r="AD8" s="6">
        <f>0.045</f>
        <v>4.4999999999999998E-2</v>
      </c>
      <c r="AE8" s="6">
        <f>0.02+0.008</f>
        <v>2.8000000000000001E-2</v>
      </c>
      <c r="AF8" s="6">
        <f>0.453+0.028</f>
        <v>0.48100000000000004</v>
      </c>
      <c r="AG8" s="6">
        <v>2E-3</v>
      </c>
      <c r="AH8" s="6">
        <f>0.12</f>
        <v>0.12</v>
      </c>
      <c r="AI8" s="6">
        <f>0.005</f>
        <v>5.0000000000000001E-3</v>
      </c>
      <c r="AJ8" s="6">
        <f>0.04</f>
        <v>0.04</v>
      </c>
      <c r="AK8" s="6">
        <v>0.09</v>
      </c>
      <c r="AL8" s="6">
        <f>0.027</f>
        <v>2.7E-2</v>
      </c>
      <c r="AM8" s="6">
        <f>0.004</f>
        <v>4.0000000000000001E-3</v>
      </c>
      <c r="AN8" s="6">
        <f>0.031</f>
        <v>3.1E-2</v>
      </c>
      <c r="AO8" s="6">
        <v>1.2999999999999999E-2</v>
      </c>
      <c r="AP8" s="6">
        <f>0.005</f>
        <v>5.0000000000000001E-3</v>
      </c>
      <c r="AQ8" s="6">
        <f>SUM(N8:AP8)</f>
        <v>7.1309999999999976</v>
      </c>
      <c r="AR8" s="7">
        <f>L8+M8</f>
        <v>24.307999999999996</v>
      </c>
      <c r="AS8" s="10">
        <v>1400</v>
      </c>
      <c r="AT8" s="7">
        <f>AR8*AS8</f>
        <v>34031.199999999997</v>
      </c>
    </row>
    <row r="9" spans="1:46" ht="42" x14ac:dyDescent="0.35">
      <c r="A9" s="25" t="s">
        <v>51</v>
      </c>
      <c r="B9" s="5" t="s">
        <v>53</v>
      </c>
      <c r="C9" s="8"/>
      <c r="D9" s="9"/>
      <c r="E9" s="6"/>
      <c r="F9" s="5"/>
      <c r="G9" s="5"/>
      <c r="H9" s="5"/>
      <c r="I9" s="5"/>
      <c r="J9" s="5"/>
      <c r="K9" s="5"/>
      <c r="L9" s="6"/>
      <c r="M9" s="6"/>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6"/>
      <c r="AR9" s="7"/>
      <c r="AS9" s="10"/>
      <c r="AT9" s="7"/>
    </row>
    <row r="10" spans="1:46" ht="15" customHeight="1" x14ac:dyDescent="0.35">
      <c r="A10" s="25" t="s">
        <v>54</v>
      </c>
      <c r="B10" s="5" t="s">
        <v>56</v>
      </c>
      <c r="C10" s="8" t="s">
        <v>59</v>
      </c>
      <c r="D10" s="9">
        <v>14.99</v>
      </c>
      <c r="E10" s="6">
        <f t="shared" si="0"/>
        <v>2.1869999999999998</v>
      </c>
      <c r="F10" s="5"/>
      <c r="G10" s="6">
        <f>2.187</f>
        <v>2.1869999999999998</v>
      </c>
      <c r="H10" s="5"/>
      <c r="I10" s="5"/>
      <c r="J10" s="5"/>
      <c r="K10" s="5"/>
      <c r="L10" s="6">
        <f t="shared" si="1"/>
        <v>17.177</v>
      </c>
      <c r="M10" s="6">
        <f>AQ10</f>
        <v>7.1309999999999976</v>
      </c>
      <c r="N10" s="6">
        <v>4.742</v>
      </c>
      <c r="O10" s="6">
        <f>0.007</f>
        <v>7.0000000000000001E-3</v>
      </c>
      <c r="P10" s="6">
        <f>0.015</f>
        <v>1.4999999999999999E-2</v>
      </c>
      <c r="Q10" s="6">
        <f>0.024</f>
        <v>2.4E-2</v>
      </c>
      <c r="R10" s="6">
        <f>0.01</f>
        <v>0.01</v>
      </c>
      <c r="S10" s="6">
        <f>0.12+0.027</f>
        <v>0.14699999999999999</v>
      </c>
      <c r="T10" s="6">
        <f>0.234+0.099</f>
        <v>0.33300000000000002</v>
      </c>
      <c r="U10" s="6">
        <f>0.021+0.004</f>
        <v>2.5000000000000001E-2</v>
      </c>
      <c r="V10" s="6">
        <f>0.567+0.207</f>
        <v>0.77399999999999991</v>
      </c>
      <c r="W10" s="6">
        <f>0.057+0.014</f>
        <v>7.1000000000000008E-2</v>
      </c>
      <c r="X10" s="6">
        <f>0.018</f>
        <v>1.7999999999999999E-2</v>
      </c>
      <c r="Y10" s="6">
        <f>0.011</f>
        <v>1.0999999999999999E-2</v>
      </c>
      <c r="Z10" s="6">
        <f>0.006</f>
        <v>6.0000000000000001E-3</v>
      </c>
      <c r="AA10" s="6">
        <f>0.012</f>
        <v>1.2E-2</v>
      </c>
      <c r="AB10" s="6">
        <f>0.015</f>
        <v>1.4999999999999999E-2</v>
      </c>
      <c r="AC10" s="6">
        <f>0.03</f>
        <v>0.03</v>
      </c>
      <c r="AD10" s="6">
        <f>0.045</f>
        <v>4.4999999999999998E-2</v>
      </c>
      <c r="AE10" s="6">
        <f>0.02+0.008</f>
        <v>2.8000000000000001E-2</v>
      </c>
      <c r="AF10" s="6">
        <f>0.453+0.028</f>
        <v>0.48100000000000004</v>
      </c>
      <c r="AG10" s="6">
        <v>2E-3</v>
      </c>
      <c r="AH10" s="6">
        <f>0.12</f>
        <v>0.12</v>
      </c>
      <c r="AI10" s="6">
        <f>0.005</f>
        <v>5.0000000000000001E-3</v>
      </c>
      <c r="AJ10" s="6">
        <f>0.04</f>
        <v>0.04</v>
      </c>
      <c r="AK10" s="6">
        <v>0.09</v>
      </c>
      <c r="AL10" s="6">
        <f>0.027</f>
        <v>2.7E-2</v>
      </c>
      <c r="AM10" s="6">
        <f>0.004</f>
        <v>4.0000000000000001E-3</v>
      </c>
      <c r="AN10" s="6">
        <f>0.031</f>
        <v>3.1E-2</v>
      </c>
      <c r="AO10" s="6">
        <v>1.2999999999999999E-2</v>
      </c>
      <c r="AP10" s="6">
        <f>0.005</f>
        <v>5.0000000000000001E-3</v>
      </c>
      <c r="AQ10" s="6">
        <f>SUM(N10:AP10)</f>
        <v>7.1309999999999976</v>
      </c>
      <c r="AR10" s="7">
        <f>L10+M10</f>
        <v>24.307999999999996</v>
      </c>
      <c r="AS10" s="10">
        <v>6350</v>
      </c>
      <c r="AT10" s="7">
        <f t="shared" ref="AT10:AT40" si="2">AR10*AS10</f>
        <v>154355.79999999999</v>
      </c>
    </row>
    <row r="11" spans="1:46" ht="15" customHeight="1" x14ac:dyDescent="0.35">
      <c r="A11" s="25" t="s">
        <v>55</v>
      </c>
      <c r="B11" s="5" t="s">
        <v>57</v>
      </c>
      <c r="C11" s="8" t="s">
        <v>60</v>
      </c>
      <c r="D11" s="9">
        <v>4.5190000000000001</v>
      </c>
      <c r="E11" s="6">
        <f t="shared" si="0"/>
        <v>0.65900000000000003</v>
      </c>
      <c r="F11" s="5"/>
      <c r="G11" s="9">
        <v>0.65900000000000003</v>
      </c>
      <c r="H11" s="5"/>
      <c r="I11" s="5"/>
      <c r="J11" s="5"/>
      <c r="K11" s="5"/>
      <c r="L11" s="6">
        <f t="shared" si="1"/>
        <v>5.1779999999999999</v>
      </c>
      <c r="M11" s="6">
        <f>AQ11</f>
        <v>2.1519999999999984</v>
      </c>
      <c r="N11" s="9">
        <v>1.43</v>
      </c>
      <c r="O11" s="9">
        <v>2E-3</v>
      </c>
      <c r="P11" s="9">
        <v>5.0000000000000001E-3</v>
      </c>
      <c r="Q11" s="9">
        <v>7.0000000000000001E-3</v>
      </c>
      <c r="R11" s="9">
        <v>3.0000000000000001E-3</v>
      </c>
      <c r="S11" s="9">
        <v>4.3999999999999997E-2</v>
      </c>
      <c r="T11" s="9">
        <v>0.10100000000000001</v>
      </c>
      <c r="U11" s="9">
        <v>8.0000000000000002E-3</v>
      </c>
      <c r="V11" s="9">
        <v>0.23300000000000001</v>
      </c>
      <c r="W11" s="9">
        <v>2.1000000000000001E-2</v>
      </c>
      <c r="X11" s="9">
        <v>5.0000000000000001E-3</v>
      </c>
      <c r="Y11" s="9">
        <v>3.0000000000000001E-3</v>
      </c>
      <c r="Z11" s="9">
        <v>2E-3</v>
      </c>
      <c r="AA11" s="9">
        <v>4.0000000000000001E-3</v>
      </c>
      <c r="AB11" s="9">
        <v>5.0000000000000001E-3</v>
      </c>
      <c r="AC11" s="9">
        <v>8.9999999999999993E-3</v>
      </c>
      <c r="AD11" s="9">
        <v>1.4E-2</v>
      </c>
      <c r="AE11" s="9">
        <v>8.9999999999999993E-3</v>
      </c>
      <c r="AF11" s="9">
        <v>0.14499999999999999</v>
      </c>
      <c r="AG11" s="9">
        <v>1E-3</v>
      </c>
      <c r="AH11" s="9">
        <v>3.5999999999999997E-2</v>
      </c>
      <c r="AI11" s="9">
        <v>2E-3</v>
      </c>
      <c r="AJ11" s="9">
        <v>1.2E-2</v>
      </c>
      <c r="AK11" s="9">
        <v>2.7E-2</v>
      </c>
      <c r="AL11" s="9">
        <v>8.0000000000000002E-3</v>
      </c>
      <c r="AM11" s="9">
        <v>1E-3</v>
      </c>
      <c r="AN11" s="9">
        <v>8.9999999999999993E-3</v>
      </c>
      <c r="AO11" s="9">
        <v>4.0000000000000001E-3</v>
      </c>
      <c r="AP11" s="9">
        <v>2E-3</v>
      </c>
      <c r="AQ11" s="6">
        <f>SUM(N11:AP11)</f>
        <v>2.1519999999999984</v>
      </c>
      <c r="AR11" s="7">
        <f>L11+M11</f>
        <v>7.3299999999999983</v>
      </c>
      <c r="AS11" s="10">
        <v>55100</v>
      </c>
      <c r="AT11" s="7">
        <f t="shared" si="2"/>
        <v>403882.99999999988</v>
      </c>
    </row>
    <row r="12" spans="1:46" ht="42" x14ac:dyDescent="0.35">
      <c r="A12" s="5" t="s">
        <v>61</v>
      </c>
      <c r="B12" s="5" t="s">
        <v>62</v>
      </c>
      <c r="C12" s="8"/>
      <c r="D12" s="9"/>
      <c r="E12" s="6"/>
      <c r="F12" s="5"/>
      <c r="G12" s="5"/>
      <c r="H12" s="5"/>
      <c r="I12" s="5"/>
      <c r="J12" s="5"/>
      <c r="K12" s="5"/>
      <c r="L12" s="6"/>
      <c r="M12" s="6"/>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6"/>
      <c r="AR12" s="7"/>
      <c r="AS12" s="10"/>
      <c r="AT12" s="7"/>
    </row>
    <row r="13" spans="1:46" x14ac:dyDescent="0.35">
      <c r="A13" s="5" t="s">
        <v>63</v>
      </c>
      <c r="B13" s="5" t="s">
        <v>56</v>
      </c>
      <c r="C13" s="8" t="s">
        <v>59</v>
      </c>
      <c r="D13" s="9">
        <v>14.99</v>
      </c>
      <c r="E13" s="6">
        <f t="shared" si="0"/>
        <v>2.1869999999999998</v>
      </c>
      <c r="F13" s="5"/>
      <c r="G13" s="6">
        <f>2.187</f>
        <v>2.1869999999999998</v>
      </c>
      <c r="H13" s="5"/>
      <c r="I13" s="5"/>
      <c r="J13" s="5"/>
      <c r="K13" s="5"/>
      <c r="L13" s="6">
        <f t="shared" si="1"/>
        <v>17.177</v>
      </c>
      <c r="M13" s="6">
        <f>AQ13</f>
        <v>7.1309999999999976</v>
      </c>
      <c r="N13" s="6">
        <v>4.742</v>
      </c>
      <c r="O13" s="6">
        <f>0.007</f>
        <v>7.0000000000000001E-3</v>
      </c>
      <c r="P13" s="6">
        <f>0.015</f>
        <v>1.4999999999999999E-2</v>
      </c>
      <c r="Q13" s="6">
        <f>0.024</f>
        <v>2.4E-2</v>
      </c>
      <c r="R13" s="6">
        <f>0.01</f>
        <v>0.01</v>
      </c>
      <c r="S13" s="6">
        <f>0.12+0.027</f>
        <v>0.14699999999999999</v>
      </c>
      <c r="T13" s="6">
        <f>0.234+0.099</f>
        <v>0.33300000000000002</v>
      </c>
      <c r="U13" s="6">
        <f>0.021+0.004</f>
        <v>2.5000000000000001E-2</v>
      </c>
      <c r="V13" s="6">
        <f>0.567+0.207</f>
        <v>0.77399999999999991</v>
      </c>
      <c r="W13" s="6">
        <f>0.057+0.014</f>
        <v>7.1000000000000008E-2</v>
      </c>
      <c r="X13" s="6">
        <f>0.018</f>
        <v>1.7999999999999999E-2</v>
      </c>
      <c r="Y13" s="6">
        <f>0.011</f>
        <v>1.0999999999999999E-2</v>
      </c>
      <c r="Z13" s="6">
        <f>0.006</f>
        <v>6.0000000000000001E-3</v>
      </c>
      <c r="AA13" s="6">
        <f>0.012</f>
        <v>1.2E-2</v>
      </c>
      <c r="AB13" s="6">
        <f>0.015</f>
        <v>1.4999999999999999E-2</v>
      </c>
      <c r="AC13" s="6">
        <f>0.03</f>
        <v>0.03</v>
      </c>
      <c r="AD13" s="6">
        <f>0.045</f>
        <v>4.4999999999999998E-2</v>
      </c>
      <c r="AE13" s="6">
        <f>0.02+0.008</f>
        <v>2.8000000000000001E-2</v>
      </c>
      <c r="AF13" s="6">
        <f>0.453+0.028</f>
        <v>0.48100000000000004</v>
      </c>
      <c r="AG13" s="6">
        <v>2E-3</v>
      </c>
      <c r="AH13" s="6">
        <f>0.12</f>
        <v>0.12</v>
      </c>
      <c r="AI13" s="6">
        <f>0.005</f>
        <v>5.0000000000000001E-3</v>
      </c>
      <c r="AJ13" s="6">
        <f>0.04</f>
        <v>0.04</v>
      </c>
      <c r="AK13" s="6">
        <v>0.09</v>
      </c>
      <c r="AL13" s="6">
        <f>0.027</f>
        <v>2.7E-2</v>
      </c>
      <c r="AM13" s="6">
        <f>0.004</f>
        <v>4.0000000000000001E-3</v>
      </c>
      <c r="AN13" s="6">
        <f>0.031</f>
        <v>3.1E-2</v>
      </c>
      <c r="AO13" s="6">
        <v>1.2999999999999999E-2</v>
      </c>
      <c r="AP13" s="6">
        <f>0.005</f>
        <v>5.0000000000000001E-3</v>
      </c>
      <c r="AQ13" s="6">
        <f>SUM(N13:AP13)</f>
        <v>7.1309999999999976</v>
      </c>
      <c r="AR13" s="7">
        <f>L13+M13</f>
        <v>24.307999999999996</v>
      </c>
      <c r="AS13" s="10">
        <v>1950</v>
      </c>
      <c r="AT13" s="7">
        <f t="shared" si="2"/>
        <v>47400.599999999991</v>
      </c>
    </row>
    <row r="14" spans="1:46" x14ac:dyDescent="0.35">
      <c r="A14" s="5" t="s">
        <v>64</v>
      </c>
      <c r="B14" s="5" t="s">
        <v>57</v>
      </c>
      <c r="C14" s="8" t="s">
        <v>60</v>
      </c>
      <c r="D14" s="9">
        <v>2.76</v>
      </c>
      <c r="E14" s="6">
        <f t="shared" si="0"/>
        <v>0.40100000000000002</v>
      </c>
      <c r="F14" s="5"/>
      <c r="G14" s="9">
        <v>0.40100000000000002</v>
      </c>
      <c r="H14" s="5"/>
      <c r="I14" s="5"/>
      <c r="J14" s="5"/>
      <c r="K14" s="5"/>
      <c r="L14" s="6">
        <f t="shared" si="1"/>
        <v>3.1609999999999996</v>
      </c>
      <c r="M14" s="6">
        <f>AQ14</f>
        <v>1.3189999999999991</v>
      </c>
      <c r="N14" s="9">
        <v>0.88</v>
      </c>
      <c r="O14" s="9">
        <v>1E-3</v>
      </c>
      <c r="P14" s="9">
        <v>3.0000000000000001E-3</v>
      </c>
      <c r="Q14" s="9">
        <v>5.0000000000000001E-3</v>
      </c>
      <c r="R14" s="9">
        <v>2E-3</v>
      </c>
      <c r="S14" s="9">
        <v>2.7E-2</v>
      </c>
      <c r="T14" s="9">
        <v>6.0999999999999999E-2</v>
      </c>
      <c r="U14" s="9">
        <v>5.0000000000000001E-3</v>
      </c>
      <c r="V14" s="9">
        <v>0.14199999999999999</v>
      </c>
      <c r="W14" s="9">
        <v>1.2999999999999999E-2</v>
      </c>
      <c r="X14" s="9">
        <v>3.0000000000000001E-3</v>
      </c>
      <c r="Y14" s="9">
        <v>2E-3</v>
      </c>
      <c r="Z14" s="9">
        <v>1E-3</v>
      </c>
      <c r="AA14" s="9">
        <v>2E-3</v>
      </c>
      <c r="AB14" s="9">
        <v>3.0000000000000001E-3</v>
      </c>
      <c r="AC14" s="9">
        <v>6.0000000000000001E-3</v>
      </c>
      <c r="AD14" s="9">
        <v>8.0000000000000002E-3</v>
      </c>
      <c r="AE14" s="9">
        <v>5.0000000000000001E-3</v>
      </c>
      <c r="AF14" s="9">
        <v>8.7999999999999995E-2</v>
      </c>
      <c r="AG14" s="9">
        <v>0</v>
      </c>
      <c r="AH14" s="9">
        <v>2.1999999999999999E-2</v>
      </c>
      <c r="AI14" s="9">
        <v>1E-3</v>
      </c>
      <c r="AJ14" s="9">
        <v>7.0000000000000001E-3</v>
      </c>
      <c r="AK14" s="9">
        <v>1.7000000000000001E-2</v>
      </c>
      <c r="AL14" s="9">
        <v>5.0000000000000001E-3</v>
      </c>
      <c r="AM14" s="9">
        <v>1E-3</v>
      </c>
      <c r="AN14" s="9">
        <v>6.0000000000000001E-3</v>
      </c>
      <c r="AO14" s="9">
        <v>2E-3</v>
      </c>
      <c r="AP14" s="9">
        <v>1E-3</v>
      </c>
      <c r="AQ14" s="6">
        <f>SUM(N14:AP14)</f>
        <v>1.3189999999999991</v>
      </c>
      <c r="AR14" s="7">
        <f>L14+M14</f>
        <v>4.4799999999999986</v>
      </c>
      <c r="AS14" s="10">
        <v>34200</v>
      </c>
      <c r="AT14" s="7">
        <f t="shared" si="2"/>
        <v>153215.99999999994</v>
      </c>
    </row>
    <row r="15" spans="1:46" ht="42" x14ac:dyDescent="0.35">
      <c r="A15" s="5" t="s">
        <v>66</v>
      </c>
      <c r="B15" s="5" t="s">
        <v>65</v>
      </c>
      <c r="C15" s="8"/>
      <c r="D15" s="9"/>
      <c r="E15" s="6"/>
      <c r="F15" s="5"/>
      <c r="G15" s="5"/>
      <c r="H15" s="5"/>
      <c r="I15" s="5"/>
      <c r="J15" s="5"/>
      <c r="K15" s="5"/>
      <c r="L15" s="6"/>
      <c r="M15" s="6"/>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6"/>
      <c r="AR15" s="7"/>
      <c r="AS15" s="10"/>
      <c r="AT15" s="7"/>
    </row>
    <row r="16" spans="1:46" x14ac:dyDescent="0.35">
      <c r="A16" s="5" t="s">
        <v>67</v>
      </c>
      <c r="B16" s="5" t="s">
        <v>70</v>
      </c>
      <c r="C16" s="8" t="s">
        <v>59</v>
      </c>
      <c r="D16" s="9">
        <v>14.99</v>
      </c>
      <c r="E16" s="6">
        <f t="shared" si="0"/>
        <v>2.1869999999999998</v>
      </c>
      <c r="F16" s="5"/>
      <c r="G16" s="6">
        <f>2.187</f>
        <v>2.1869999999999998</v>
      </c>
      <c r="H16" s="5"/>
      <c r="I16" s="5"/>
      <c r="J16" s="5"/>
      <c r="K16" s="5"/>
      <c r="L16" s="6">
        <f t="shared" si="1"/>
        <v>17.177</v>
      </c>
      <c r="M16" s="6">
        <f>AQ16</f>
        <v>7.1309999999999976</v>
      </c>
      <c r="N16" s="6">
        <v>4.742</v>
      </c>
      <c r="O16" s="6">
        <f>0.007</f>
        <v>7.0000000000000001E-3</v>
      </c>
      <c r="P16" s="6">
        <f>0.015</f>
        <v>1.4999999999999999E-2</v>
      </c>
      <c r="Q16" s="6">
        <f>0.024</f>
        <v>2.4E-2</v>
      </c>
      <c r="R16" s="6">
        <f>0.01</f>
        <v>0.01</v>
      </c>
      <c r="S16" s="6">
        <f>0.12+0.027</f>
        <v>0.14699999999999999</v>
      </c>
      <c r="T16" s="6">
        <f>0.234+0.099</f>
        <v>0.33300000000000002</v>
      </c>
      <c r="U16" s="6">
        <f>0.021+0.004</f>
        <v>2.5000000000000001E-2</v>
      </c>
      <c r="V16" s="6">
        <f>0.567+0.207</f>
        <v>0.77399999999999991</v>
      </c>
      <c r="W16" s="6">
        <f>0.057+0.014</f>
        <v>7.1000000000000008E-2</v>
      </c>
      <c r="X16" s="6">
        <f>0.018</f>
        <v>1.7999999999999999E-2</v>
      </c>
      <c r="Y16" s="6">
        <f>0.011</f>
        <v>1.0999999999999999E-2</v>
      </c>
      <c r="Z16" s="6">
        <f>0.006</f>
        <v>6.0000000000000001E-3</v>
      </c>
      <c r="AA16" s="6">
        <f>0.012</f>
        <v>1.2E-2</v>
      </c>
      <c r="AB16" s="6">
        <f>0.015</f>
        <v>1.4999999999999999E-2</v>
      </c>
      <c r="AC16" s="6">
        <f>0.03</f>
        <v>0.03</v>
      </c>
      <c r="AD16" s="6">
        <f>0.045</f>
        <v>4.4999999999999998E-2</v>
      </c>
      <c r="AE16" s="6">
        <f>0.02+0.008</f>
        <v>2.8000000000000001E-2</v>
      </c>
      <c r="AF16" s="6">
        <f>0.453+0.028</f>
        <v>0.48100000000000004</v>
      </c>
      <c r="AG16" s="6">
        <v>2E-3</v>
      </c>
      <c r="AH16" s="6">
        <f>0.12</f>
        <v>0.12</v>
      </c>
      <c r="AI16" s="6">
        <f>0.005</f>
        <v>5.0000000000000001E-3</v>
      </c>
      <c r="AJ16" s="6">
        <f>0.04</f>
        <v>0.04</v>
      </c>
      <c r="AK16" s="6">
        <v>0.09</v>
      </c>
      <c r="AL16" s="6">
        <f>0.027</f>
        <v>2.7E-2</v>
      </c>
      <c r="AM16" s="6">
        <f>0.004</f>
        <v>4.0000000000000001E-3</v>
      </c>
      <c r="AN16" s="6">
        <f>0.031</f>
        <v>3.1E-2</v>
      </c>
      <c r="AO16" s="6">
        <v>1.2999999999999999E-2</v>
      </c>
      <c r="AP16" s="6">
        <f>0.005</f>
        <v>5.0000000000000001E-3</v>
      </c>
      <c r="AQ16" s="6">
        <f>SUM(N16:AP16)</f>
        <v>7.1309999999999976</v>
      </c>
      <c r="AR16" s="7">
        <f>L16+M16</f>
        <v>24.307999999999996</v>
      </c>
      <c r="AS16" s="10">
        <v>1600</v>
      </c>
      <c r="AT16" s="7">
        <f t="shared" si="2"/>
        <v>38892.799999999996</v>
      </c>
    </row>
    <row r="17" spans="1:46" x14ac:dyDescent="0.35">
      <c r="A17" s="5" t="s">
        <v>68</v>
      </c>
      <c r="B17" s="5" t="s">
        <v>45</v>
      </c>
      <c r="C17" s="8" t="s">
        <v>71</v>
      </c>
      <c r="D17" s="9">
        <v>4.5190000000000001</v>
      </c>
      <c r="E17" s="6">
        <f t="shared" si="0"/>
        <v>0.65900000000000003</v>
      </c>
      <c r="F17" s="5"/>
      <c r="G17" s="9">
        <v>0.65900000000000003</v>
      </c>
      <c r="H17" s="5"/>
      <c r="I17" s="5"/>
      <c r="J17" s="5"/>
      <c r="K17" s="5"/>
      <c r="L17" s="6">
        <f t="shared" si="1"/>
        <v>5.1779999999999999</v>
      </c>
      <c r="M17" s="6">
        <f>AQ17</f>
        <v>2.1519999999999984</v>
      </c>
      <c r="N17" s="9">
        <v>1.43</v>
      </c>
      <c r="O17" s="9">
        <v>2E-3</v>
      </c>
      <c r="P17" s="9">
        <v>5.0000000000000001E-3</v>
      </c>
      <c r="Q17" s="9">
        <v>7.0000000000000001E-3</v>
      </c>
      <c r="R17" s="9">
        <v>3.0000000000000001E-3</v>
      </c>
      <c r="S17" s="9">
        <v>4.3999999999999997E-2</v>
      </c>
      <c r="T17" s="9">
        <v>0.10100000000000001</v>
      </c>
      <c r="U17" s="9">
        <v>8.0000000000000002E-3</v>
      </c>
      <c r="V17" s="9">
        <v>0.23300000000000001</v>
      </c>
      <c r="W17" s="9">
        <v>2.1000000000000001E-2</v>
      </c>
      <c r="X17" s="9">
        <v>5.0000000000000001E-3</v>
      </c>
      <c r="Y17" s="9">
        <v>3.0000000000000001E-3</v>
      </c>
      <c r="Z17" s="9">
        <v>2E-3</v>
      </c>
      <c r="AA17" s="9">
        <v>4.0000000000000001E-3</v>
      </c>
      <c r="AB17" s="9">
        <v>5.0000000000000001E-3</v>
      </c>
      <c r="AC17" s="9">
        <v>8.9999999999999993E-3</v>
      </c>
      <c r="AD17" s="9">
        <v>1.4E-2</v>
      </c>
      <c r="AE17" s="9">
        <v>8.9999999999999993E-3</v>
      </c>
      <c r="AF17" s="9">
        <v>0.14499999999999999</v>
      </c>
      <c r="AG17" s="9">
        <v>1E-3</v>
      </c>
      <c r="AH17" s="9">
        <v>3.5999999999999997E-2</v>
      </c>
      <c r="AI17" s="9">
        <v>2E-3</v>
      </c>
      <c r="AJ17" s="9">
        <v>1.2E-2</v>
      </c>
      <c r="AK17" s="9">
        <v>2.7E-2</v>
      </c>
      <c r="AL17" s="9">
        <v>8.0000000000000002E-3</v>
      </c>
      <c r="AM17" s="9">
        <v>1E-3</v>
      </c>
      <c r="AN17" s="9">
        <v>8.9999999999999993E-3</v>
      </c>
      <c r="AO17" s="9">
        <v>4.0000000000000001E-3</v>
      </c>
      <c r="AP17" s="9">
        <v>2E-3</v>
      </c>
      <c r="AQ17" s="6">
        <f>SUM(N17:AP17)</f>
        <v>2.1519999999999984</v>
      </c>
      <c r="AR17" s="7">
        <f>L17+M17</f>
        <v>7.3299999999999983</v>
      </c>
      <c r="AS17" s="10">
        <v>27000</v>
      </c>
      <c r="AT17" s="7">
        <f t="shared" si="2"/>
        <v>197909.99999999994</v>
      </c>
    </row>
    <row r="18" spans="1:46" x14ac:dyDescent="0.35">
      <c r="A18" s="5" t="s">
        <v>69</v>
      </c>
      <c r="B18" s="5" t="s">
        <v>107</v>
      </c>
      <c r="C18" s="8" t="s">
        <v>59</v>
      </c>
      <c r="D18" s="9">
        <v>91.83</v>
      </c>
      <c r="E18" s="6">
        <f t="shared" si="0"/>
        <v>13.397</v>
      </c>
      <c r="F18" s="5"/>
      <c r="G18" s="9">
        <v>13.397</v>
      </c>
      <c r="H18" s="5"/>
      <c r="I18" s="5"/>
      <c r="J18" s="5"/>
      <c r="K18" s="5"/>
      <c r="L18" s="6">
        <f t="shared" si="1"/>
        <v>105.227</v>
      </c>
      <c r="M18" s="6">
        <f>AQ18</f>
        <v>43.688999999999986</v>
      </c>
      <c r="N18" s="9">
        <v>29.05</v>
      </c>
      <c r="O18" s="9">
        <v>4.2999999999999997E-2</v>
      </c>
      <c r="P18" s="9">
        <v>9.1999999999999998E-2</v>
      </c>
      <c r="Q18" s="9">
        <v>0.14699999999999999</v>
      </c>
      <c r="R18" s="9">
        <v>6.2E-2</v>
      </c>
      <c r="S18" s="9">
        <v>0.90100000000000002</v>
      </c>
      <c r="T18" s="9">
        <v>2.04</v>
      </c>
      <c r="U18" s="9">
        <v>0.153</v>
      </c>
      <c r="V18" s="9">
        <v>4.742</v>
      </c>
      <c r="W18" s="9">
        <v>0.435</v>
      </c>
      <c r="X18" s="9">
        <v>0.11</v>
      </c>
      <c r="Y18" s="9">
        <v>6.7000000000000004E-2</v>
      </c>
      <c r="Z18" s="9">
        <v>3.6999999999999998E-2</v>
      </c>
      <c r="AA18" s="9">
        <v>7.3999999999999996E-2</v>
      </c>
      <c r="AB18" s="9">
        <v>9.1999999999999998E-2</v>
      </c>
      <c r="AC18" s="9">
        <v>0.184</v>
      </c>
      <c r="AD18" s="9">
        <v>0.27600000000000002</v>
      </c>
      <c r="AE18" s="9">
        <v>0.17199999999999999</v>
      </c>
      <c r="AF18" s="9">
        <v>2.9470000000000001</v>
      </c>
      <c r="AG18" s="9">
        <v>1.2E-2</v>
      </c>
      <c r="AH18" s="9">
        <v>0.73499999999999999</v>
      </c>
      <c r="AI18" s="9">
        <v>3.1E-2</v>
      </c>
      <c r="AJ18" s="9">
        <v>0.245</v>
      </c>
      <c r="AK18" s="9">
        <v>0.55100000000000005</v>
      </c>
      <c r="AL18" s="9">
        <v>0.16500000000000001</v>
      </c>
      <c r="AM18" s="9">
        <v>2.5000000000000001E-2</v>
      </c>
      <c r="AN18" s="9">
        <v>0.19</v>
      </c>
      <c r="AO18" s="9">
        <v>0.08</v>
      </c>
      <c r="AP18" s="9">
        <v>3.1E-2</v>
      </c>
      <c r="AQ18" s="6">
        <f>SUM(N18:AP18)</f>
        <v>43.688999999999986</v>
      </c>
      <c r="AR18" s="7">
        <f>L18+M18</f>
        <v>148.916</v>
      </c>
      <c r="AS18" s="10">
        <v>850</v>
      </c>
      <c r="AT18" s="7">
        <f t="shared" si="2"/>
        <v>126578.59999999999</v>
      </c>
    </row>
    <row r="19" spans="1:46" x14ac:dyDescent="0.35">
      <c r="A19" s="5" t="s">
        <v>72</v>
      </c>
      <c r="B19" s="5" t="s">
        <v>73</v>
      </c>
      <c r="C19" s="8" t="s">
        <v>59</v>
      </c>
      <c r="D19" s="9">
        <v>14.99</v>
      </c>
      <c r="E19" s="6">
        <f t="shared" si="0"/>
        <v>2.1869999999999998</v>
      </c>
      <c r="F19" s="5"/>
      <c r="G19" s="6">
        <f>2.187</f>
        <v>2.1869999999999998</v>
      </c>
      <c r="H19" s="5"/>
      <c r="I19" s="5"/>
      <c r="J19" s="5"/>
      <c r="K19" s="5"/>
      <c r="L19" s="6">
        <f t="shared" si="1"/>
        <v>17.177</v>
      </c>
      <c r="M19" s="6">
        <f>AQ19</f>
        <v>7.1309999999999976</v>
      </c>
      <c r="N19" s="6">
        <v>4.742</v>
      </c>
      <c r="O19" s="6">
        <f>0.007</f>
        <v>7.0000000000000001E-3</v>
      </c>
      <c r="P19" s="6">
        <f>0.015</f>
        <v>1.4999999999999999E-2</v>
      </c>
      <c r="Q19" s="6">
        <f>0.024</f>
        <v>2.4E-2</v>
      </c>
      <c r="R19" s="6">
        <f>0.01</f>
        <v>0.01</v>
      </c>
      <c r="S19" s="6">
        <f>0.12+0.027</f>
        <v>0.14699999999999999</v>
      </c>
      <c r="T19" s="6">
        <f>0.234+0.099</f>
        <v>0.33300000000000002</v>
      </c>
      <c r="U19" s="6">
        <f>0.021+0.004</f>
        <v>2.5000000000000001E-2</v>
      </c>
      <c r="V19" s="6">
        <f>0.567+0.207</f>
        <v>0.77399999999999991</v>
      </c>
      <c r="W19" s="6">
        <f>0.057+0.014</f>
        <v>7.1000000000000008E-2</v>
      </c>
      <c r="X19" s="6">
        <f>0.018</f>
        <v>1.7999999999999999E-2</v>
      </c>
      <c r="Y19" s="6">
        <f>0.011</f>
        <v>1.0999999999999999E-2</v>
      </c>
      <c r="Z19" s="6">
        <f>0.006</f>
        <v>6.0000000000000001E-3</v>
      </c>
      <c r="AA19" s="6">
        <f>0.012</f>
        <v>1.2E-2</v>
      </c>
      <c r="AB19" s="6">
        <f>0.015</f>
        <v>1.4999999999999999E-2</v>
      </c>
      <c r="AC19" s="6">
        <f>0.03</f>
        <v>0.03</v>
      </c>
      <c r="AD19" s="6">
        <f>0.045</f>
        <v>4.4999999999999998E-2</v>
      </c>
      <c r="AE19" s="6">
        <f>0.02+0.008</f>
        <v>2.8000000000000001E-2</v>
      </c>
      <c r="AF19" s="6">
        <f>0.453+0.028</f>
        <v>0.48100000000000004</v>
      </c>
      <c r="AG19" s="6">
        <v>2E-3</v>
      </c>
      <c r="AH19" s="6">
        <f>0.12</f>
        <v>0.12</v>
      </c>
      <c r="AI19" s="6">
        <f>0.005</f>
        <v>5.0000000000000001E-3</v>
      </c>
      <c r="AJ19" s="6">
        <f>0.04</f>
        <v>0.04</v>
      </c>
      <c r="AK19" s="6">
        <v>0.09</v>
      </c>
      <c r="AL19" s="6">
        <f>0.027</f>
        <v>2.7E-2</v>
      </c>
      <c r="AM19" s="6">
        <f>0.004</f>
        <v>4.0000000000000001E-3</v>
      </c>
      <c r="AN19" s="6">
        <f>0.031</f>
        <v>3.1E-2</v>
      </c>
      <c r="AO19" s="6">
        <v>1.2999999999999999E-2</v>
      </c>
      <c r="AP19" s="6">
        <f>0.005</f>
        <v>5.0000000000000001E-3</v>
      </c>
      <c r="AQ19" s="6">
        <f>SUM(N19:AP19)</f>
        <v>7.1309999999999976</v>
      </c>
      <c r="AR19" s="7">
        <f>L19+M19</f>
        <v>24.307999999999996</v>
      </c>
      <c r="AS19" s="10">
        <v>100</v>
      </c>
      <c r="AT19" s="7">
        <f t="shared" si="2"/>
        <v>2430.7999999999997</v>
      </c>
    </row>
    <row r="20" spans="1:46" ht="28" x14ac:dyDescent="0.35">
      <c r="A20" s="5" t="s">
        <v>110</v>
      </c>
      <c r="B20" s="5" t="s">
        <v>74</v>
      </c>
      <c r="C20" s="20"/>
      <c r="D20" s="11"/>
      <c r="E20" s="6"/>
      <c r="F20" s="17"/>
      <c r="G20" s="17"/>
      <c r="H20" s="17"/>
      <c r="I20" s="17"/>
      <c r="J20" s="17"/>
      <c r="K20" s="17"/>
      <c r="L20" s="6"/>
      <c r="M20" s="6"/>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6"/>
      <c r="AR20" s="7"/>
      <c r="AS20" s="12"/>
      <c r="AT20" s="7"/>
    </row>
    <row r="21" spans="1:46" x14ac:dyDescent="0.35">
      <c r="A21" s="5" t="s">
        <v>75</v>
      </c>
      <c r="B21" s="5" t="s">
        <v>76</v>
      </c>
      <c r="C21" s="8" t="s">
        <v>59</v>
      </c>
      <c r="D21" s="9">
        <v>14.99</v>
      </c>
      <c r="E21" s="6">
        <f t="shared" ref="E21:E31" si="3">SUM(F21:K21)</f>
        <v>2.1869999999999998</v>
      </c>
      <c r="F21" s="5"/>
      <c r="G21" s="6">
        <f>2.187</f>
        <v>2.1869999999999998</v>
      </c>
      <c r="H21" s="5"/>
      <c r="I21" s="5"/>
      <c r="J21" s="5"/>
      <c r="K21" s="5"/>
      <c r="L21" s="6">
        <f t="shared" ref="L21:L31" si="4">D21+E21</f>
        <v>17.177</v>
      </c>
      <c r="M21" s="6">
        <f>AQ21</f>
        <v>7.1309999999999976</v>
      </c>
      <c r="N21" s="6">
        <v>4.742</v>
      </c>
      <c r="O21" s="6">
        <f>0.007</f>
        <v>7.0000000000000001E-3</v>
      </c>
      <c r="P21" s="6">
        <f>0.015</f>
        <v>1.4999999999999999E-2</v>
      </c>
      <c r="Q21" s="6">
        <f>0.024</f>
        <v>2.4E-2</v>
      </c>
      <c r="R21" s="6">
        <f>0.01</f>
        <v>0.01</v>
      </c>
      <c r="S21" s="6">
        <f>0.12+0.027</f>
        <v>0.14699999999999999</v>
      </c>
      <c r="T21" s="6">
        <f>0.234+0.099</f>
        <v>0.33300000000000002</v>
      </c>
      <c r="U21" s="6">
        <f>0.021+0.004</f>
        <v>2.5000000000000001E-2</v>
      </c>
      <c r="V21" s="6">
        <f>0.567+0.207</f>
        <v>0.77399999999999991</v>
      </c>
      <c r="W21" s="6">
        <f>0.057+0.014</f>
        <v>7.1000000000000008E-2</v>
      </c>
      <c r="X21" s="6">
        <f>0.018</f>
        <v>1.7999999999999999E-2</v>
      </c>
      <c r="Y21" s="6">
        <f>0.011</f>
        <v>1.0999999999999999E-2</v>
      </c>
      <c r="Z21" s="6">
        <f>0.006</f>
        <v>6.0000000000000001E-3</v>
      </c>
      <c r="AA21" s="6">
        <f>0.012</f>
        <v>1.2E-2</v>
      </c>
      <c r="AB21" s="6">
        <f>0.015</f>
        <v>1.4999999999999999E-2</v>
      </c>
      <c r="AC21" s="6">
        <f>0.03</f>
        <v>0.03</v>
      </c>
      <c r="AD21" s="6">
        <f>0.045</f>
        <v>4.4999999999999998E-2</v>
      </c>
      <c r="AE21" s="6">
        <f>0.02+0.008</f>
        <v>2.8000000000000001E-2</v>
      </c>
      <c r="AF21" s="6">
        <f>0.453+0.028</f>
        <v>0.48100000000000004</v>
      </c>
      <c r="AG21" s="6">
        <v>2E-3</v>
      </c>
      <c r="AH21" s="6">
        <f>0.12</f>
        <v>0.12</v>
      </c>
      <c r="AI21" s="6">
        <f>0.005</f>
        <v>5.0000000000000001E-3</v>
      </c>
      <c r="AJ21" s="6">
        <f>0.04</f>
        <v>0.04</v>
      </c>
      <c r="AK21" s="6">
        <v>0.09</v>
      </c>
      <c r="AL21" s="6">
        <f>0.027</f>
        <v>2.7E-2</v>
      </c>
      <c r="AM21" s="6">
        <f>0.004</f>
        <v>4.0000000000000001E-3</v>
      </c>
      <c r="AN21" s="6">
        <f>0.031</f>
        <v>3.1E-2</v>
      </c>
      <c r="AO21" s="6">
        <v>1.2999999999999999E-2</v>
      </c>
      <c r="AP21" s="6">
        <f>0.005</f>
        <v>5.0000000000000001E-3</v>
      </c>
      <c r="AQ21" s="6">
        <f>SUM(N21:AP21)</f>
        <v>7.1309999999999976</v>
      </c>
      <c r="AR21" s="7">
        <f>L21+M21</f>
        <v>24.307999999999996</v>
      </c>
      <c r="AS21" s="10">
        <v>1000</v>
      </c>
      <c r="AT21" s="7">
        <f t="shared" ref="AT21:AT31" si="5">AR21*AS21</f>
        <v>24307.999999999996</v>
      </c>
    </row>
    <row r="22" spans="1:46" x14ac:dyDescent="0.35">
      <c r="A22" s="5" t="s">
        <v>77</v>
      </c>
      <c r="B22" s="5" t="s">
        <v>78</v>
      </c>
      <c r="C22" s="8"/>
      <c r="D22" s="9"/>
      <c r="E22" s="6"/>
      <c r="F22" s="5"/>
      <c r="G22" s="5"/>
      <c r="H22" s="5"/>
      <c r="I22" s="5"/>
      <c r="J22" s="5"/>
      <c r="K22" s="5"/>
      <c r="L22" s="6"/>
      <c r="M22" s="6"/>
      <c r="N22" s="5"/>
      <c r="O22" s="5"/>
      <c r="P22" s="5"/>
      <c r="Q22" s="5"/>
      <c r="R22" s="5"/>
      <c r="S22" s="5"/>
      <c r="T22" s="5"/>
      <c r="U22" s="5"/>
      <c r="V22" s="5"/>
      <c r="W22" s="5"/>
      <c r="X22" s="5"/>
      <c r="Y22" s="5"/>
      <c r="Z22" s="5"/>
      <c r="AA22" s="5"/>
      <c r="AB22" s="5"/>
      <c r="AC22" s="5"/>
      <c r="AD22" s="5"/>
      <c r="AE22" s="5"/>
      <c r="AF22" s="5"/>
      <c r="AG22" s="5"/>
      <c r="AH22" s="5"/>
      <c r="AI22" s="5"/>
      <c r="AJ22" s="5"/>
      <c r="AK22" s="5"/>
      <c r="AL22" s="5"/>
      <c r="AM22" s="5"/>
      <c r="AN22" s="5"/>
      <c r="AO22" s="5"/>
      <c r="AP22" s="5"/>
      <c r="AQ22" s="6"/>
      <c r="AR22" s="7"/>
      <c r="AS22" s="10"/>
      <c r="AT22" s="7"/>
    </row>
    <row r="23" spans="1:46" x14ac:dyDescent="0.35">
      <c r="A23" s="5" t="s">
        <v>79</v>
      </c>
      <c r="B23" s="5" t="s">
        <v>56</v>
      </c>
      <c r="C23" s="8" t="s">
        <v>59</v>
      </c>
      <c r="D23" s="9">
        <v>14.99</v>
      </c>
      <c r="E23" s="6">
        <f t="shared" si="3"/>
        <v>2.1869999999999998</v>
      </c>
      <c r="F23" s="5"/>
      <c r="G23" s="6">
        <f>2.187</f>
        <v>2.1869999999999998</v>
      </c>
      <c r="H23" s="5"/>
      <c r="I23" s="5"/>
      <c r="J23" s="5"/>
      <c r="K23" s="5"/>
      <c r="L23" s="6">
        <f t="shared" si="4"/>
        <v>17.177</v>
      </c>
      <c r="M23" s="6">
        <f>AQ23</f>
        <v>7.1309999999999976</v>
      </c>
      <c r="N23" s="6">
        <v>4.742</v>
      </c>
      <c r="O23" s="6">
        <f>0.007</f>
        <v>7.0000000000000001E-3</v>
      </c>
      <c r="P23" s="6">
        <f>0.015</f>
        <v>1.4999999999999999E-2</v>
      </c>
      <c r="Q23" s="6">
        <f>0.024</f>
        <v>2.4E-2</v>
      </c>
      <c r="R23" s="6">
        <f>0.01</f>
        <v>0.01</v>
      </c>
      <c r="S23" s="6">
        <f>0.12+0.027</f>
        <v>0.14699999999999999</v>
      </c>
      <c r="T23" s="6">
        <f>0.234+0.099</f>
        <v>0.33300000000000002</v>
      </c>
      <c r="U23" s="6">
        <f>0.021+0.004</f>
        <v>2.5000000000000001E-2</v>
      </c>
      <c r="V23" s="6">
        <f>0.567+0.207</f>
        <v>0.77399999999999991</v>
      </c>
      <c r="W23" s="6">
        <f>0.057+0.014</f>
        <v>7.1000000000000008E-2</v>
      </c>
      <c r="X23" s="6">
        <f>0.018</f>
        <v>1.7999999999999999E-2</v>
      </c>
      <c r="Y23" s="6">
        <f>0.011</f>
        <v>1.0999999999999999E-2</v>
      </c>
      <c r="Z23" s="6">
        <f>0.006</f>
        <v>6.0000000000000001E-3</v>
      </c>
      <c r="AA23" s="6">
        <f>0.012</f>
        <v>1.2E-2</v>
      </c>
      <c r="AB23" s="6">
        <f>0.015</f>
        <v>1.4999999999999999E-2</v>
      </c>
      <c r="AC23" s="6">
        <f>0.03</f>
        <v>0.03</v>
      </c>
      <c r="AD23" s="6">
        <f>0.045</f>
        <v>4.4999999999999998E-2</v>
      </c>
      <c r="AE23" s="6">
        <f>0.02+0.008</f>
        <v>2.8000000000000001E-2</v>
      </c>
      <c r="AF23" s="6">
        <f>0.453+0.028</f>
        <v>0.48100000000000004</v>
      </c>
      <c r="AG23" s="6">
        <v>2E-3</v>
      </c>
      <c r="AH23" s="6">
        <f>0.12</f>
        <v>0.12</v>
      </c>
      <c r="AI23" s="6">
        <f>0.005</f>
        <v>5.0000000000000001E-3</v>
      </c>
      <c r="AJ23" s="6">
        <f>0.04</f>
        <v>0.04</v>
      </c>
      <c r="AK23" s="6">
        <v>0.09</v>
      </c>
      <c r="AL23" s="6">
        <f>0.027</f>
        <v>2.7E-2</v>
      </c>
      <c r="AM23" s="6">
        <f>0.004</f>
        <v>4.0000000000000001E-3</v>
      </c>
      <c r="AN23" s="6">
        <f>0.031</f>
        <v>3.1E-2</v>
      </c>
      <c r="AO23" s="6">
        <v>1.2999999999999999E-2</v>
      </c>
      <c r="AP23" s="6">
        <f>0.005</f>
        <v>5.0000000000000001E-3</v>
      </c>
      <c r="AQ23" s="6">
        <f>SUM(N23:AP23)</f>
        <v>7.1309999999999976</v>
      </c>
      <c r="AR23" s="7">
        <f>L23+M23</f>
        <v>24.307999999999996</v>
      </c>
      <c r="AS23" s="10">
        <v>1000</v>
      </c>
      <c r="AT23" s="7">
        <f t="shared" si="5"/>
        <v>24307.999999999996</v>
      </c>
    </row>
    <row r="24" spans="1:46" x14ac:dyDescent="0.35">
      <c r="A24" s="5" t="s">
        <v>80</v>
      </c>
      <c r="B24" s="5" t="s">
        <v>57</v>
      </c>
      <c r="C24" s="8" t="s">
        <v>60</v>
      </c>
      <c r="D24" s="9">
        <v>1.498</v>
      </c>
      <c r="E24" s="6">
        <f t="shared" si="3"/>
        <v>0.219</v>
      </c>
      <c r="F24" s="5"/>
      <c r="G24" s="9">
        <v>0.219</v>
      </c>
      <c r="H24" s="5"/>
      <c r="I24" s="5"/>
      <c r="J24" s="5"/>
      <c r="K24" s="5"/>
      <c r="L24" s="6">
        <f t="shared" si="4"/>
        <v>1.7170000000000001</v>
      </c>
      <c r="M24" s="6">
        <f>AQ24</f>
        <v>0.71100000000000008</v>
      </c>
      <c r="N24" s="9">
        <v>0.47399999999999998</v>
      </c>
      <c r="O24" s="9">
        <v>1E-3</v>
      </c>
      <c r="P24" s="9">
        <v>1E-3</v>
      </c>
      <c r="Q24" s="9">
        <v>2E-3</v>
      </c>
      <c r="R24" s="9">
        <v>1E-3</v>
      </c>
      <c r="S24" s="9">
        <v>1.4999999999999999E-2</v>
      </c>
      <c r="T24" s="9">
        <v>3.3000000000000002E-2</v>
      </c>
      <c r="U24" s="9">
        <v>2E-3</v>
      </c>
      <c r="V24" s="9">
        <v>7.6999999999999999E-2</v>
      </c>
      <c r="W24" s="9">
        <v>7.0000000000000001E-3</v>
      </c>
      <c r="X24" s="9">
        <v>2E-3</v>
      </c>
      <c r="Y24" s="9">
        <v>1E-3</v>
      </c>
      <c r="Z24" s="9">
        <v>1E-3</v>
      </c>
      <c r="AA24" s="9">
        <v>1E-3</v>
      </c>
      <c r="AB24" s="9">
        <v>1E-3</v>
      </c>
      <c r="AC24" s="9">
        <v>3.0000000000000001E-3</v>
      </c>
      <c r="AD24" s="9">
        <v>4.0000000000000001E-3</v>
      </c>
      <c r="AE24" s="9">
        <v>3.0000000000000001E-3</v>
      </c>
      <c r="AF24" s="9">
        <v>4.8000000000000001E-2</v>
      </c>
      <c r="AG24" s="9">
        <v>0</v>
      </c>
      <c r="AH24" s="9">
        <v>1.2E-2</v>
      </c>
      <c r="AI24" s="9">
        <v>1E-3</v>
      </c>
      <c r="AJ24" s="9">
        <v>4.0000000000000001E-3</v>
      </c>
      <c r="AK24" s="9">
        <v>8.9999999999999993E-3</v>
      </c>
      <c r="AL24" s="9">
        <v>3.0000000000000001E-3</v>
      </c>
      <c r="AM24" s="9">
        <v>0</v>
      </c>
      <c r="AN24" s="9">
        <v>3.0000000000000001E-3</v>
      </c>
      <c r="AO24" s="9">
        <v>1E-3</v>
      </c>
      <c r="AP24" s="9">
        <v>1E-3</v>
      </c>
      <c r="AQ24" s="6">
        <f>SUM(N24:AP24)</f>
        <v>0.71100000000000008</v>
      </c>
      <c r="AR24" s="7">
        <f>L24+M24</f>
        <v>2.4279999999999999</v>
      </c>
      <c r="AS24" s="10">
        <v>13000</v>
      </c>
      <c r="AT24" s="7">
        <f t="shared" si="5"/>
        <v>31564</v>
      </c>
    </row>
    <row r="25" spans="1:46" x14ac:dyDescent="0.35">
      <c r="A25" s="5" t="s">
        <v>81</v>
      </c>
      <c r="B25" s="5" t="s">
        <v>82</v>
      </c>
      <c r="C25" s="8" t="s">
        <v>59</v>
      </c>
      <c r="D25" s="9">
        <v>97.402000000000001</v>
      </c>
      <c r="E25" s="6">
        <f t="shared" si="3"/>
        <v>14.211</v>
      </c>
      <c r="F25" s="5"/>
      <c r="G25" s="9">
        <v>14.211</v>
      </c>
      <c r="H25" s="5"/>
      <c r="I25" s="5"/>
      <c r="J25" s="5"/>
      <c r="K25" s="5"/>
      <c r="L25" s="6">
        <f t="shared" si="4"/>
        <v>111.613</v>
      </c>
      <c r="M25" s="6">
        <f>AQ25</f>
        <v>46.342000000000006</v>
      </c>
      <c r="N25" s="9">
        <v>30.812999999999999</v>
      </c>
      <c r="O25" s="9">
        <v>4.4999999999999998E-2</v>
      </c>
      <c r="P25" s="9">
        <v>9.7000000000000003E-2</v>
      </c>
      <c r="Q25" s="9">
        <v>0.16</v>
      </c>
      <c r="R25" s="9">
        <v>6.5000000000000002E-2</v>
      </c>
      <c r="S25" s="9">
        <v>0.95499999999999996</v>
      </c>
      <c r="T25" s="9">
        <v>2.1640000000000001</v>
      </c>
      <c r="U25" s="9">
        <v>0.16300000000000001</v>
      </c>
      <c r="V25" s="9">
        <v>5.03</v>
      </c>
      <c r="W25" s="9">
        <v>0.46200000000000002</v>
      </c>
      <c r="X25" s="9">
        <v>0.11700000000000001</v>
      </c>
      <c r="Y25" s="9">
        <v>7.0999999999999994E-2</v>
      </c>
      <c r="Z25" s="9">
        <v>3.9E-2</v>
      </c>
      <c r="AA25" s="9">
        <v>7.8E-2</v>
      </c>
      <c r="AB25" s="9">
        <v>9.8000000000000004E-2</v>
      </c>
      <c r="AC25" s="9">
        <v>0.19500000000000001</v>
      </c>
      <c r="AD25" s="9">
        <v>0.29299999999999998</v>
      </c>
      <c r="AE25" s="9">
        <v>0.182</v>
      </c>
      <c r="AF25" s="9">
        <v>3.1259999999999999</v>
      </c>
      <c r="AG25" s="9">
        <v>1.2999999999999999E-2</v>
      </c>
      <c r="AH25" s="9">
        <v>0.77900000000000003</v>
      </c>
      <c r="AI25" s="9">
        <v>3.2000000000000001E-2</v>
      </c>
      <c r="AJ25" s="9">
        <v>0.26</v>
      </c>
      <c r="AK25" s="9">
        <v>0.58499999999999996</v>
      </c>
      <c r="AL25" s="9">
        <v>0.17599999999999999</v>
      </c>
      <c r="AM25" s="9">
        <v>2.5999999999999999E-2</v>
      </c>
      <c r="AN25" s="9">
        <v>0.20200000000000001</v>
      </c>
      <c r="AO25" s="9">
        <v>8.4000000000000005E-2</v>
      </c>
      <c r="AP25" s="9">
        <v>3.2000000000000001E-2</v>
      </c>
      <c r="AQ25" s="6">
        <f>SUM(N25:AP25)</f>
        <v>46.342000000000006</v>
      </c>
      <c r="AR25" s="7">
        <f>L25+M25</f>
        <v>157.95500000000001</v>
      </c>
      <c r="AS25" s="10">
        <v>1</v>
      </c>
      <c r="AT25" s="7">
        <f t="shared" si="5"/>
        <v>157.95500000000001</v>
      </c>
    </row>
    <row r="26" spans="1:46" ht="28" x14ac:dyDescent="0.35">
      <c r="A26" s="5" t="s">
        <v>111</v>
      </c>
      <c r="B26" s="5" t="s">
        <v>83</v>
      </c>
      <c r="C26" s="8"/>
      <c r="D26" s="9"/>
      <c r="E26" s="6"/>
      <c r="F26" s="5"/>
      <c r="G26" s="5"/>
      <c r="H26" s="5"/>
      <c r="I26" s="5"/>
      <c r="J26" s="5"/>
      <c r="K26" s="5"/>
      <c r="L26" s="6"/>
      <c r="M26" s="6"/>
      <c r="N26" s="5"/>
      <c r="O26" s="5"/>
      <c r="P26" s="5"/>
      <c r="Q26" s="5"/>
      <c r="R26" s="5"/>
      <c r="S26" s="5"/>
      <c r="T26" s="5"/>
      <c r="U26" s="5"/>
      <c r="V26" s="5"/>
      <c r="W26" s="5"/>
      <c r="X26" s="5"/>
      <c r="Y26" s="5"/>
      <c r="Z26" s="5"/>
      <c r="AA26" s="5"/>
      <c r="AB26" s="5"/>
      <c r="AC26" s="5"/>
      <c r="AD26" s="5"/>
      <c r="AE26" s="5"/>
      <c r="AF26" s="5"/>
      <c r="AG26" s="5"/>
      <c r="AH26" s="5"/>
      <c r="AI26" s="5"/>
      <c r="AJ26" s="5"/>
      <c r="AK26" s="5"/>
      <c r="AL26" s="5"/>
      <c r="AM26" s="5"/>
      <c r="AN26" s="5"/>
      <c r="AO26" s="5"/>
      <c r="AP26" s="5"/>
      <c r="AQ26" s="6"/>
      <c r="AR26" s="7"/>
      <c r="AS26" s="10"/>
      <c r="AT26" s="7"/>
    </row>
    <row r="27" spans="1:46" x14ac:dyDescent="0.35">
      <c r="A27" s="5" t="s">
        <v>84</v>
      </c>
      <c r="B27" s="5" t="s">
        <v>89</v>
      </c>
      <c r="C27" s="8" t="s">
        <v>59</v>
      </c>
      <c r="D27" s="9">
        <v>14.99</v>
      </c>
      <c r="E27" s="6">
        <f t="shared" si="3"/>
        <v>2.1869999999999998</v>
      </c>
      <c r="F27" s="5"/>
      <c r="G27" s="6">
        <f>2.187</f>
        <v>2.1869999999999998</v>
      </c>
      <c r="H27" s="5"/>
      <c r="I27" s="5"/>
      <c r="J27" s="5"/>
      <c r="K27" s="5"/>
      <c r="L27" s="6">
        <f t="shared" si="4"/>
        <v>17.177</v>
      </c>
      <c r="M27" s="6">
        <f>AQ27</f>
        <v>7.1309999999999976</v>
      </c>
      <c r="N27" s="6">
        <v>4.742</v>
      </c>
      <c r="O27" s="6">
        <f>0.007</f>
        <v>7.0000000000000001E-3</v>
      </c>
      <c r="P27" s="6">
        <f>0.015</f>
        <v>1.4999999999999999E-2</v>
      </c>
      <c r="Q27" s="6">
        <f>0.024</f>
        <v>2.4E-2</v>
      </c>
      <c r="R27" s="6">
        <f>0.01</f>
        <v>0.01</v>
      </c>
      <c r="S27" s="6">
        <f>0.12+0.027</f>
        <v>0.14699999999999999</v>
      </c>
      <c r="T27" s="6">
        <f>0.234+0.099</f>
        <v>0.33300000000000002</v>
      </c>
      <c r="U27" s="6">
        <f>0.021+0.004</f>
        <v>2.5000000000000001E-2</v>
      </c>
      <c r="V27" s="6">
        <f>0.567+0.207</f>
        <v>0.77399999999999991</v>
      </c>
      <c r="W27" s="6">
        <f>0.057+0.014</f>
        <v>7.1000000000000008E-2</v>
      </c>
      <c r="X27" s="6">
        <f>0.018</f>
        <v>1.7999999999999999E-2</v>
      </c>
      <c r="Y27" s="6">
        <f>0.011</f>
        <v>1.0999999999999999E-2</v>
      </c>
      <c r="Z27" s="6">
        <f>0.006</f>
        <v>6.0000000000000001E-3</v>
      </c>
      <c r="AA27" s="6">
        <f>0.012</f>
        <v>1.2E-2</v>
      </c>
      <c r="AB27" s="6">
        <f>0.015</f>
        <v>1.4999999999999999E-2</v>
      </c>
      <c r="AC27" s="6">
        <f>0.03</f>
        <v>0.03</v>
      </c>
      <c r="AD27" s="6">
        <f>0.045</f>
        <v>4.4999999999999998E-2</v>
      </c>
      <c r="AE27" s="6">
        <f>0.02+0.008</f>
        <v>2.8000000000000001E-2</v>
      </c>
      <c r="AF27" s="6">
        <f>0.453+0.028</f>
        <v>0.48100000000000004</v>
      </c>
      <c r="AG27" s="6">
        <v>2E-3</v>
      </c>
      <c r="AH27" s="6">
        <f>0.12</f>
        <v>0.12</v>
      </c>
      <c r="AI27" s="6">
        <f>0.005</f>
        <v>5.0000000000000001E-3</v>
      </c>
      <c r="AJ27" s="6">
        <f>0.04</f>
        <v>0.04</v>
      </c>
      <c r="AK27" s="6">
        <v>0.09</v>
      </c>
      <c r="AL27" s="6">
        <f>0.027</f>
        <v>2.7E-2</v>
      </c>
      <c r="AM27" s="6">
        <f>0.004</f>
        <v>4.0000000000000001E-3</v>
      </c>
      <c r="AN27" s="6">
        <f>0.031</f>
        <v>3.1E-2</v>
      </c>
      <c r="AO27" s="6">
        <v>1.2999999999999999E-2</v>
      </c>
      <c r="AP27" s="6">
        <f>0.005</f>
        <v>5.0000000000000001E-3</v>
      </c>
      <c r="AQ27" s="6">
        <f>SUM(N27:AP27)</f>
        <v>7.1309999999999976</v>
      </c>
      <c r="AR27" s="7">
        <f>L27+M27</f>
        <v>24.307999999999996</v>
      </c>
      <c r="AS27" s="10">
        <v>300</v>
      </c>
      <c r="AT27" s="7">
        <f t="shared" si="5"/>
        <v>7292.3999999999987</v>
      </c>
    </row>
    <row r="28" spans="1:46" x14ac:dyDescent="0.35">
      <c r="A28" s="5" t="s">
        <v>85</v>
      </c>
      <c r="B28" s="5" t="s">
        <v>90</v>
      </c>
      <c r="C28" s="8"/>
      <c r="D28" s="9"/>
      <c r="E28" s="6"/>
      <c r="F28" s="5"/>
      <c r="G28" s="5"/>
      <c r="H28" s="5"/>
      <c r="I28" s="5"/>
      <c r="J28" s="5"/>
      <c r="K28" s="5"/>
      <c r="L28" s="6"/>
      <c r="M28" s="6"/>
      <c r="N28" s="5"/>
      <c r="O28" s="5"/>
      <c r="P28" s="5"/>
      <c r="Q28" s="5"/>
      <c r="R28" s="5"/>
      <c r="S28" s="5"/>
      <c r="T28" s="5"/>
      <c r="U28" s="5"/>
      <c r="V28" s="5"/>
      <c r="W28" s="5"/>
      <c r="X28" s="5"/>
      <c r="Y28" s="5"/>
      <c r="Z28" s="5"/>
      <c r="AA28" s="5"/>
      <c r="AB28" s="5"/>
      <c r="AC28" s="5"/>
      <c r="AD28" s="5"/>
      <c r="AE28" s="5"/>
      <c r="AF28" s="5"/>
      <c r="AG28" s="5"/>
      <c r="AH28" s="5"/>
      <c r="AI28" s="5"/>
      <c r="AJ28" s="5"/>
      <c r="AK28" s="5"/>
      <c r="AL28" s="5"/>
      <c r="AM28" s="5"/>
      <c r="AN28" s="5"/>
      <c r="AO28" s="5"/>
      <c r="AP28" s="5"/>
      <c r="AQ28" s="6"/>
      <c r="AR28" s="7"/>
      <c r="AS28" s="10"/>
      <c r="AT28" s="7"/>
    </row>
    <row r="29" spans="1:46" x14ac:dyDescent="0.35">
      <c r="A29" s="5" t="s">
        <v>86</v>
      </c>
      <c r="B29" s="5" t="s">
        <v>56</v>
      </c>
      <c r="C29" s="8" t="s">
        <v>59</v>
      </c>
      <c r="D29" s="9">
        <v>14.99</v>
      </c>
      <c r="E29" s="6">
        <f t="shared" si="3"/>
        <v>2.1869999999999998</v>
      </c>
      <c r="F29" s="5"/>
      <c r="G29" s="6">
        <f>2.187</f>
        <v>2.1869999999999998</v>
      </c>
      <c r="H29" s="5"/>
      <c r="I29" s="5"/>
      <c r="J29" s="5"/>
      <c r="K29" s="5"/>
      <c r="L29" s="6">
        <f t="shared" si="4"/>
        <v>17.177</v>
      </c>
      <c r="M29" s="6">
        <f>AQ29</f>
        <v>7.1309999999999976</v>
      </c>
      <c r="N29" s="6">
        <v>4.742</v>
      </c>
      <c r="O29" s="6">
        <f>0.007</f>
        <v>7.0000000000000001E-3</v>
      </c>
      <c r="P29" s="6">
        <f>0.015</f>
        <v>1.4999999999999999E-2</v>
      </c>
      <c r="Q29" s="6">
        <f>0.024</f>
        <v>2.4E-2</v>
      </c>
      <c r="R29" s="6">
        <f>0.01</f>
        <v>0.01</v>
      </c>
      <c r="S29" s="6">
        <f>0.12+0.027</f>
        <v>0.14699999999999999</v>
      </c>
      <c r="T29" s="6">
        <f>0.234+0.099</f>
        <v>0.33300000000000002</v>
      </c>
      <c r="U29" s="6">
        <f>0.021+0.004</f>
        <v>2.5000000000000001E-2</v>
      </c>
      <c r="V29" s="6">
        <f>0.567+0.207</f>
        <v>0.77399999999999991</v>
      </c>
      <c r="W29" s="6">
        <f>0.057+0.014</f>
        <v>7.1000000000000008E-2</v>
      </c>
      <c r="X29" s="6">
        <f>0.018</f>
        <v>1.7999999999999999E-2</v>
      </c>
      <c r="Y29" s="6">
        <f>0.011</f>
        <v>1.0999999999999999E-2</v>
      </c>
      <c r="Z29" s="6">
        <f>0.006</f>
        <v>6.0000000000000001E-3</v>
      </c>
      <c r="AA29" s="6">
        <f>0.012</f>
        <v>1.2E-2</v>
      </c>
      <c r="AB29" s="6">
        <f>0.015</f>
        <v>1.4999999999999999E-2</v>
      </c>
      <c r="AC29" s="6">
        <f>0.03</f>
        <v>0.03</v>
      </c>
      <c r="AD29" s="6">
        <f>0.045</f>
        <v>4.4999999999999998E-2</v>
      </c>
      <c r="AE29" s="6">
        <f>0.02+0.008</f>
        <v>2.8000000000000001E-2</v>
      </c>
      <c r="AF29" s="6">
        <f>0.453+0.028</f>
        <v>0.48100000000000004</v>
      </c>
      <c r="AG29" s="6">
        <v>2E-3</v>
      </c>
      <c r="AH29" s="6">
        <f>0.12</f>
        <v>0.12</v>
      </c>
      <c r="AI29" s="6">
        <f>0.005</f>
        <v>5.0000000000000001E-3</v>
      </c>
      <c r="AJ29" s="6">
        <f>0.04</f>
        <v>0.04</v>
      </c>
      <c r="AK29" s="6">
        <v>0.09</v>
      </c>
      <c r="AL29" s="6">
        <f>0.027</f>
        <v>2.7E-2</v>
      </c>
      <c r="AM29" s="6">
        <f>0.004</f>
        <v>4.0000000000000001E-3</v>
      </c>
      <c r="AN29" s="6">
        <f>0.031</f>
        <v>3.1E-2</v>
      </c>
      <c r="AO29" s="6">
        <v>1.2999999999999999E-2</v>
      </c>
      <c r="AP29" s="6">
        <f>0.005</f>
        <v>5.0000000000000001E-3</v>
      </c>
      <c r="AQ29" s="6">
        <f>SUM(N29:AP29)</f>
        <v>7.1309999999999976</v>
      </c>
      <c r="AR29" s="7">
        <f>L29+M29</f>
        <v>24.307999999999996</v>
      </c>
      <c r="AS29" s="10">
        <v>20</v>
      </c>
      <c r="AT29" s="7">
        <f t="shared" si="5"/>
        <v>486.15999999999991</v>
      </c>
    </row>
    <row r="30" spans="1:46" x14ac:dyDescent="0.35">
      <c r="A30" s="5" t="s">
        <v>87</v>
      </c>
      <c r="B30" s="5" t="s">
        <v>57</v>
      </c>
      <c r="C30" s="8" t="s">
        <v>60</v>
      </c>
      <c r="D30" s="9">
        <v>1.498</v>
      </c>
      <c r="E30" s="6">
        <f t="shared" si="3"/>
        <v>0.219</v>
      </c>
      <c r="F30" s="5"/>
      <c r="G30" s="9">
        <v>0.219</v>
      </c>
      <c r="H30" s="5"/>
      <c r="I30" s="5"/>
      <c r="J30" s="5"/>
      <c r="K30" s="5"/>
      <c r="L30" s="6">
        <f t="shared" si="4"/>
        <v>1.7170000000000001</v>
      </c>
      <c r="M30" s="6">
        <f>AQ30</f>
        <v>0.71100000000000008</v>
      </c>
      <c r="N30" s="9">
        <v>0.47399999999999998</v>
      </c>
      <c r="O30" s="9">
        <v>1E-3</v>
      </c>
      <c r="P30" s="9">
        <v>1E-3</v>
      </c>
      <c r="Q30" s="9">
        <v>2E-3</v>
      </c>
      <c r="R30" s="9">
        <v>1E-3</v>
      </c>
      <c r="S30" s="9">
        <v>1.4999999999999999E-2</v>
      </c>
      <c r="T30" s="9">
        <v>3.3000000000000002E-2</v>
      </c>
      <c r="U30" s="9">
        <v>2E-3</v>
      </c>
      <c r="V30" s="9">
        <v>7.6999999999999999E-2</v>
      </c>
      <c r="W30" s="9">
        <v>7.0000000000000001E-3</v>
      </c>
      <c r="X30" s="9">
        <v>2E-3</v>
      </c>
      <c r="Y30" s="9">
        <v>1E-3</v>
      </c>
      <c r="Z30" s="9">
        <v>1E-3</v>
      </c>
      <c r="AA30" s="9">
        <v>1E-3</v>
      </c>
      <c r="AB30" s="9">
        <v>1E-3</v>
      </c>
      <c r="AC30" s="9">
        <v>3.0000000000000001E-3</v>
      </c>
      <c r="AD30" s="9">
        <v>4.0000000000000001E-3</v>
      </c>
      <c r="AE30" s="9">
        <v>3.0000000000000001E-3</v>
      </c>
      <c r="AF30" s="9">
        <v>4.8000000000000001E-2</v>
      </c>
      <c r="AG30" s="9">
        <v>0</v>
      </c>
      <c r="AH30" s="9">
        <v>1.2E-2</v>
      </c>
      <c r="AI30" s="9">
        <v>1E-3</v>
      </c>
      <c r="AJ30" s="9">
        <v>4.0000000000000001E-3</v>
      </c>
      <c r="AK30" s="9">
        <v>8.9999999999999993E-3</v>
      </c>
      <c r="AL30" s="9">
        <v>3.0000000000000001E-3</v>
      </c>
      <c r="AM30" s="9">
        <v>0</v>
      </c>
      <c r="AN30" s="9">
        <v>3.0000000000000001E-3</v>
      </c>
      <c r="AO30" s="9">
        <v>1E-3</v>
      </c>
      <c r="AP30" s="9">
        <v>1E-3</v>
      </c>
      <c r="AQ30" s="6">
        <f>SUM(N30:AP30)</f>
        <v>0.71100000000000008</v>
      </c>
      <c r="AR30" s="7">
        <f>L30+M30</f>
        <v>2.4279999999999999</v>
      </c>
      <c r="AS30" s="10">
        <v>80</v>
      </c>
      <c r="AT30" s="7">
        <f t="shared" si="5"/>
        <v>194.24</v>
      </c>
    </row>
    <row r="31" spans="1:46" x14ac:dyDescent="0.35">
      <c r="A31" s="13" t="s">
        <v>88</v>
      </c>
      <c r="B31" s="5" t="s">
        <v>91</v>
      </c>
      <c r="C31" s="8" t="s">
        <v>59</v>
      </c>
      <c r="D31" s="9">
        <v>97.402000000000001</v>
      </c>
      <c r="E31" s="6">
        <f t="shared" si="3"/>
        <v>14.211</v>
      </c>
      <c r="F31" s="5"/>
      <c r="G31" s="9">
        <v>14.211</v>
      </c>
      <c r="H31" s="5"/>
      <c r="I31" s="5"/>
      <c r="J31" s="5"/>
      <c r="K31" s="5"/>
      <c r="L31" s="6">
        <f t="shared" si="4"/>
        <v>111.613</v>
      </c>
      <c r="M31" s="6">
        <f>AQ31</f>
        <v>46.342000000000006</v>
      </c>
      <c r="N31" s="9">
        <v>30.812999999999999</v>
      </c>
      <c r="O31" s="9">
        <v>4.4999999999999998E-2</v>
      </c>
      <c r="P31" s="9">
        <v>9.7000000000000003E-2</v>
      </c>
      <c r="Q31" s="9">
        <v>0.16</v>
      </c>
      <c r="R31" s="9">
        <v>6.5000000000000002E-2</v>
      </c>
      <c r="S31" s="9">
        <v>0.95499999999999996</v>
      </c>
      <c r="T31" s="9">
        <v>2.1640000000000001</v>
      </c>
      <c r="U31" s="9">
        <v>0.16300000000000001</v>
      </c>
      <c r="V31" s="9">
        <v>5.03</v>
      </c>
      <c r="W31" s="9">
        <v>0.46200000000000002</v>
      </c>
      <c r="X31" s="9">
        <v>0.11700000000000001</v>
      </c>
      <c r="Y31" s="9">
        <v>7.0999999999999994E-2</v>
      </c>
      <c r="Z31" s="9">
        <v>3.9E-2</v>
      </c>
      <c r="AA31" s="9">
        <v>7.8E-2</v>
      </c>
      <c r="AB31" s="9">
        <v>9.8000000000000004E-2</v>
      </c>
      <c r="AC31" s="9">
        <v>0.19500000000000001</v>
      </c>
      <c r="AD31" s="9">
        <v>0.29299999999999998</v>
      </c>
      <c r="AE31" s="9">
        <v>0.182</v>
      </c>
      <c r="AF31" s="9">
        <v>3.1259999999999999</v>
      </c>
      <c r="AG31" s="9">
        <v>1.2999999999999999E-2</v>
      </c>
      <c r="AH31" s="9">
        <v>0.77900000000000003</v>
      </c>
      <c r="AI31" s="9">
        <v>3.2000000000000001E-2</v>
      </c>
      <c r="AJ31" s="9">
        <v>0.26</v>
      </c>
      <c r="AK31" s="9">
        <v>0.58499999999999996</v>
      </c>
      <c r="AL31" s="9">
        <v>0.17599999999999999</v>
      </c>
      <c r="AM31" s="9">
        <v>2.5999999999999999E-2</v>
      </c>
      <c r="AN31" s="9">
        <v>0.20200000000000001</v>
      </c>
      <c r="AO31" s="9">
        <v>8.4000000000000005E-2</v>
      </c>
      <c r="AP31" s="9">
        <v>3.2000000000000001E-2</v>
      </c>
      <c r="AQ31" s="6">
        <f>SUM(N31:AP31)</f>
        <v>46.342000000000006</v>
      </c>
      <c r="AR31" s="7">
        <f>L31+M31</f>
        <v>157.95500000000001</v>
      </c>
      <c r="AS31" s="10">
        <v>0</v>
      </c>
      <c r="AT31" s="7">
        <f t="shared" si="5"/>
        <v>0</v>
      </c>
    </row>
    <row r="32" spans="1:46" ht="45" customHeight="1" x14ac:dyDescent="0.35">
      <c r="A32" s="25" t="s">
        <v>108</v>
      </c>
      <c r="B32" s="25" t="s">
        <v>92</v>
      </c>
      <c r="C32" s="20"/>
      <c r="D32" s="11"/>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7"/>
      <c r="AS32" s="14"/>
      <c r="AT32" s="7"/>
    </row>
    <row r="33" spans="1:46" x14ac:dyDescent="0.35">
      <c r="A33" s="5" t="s">
        <v>93</v>
      </c>
      <c r="B33" s="5" t="s">
        <v>44</v>
      </c>
      <c r="C33" s="8" t="s">
        <v>59</v>
      </c>
      <c r="D33" s="9">
        <v>14.99</v>
      </c>
      <c r="E33" s="6">
        <f t="shared" si="0"/>
        <v>2.1869999999999998</v>
      </c>
      <c r="F33" s="6"/>
      <c r="G33" s="6">
        <f>2.187</f>
        <v>2.1869999999999998</v>
      </c>
      <c r="H33" s="6"/>
      <c r="I33" s="6"/>
      <c r="J33" s="6"/>
      <c r="K33" s="6"/>
      <c r="L33" s="6">
        <f t="shared" ref="L33" si="6">D33+E33</f>
        <v>17.177</v>
      </c>
      <c r="M33" s="6">
        <f t="shared" ref="M33" si="7">AQ33</f>
        <v>7.1309999999999976</v>
      </c>
      <c r="N33" s="6">
        <v>4.742</v>
      </c>
      <c r="O33" s="6">
        <f>0.007</f>
        <v>7.0000000000000001E-3</v>
      </c>
      <c r="P33" s="6">
        <f>0.015</f>
        <v>1.4999999999999999E-2</v>
      </c>
      <c r="Q33" s="6">
        <f>0.024</f>
        <v>2.4E-2</v>
      </c>
      <c r="R33" s="6">
        <f>0.01</f>
        <v>0.01</v>
      </c>
      <c r="S33" s="6">
        <f>0.12+0.027</f>
        <v>0.14699999999999999</v>
      </c>
      <c r="T33" s="6">
        <f>0.234+0.099</f>
        <v>0.33300000000000002</v>
      </c>
      <c r="U33" s="6">
        <f>0.021+0.004</f>
        <v>2.5000000000000001E-2</v>
      </c>
      <c r="V33" s="6">
        <f>0.567+0.207</f>
        <v>0.77399999999999991</v>
      </c>
      <c r="W33" s="6">
        <f>0.057+0.014</f>
        <v>7.1000000000000008E-2</v>
      </c>
      <c r="X33" s="6">
        <f>0.018</f>
        <v>1.7999999999999999E-2</v>
      </c>
      <c r="Y33" s="6">
        <f>0.011</f>
        <v>1.0999999999999999E-2</v>
      </c>
      <c r="Z33" s="6">
        <f>0.006</f>
        <v>6.0000000000000001E-3</v>
      </c>
      <c r="AA33" s="6">
        <f>0.012</f>
        <v>1.2E-2</v>
      </c>
      <c r="AB33" s="6">
        <f>0.015</f>
        <v>1.4999999999999999E-2</v>
      </c>
      <c r="AC33" s="6">
        <f>0.03</f>
        <v>0.03</v>
      </c>
      <c r="AD33" s="6">
        <f>0.045</f>
        <v>4.4999999999999998E-2</v>
      </c>
      <c r="AE33" s="6">
        <f>0.02+0.008</f>
        <v>2.8000000000000001E-2</v>
      </c>
      <c r="AF33" s="6">
        <f>0.453+0.028</f>
        <v>0.48100000000000004</v>
      </c>
      <c r="AG33" s="6">
        <v>2E-3</v>
      </c>
      <c r="AH33" s="6">
        <f>0.12</f>
        <v>0.12</v>
      </c>
      <c r="AI33" s="6">
        <f>0.005</f>
        <v>5.0000000000000001E-3</v>
      </c>
      <c r="AJ33" s="6">
        <f>0.04</f>
        <v>0.04</v>
      </c>
      <c r="AK33" s="6">
        <v>0.09</v>
      </c>
      <c r="AL33" s="6">
        <f>0.027</f>
        <v>2.7E-2</v>
      </c>
      <c r="AM33" s="6">
        <f>0.004</f>
        <v>4.0000000000000001E-3</v>
      </c>
      <c r="AN33" s="6">
        <f>0.031</f>
        <v>3.1E-2</v>
      </c>
      <c r="AO33" s="6">
        <v>1.2999999999999999E-2</v>
      </c>
      <c r="AP33" s="6">
        <f>0.005</f>
        <v>5.0000000000000001E-3</v>
      </c>
      <c r="AQ33" s="6">
        <f t="shared" ref="AQ33" si="8">SUM(N33:AP33)</f>
        <v>7.1309999999999976</v>
      </c>
      <c r="AR33" s="7">
        <f t="shared" ref="AR33" si="9">L33+M33</f>
        <v>24.307999999999996</v>
      </c>
      <c r="AS33" s="15">
        <v>20</v>
      </c>
      <c r="AT33" s="7">
        <f t="shared" si="2"/>
        <v>486.15999999999991</v>
      </c>
    </row>
    <row r="34" spans="1:46" x14ac:dyDescent="0.35">
      <c r="A34" s="5" t="s">
        <v>94</v>
      </c>
      <c r="B34" s="5" t="s">
        <v>100</v>
      </c>
      <c r="C34" s="8"/>
      <c r="D34" s="9"/>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7"/>
      <c r="AS34" s="15"/>
      <c r="AT34" s="7"/>
    </row>
    <row r="35" spans="1:46" x14ac:dyDescent="0.35">
      <c r="A35" s="5" t="s">
        <v>95</v>
      </c>
      <c r="B35" s="5" t="s">
        <v>70</v>
      </c>
      <c r="C35" s="8" t="s">
        <v>59</v>
      </c>
      <c r="D35" s="9">
        <v>14.99</v>
      </c>
      <c r="E35" s="6">
        <f t="shared" si="0"/>
        <v>2.1869999999999998</v>
      </c>
      <c r="F35" s="6"/>
      <c r="G35" s="6">
        <f>2.187</f>
        <v>2.1869999999999998</v>
      </c>
      <c r="H35" s="6"/>
      <c r="I35" s="6"/>
      <c r="J35" s="6"/>
      <c r="K35" s="6"/>
      <c r="L35" s="6">
        <f t="shared" ref="L35:L40" si="10">D35+E35</f>
        <v>17.177</v>
      </c>
      <c r="M35" s="6">
        <f t="shared" ref="M35:M40" si="11">AQ35</f>
        <v>7.1309999999999976</v>
      </c>
      <c r="N35" s="6">
        <v>4.742</v>
      </c>
      <c r="O35" s="6">
        <f>0.007</f>
        <v>7.0000000000000001E-3</v>
      </c>
      <c r="P35" s="6">
        <f>0.015</f>
        <v>1.4999999999999999E-2</v>
      </c>
      <c r="Q35" s="6">
        <f>0.024</f>
        <v>2.4E-2</v>
      </c>
      <c r="R35" s="6">
        <f>0.01</f>
        <v>0.01</v>
      </c>
      <c r="S35" s="6">
        <f>0.12+0.027</f>
        <v>0.14699999999999999</v>
      </c>
      <c r="T35" s="6">
        <f>0.234+0.099</f>
        <v>0.33300000000000002</v>
      </c>
      <c r="U35" s="6">
        <f>0.021+0.004</f>
        <v>2.5000000000000001E-2</v>
      </c>
      <c r="V35" s="6">
        <f>0.567+0.207</f>
        <v>0.77399999999999991</v>
      </c>
      <c r="W35" s="6">
        <f>0.057+0.014</f>
        <v>7.1000000000000008E-2</v>
      </c>
      <c r="X35" s="6">
        <f>0.018</f>
        <v>1.7999999999999999E-2</v>
      </c>
      <c r="Y35" s="6">
        <f>0.011</f>
        <v>1.0999999999999999E-2</v>
      </c>
      <c r="Z35" s="6">
        <f>0.006</f>
        <v>6.0000000000000001E-3</v>
      </c>
      <c r="AA35" s="6">
        <f>0.012</f>
        <v>1.2E-2</v>
      </c>
      <c r="AB35" s="6">
        <f>0.015</f>
        <v>1.4999999999999999E-2</v>
      </c>
      <c r="AC35" s="6">
        <f>0.03</f>
        <v>0.03</v>
      </c>
      <c r="AD35" s="6">
        <f>0.045</f>
        <v>4.4999999999999998E-2</v>
      </c>
      <c r="AE35" s="6">
        <f>0.02+0.008</f>
        <v>2.8000000000000001E-2</v>
      </c>
      <c r="AF35" s="6">
        <f>0.453+0.028</f>
        <v>0.48100000000000004</v>
      </c>
      <c r="AG35" s="6">
        <v>2E-3</v>
      </c>
      <c r="AH35" s="6">
        <f>0.12</f>
        <v>0.12</v>
      </c>
      <c r="AI35" s="6">
        <f>0.005</f>
        <v>5.0000000000000001E-3</v>
      </c>
      <c r="AJ35" s="6">
        <f>0.04</f>
        <v>0.04</v>
      </c>
      <c r="AK35" s="6">
        <v>0.09</v>
      </c>
      <c r="AL35" s="6">
        <f>0.027</f>
        <v>2.7E-2</v>
      </c>
      <c r="AM35" s="6">
        <f>0.004</f>
        <v>4.0000000000000001E-3</v>
      </c>
      <c r="AN35" s="6">
        <f>0.031</f>
        <v>3.1E-2</v>
      </c>
      <c r="AO35" s="6">
        <v>1.2999999999999999E-2</v>
      </c>
      <c r="AP35" s="6">
        <f>0.005</f>
        <v>5.0000000000000001E-3</v>
      </c>
      <c r="AQ35" s="6">
        <f t="shared" ref="AQ35:AQ40" si="12">SUM(N35:AP35)</f>
        <v>7.1309999999999976</v>
      </c>
      <c r="AR35" s="7">
        <f t="shared" ref="AR35:AR40" si="13">L35+M35</f>
        <v>24.307999999999996</v>
      </c>
      <c r="AS35" s="15">
        <v>4000</v>
      </c>
      <c r="AT35" s="7">
        <f t="shared" si="2"/>
        <v>97231.999999999985</v>
      </c>
    </row>
    <row r="36" spans="1:46" x14ac:dyDescent="0.35">
      <c r="A36" s="5" t="s">
        <v>96</v>
      </c>
      <c r="B36" s="5" t="s">
        <v>45</v>
      </c>
      <c r="C36" s="8" t="s">
        <v>71</v>
      </c>
      <c r="D36" s="9">
        <v>4.5190000000000001</v>
      </c>
      <c r="E36" s="6">
        <f t="shared" si="0"/>
        <v>0.65900000000000003</v>
      </c>
      <c r="F36" s="6"/>
      <c r="G36" s="9">
        <v>0.65900000000000003</v>
      </c>
      <c r="H36" s="6"/>
      <c r="I36" s="6"/>
      <c r="J36" s="6"/>
      <c r="K36" s="6"/>
      <c r="L36" s="6">
        <f t="shared" si="10"/>
        <v>5.1779999999999999</v>
      </c>
      <c r="M36" s="6">
        <f t="shared" si="11"/>
        <v>2.1519999999999984</v>
      </c>
      <c r="N36" s="9">
        <v>1.43</v>
      </c>
      <c r="O36" s="9">
        <v>2E-3</v>
      </c>
      <c r="P36" s="9">
        <v>5.0000000000000001E-3</v>
      </c>
      <c r="Q36" s="9">
        <v>7.0000000000000001E-3</v>
      </c>
      <c r="R36" s="9">
        <v>3.0000000000000001E-3</v>
      </c>
      <c r="S36" s="9">
        <v>4.3999999999999997E-2</v>
      </c>
      <c r="T36" s="9">
        <v>0.10100000000000001</v>
      </c>
      <c r="U36" s="9">
        <v>8.0000000000000002E-3</v>
      </c>
      <c r="V36" s="9">
        <v>0.23300000000000001</v>
      </c>
      <c r="W36" s="9">
        <v>2.1000000000000001E-2</v>
      </c>
      <c r="X36" s="9">
        <v>5.0000000000000001E-3</v>
      </c>
      <c r="Y36" s="9">
        <v>3.0000000000000001E-3</v>
      </c>
      <c r="Z36" s="9">
        <v>2E-3</v>
      </c>
      <c r="AA36" s="9">
        <v>4.0000000000000001E-3</v>
      </c>
      <c r="AB36" s="9">
        <v>5.0000000000000001E-3</v>
      </c>
      <c r="AC36" s="9">
        <v>8.9999999999999993E-3</v>
      </c>
      <c r="AD36" s="9">
        <v>1.4E-2</v>
      </c>
      <c r="AE36" s="9">
        <v>8.9999999999999993E-3</v>
      </c>
      <c r="AF36" s="9">
        <v>0.14499999999999999</v>
      </c>
      <c r="AG36" s="9">
        <v>1E-3</v>
      </c>
      <c r="AH36" s="9">
        <v>3.5999999999999997E-2</v>
      </c>
      <c r="AI36" s="9">
        <v>2E-3</v>
      </c>
      <c r="AJ36" s="9">
        <v>1.2E-2</v>
      </c>
      <c r="AK36" s="9">
        <v>2.7E-2</v>
      </c>
      <c r="AL36" s="9">
        <v>8.0000000000000002E-3</v>
      </c>
      <c r="AM36" s="9">
        <v>1E-3</v>
      </c>
      <c r="AN36" s="9">
        <v>8.9999999999999993E-3</v>
      </c>
      <c r="AO36" s="9">
        <v>4.0000000000000001E-3</v>
      </c>
      <c r="AP36" s="9">
        <v>2E-3</v>
      </c>
      <c r="AQ36" s="6">
        <f t="shared" si="12"/>
        <v>2.1519999999999984</v>
      </c>
      <c r="AR36" s="7">
        <f t="shared" si="13"/>
        <v>7.3299999999999983</v>
      </c>
      <c r="AS36" s="15">
        <v>20000</v>
      </c>
      <c r="AT36" s="7">
        <f t="shared" si="2"/>
        <v>146599.99999999997</v>
      </c>
    </row>
    <row r="37" spans="1:46" s="21" customFormat="1" ht="15" customHeight="1" x14ac:dyDescent="0.35">
      <c r="A37" s="28" t="s">
        <v>97</v>
      </c>
      <c r="B37" s="28" t="s">
        <v>121</v>
      </c>
      <c r="C37" s="29" t="s">
        <v>59</v>
      </c>
      <c r="D37" s="30">
        <v>91.83</v>
      </c>
      <c r="E37" s="31">
        <f t="shared" si="0"/>
        <v>13.397</v>
      </c>
      <c r="F37" s="31"/>
      <c r="G37" s="30">
        <v>13.397</v>
      </c>
      <c r="H37" s="31"/>
      <c r="I37" s="31"/>
      <c r="J37" s="31"/>
      <c r="K37" s="31"/>
      <c r="L37" s="31">
        <f t="shared" si="10"/>
        <v>105.227</v>
      </c>
      <c r="M37" s="31">
        <f t="shared" si="11"/>
        <v>43.688999999999986</v>
      </c>
      <c r="N37" s="30">
        <v>29.05</v>
      </c>
      <c r="O37" s="30">
        <v>4.2999999999999997E-2</v>
      </c>
      <c r="P37" s="30">
        <v>9.1999999999999998E-2</v>
      </c>
      <c r="Q37" s="30">
        <v>0.14699999999999999</v>
      </c>
      <c r="R37" s="30">
        <v>6.2E-2</v>
      </c>
      <c r="S37" s="30">
        <v>0.90100000000000002</v>
      </c>
      <c r="T37" s="30">
        <v>2.04</v>
      </c>
      <c r="U37" s="30">
        <v>0.153</v>
      </c>
      <c r="V37" s="30">
        <v>4.742</v>
      </c>
      <c r="W37" s="30">
        <v>0.435</v>
      </c>
      <c r="X37" s="30">
        <v>0.11</v>
      </c>
      <c r="Y37" s="30">
        <v>6.7000000000000004E-2</v>
      </c>
      <c r="Z37" s="30">
        <v>3.6999999999999998E-2</v>
      </c>
      <c r="AA37" s="30">
        <v>7.3999999999999996E-2</v>
      </c>
      <c r="AB37" s="30">
        <v>9.1999999999999998E-2</v>
      </c>
      <c r="AC37" s="30">
        <v>0.184</v>
      </c>
      <c r="AD37" s="30">
        <v>0.27600000000000002</v>
      </c>
      <c r="AE37" s="30">
        <v>0.17199999999999999</v>
      </c>
      <c r="AF37" s="30">
        <v>2.9470000000000001</v>
      </c>
      <c r="AG37" s="30">
        <v>1.2E-2</v>
      </c>
      <c r="AH37" s="30">
        <v>0.73499999999999999</v>
      </c>
      <c r="AI37" s="30">
        <v>3.1E-2</v>
      </c>
      <c r="AJ37" s="30">
        <v>0.245</v>
      </c>
      <c r="AK37" s="30">
        <v>0.55100000000000005</v>
      </c>
      <c r="AL37" s="30">
        <v>0.16500000000000001</v>
      </c>
      <c r="AM37" s="30">
        <v>2.5000000000000001E-2</v>
      </c>
      <c r="AN37" s="30">
        <v>0.19</v>
      </c>
      <c r="AO37" s="30">
        <v>0.08</v>
      </c>
      <c r="AP37" s="30">
        <v>3.1E-2</v>
      </c>
      <c r="AQ37" s="31">
        <f t="shared" si="12"/>
        <v>43.688999999999986</v>
      </c>
      <c r="AR37" s="32">
        <f t="shared" si="13"/>
        <v>148.916</v>
      </c>
      <c r="AS37" s="33">
        <v>2000</v>
      </c>
      <c r="AT37" s="32">
        <f t="shared" si="2"/>
        <v>297832</v>
      </c>
    </row>
    <row r="38" spans="1:46" ht="56" x14ac:dyDescent="0.35">
      <c r="A38" s="5" t="s">
        <v>112</v>
      </c>
      <c r="B38" s="5" t="s">
        <v>101</v>
      </c>
      <c r="C38" s="8" t="s">
        <v>59</v>
      </c>
      <c r="D38" s="9">
        <v>14.99</v>
      </c>
      <c r="E38" s="6">
        <f t="shared" si="0"/>
        <v>2.1869999999999998</v>
      </c>
      <c r="F38" s="6"/>
      <c r="G38" s="6">
        <f>2.187</f>
        <v>2.1869999999999998</v>
      </c>
      <c r="H38" s="6"/>
      <c r="I38" s="6"/>
      <c r="J38" s="6"/>
      <c r="K38" s="6"/>
      <c r="L38" s="6">
        <f t="shared" si="10"/>
        <v>17.177</v>
      </c>
      <c r="M38" s="6">
        <f t="shared" si="11"/>
        <v>7.1309999999999976</v>
      </c>
      <c r="N38" s="6">
        <v>4.742</v>
      </c>
      <c r="O38" s="6">
        <f>0.007</f>
        <v>7.0000000000000001E-3</v>
      </c>
      <c r="P38" s="6">
        <f>0.015</f>
        <v>1.4999999999999999E-2</v>
      </c>
      <c r="Q38" s="6">
        <f>0.024</f>
        <v>2.4E-2</v>
      </c>
      <c r="R38" s="6">
        <f>0.01</f>
        <v>0.01</v>
      </c>
      <c r="S38" s="6">
        <f>0.12+0.027</f>
        <v>0.14699999999999999</v>
      </c>
      <c r="T38" s="6">
        <f>0.234+0.099</f>
        <v>0.33300000000000002</v>
      </c>
      <c r="U38" s="6">
        <f>0.021+0.004</f>
        <v>2.5000000000000001E-2</v>
      </c>
      <c r="V38" s="6">
        <f>0.567+0.207</f>
        <v>0.77399999999999991</v>
      </c>
      <c r="W38" s="6">
        <f>0.057+0.014</f>
        <v>7.1000000000000008E-2</v>
      </c>
      <c r="X38" s="6">
        <f>0.018</f>
        <v>1.7999999999999999E-2</v>
      </c>
      <c r="Y38" s="6">
        <f>0.011</f>
        <v>1.0999999999999999E-2</v>
      </c>
      <c r="Z38" s="6">
        <f>0.006</f>
        <v>6.0000000000000001E-3</v>
      </c>
      <c r="AA38" s="6">
        <f>0.012</f>
        <v>1.2E-2</v>
      </c>
      <c r="AB38" s="6">
        <f>0.015</f>
        <v>1.4999999999999999E-2</v>
      </c>
      <c r="AC38" s="6">
        <f>0.03</f>
        <v>0.03</v>
      </c>
      <c r="AD38" s="6">
        <f>0.045</f>
        <v>4.4999999999999998E-2</v>
      </c>
      <c r="AE38" s="6">
        <f>0.02+0.008</f>
        <v>2.8000000000000001E-2</v>
      </c>
      <c r="AF38" s="6">
        <f>0.453+0.028</f>
        <v>0.48100000000000004</v>
      </c>
      <c r="AG38" s="6">
        <v>2E-3</v>
      </c>
      <c r="AH38" s="6">
        <f>0.12</f>
        <v>0.12</v>
      </c>
      <c r="AI38" s="6">
        <f>0.005</f>
        <v>5.0000000000000001E-3</v>
      </c>
      <c r="AJ38" s="6">
        <f>0.04</f>
        <v>0.04</v>
      </c>
      <c r="AK38" s="6">
        <v>0.09</v>
      </c>
      <c r="AL38" s="6">
        <f>0.027</f>
        <v>2.7E-2</v>
      </c>
      <c r="AM38" s="6">
        <f>0.004</f>
        <v>4.0000000000000001E-3</v>
      </c>
      <c r="AN38" s="6">
        <f>0.031</f>
        <v>3.1E-2</v>
      </c>
      <c r="AO38" s="6">
        <v>1.2999999999999999E-2</v>
      </c>
      <c r="AP38" s="6">
        <f>0.005</f>
        <v>5.0000000000000001E-3</v>
      </c>
      <c r="AQ38" s="6">
        <f t="shared" si="12"/>
        <v>7.1309999999999976</v>
      </c>
      <c r="AR38" s="7">
        <f t="shared" si="13"/>
        <v>24.307999999999996</v>
      </c>
      <c r="AS38" s="15">
        <v>15</v>
      </c>
      <c r="AT38" s="7">
        <f t="shared" si="2"/>
        <v>364.61999999999995</v>
      </c>
    </row>
    <row r="39" spans="1:46" ht="28" x14ac:dyDescent="0.35">
      <c r="A39" s="5" t="s">
        <v>113</v>
      </c>
      <c r="B39" s="5" t="s">
        <v>102</v>
      </c>
      <c r="C39" s="8" t="s">
        <v>59</v>
      </c>
      <c r="D39" s="9">
        <v>14.99</v>
      </c>
      <c r="E39" s="6">
        <f t="shared" si="0"/>
        <v>2.1869999999999998</v>
      </c>
      <c r="F39" s="6"/>
      <c r="G39" s="6">
        <f>2.187</f>
        <v>2.1869999999999998</v>
      </c>
      <c r="H39" s="6"/>
      <c r="I39" s="6"/>
      <c r="J39" s="6"/>
      <c r="K39" s="6"/>
      <c r="L39" s="6">
        <f t="shared" si="10"/>
        <v>17.177</v>
      </c>
      <c r="M39" s="6">
        <f t="shared" si="11"/>
        <v>7.1309999999999976</v>
      </c>
      <c r="N39" s="6">
        <v>4.742</v>
      </c>
      <c r="O39" s="6">
        <f>0.007</f>
        <v>7.0000000000000001E-3</v>
      </c>
      <c r="P39" s="6">
        <f>0.015</f>
        <v>1.4999999999999999E-2</v>
      </c>
      <c r="Q39" s="6">
        <f>0.024</f>
        <v>2.4E-2</v>
      </c>
      <c r="R39" s="6">
        <f>0.01</f>
        <v>0.01</v>
      </c>
      <c r="S39" s="6">
        <f>0.12+0.027</f>
        <v>0.14699999999999999</v>
      </c>
      <c r="T39" s="6">
        <f>0.234+0.099</f>
        <v>0.33300000000000002</v>
      </c>
      <c r="U39" s="6">
        <f>0.021+0.004</f>
        <v>2.5000000000000001E-2</v>
      </c>
      <c r="V39" s="6">
        <f>0.567+0.207</f>
        <v>0.77399999999999991</v>
      </c>
      <c r="W39" s="6">
        <f>0.057+0.014</f>
        <v>7.1000000000000008E-2</v>
      </c>
      <c r="X39" s="6">
        <f>0.018</f>
        <v>1.7999999999999999E-2</v>
      </c>
      <c r="Y39" s="6">
        <f>0.011</f>
        <v>1.0999999999999999E-2</v>
      </c>
      <c r="Z39" s="6">
        <f>0.006</f>
        <v>6.0000000000000001E-3</v>
      </c>
      <c r="AA39" s="6">
        <f>0.012</f>
        <v>1.2E-2</v>
      </c>
      <c r="AB39" s="6">
        <f>0.015</f>
        <v>1.4999999999999999E-2</v>
      </c>
      <c r="AC39" s="6">
        <f>0.03</f>
        <v>0.03</v>
      </c>
      <c r="AD39" s="6">
        <f>0.045</f>
        <v>4.4999999999999998E-2</v>
      </c>
      <c r="AE39" s="6">
        <f>0.02+0.008</f>
        <v>2.8000000000000001E-2</v>
      </c>
      <c r="AF39" s="6">
        <f>0.453+0.028</f>
        <v>0.48100000000000004</v>
      </c>
      <c r="AG39" s="6">
        <v>2E-3</v>
      </c>
      <c r="AH39" s="6">
        <f>0.12</f>
        <v>0.12</v>
      </c>
      <c r="AI39" s="6">
        <f>0.005</f>
        <v>5.0000000000000001E-3</v>
      </c>
      <c r="AJ39" s="6">
        <f>0.04</f>
        <v>0.04</v>
      </c>
      <c r="AK39" s="6">
        <v>0.09</v>
      </c>
      <c r="AL39" s="6">
        <f>0.027</f>
        <v>2.7E-2</v>
      </c>
      <c r="AM39" s="6">
        <f>0.004</f>
        <v>4.0000000000000001E-3</v>
      </c>
      <c r="AN39" s="6">
        <f>0.031</f>
        <v>3.1E-2</v>
      </c>
      <c r="AO39" s="6">
        <v>1.2999999999999999E-2</v>
      </c>
      <c r="AP39" s="6">
        <f>0.005</f>
        <v>5.0000000000000001E-3</v>
      </c>
      <c r="AQ39" s="6">
        <f t="shared" si="12"/>
        <v>7.1309999999999976</v>
      </c>
      <c r="AR39" s="7">
        <f t="shared" si="13"/>
        <v>24.307999999999996</v>
      </c>
      <c r="AS39" s="15">
        <v>0</v>
      </c>
      <c r="AT39" s="7">
        <f t="shared" si="2"/>
        <v>0</v>
      </c>
    </row>
    <row r="40" spans="1:46" ht="42" x14ac:dyDescent="0.35">
      <c r="A40" s="5" t="s">
        <v>114</v>
      </c>
      <c r="B40" s="5" t="s">
        <v>103</v>
      </c>
      <c r="C40" s="8" t="s">
        <v>99</v>
      </c>
      <c r="D40" s="9">
        <v>14.99</v>
      </c>
      <c r="E40" s="6">
        <f t="shared" si="0"/>
        <v>2.1869999999999998</v>
      </c>
      <c r="F40" s="6"/>
      <c r="G40" s="6">
        <f>2.187</f>
        <v>2.1869999999999998</v>
      </c>
      <c r="H40" s="6"/>
      <c r="I40" s="6"/>
      <c r="J40" s="6"/>
      <c r="K40" s="6"/>
      <c r="L40" s="6">
        <f t="shared" si="10"/>
        <v>17.177</v>
      </c>
      <c r="M40" s="6">
        <f t="shared" si="11"/>
        <v>7.1309999999999976</v>
      </c>
      <c r="N40" s="6">
        <v>4.742</v>
      </c>
      <c r="O40" s="6">
        <f>0.007</f>
        <v>7.0000000000000001E-3</v>
      </c>
      <c r="P40" s="6">
        <f>0.015</f>
        <v>1.4999999999999999E-2</v>
      </c>
      <c r="Q40" s="6">
        <f>0.024</f>
        <v>2.4E-2</v>
      </c>
      <c r="R40" s="6">
        <f>0.01</f>
        <v>0.01</v>
      </c>
      <c r="S40" s="6">
        <f>0.12+0.027</f>
        <v>0.14699999999999999</v>
      </c>
      <c r="T40" s="6">
        <f>0.234+0.099</f>
        <v>0.33300000000000002</v>
      </c>
      <c r="U40" s="6">
        <f>0.021+0.004</f>
        <v>2.5000000000000001E-2</v>
      </c>
      <c r="V40" s="6">
        <f>0.567+0.207</f>
        <v>0.77399999999999991</v>
      </c>
      <c r="W40" s="6">
        <f>0.057+0.014</f>
        <v>7.1000000000000008E-2</v>
      </c>
      <c r="X40" s="6">
        <f>0.018</f>
        <v>1.7999999999999999E-2</v>
      </c>
      <c r="Y40" s="6">
        <f>0.011</f>
        <v>1.0999999999999999E-2</v>
      </c>
      <c r="Z40" s="6">
        <f>0.006</f>
        <v>6.0000000000000001E-3</v>
      </c>
      <c r="AA40" s="6">
        <f>0.012</f>
        <v>1.2E-2</v>
      </c>
      <c r="AB40" s="6">
        <f>0.015</f>
        <v>1.4999999999999999E-2</v>
      </c>
      <c r="AC40" s="6">
        <f>0.03</f>
        <v>0.03</v>
      </c>
      <c r="AD40" s="6">
        <f>0.045</f>
        <v>4.4999999999999998E-2</v>
      </c>
      <c r="AE40" s="6">
        <f>0.02+0.008</f>
        <v>2.8000000000000001E-2</v>
      </c>
      <c r="AF40" s="6">
        <f>0.453+0.028</f>
        <v>0.48100000000000004</v>
      </c>
      <c r="AG40" s="6">
        <v>2E-3</v>
      </c>
      <c r="AH40" s="6">
        <f>0.12</f>
        <v>0.12</v>
      </c>
      <c r="AI40" s="6">
        <f>0.005</f>
        <v>5.0000000000000001E-3</v>
      </c>
      <c r="AJ40" s="6">
        <f>0.04</f>
        <v>0.04</v>
      </c>
      <c r="AK40" s="6">
        <v>0.09</v>
      </c>
      <c r="AL40" s="6">
        <f>0.027</f>
        <v>2.7E-2</v>
      </c>
      <c r="AM40" s="6">
        <f>0.004</f>
        <v>4.0000000000000001E-3</v>
      </c>
      <c r="AN40" s="6">
        <f>0.031</f>
        <v>3.1E-2</v>
      </c>
      <c r="AO40" s="6">
        <v>1.2999999999999999E-2</v>
      </c>
      <c r="AP40" s="6">
        <f>0.005</f>
        <v>5.0000000000000001E-3</v>
      </c>
      <c r="AQ40" s="6">
        <f t="shared" si="12"/>
        <v>7.1309999999999976</v>
      </c>
      <c r="AR40" s="7">
        <f t="shared" si="13"/>
        <v>24.307999999999996</v>
      </c>
      <c r="AS40" s="15">
        <v>0</v>
      </c>
      <c r="AT40" s="7">
        <f t="shared" si="2"/>
        <v>0</v>
      </c>
    </row>
    <row r="41" spans="1:46" ht="28" x14ac:dyDescent="0.35">
      <c r="A41" s="5" t="s">
        <v>115</v>
      </c>
      <c r="B41" s="26" t="s">
        <v>122</v>
      </c>
      <c r="C41" s="8"/>
      <c r="D41" s="9"/>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7"/>
      <c r="AS41" s="15"/>
      <c r="AT41" s="7"/>
    </row>
    <row r="42" spans="1:46" ht="28" x14ac:dyDescent="0.35">
      <c r="A42" s="45" t="s">
        <v>123</v>
      </c>
      <c r="B42" s="46" t="s">
        <v>130</v>
      </c>
      <c r="C42" s="47" t="s">
        <v>59</v>
      </c>
      <c r="D42" s="48">
        <f>14.99*3</f>
        <v>44.97</v>
      </c>
      <c r="E42" s="49">
        <f>SUM(F42:K42)</f>
        <v>4.3739999999999997</v>
      </c>
      <c r="F42" s="45"/>
      <c r="G42" s="49">
        <f>2.187*2</f>
        <v>4.3739999999999997</v>
      </c>
      <c r="H42" s="49"/>
      <c r="I42" s="49"/>
      <c r="J42" s="49"/>
      <c r="K42" s="45"/>
      <c r="L42" s="49">
        <f t="shared" ref="L42" si="14">D42+E42</f>
        <v>49.344000000000001</v>
      </c>
      <c r="M42" s="49">
        <f>AQ42</f>
        <v>14.261999999999995</v>
      </c>
      <c r="N42" s="49">
        <f>4.742*2</f>
        <v>9.484</v>
      </c>
      <c r="O42" s="49">
        <f>0.007*2</f>
        <v>1.4E-2</v>
      </c>
      <c r="P42" s="49">
        <f>0.015*2</f>
        <v>0.03</v>
      </c>
      <c r="Q42" s="49">
        <f>0.024*2</f>
        <v>4.8000000000000001E-2</v>
      </c>
      <c r="R42" s="49">
        <f>0.01*2</f>
        <v>0.02</v>
      </c>
      <c r="S42" s="49">
        <f>(0.12+0.027)*2</f>
        <v>0.29399999999999998</v>
      </c>
      <c r="T42" s="49">
        <f>(0.234+0.099)*2</f>
        <v>0.66600000000000004</v>
      </c>
      <c r="U42" s="49">
        <f>(0.021+0.004)*2</f>
        <v>0.05</v>
      </c>
      <c r="V42" s="49">
        <f>(0.567+0.207)*2</f>
        <v>1.5479999999999998</v>
      </c>
      <c r="W42" s="49">
        <f>(0.057+0.014)*2</f>
        <v>0.14200000000000002</v>
      </c>
      <c r="X42" s="49">
        <f>0.018*2</f>
        <v>3.5999999999999997E-2</v>
      </c>
      <c r="Y42" s="49">
        <f>0.011*2</f>
        <v>2.1999999999999999E-2</v>
      </c>
      <c r="Z42" s="49">
        <f>0.006*2</f>
        <v>1.2E-2</v>
      </c>
      <c r="AA42" s="49">
        <f>0.012*2</f>
        <v>2.4E-2</v>
      </c>
      <c r="AB42" s="49">
        <f>0.015*2</f>
        <v>0.03</v>
      </c>
      <c r="AC42" s="49">
        <f>0.03*2</f>
        <v>0.06</v>
      </c>
      <c r="AD42" s="49">
        <f>0.045*2</f>
        <v>0.09</v>
      </c>
      <c r="AE42" s="49">
        <f>(0.02+0.008)*2</f>
        <v>5.6000000000000001E-2</v>
      </c>
      <c r="AF42" s="49">
        <f>(0.453+0.028)*2</f>
        <v>0.96200000000000008</v>
      </c>
      <c r="AG42" s="49">
        <f>0.002*2</f>
        <v>4.0000000000000001E-3</v>
      </c>
      <c r="AH42" s="49">
        <f>0.12*2</f>
        <v>0.24</v>
      </c>
      <c r="AI42" s="49">
        <f>0.005*2</f>
        <v>0.01</v>
      </c>
      <c r="AJ42" s="49">
        <f>0.04*2</f>
        <v>0.08</v>
      </c>
      <c r="AK42" s="49">
        <f>0.09*2</f>
        <v>0.18</v>
      </c>
      <c r="AL42" s="49">
        <f>0.027*2</f>
        <v>5.3999999999999999E-2</v>
      </c>
      <c r="AM42" s="49">
        <f>0.004*2</f>
        <v>8.0000000000000002E-3</v>
      </c>
      <c r="AN42" s="49">
        <f>0.031*2</f>
        <v>6.2E-2</v>
      </c>
      <c r="AO42" s="49">
        <f>0.013*2</f>
        <v>2.5999999999999999E-2</v>
      </c>
      <c r="AP42" s="49">
        <f>0.005*2</f>
        <v>0.01</v>
      </c>
      <c r="AQ42" s="49">
        <f>SUM(N42:AP42)</f>
        <v>14.261999999999995</v>
      </c>
      <c r="AR42" s="50">
        <f>L42+M42</f>
        <v>63.605999999999995</v>
      </c>
      <c r="AS42" s="51">
        <v>600</v>
      </c>
      <c r="AT42" s="50">
        <f>AR42*AS42</f>
        <v>38163.599999999999</v>
      </c>
    </row>
    <row r="43" spans="1:46" ht="42" x14ac:dyDescent="0.35">
      <c r="A43" s="45" t="s">
        <v>124</v>
      </c>
      <c r="B43" s="46" t="s">
        <v>131</v>
      </c>
      <c r="C43" s="47" t="s">
        <v>59</v>
      </c>
      <c r="D43" s="48">
        <f>14.99*8</f>
        <v>119.92</v>
      </c>
      <c r="E43" s="49">
        <f>SUM(F43:K43)</f>
        <v>4.3739999999999997</v>
      </c>
      <c r="F43" s="45"/>
      <c r="G43" s="49">
        <f>2.187*2</f>
        <v>4.3739999999999997</v>
      </c>
      <c r="H43" s="49"/>
      <c r="I43" s="49"/>
      <c r="J43" s="49"/>
      <c r="K43" s="45"/>
      <c r="L43" s="49">
        <f t="shared" ref="L43" si="15">D43+E43</f>
        <v>124.294</v>
      </c>
      <c r="M43" s="49">
        <f>AQ43</f>
        <v>14.261999999999995</v>
      </c>
      <c r="N43" s="49">
        <f>4.742*2</f>
        <v>9.484</v>
      </c>
      <c r="O43" s="49">
        <f>0.007*2</f>
        <v>1.4E-2</v>
      </c>
      <c r="P43" s="49">
        <f>0.015*2</f>
        <v>0.03</v>
      </c>
      <c r="Q43" s="49">
        <f>0.024*2</f>
        <v>4.8000000000000001E-2</v>
      </c>
      <c r="R43" s="49">
        <f>0.01*2</f>
        <v>0.02</v>
      </c>
      <c r="S43" s="49">
        <f>(0.12+0.027)*2</f>
        <v>0.29399999999999998</v>
      </c>
      <c r="T43" s="49">
        <f>(0.234+0.099)*2</f>
        <v>0.66600000000000004</v>
      </c>
      <c r="U43" s="49">
        <f>(0.021+0.004)*2</f>
        <v>0.05</v>
      </c>
      <c r="V43" s="49">
        <f>(0.567+0.207)*2</f>
        <v>1.5479999999999998</v>
      </c>
      <c r="W43" s="49">
        <f>(0.057+0.014)*2</f>
        <v>0.14200000000000002</v>
      </c>
      <c r="X43" s="49">
        <f>0.018*2</f>
        <v>3.5999999999999997E-2</v>
      </c>
      <c r="Y43" s="49">
        <f>0.011*2</f>
        <v>2.1999999999999999E-2</v>
      </c>
      <c r="Z43" s="49">
        <f>0.006*2</f>
        <v>1.2E-2</v>
      </c>
      <c r="AA43" s="49">
        <f>0.012*2</f>
        <v>2.4E-2</v>
      </c>
      <c r="AB43" s="49">
        <f>0.015*2</f>
        <v>0.03</v>
      </c>
      <c r="AC43" s="49">
        <f>0.03*2</f>
        <v>0.06</v>
      </c>
      <c r="AD43" s="49">
        <f>0.045*2</f>
        <v>0.09</v>
      </c>
      <c r="AE43" s="49">
        <f>(0.02+0.008)*2</f>
        <v>5.6000000000000001E-2</v>
      </c>
      <c r="AF43" s="49">
        <f>(0.453+0.028)*2</f>
        <v>0.96200000000000008</v>
      </c>
      <c r="AG43" s="49">
        <f>0.002*2</f>
        <v>4.0000000000000001E-3</v>
      </c>
      <c r="AH43" s="49">
        <f>0.12*2</f>
        <v>0.24</v>
      </c>
      <c r="AI43" s="49">
        <f>0.005*2</f>
        <v>0.01</v>
      </c>
      <c r="AJ43" s="49">
        <f>0.04*2</f>
        <v>0.08</v>
      </c>
      <c r="AK43" s="49">
        <f>0.09*2</f>
        <v>0.18</v>
      </c>
      <c r="AL43" s="49">
        <f>0.027*2</f>
        <v>5.3999999999999999E-2</v>
      </c>
      <c r="AM43" s="49">
        <f>0.004*2</f>
        <v>8.0000000000000002E-3</v>
      </c>
      <c r="AN43" s="49">
        <f>0.031*2</f>
        <v>6.2E-2</v>
      </c>
      <c r="AO43" s="49">
        <f>0.013*2</f>
        <v>2.5999999999999999E-2</v>
      </c>
      <c r="AP43" s="49">
        <f>0.005*2</f>
        <v>0.01</v>
      </c>
      <c r="AQ43" s="49">
        <f>SUM(N43:AP43)</f>
        <v>14.261999999999995</v>
      </c>
      <c r="AR43" s="50">
        <f>L43+M43</f>
        <v>138.55599999999998</v>
      </c>
      <c r="AS43" s="51">
        <v>3800</v>
      </c>
      <c r="AT43" s="50">
        <f>AR43*AS43</f>
        <v>526512.79999999993</v>
      </c>
    </row>
    <row r="44" spans="1:46" x14ac:dyDescent="0.35">
      <c r="A44" s="5" t="s">
        <v>129</v>
      </c>
      <c r="B44" s="26" t="s">
        <v>125</v>
      </c>
      <c r="C44" s="8"/>
      <c r="D44" s="9"/>
      <c r="E44" s="6"/>
      <c r="F44" s="5"/>
      <c r="G44" s="6"/>
      <c r="H44" s="6"/>
      <c r="I44" s="6"/>
      <c r="J44" s="6"/>
      <c r="K44" s="5"/>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7"/>
      <c r="AS44" s="15"/>
      <c r="AT44" s="7"/>
    </row>
    <row r="45" spans="1:46" ht="28" x14ac:dyDescent="0.35">
      <c r="A45" s="5" t="s">
        <v>116</v>
      </c>
      <c r="B45" s="26" t="s">
        <v>126</v>
      </c>
      <c r="C45" s="8"/>
      <c r="D45" s="9"/>
      <c r="E45" s="6"/>
      <c r="F45" s="5"/>
      <c r="G45" s="6"/>
      <c r="H45" s="6"/>
      <c r="I45" s="6"/>
      <c r="J45" s="6"/>
      <c r="K45" s="5"/>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7"/>
      <c r="AS45" s="15"/>
      <c r="AT45" s="7"/>
    </row>
    <row r="46" spans="1:46" ht="15" customHeight="1" x14ac:dyDescent="0.35">
      <c r="A46" s="5" t="s">
        <v>117</v>
      </c>
      <c r="B46" s="26" t="s">
        <v>106</v>
      </c>
      <c r="C46" s="8" t="s">
        <v>98</v>
      </c>
      <c r="D46" s="9">
        <v>30.16</v>
      </c>
      <c r="E46" s="6">
        <f t="shared" ref="E46" si="16">SUM(F46:K46)</f>
        <v>10.574</v>
      </c>
      <c r="F46" s="6"/>
      <c r="G46" s="6">
        <f>2.187*2</f>
        <v>4.3739999999999997</v>
      </c>
      <c r="H46" s="6">
        <v>0</v>
      </c>
      <c r="I46" s="6"/>
      <c r="J46" s="6">
        <v>6.2</v>
      </c>
      <c r="K46" s="6"/>
      <c r="L46" s="6">
        <f>D46+E46</f>
        <v>40.734000000000002</v>
      </c>
      <c r="M46" s="6">
        <f t="shared" ref="M46" si="17">AQ46</f>
        <v>14.261999999999995</v>
      </c>
      <c r="N46" s="6">
        <v>9.484</v>
      </c>
      <c r="O46" s="6">
        <f>0.007*2</f>
        <v>1.4E-2</v>
      </c>
      <c r="P46" s="6">
        <f>0.015*2</f>
        <v>0.03</v>
      </c>
      <c r="Q46" s="6">
        <f>0.024*2</f>
        <v>4.8000000000000001E-2</v>
      </c>
      <c r="R46" s="6">
        <f>0.01*2</f>
        <v>0.02</v>
      </c>
      <c r="S46" s="6">
        <f>0.12*2+0.054</f>
        <v>0.29399999999999998</v>
      </c>
      <c r="T46" s="6">
        <f>0.234*2+0.198</f>
        <v>0.66600000000000004</v>
      </c>
      <c r="U46" s="6">
        <f>0.021*2+0.008</f>
        <v>0.05</v>
      </c>
      <c r="V46" s="6">
        <f>0.567*2+0.414</f>
        <v>1.5479999999999998</v>
      </c>
      <c r="W46" s="6">
        <f>0.057*2+0.028</f>
        <v>0.14200000000000002</v>
      </c>
      <c r="X46" s="6">
        <f>0.018*2</f>
        <v>3.5999999999999997E-2</v>
      </c>
      <c r="Y46" s="6">
        <f>0.011*2</f>
        <v>2.1999999999999999E-2</v>
      </c>
      <c r="Z46" s="6">
        <f>0.006*2</f>
        <v>1.2E-2</v>
      </c>
      <c r="AA46" s="6">
        <f>0.012*2</f>
        <v>2.4E-2</v>
      </c>
      <c r="AB46" s="6">
        <f>0.015*2</f>
        <v>0.03</v>
      </c>
      <c r="AC46" s="6">
        <f>0.01*2+0.04</f>
        <v>0.06</v>
      </c>
      <c r="AD46" s="6">
        <f>0.045*2</f>
        <v>0.09</v>
      </c>
      <c r="AE46" s="6">
        <f>0.02*2+0.016</f>
        <v>5.6000000000000001E-2</v>
      </c>
      <c r="AF46" s="6">
        <f>0.453*2+0.056</f>
        <v>0.96200000000000008</v>
      </c>
      <c r="AG46" s="6">
        <v>4.0000000000000001E-3</v>
      </c>
      <c r="AH46" s="6">
        <f>0.12*2</f>
        <v>0.24</v>
      </c>
      <c r="AI46" s="6">
        <v>0.01</v>
      </c>
      <c r="AJ46" s="6">
        <f>0.04*2</f>
        <v>0.08</v>
      </c>
      <c r="AK46" s="6">
        <f>0.09*2</f>
        <v>0.18</v>
      </c>
      <c r="AL46" s="6">
        <f>0.027*2</f>
        <v>5.3999999999999999E-2</v>
      </c>
      <c r="AM46" s="6">
        <f>0.004*2</f>
        <v>8.0000000000000002E-3</v>
      </c>
      <c r="AN46" s="6">
        <f>0.031*2</f>
        <v>6.2E-2</v>
      </c>
      <c r="AO46" s="6">
        <v>2.5999999999999999E-2</v>
      </c>
      <c r="AP46" s="6">
        <f>0.005*2</f>
        <v>0.01</v>
      </c>
      <c r="AQ46" s="6">
        <f>SUM(N46:AP46)</f>
        <v>14.261999999999995</v>
      </c>
      <c r="AR46" s="7">
        <f>L46+M46</f>
        <v>54.995999999999995</v>
      </c>
      <c r="AS46" s="15">
        <v>5500</v>
      </c>
      <c r="AT46" s="7">
        <f>AR46*AS46</f>
        <v>302478</v>
      </c>
    </row>
    <row r="47" spans="1:46" ht="30" customHeight="1" x14ac:dyDescent="0.35">
      <c r="A47" s="5" t="s">
        <v>118</v>
      </c>
      <c r="B47" s="27" t="s">
        <v>46</v>
      </c>
      <c r="C47" s="8" t="s">
        <v>99</v>
      </c>
      <c r="D47" s="9">
        <v>0</v>
      </c>
      <c r="E47" s="6">
        <f>SUM(F47:K47)</f>
        <v>7.5570000000000004</v>
      </c>
      <c r="F47" s="6">
        <v>1.601</v>
      </c>
      <c r="G47" s="6">
        <v>5.9560000000000004</v>
      </c>
      <c r="H47" s="6"/>
      <c r="I47" s="6"/>
      <c r="J47" s="6"/>
      <c r="K47" s="6"/>
      <c r="L47" s="6">
        <f>D47+E47</f>
        <v>7.5570000000000004</v>
      </c>
      <c r="M47" s="6">
        <f t="shared" ref="M47" si="18">AQ47</f>
        <v>1.1390000000000002</v>
      </c>
      <c r="N47" s="6"/>
      <c r="O47" s="6"/>
      <c r="P47" s="6"/>
      <c r="Q47" s="6"/>
      <c r="R47" s="6"/>
      <c r="S47" s="6"/>
      <c r="T47" s="6">
        <v>0.51200000000000001</v>
      </c>
      <c r="U47" s="6">
        <v>5.5E-2</v>
      </c>
      <c r="V47" s="6"/>
      <c r="W47" s="6">
        <v>0.17199999999999999</v>
      </c>
      <c r="X47" s="6"/>
      <c r="Y47" s="6"/>
      <c r="Z47" s="6"/>
      <c r="AA47" s="6"/>
      <c r="AB47" s="6"/>
      <c r="AC47" s="6">
        <v>3.5000000000000003E-2</v>
      </c>
      <c r="AD47" s="6"/>
      <c r="AE47" s="6">
        <v>5.0000000000000001E-3</v>
      </c>
      <c r="AF47" s="6">
        <v>0.36</v>
      </c>
      <c r="AG47" s="6"/>
      <c r="AH47" s="6"/>
      <c r="AI47" s="6"/>
      <c r="AJ47" s="6"/>
      <c r="AK47" s="6"/>
      <c r="AL47" s="6"/>
      <c r="AM47" s="6"/>
      <c r="AN47" s="6"/>
      <c r="AO47" s="6"/>
      <c r="AP47" s="6"/>
      <c r="AQ47" s="6">
        <f>SUM(N47:AP47)</f>
        <v>1.1390000000000002</v>
      </c>
      <c r="AR47" s="7">
        <f>L47+M47</f>
        <v>8.6960000000000015</v>
      </c>
      <c r="AS47" s="15">
        <v>2160</v>
      </c>
      <c r="AT47" s="7">
        <f>AR47*AS47</f>
        <v>18783.360000000004</v>
      </c>
    </row>
    <row r="48" spans="1:46" x14ac:dyDescent="0.35">
      <c r="A48" s="18"/>
      <c r="AS48" s="22" t="s">
        <v>40</v>
      </c>
      <c r="AT48" s="23">
        <f>SUM(AT6:AT47)</f>
        <v>2675462.0949999997</v>
      </c>
    </row>
    <row r="49" spans="1:46" ht="42" customHeight="1" x14ac:dyDescent="0.35">
      <c r="A49" s="34" t="s">
        <v>119</v>
      </c>
      <c r="B49" s="34"/>
      <c r="AR49" s="35" t="s">
        <v>104</v>
      </c>
      <c r="AS49" s="35"/>
      <c r="AT49" s="16">
        <v>1309871.9670000002</v>
      </c>
    </row>
    <row r="50" spans="1:46" ht="29.25" customHeight="1" x14ac:dyDescent="0.35">
      <c r="A50" s="36" t="s">
        <v>120</v>
      </c>
      <c r="B50" s="36"/>
      <c r="AR50" s="35" t="s">
        <v>105</v>
      </c>
      <c r="AS50" s="35"/>
      <c r="AT50" s="7">
        <f>AT48-AT49</f>
        <v>1365590.1279999996</v>
      </c>
    </row>
  </sheetData>
  <mergeCells count="22">
    <mergeCell ref="AP1:AT1"/>
    <mergeCell ref="A2:AT2"/>
    <mergeCell ref="AT3:AT5"/>
    <mergeCell ref="D3:L3"/>
    <mergeCell ref="AR3:AR5"/>
    <mergeCell ref="AS3:AS5"/>
    <mergeCell ref="N4:AP4"/>
    <mergeCell ref="E4:E5"/>
    <mergeCell ref="M3:AQ3"/>
    <mergeCell ref="D4:D5"/>
    <mergeCell ref="AQ4:AQ5"/>
    <mergeCell ref="M4:M5"/>
    <mergeCell ref="H4:K4"/>
    <mergeCell ref="L4:L5"/>
    <mergeCell ref="B3:B5"/>
    <mergeCell ref="A49:B49"/>
    <mergeCell ref="AR49:AS49"/>
    <mergeCell ref="AR50:AS50"/>
    <mergeCell ref="A50:B50"/>
    <mergeCell ref="C4:C5"/>
    <mergeCell ref="A3:A5"/>
    <mergeCell ref="A6:B6"/>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Sheet1</vt:lpstr>
    </vt:vector>
  </TitlesOfParts>
  <Company>PVD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Dace Vorkale</dc:creator>
  <cp:lastModifiedBy>Linda Gurecka</cp:lastModifiedBy>
  <cp:lastPrinted>2024-01-05T16:10:44Z</cp:lastPrinted>
  <dcterms:created xsi:type="dcterms:W3CDTF">2023-10-12T12:12:34Z</dcterms:created>
  <dcterms:modified xsi:type="dcterms:W3CDTF">2024-01-29T09:18:37Z</dcterms:modified>
</cp:coreProperties>
</file>