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mc:AlternateContent xmlns:mc="http://schemas.openxmlformats.org/markup-compatibility/2006">
    <mc:Choice Requires="x15">
      <x15ac:absPath xmlns:x15ac="http://schemas.microsoft.com/office/spreadsheetml/2010/11/ac" url="\\iem-ds.iem.gov.lv\U disks\isilantjevs\Dokumenti datorā\2024\Misijas\Eiduka, Štange, Kosarevs, Zaļaijs\"/>
    </mc:Choice>
  </mc:AlternateContent>
  <xr:revisionPtr revIDLastSave="0" documentId="8_{194D6788-5277-4397-8C3B-2A15C9601708}" xr6:coauthVersionLast="36" xr6:coauthVersionMax="36" xr10:uidLastSave="{00000000-0000-0000-0000-000000000000}"/>
  <bookViews>
    <workbookView xWindow="0" yWindow="0" windowWidth="23040" windowHeight="9108" tabRatio="752" activeTab="5" xr2:uid="{00000000-000D-0000-FFFF-FFFF00000000}"/>
  </bookViews>
  <sheets>
    <sheet name="K.Eiduka" sheetId="1" r:id="rId1"/>
    <sheet name="D.Kosarevs" sheetId="12" r:id="rId2"/>
    <sheet name="J.Zaļais" sheetId="9" r:id="rId3"/>
    <sheet name="M.Stange" sheetId="10" r:id="rId4"/>
    <sheet name="D.Uļģis" sheetId="11" r:id="rId5"/>
    <sheet name="Kopsavilkums" sheetId="8" r:id="rId6"/>
  </sheets>
  <definedNames>
    <definedName name="PPP">#REF!</definedName>
    <definedName name="_xlnm.Print_Area" localSheetId="2">J.Zaļais!$A$1:$C$25</definedName>
    <definedName name="_xlnm.Print_Area" localSheetId="0">K.Eiduka!$A$1:$C$26</definedName>
    <definedName name="q" localSheetId="1">#REF!</definedName>
    <definedName name="q" localSheetId="4">#REF!</definedName>
    <definedName name="q" localSheetId="2">#REF!</definedName>
    <definedName name="q" localSheetId="0">#REF!</definedName>
    <definedName name="q" localSheetId="3">#REF!</definedName>
    <definedName name="q">#REF!</definedName>
    <definedName name="s">#REF!</definedName>
    <definedName name="ssss" localSheetId="1">#REF!</definedName>
    <definedName name="ssss" localSheetId="4">#REF!</definedName>
    <definedName name="ssss" localSheetId="2">#REF!</definedName>
    <definedName name="ssss" localSheetId="0">#REF!</definedName>
    <definedName name="ssss" localSheetId="3">#REF!</definedName>
    <definedName name="ssss">#REF!</definedName>
    <definedName name="Valsts_policijas_amatpersonas_ar_speciālo_dienesta_pakāpi_dalība_Eiropas_Savienības_policijas_misijā_Gruzijā__EUMM_GEORGIA_________M.Štange__līdz_2019.gada_28.februārim" localSheetId="1">#REF!</definedName>
    <definedName name="Valsts_policijas_amatpersonas_ar_speciālo_dienesta_pakāpi_dalība_Eiropas_Savienības_policijas_misijā_Gruzijā__EUMM_GEORGIA_________M.Štange__līdz_2019.gada_28.februārim" localSheetId="4">#REF!</definedName>
    <definedName name="Valsts_policijas_amatpersonas_ar_speciālo_dienesta_pakāpi_dalība_Eiropas_Savienības_policijas_misijā_Gruzijā__EUMM_GEORGIA_________M.Štange__līdz_2019.gada_28.februārim" localSheetId="2">#REF!</definedName>
    <definedName name="Valsts_policijas_amatpersonas_ar_speciālo_dienesta_pakāpi_dalība_Eiropas_Savienības_policijas_misijā_Gruzijā__EUMM_GEORGIA_________M.Štange__līdz_2019.gada_28.februārim" localSheetId="0">#REF!</definedName>
    <definedName name="Valsts_policijas_amatpersonas_ar_speciālo_dienesta_pakāpi_dalība_Eiropas_Savienības_policijas_misijā_Gruzijā__EUMM_GEORGIA_________M.Štange__līdz_2019.gada_28.februārim" localSheetId="3">#REF!</definedName>
    <definedName name="Valsts_policijas_amatpersonas_ar_speciālo_dienesta_pakāpi_dalība_Eiropas_Savienības_policijas_misijā_Gruzijā__EUMM_GEORGIA_________M.Štange__līdz_2019.gada_28.februārim">#REF!</definedName>
    <definedName name="z" localSheetId="1">#REF!</definedName>
    <definedName name="z" localSheetId="4">#REF!</definedName>
    <definedName name="z" localSheetId="2">#REF!</definedName>
    <definedName name="z" localSheetId="0">#REF!</definedName>
    <definedName name="z" localSheetId="3">#REF!</definedName>
    <definedName name="z">#REF!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2" i="1" l="1"/>
  <c r="C22" i="9" l="1"/>
  <c r="C8" i="9"/>
  <c r="C11" i="11" l="1"/>
  <c r="C22" i="12" l="1"/>
  <c r="C23" i="1"/>
  <c r="C14" i="11" l="1"/>
  <c r="C15" i="10"/>
  <c r="C15" i="9"/>
  <c r="C15" i="12"/>
  <c r="C15" i="1"/>
  <c r="C18" i="8" l="1"/>
  <c r="C8" i="11"/>
  <c r="C9" i="11" s="1"/>
  <c r="C8" i="10"/>
  <c r="C9" i="10" s="1"/>
  <c r="C8" i="1"/>
  <c r="C9" i="1" l="1"/>
  <c r="C12" i="12" l="1"/>
  <c r="B36" i="12"/>
  <c r="C26" i="12" s="1"/>
  <c r="C25" i="12"/>
  <c r="C23" i="12"/>
  <c r="C8" i="12"/>
  <c r="C24" i="12" l="1"/>
  <c r="C21" i="12"/>
  <c r="C9" i="12"/>
  <c r="C13" i="12"/>
  <c r="C11" i="12" s="1"/>
  <c r="C7" i="12" l="1"/>
  <c r="C20" i="12"/>
  <c r="C6" i="12"/>
  <c r="B38" i="11" l="1"/>
  <c r="B33" i="11"/>
  <c r="C33" i="11" s="1"/>
  <c r="C32" i="11"/>
  <c r="C30" i="11"/>
  <c r="B34" i="11" s="1"/>
  <c r="C35" i="11" s="1"/>
  <c r="C24" i="11"/>
  <c r="C21" i="11"/>
  <c r="C22" i="11" s="1"/>
  <c r="C7" i="11"/>
  <c r="B39" i="11" l="1"/>
  <c r="C12" i="11" s="1"/>
  <c r="C10" i="11" s="1"/>
  <c r="C6" i="11" s="1"/>
  <c r="C20" i="11"/>
  <c r="C25" i="11"/>
  <c r="C23" i="11" s="1"/>
  <c r="C19" i="11" l="1"/>
  <c r="C12" i="9" l="1"/>
  <c r="C12" i="10"/>
  <c r="C12" i="1"/>
  <c r="C13" i="8" s="1"/>
  <c r="B39" i="10" l="1"/>
  <c r="B34" i="10"/>
  <c r="C34" i="10" s="1"/>
  <c r="C33" i="10"/>
  <c r="C31" i="10"/>
  <c r="B35" i="10" s="1"/>
  <c r="C36" i="10" s="1"/>
  <c r="C25" i="10"/>
  <c r="C22" i="10"/>
  <c r="C23" i="10" s="1"/>
  <c r="C21" i="10" s="1"/>
  <c r="C7" i="10"/>
  <c r="B40" i="10" l="1"/>
  <c r="C13" i="10" s="1"/>
  <c r="C11" i="10" s="1"/>
  <c r="C6" i="10" s="1"/>
  <c r="C26" i="10"/>
  <c r="C24" i="10" s="1"/>
  <c r="C20" i="10" s="1"/>
  <c r="B36" i="1" l="1"/>
  <c r="C13" i="1" s="1"/>
  <c r="B32" i="9" l="1"/>
  <c r="C25" i="9"/>
  <c r="C26" i="8" l="1"/>
  <c r="C32" i="9"/>
  <c r="B41" i="9"/>
  <c r="C26" i="9" l="1"/>
  <c r="C13" i="9"/>
  <c r="C15" i="8" s="1"/>
  <c r="C9" i="9"/>
  <c r="C10" i="8" s="1"/>
  <c r="C8" i="8"/>
  <c r="C11" i="9"/>
  <c r="C23" i="9"/>
  <c r="C28" i="8" s="1"/>
  <c r="C21" i="9" l="1"/>
  <c r="C7" i="9"/>
  <c r="C6" i="9" s="1"/>
  <c r="C24" i="9"/>
  <c r="C16" i="8"/>
  <c r="C12" i="8"/>
  <c r="C20" i="9" l="1"/>
  <c r="C25" i="8" l="1"/>
  <c r="C7" i="8"/>
  <c r="C27" i="8" l="1"/>
  <c r="C24" i="8" s="1"/>
  <c r="C9" i="8" l="1"/>
  <c r="C6" i="8" s="1"/>
  <c r="C25" i="1" l="1"/>
  <c r="C31" i="8" s="1"/>
  <c r="C30" i="8" l="1"/>
  <c r="C14" i="8" l="1"/>
  <c r="C11" i="8" s="1"/>
  <c r="C5" i="8" s="1"/>
  <c r="C26" i="1"/>
  <c r="C33" i="8" s="1"/>
  <c r="C11" i="1"/>
  <c r="C21" i="1"/>
  <c r="C24" i="1" l="1"/>
  <c r="C20" i="1" s="1"/>
  <c r="C32" i="8"/>
  <c r="C29" i="8" s="1"/>
  <c r="C23" i="8" s="1"/>
  <c r="C7" i="1" l="1"/>
  <c r="C6" i="1" s="1"/>
</calcChain>
</file>

<file path=xl/sharedStrings.xml><?xml version="1.0" encoding="utf-8"?>
<sst xmlns="http://schemas.openxmlformats.org/spreadsheetml/2006/main" count="220" uniqueCount="87">
  <si>
    <t>IZDEVUMU APRĒĶINS</t>
  </si>
  <si>
    <t>euro</t>
  </si>
  <si>
    <t>Izdevumi kopā</t>
  </si>
  <si>
    <t>1000</t>
  </si>
  <si>
    <t>Atlīdzība</t>
  </si>
  <si>
    <t>2000</t>
  </si>
  <si>
    <t>Preces un pakalpojumi</t>
  </si>
  <si>
    <t>Taktiskais amata līmenis</t>
  </si>
  <si>
    <t>gadā</t>
  </si>
  <si>
    <t>mēnesī</t>
  </si>
  <si>
    <t>KOPSAVILKUMS</t>
  </si>
  <si>
    <t>Citas normatīvajos aktos noteiktās piemaksas, kas nav iepriekš klasificētas</t>
  </si>
  <si>
    <t>Darba devēja valsts sociālās apdrošināšanas obligātās iemaksas</t>
  </si>
  <si>
    <t>Pārējie komandējumu un darba braucienu izdevumi</t>
  </si>
  <si>
    <t>Ārvalstīs nodarbināto amatpersonu (darbinieku) kompensācijas</t>
  </si>
  <si>
    <t>Atalgojums</t>
  </si>
  <si>
    <t>Darba devēja valsts sociālās apdrošināšanas obligātās iemaksas, pabalsti un kompensācijas</t>
  </si>
  <si>
    <t>Mācību, darba un dienesta komandējumi, darba braucieni</t>
  </si>
  <si>
    <t>Pakalpojumi</t>
  </si>
  <si>
    <t>Krājumi, materiāli, energoresursi, preces, biroja preces un inventārs, kurus neuzskaita kodā 5000</t>
  </si>
  <si>
    <t>Inventārs</t>
  </si>
  <si>
    <t>Formas tērpi un speciālais apģērbs</t>
  </si>
  <si>
    <t>Pārējie specifiskas lietošanas materiāli un inventārs</t>
  </si>
  <si>
    <r>
      <t xml:space="preserve">Dienesta pienākumu izpildei nepieciešamā apģērba iegādes kompensācija
Kompensācijas apmērs gadā -  120,94 </t>
    </r>
    <r>
      <rPr>
        <i/>
        <sz val="10"/>
        <color theme="1"/>
        <rFont val="Times New Roman"/>
        <family val="1"/>
        <charset val="186"/>
      </rPr>
      <t>euro</t>
    </r>
  </si>
  <si>
    <t>2025.gads</t>
  </si>
  <si>
    <r>
      <t xml:space="preserve">Darba devēja valsts sociālās apdrošināšanas obligātās iemaksas
23,59% no EKK 1149 summas (5 109,33 </t>
    </r>
    <r>
      <rPr>
        <i/>
        <sz val="10"/>
        <color theme="1"/>
        <rFont val="Times New Roman"/>
        <family val="1"/>
        <charset val="186"/>
      </rPr>
      <t xml:space="preserve">euro </t>
    </r>
    <r>
      <rPr>
        <sz val="10"/>
        <color theme="1"/>
        <rFont val="Times New Roman"/>
        <family val="1"/>
        <charset val="186"/>
      </rPr>
      <t xml:space="preserve">× 23,59 %) = 1 205,29 </t>
    </r>
    <r>
      <rPr>
        <i/>
        <sz val="10"/>
        <color theme="1"/>
        <rFont val="Times New Roman"/>
        <family val="1"/>
        <charset val="186"/>
      </rPr>
      <t>euro</t>
    </r>
  </si>
  <si>
    <t>vecais</t>
  </si>
  <si>
    <t>palielinājums</t>
  </si>
  <si>
    <t>pārrēķins</t>
  </si>
  <si>
    <r>
      <t xml:space="preserve">Darba devēja valsts sociālās apdrošināšanas obligātās iemaksas
23,59% no EKK 1149 summas
(7 151,18 </t>
    </r>
    <r>
      <rPr>
        <i/>
        <sz val="10"/>
        <color theme="1"/>
        <rFont val="Times New Roman"/>
        <family val="1"/>
        <charset val="186"/>
      </rPr>
      <t xml:space="preserve">euro </t>
    </r>
    <r>
      <rPr>
        <sz val="10"/>
        <color theme="1"/>
        <rFont val="Times New Roman"/>
        <family val="1"/>
        <charset val="186"/>
      </rPr>
      <t xml:space="preserve">× 23,59 %) = 1 686,96 </t>
    </r>
    <r>
      <rPr>
        <i/>
        <sz val="10"/>
        <color theme="1"/>
        <rFont val="Times New Roman"/>
        <family val="1"/>
        <charset val="186"/>
      </rPr>
      <t>euro</t>
    </r>
  </si>
  <si>
    <r>
      <t xml:space="preserve">Darba devēja valsts sociālās apdrošināšanas obligātās iemaksas
23,59% no EKK 1149 summas
(6 839,91 </t>
    </r>
    <r>
      <rPr>
        <i/>
        <sz val="10"/>
        <color theme="1"/>
        <rFont val="Times New Roman"/>
        <family val="1"/>
        <charset val="186"/>
      </rPr>
      <t xml:space="preserve">euro </t>
    </r>
    <r>
      <rPr>
        <sz val="10"/>
        <color theme="1"/>
        <rFont val="Times New Roman"/>
        <family val="1"/>
        <charset val="186"/>
      </rPr>
      <t xml:space="preserve">× 23,59 %) = 1 613,53 </t>
    </r>
    <r>
      <rPr>
        <i/>
        <sz val="10"/>
        <color theme="1"/>
        <rFont val="Times New Roman"/>
        <family val="1"/>
        <charset val="186"/>
      </rPr>
      <t>euro</t>
    </r>
  </si>
  <si>
    <t>EUMM GEORGIA   (19.02.2025.-31.12.2025.)</t>
  </si>
  <si>
    <t>EUMM GEORGIA   (01.01.2026.-18.02.2026.)</t>
  </si>
  <si>
    <t>2026.gads</t>
  </si>
  <si>
    <t>Operacionālais amata līmenis</t>
  </si>
  <si>
    <r>
      <t xml:space="preserve">Valsts policijas amatpersonas ar speciālo dienesta pakāpi dalība Eiropas Savienības 
novērošanas misijā Gruzijā (EUMM GEORGIA)  </t>
    </r>
    <r>
      <rPr>
        <b/>
        <sz val="10"/>
        <color rgb="FF00B0F0"/>
        <rFont val="Times New Roman"/>
        <family val="1"/>
        <charset val="186"/>
      </rPr>
      <t>Dmitrijs Kosarevs</t>
    </r>
    <r>
      <rPr>
        <sz val="10"/>
        <rFont val="Times New Roman"/>
        <family val="1"/>
        <charset val="186"/>
      </rPr>
      <t xml:space="preserve"> </t>
    </r>
    <r>
      <rPr>
        <sz val="10"/>
        <color rgb="FFFF0000"/>
        <rFont val="Times New Roman"/>
        <family val="1"/>
        <charset val="186"/>
      </rPr>
      <t>(13.05.2025.-12.05.2026.)</t>
    </r>
  </si>
  <si>
    <t>EUMM GEORGIA   (13.05.2025.-31.12.2025.)</t>
  </si>
  <si>
    <t>EUMM GEORGIA   (01.01.2026.-12.05.2026.)</t>
  </si>
  <si>
    <t>EUMM GEORGIA  (13.05.2025.-31.12.2025.)</t>
  </si>
  <si>
    <t>EUMM GEORGIA   (07.02.2025. - 31.12.2025.)</t>
  </si>
  <si>
    <r>
      <t xml:space="preserve">Darba devēja valsts sociālās apdrošināšanas obligātās iemaksas
23,59% no EKK 1149 summas
(25 319,03 </t>
    </r>
    <r>
      <rPr>
        <i/>
        <sz val="10"/>
        <color theme="1"/>
        <rFont val="Times New Roman"/>
        <family val="1"/>
        <charset val="186"/>
      </rPr>
      <t xml:space="preserve">euro </t>
    </r>
    <r>
      <rPr>
        <sz val="10"/>
        <color theme="1"/>
        <rFont val="Times New Roman"/>
        <family val="1"/>
        <charset val="186"/>
      </rPr>
      <t xml:space="preserve">× 23,59 %) = 5 972,99 </t>
    </r>
    <r>
      <rPr>
        <i/>
        <sz val="10"/>
        <color theme="1"/>
        <rFont val="Times New Roman"/>
        <family val="1"/>
        <charset val="186"/>
      </rPr>
      <t>euro</t>
    </r>
  </si>
  <si>
    <r>
      <t xml:space="preserve">Darba devēja valsts sociālās apdrošināšanas obligātās iemaksas
23,59% no EKK 1149 summas (22 579,93 </t>
    </r>
    <r>
      <rPr>
        <i/>
        <sz val="10"/>
        <color theme="1"/>
        <rFont val="Times New Roman"/>
        <family val="1"/>
        <charset val="186"/>
      </rPr>
      <t xml:space="preserve">euro </t>
    </r>
    <r>
      <rPr>
        <sz val="10"/>
        <color theme="1"/>
        <rFont val="Times New Roman"/>
        <family val="1"/>
        <charset val="186"/>
      </rPr>
      <t xml:space="preserve">× 23,59 %) = 5 326,62 </t>
    </r>
    <r>
      <rPr>
        <i/>
        <sz val="10"/>
        <color theme="1"/>
        <rFont val="Times New Roman"/>
        <family val="1"/>
        <charset val="186"/>
      </rPr>
      <t>euro</t>
    </r>
  </si>
  <si>
    <t>EUMM GEORGIA   (28.02.2025. - 31.12.2025.)</t>
  </si>
  <si>
    <t>EUMM GEORGIA   (01.01.2026. - 06.02.2026.)</t>
  </si>
  <si>
    <r>
      <t xml:space="preserve">Darba devēja valsts sociālās apdrošināšanas obligātās iemaksas
23,59% no EKK 1149 summas
(20 926,07 </t>
    </r>
    <r>
      <rPr>
        <i/>
        <sz val="10"/>
        <color theme="1"/>
        <rFont val="Times New Roman"/>
        <family val="1"/>
        <charset val="186"/>
      </rPr>
      <t xml:space="preserve">euro </t>
    </r>
    <r>
      <rPr>
        <sz val="10"/>
        <color theme="1"/>
        <rFont val="Times New Roman"/>
        <family val="1"/>
        <charset val="186"/>
      </rPr>
      <t xml:space="preserve">× 23,59 %) = 4 918,52 </t>
    </r>
    <r>
      <rPr>
        <i/>
        <sz val="10"/>
        <color theme="1"/>
        <rFont val="Times New Roman"/>
        <family val="1"/>
        <charset val="186"/>
      </rPr>
      <t>euro</t>
    </r>
  </si>
  <si>
    <t>EUMM GEORGIA   (01.01.2026. - 27.02.2026.)</t>
  </si>
  <si>
    <t xml:space="preserve">EUMM GEORGIA </t>
  </si>
  <si>
    <t xml:space="preserve">EUMM GEORGIA  </t>
  </si>
  <si>
    <r>
      <t xml:space="preserve">Darba devēja valsts sociālās apdrošināšanas obligātās iemaksas
23,59% no EKK 1149 summas
(15 115,39 </t>
    </r>
    <r>
      <rPr>
        <i/>
        <sz val="10"/>
        <color theme="1"/>
        <rFont val="Times New Roman"/>
        <family val="1"/>
        <charset val="186"/>
      </rPr>
      <t xml:space="preserve">euro </t>
    </r>
    <r>
      <rPr>
        <sz val="10"/>
        <color theme="1"/>
        <rFont val="Times New Roman"/>
        <family val="1"/>
        <charset val="186"/>
      </rPr>
      <t xml:space="preserve">× 23,59 %) = 3 565,72 </t>
    </r>
    <r>
      <rPr>
        <i/>
        <sz val="10"/>
        <color theme="1"/>
        <rFont val="Times New Roman"/>
        <family val="1"/>
        <charset val="186"/>
      </rPr>
      <t>euro</t>
    </r>
  </si>
  <si>
    <r>
      <t xml:space="preserve">Pārējie komandējumu un darba braucienu izdevumi
Ceļa izdevumi: 
Vienam braucienam un bagāžai 560,00 </t>
    </r>
    <r>
      <rPr>
        <i/>
        <sz val="10"/>
        <color theme="1"/>
        <rFont val="Times New Roman"/>
        <family val="1"/>
        <charset val="186"/>
      </rPr>
      <t>euro;</t>
    </r>
    <r>
      <rPr>
        <sz val="10"/>
        <color theme="1"/>
        <rFont val="Times New Roman"/>
        <family val="1"/>
        <charset val="186"/>
      </rPr>
      <t xml:space="preserve"> 
Brauciens no Latvijas līdz dienesta vietai, kā arī reizi kalendāra gadā ceļa izdevumi dodoties  uz Latviju un atgriežoties no Latvijas. 
Apdrošināšana par ceļojuma dienām 2,00 </t>
    </r>
    <r>
      <rPr>
        <i/>
        <sz val="10"/>
        <color theme="1"/>
        <rFont val="Times New Roman"/>
        <family val="1"/>
        <charset val="186"/>
      </rPr>
      <t>euro</t>
    </r>
    <r>
      <rPr>
        <sz val="10"/>
        <color theme="1"/>
        <rFont val="Times New Roman"/>
        <family val="1"/>
        <charset val="186"/>
      </rPr>
      <t xml:space="preserve"> par 1 dienu
(560,00 </t>
    </r>
    <r>
      <rPr>
        <i/>
        <sz val="10"/>
        <color theme="1"/>
        <rFont val="Times New Roman"/>
        <family val="1"/>
        <charset val="186"/>
      </rPr>
      <t>euro</t>
    </r>
    <r>
      <rPr>
        <sz val="10"/>
        <color theme="1"/>
        <rFont val="Times New Roman"/>
        <family val="1"/>
        <charset val="186"/>
      </rPr>
      <t xml:space="preserve"> + 2,00 </t>
    </r>
    <r>
      <rPr>
        <i/>
        <sz val="10"/>
        <color theme="1"/>
        <rFont val="Times New Roman"/>
        <family val="1"/>
        <charset val="186"/>
      </rPr>
      <t>euro</t>
    </r>
    <r>
      <rPr>
        <sz val="10"/>
        <color theme="1"/>
        <rFont val="Times New Roman"/>
        <family val="1"/>
        <charset val="186"/>
      </rPr>
      <t xml:space="preserve">) × 1 brauciens = 562 </t>
    </r>
    <r>
      <rPr>
        <i/>
        <sz val="10"/>
        <color theme="1"/>
        <rFont val="Times New Roman"/>
        <family val="1"/>
        <charset val="186"/>
      </rPr>
      <t>euro.</t>
    </r>
  </si>
  <si>
    <r>
      <t xml:space="preserve">Valsts policijas amatpersonas ar speciālo dienesta pakāpi dalība Eiropas Savienības 
novērošanas misijā Gruzijā (EUMM GEORGIA)  </t>
    </r>
    <r>
      <rPr>
        <b/>
        <sz val="10"/>
        <color rgb="FF0070C0"/>
        <rFont val="Times New Roman"/>
        <family val="1"/>
        <charset val="186"/>
      </rPr>
      <t>Kristīne Eiduka</t>
    </r>
    <r>
      <rPr>
        <sz val="10"/>
        <rFont val="Times New Roman"/>
        <family val="1"/>
        <charset val="186"/>
      </rPr>
      <t xml:space="preserve"> </t>
    </r>
    <r>
      <rPr>
        <sz val="10"/>
        <color rgb="FFFF0000"/>
        <rFont val="Times New Roman"/>
        <family val="1"/>
        <charset val="186"/>
      </rPr>
      <t>(19.02.2025.-18.02.2026.)</t>
    </r>
  </si>
  <si>
    <r>
      <t>Valsts policijas amatpersonas ar speciālo dienesta pakāpi dalība Eiropas Savienības 
novērošanas misijā Gruzijā (</t>
    </r>
    <r>
      <rPr>
        <i/>
        <sz val="10"/>
        <rFont val="Times New Roman"/>
        <family val="1"/>
        <charset val="186"/>
      </rPr>
      <t>EUMM GEORGIA</t>
    </r>
    <r>
      <rPr>
        <sz val="10"/>
        <rFont val="Times New Roman"/>
        <family val="1"/>
        <charset val="186"/>
      </rPr>
      <t xml:space="preserve">)  </t>
    </r>
    <r>
      <rPr>
        <b/>
        <sz val="10"/>
        <color theme="4" tint="-0.249977111117893"/>
        <rFont val="Times New Roman"/>
        <family val="1"/>
        <charset val="186"/>
      </rPr>
      <t>Jānis Zaļais</t>
    </r>
    <r>
      <rPr>
        <sz val="10"/>
        <color rgb="FFFF0000"/>
        <rFont val="Times New Roman"/>
        <family val="1"/>
        <charset val="186"/>
      </rPr>
      <t xml:space="preserve"> (13.05.2025.-12.05.2026.)</t>
    </r>
  </si>
  <si>
    <r>
      <t>Valsts policijas amatpersona ar speciālo dienesta pakāpi dalība Eiropas Savienības 
novērošanas misijā Gruzijā (</t>
    </r>
    <r>
      <rPr>
        <i/>
        <sz val="10"/>
        <rFont val="Times New Roman"/>
        <family val="1"/>
        <charset val="186"/>
      </rPr>
      <t>EUMM GEORGIA</t>
    </r>
    <r>
      <rPr>
        <sz val="10"/>
        <rFont val="Times New Roman"/>
        <family val="1"/>
        <charset val="186"/>
      </rPr>
      <t xml:space="preserve">) </t>
    </r>
    <r>
      <rPr>
        <b/>
        <sz val="10"/>
        <color rgb="FF0070C0"/>
        <rFont val="Times New Roman"/>
        <family val="1"/>
        <charset val="186"/>
      </rPr>
      <t>Mārtiņš Štange</t>
    </r>
    <r>
      <rPr>
        <sz val="10"/>
        <color rgb="FFFF0000"/>
        <rFont val="Times New Roman"/>
        <family val="1"/>
        <charset val="186"/>
      </rPr>
      <t xml:space="preserve"> (07.02.2025.- 06.02.2026.)</t>
    </r>
  </si>
  <si>
    <r>
      <t>Valsts policijas amatpersona ar speciālo dienesta pakāpi dalība Eiropas Savienības 
novērošanas misijā Gruzijā (</t>
    </r>
    <r>
      <rPr>
        <i/>
        <sz val="10"/>
        <rFont val="Times New Roman"/>
        <family val="1"/>
        <charset val="186"/>
      </rPr>
      <t>EUMM GEORGIA</t>
    </r>
    <r>
      <rPr>
        <sz val="10"/>
        <rFont val="Times New Roman"/>
        <family val="1"/>
        <charset val="186"/>
      </rPr>
      <t xml:space="preserve">) </t>
    </r>
    <r>
      <rPr>
        <b/>
        <sz val="10"/>
        <color rgb="FF0070C0"/>
        <rFont val="Times New Roman"/>
        <family val="1"/>
        <charset val="186"/>
      </rPr>
      <t>Dāvis Uļģis</t>
    </r>
    <r>
      <rPr>
        <sz val="10"/>
        <rFont val="Times New Roman"/>
        <family val="1"/>
        <charset val="186"/>
      </rPr>
      <t xml:space="preserve"> </t>
    </r>
    <r>
      <rPr>
        <sz val="10"/>
        <color rgb="FFFF0000"/>
        <rFont val="Times New Roman"/>
        <family val="1"/>
        <charset val="186"/>
      </rPr>
      <t>(28.02.2025.-27.02.2026.)</t>
    </r>
  </si>
  <si>
    <r>
      <t xml:space="preserve">Citas normatīvajos aktos noteiktās piemaksas, kas nav iepriekš klasificētas
Ministru kabineta 2021. gada 07. decembra noteikumos Nr. 793 amatpersonai atbilstoši amata līmenim noteiktais piemaksas apmērs gadā 23 193 </t>
    </r>
    <r>
      <rPr>
        <i/>
        <sz val="10"/>
        <color theme="1"/>
        <rFont val="Times New Roman"/>
        <family val="1"/>
        <charset val="186"/>
      </rPr>
      <t>euro</t>
    </r>
    <r>
      <rPr>
        <sz val="10"/>
        <color theme="1"/>
        <rFont val="Times New Roman"/>
        <family val="1"/>
        <charset val="186"/>
      </rPr>
      <t xml:space="preserve"> (mēnesī 1 932,75 </t>
    </r>
    <r>
      <rPr>
        <i/>
        <sz val="10"/>
        <color theme="1"/>
        <rFont val="Times New Roman"/>
        <family val="1"/>
        <charset val="186"/>
      </rPr>
      <t>euro</t>
    </r>
    <r>
      <rPr>
        <sz val="10"/>
        <color theme="1"/>
        <rFont val="Times New Roman"/>
        <family val="1"/>
        <charset val="186"/>
      </rPr>
      <t xml:space="preserve">)
(Operacionālais amata līmenis). Koeficients - 1,4;
(1 932,75 </t>
    </r>
    <r>
      <rPr>
        <i/>
        <sz val="10"/>
        <color theme="1"/>
        <rFont val="Times New Roman"/>
        <family val="1"/>
        <charset val="186"/>
      </rPr>
      <t>euro</t>
    </r>
    <r>
      <rPr>
        <sz val="10"/>
        <color theme="1"/>
        <rFont val="Times New Roman"/>
        <family val="1"/>
        <charset val="186"/>
      </rPr>
      <t xml:space="preserve"> × 1,4 × 5 mēn.) + (1 932,75 </t>
    </r>
    <r>
      <rPr>
        <i/>
        <sz val="10"/>
        <color theme="1"/>
        <rFont val="Times New Roman"/>
        <family val="1"/>
        <charset val="186"/>
      </rPr>
      <t>euro</t>
    </r>
    <r>
      <rPr>
        <sz val="10"/>
        <color theme="1"/>
        <rFont val="Times New Roman"/>
        <family val="1"/>
        <charset val="186"/>
      </rPr>
      <t xml:space="preserve"> × 1,4 : 31 d. × 12 d.) = 14 576,68 </t>
    </r>
    <r>
      <rPr>
        <i/>
        <sz val="10"/>
        <color theme="1"/>
        <rFont val="Times New Roman"/>
        <family val="1"/>
        <charset val="186"/>
      </rPr>
      <t>euro *;</t>
    </r>
    <r>
      <rPr>
        <i/>
        <strike/>
        <sz val="10"/>
        <color theme="1"/>
        <rFont val="Times New Roman"/>
        <family val="1"/>
        <charset val="186"/>
      </rPr>
      <t xml:space="preserve">
</t>
    </r>
    <r>
      <rPr>
        <sz val="10"/>
        <color theme="1"/>
        <rFont val="Times New Roman"/>
        <family val="1"/>
        <charset val="186"/>
      </rPr>
      <t xml:space="preserve">
Piemaksa par kontingenta vadītāja pienākumu pildīšanu ** - 100</t>
    </r>
    <r>
      <rPr>
        <i/>
        <sz val="10"/>
        <color theme="1"/>
        <rFont val="Times New Roman"/>
        <family val="1"/>
        <charset val="186"/>
      </rPr>
      <t xml:space="preserve"> euro</t>
    </r>
    <r>
      <rPr>
        <sz val="10"/>
        <color theme="1"/>
        <rFont val="Times New Roman"/>
        <family val="1"/>
        <charset val="186"/>
      </rPr>
      <t xml:space="preserve"> mēnesī </t>
    </r>
    <r>
      <rPr>
        <i/>
        <sz val="10"/>
        <color theme="1"/>
        <rFont val="Times New Roman"/>
        <family val="1"/>
        <charset val="186"/>
      </rPr>
      <t xml:space="preserve">
</t>
    </r>
    <r>
      <rPr>
        <sz val="10"/>
        <color theme="1"/>
        <rFont val="Times New Roman"/>
        <family val="1"/>
        <charset val="186"/>
      </rPr>
      <t xml:space="preserve">(100 </t>
    </r>
    <r>
      <rPr>
        <i/>
        <sz val="10"/>
        <color theme="1"/>
        <rFont val="Times New Roman"/>
        <family val="1"/>
        <charset val="186"/>
      </rPr>
      <t xml:space="preserve">euro </t>
    </r>
    <r>
      <rPr>
        <sz val="10"/>
        <color theme="1"/>
        <rFont val="Times New Roman"/>
        <family val="1"/>
        <charset val="186"/>
      </rPr>
      <t xml:space="preserve">× 5 mēn.) + (100 </t>
    </r>
    <r>
      <rPr>
        <i/>
        <sz val="10"/>
        <color theme="1"/>
        <rFont val="Times New Roman"/>
        <family val="1"/>
        <charset val="186"/>
      </rPr>
      <t xml:space="preserve">euro </t>
    </r>
    <r>
      <rPr>
        <sz val="10"/>
        <color theme="1"/>
        <rFont val="Times New Roman"/>
        <family val="1"/>
        <charset val="186"/>
      </rPr>
      <t xml:space="preserve">: 31 d. × 12 d.) = 538,71 </t>
    </r>
    <r>
      <rPr>
        <i/>
        <sz val="10"/>
        <color theme="1"/>
        <rFont val="Times New Roman"/>
        <family val="1"/>
        <charset val="186"/>
      </rPr>
      <t>euro.</t>
    </r>
  </si>
  <si>
    <t xml:space="preserve">**Ievērojot, ka amatpersonai ar speciālo dienesta pakāpi iespēja ieņemt kontingenta vadītāja amatu pastāv vienīgi atrodoties starptautiskajā misijā un iestādei, kura nosūtījusi amatpersonu ar speciālo dienesta pakāpi dalībai starptautiskajā misijā nav iespēja iepriekš prognozēt šādu izdevumu rašanos un paredzēt tam finanšu līdzekļus budžeta ietvaros - izdevumu aprēķinā iekļauta ikmēneša piemaksa kontingenta vadītājam atbilstoši Ministru kabineta 2021. gada 7. decembra noteikumu Nr.793 "Kārtība, kādā Iekšlietu ministrijas sistēmas iestāžu amatpersonas ar speciālajām dienesta pakāpēm tiek nosūtītas dalībai starptautiskajās misijās un operācijās, un dalības finansēšanas kārtība" 22.2. apakšpunktam. </t>
  </si>
  <si>
    <r>
      <t xml:space="preserve">Citas normatīvajos aktos noteiktās piemaksas, kas nav iepriekš klasificētas Ministru kabineta 2021.gada 07.decembra noteikumos Nr.793 amatpersonai atbilstoši amata līmenim noteiktais piemaksas apmērs 19 778 </t>
    </r>
    <r>
      <rPr>
        <i/>
        <sz val="10"/>
        <color theme="1"/>
        <rFont val="Times New Roman"/>
        <family val="1"/>
        <charset val="186"/>
      </rPr>
      <t xml:space="preserve">euro </t>
    </r>
    <r>
      <rPr>
        <sz val="10"/>
        <color theme="1"/>
        <rFont val="Times New Roman"/>
        <family val="1"/>
        <charset val="186"/>
      </rPr>
      <t xml:space="preserve">gadā (mēnesī 1 648,17 </t>
    </r>
    <r>
      <rPr>
        <i/>
        <sz val="10"/>
        <color theme="1"/>
        <rFont val="Times New Roman"/>
        <family val="1"/>
        <charset val="186"/>
      </rPr>
      <t>euro</t>
    </r>
    <r>
      <rPr>
        <sz val="10"/>
        <color theme="1"/>
        <rFont val="Times New Roman"/>
        <family val="1"/>
        <charset val="186"/>
      </rPr>
      <t xml:space="preserve">)
(Taktiskais amata līmenis). Koeficients - 1,4;
(1 648,17 </t>
    </r>
    <r>
      <rPr>
        <i/>
        <sz val="10"/>
        <color theme="1"/>
        <rFont val="Times New Roman"/>
        <family val="1"/>
        <charset val="186"/>
      </rPr>
      <t>euro</t>
    </r>
    <r>
      <rPr>
        <sz val="10"/>
        <color theme="1"/>
        <rFont val="Times New Roman"/>
        <family val="1"/>
        <charset val="186"/>
      </rPr>
      <t xml:space="preserve"> × 1,4 × 2 mēn.) + (1 648,17 </t>
    </r>
    <r>
      <rPr>
        <i/>
        <sz val="10"/>
        <color theme="1"/>
        <rFont val="Times New Roman"/>
        <family val="1"/>
        <charset val="186"/>
      </rPr>
      <t>euro</t>
    </r>
    <r>
      <rPr>
        <sz val="10"/>
        <color theme="1"/>
        <rFont val="Times New Roman"/>
        <family val="1"/>
        <charset val="186"/>
      </rPr>
      <t xml:space="preserve"> × 1,4 : 28 d. × 6 d.) = 5 109,33 </t>
    </r>
    <r>
      <rPr>
        <i/>
        <sz val="10"/>
        <color theme="1"/>
        <rFont val="Times New Roman"/>
        <family val="1"/>
        <charset val="186"/>
      </rPr>
      <t>euro</t>
    </r>
    <r>
      <rPr>
        <sz val="10"/>
        <color theme="1"/>
        <rFont val="Times New Roman"/>
        <family val="1"/>
        <charset val="186"/>
      </rPr>
      <t xml:space="preserve"> *</t>
    </r>
  </si>
  <si>
    <r>
      <t xml:space="preserve">Citas normatīvajos aktos noteiktās piemaksas, kas nav iepriekš klasificētas Ministru kabineta 2021.gada 7.decembra noteikumos Nr.793 amatpersonai atbilstoši amata līmenim noteiktais piemaksas apmērs gadā 19 778 </t>
    </r>
    <r>
      <rPr>
        <i/>
        <sz val="10"/>
        <color theme="1"/>
        <rFont val="Times New Roman"/>
        <family val="1"/>
        <charset val="186"/>
      </rPr>
      <t xml:space="preserve">euro </t>
    </r>
    <r>
      <rPr>
        <sz val="10"/>
        <color theme="1"/>
        <rFont val="Times New Roman"/>
        <family val="1"/>
        <charset val="186"/>
      </rPr>
      <t xml:space="preserve">(mēnesī 1 648,17 </t>
    </r>
    <r>
      <rPr>
        <i/>
        <sz val="10"/>
        <color theme="1"/>
        <rFont val="Times New Roman"/>
        <family val="1"/>
        <charset val="186"/>
      </rPr>
      <t>euro</t>
    </r>
    <r>
      <rPr>
        <sz val="10"/>
        <color theme="1"/>
        <rFont val="Times New Roman"/>
        <family val="1"/>
        <charset val="186"/>
      </rPr>
      <t xml:space="preserve">)
(Taktiskais amata līmenis). Koeficients - 1,4;
(1 648,17 </t>
    </r>
    <r>
      <rPr>
        <i/>
        <sz val="10"/>
        <color theme="1"/>
        <rFont val="Times New Roman"/>
        <family val="1"/>
        <charset val="186"/>
      </rPr>
      <t>euro</t>
    </r>
    <r>
      <rPr>
        <sz val="10"/>
        <color theme="1"/>
        <rFont val="Times New Roman"/>
        <family val="1"/>
        <charset val="186"/>
      </rPr>
      <t xml:space="preserve"> × 1,4 × 2 mēn.) + (1 648,17 </t>
    </r>
    <r>
      <rPr>
        <i/>
        <sz val="10"/>
        <color theme="1"/>
        <rFont val="Times New Roman"/>
        <family val="1"/>
        <charset val="186"/>
      </rPr>
      <t>euro</t>
    </r>
    <r>
      <rPr>
        <sz val="10"/>
        <color theme="1"/>
        <rFont val="Times New Roman"/>
        <family val="1"/>
        <charset val="186"/>
      </rPr>
      <t xml:space="preserve"> × 1,4 : 28 d. × 27 d.) = 6 839,91 </t>
    </r>
    <r>
      <rPr>
        <i/>
        <sz val="10"/>
        <color theme="1"/>
        <rFont val="Times New Roman"/>
        <family val="1"/>
        <charset val="186"/>
      </rPr>
      <t>euro</t>
    </r>
    <r>
      <rPr>
        <sz val="10"/>
        <color theme="1"/>
        <rFont val="Times New Roman"/>
        <family val="1"/>
        <charset val="186"/>
      </rPr>
      <t xml:space="preserve"> *</t>
    </r>
  </si>
  <si>
    <r>
      <t xml:space="preserve">Citas normatīvajos aktos noteiktās piemaksas, kas nav iepriekš klasificētas 
Ministru kabineta 2021. gada 07. decembra noteikumos Nr. 793 amatpersonai atbilstoši amata līmenim noteiktais piemaksas apmērs gadā 23 193 </t>
    </r>
    <r>
      <rPr>
        <i/>
        <sz val="10"/>
        <color theme="1"/>
        <rFont val="Times New Roman"/>
        <family val="1"/>
        <charset val="186"/>
      </rPr>
      <t>euro</t>
    </r>
    <r>
      <rPr>
        <sz val="10"/>
        <color theme="1"/>
        <rFont val="Times New Roman"/>
        <family val="1"/>
        <charset val="186"/>
      </rPr>
      <t xml:space="preserve"> gadā (mēnesī 1 932,75 </t>
    </r>
    <r>
      <rPr>
        <i/>
        <sz val="10"/>
        <color theme="1"/>
        <rFont val="Times New Roman"/>
        <family val="1"/>
        <charset val="186"/>
      </rPr>
      <t>euro</t>
    </r>
    <r>
      <rPr>
        <sz val="10"/>
        <color theme="1"/>
        <rFont val="Times New Roman"/>
        <family val="1"/>
        <charset val="186"/>
      </rPr>
      <t xml:space="preserve">)
(Operacionālais amata līmenis). Koeficients - 1,4;
(1 932,75 </t>
    </r>
    <r>
      <rPr>
        <i/>
        <sz val="10"/>
        <color theme="1"/>
        <rFont val="Times New Roman"/>
        <family val="1"/>
        <charset val="186"/>
      </rPr>
      <t>euro</t>
    </r>
    <r>
      <rPr>
        <sz val="10"/>
        <color theme="1"/>
        <rFont val="Times New Roman"/>
        <family val="1"/>
        <charset val="186"/>
      </rPr>
      <t xml:space="preserve"> × 1,4 × 9 mēn.) + (1 932,75 </t>
    </r>
    <r>
      <rPr>
        <i/>
        <sz val="10"/>
        <color theme="1"/>
        <rFont val="Times New Roman"/>
        <family val="1"/>
        <charset val="186"/>
      </rPr>
      <t>euro</t>
    </r>
    <r>
      <rPr>
        <sz val="10"/>
        <color theme="1"/>
        <rFont val="Times New Roman"/>
        <family val="1"/>
        <charset val="186"/>
      </rPr>
      <t xml:space="preserve"> × 1,4 : 28 d. × 10 d.) = 25 319,03 </t>
    </r>
    <r>
      <rPr>
        <i/>
        <sz val="10"/>
        <color theme="1"/>
        <rFont val="Times New Roman"/>
        <family val="1"/>
        <charset val="186"/>
      </rPr>
      <t>euro</t>
    </r>
    <r>
      <rPr>
        <sz val="10"/>
        <color theme="1"/>
        <rFont val="Times New Roman"/>
        <family val="1"/>
        <charset val="186"/>
      </rPr>
      <t xml:space="preserve"> *</t>
    </r>
  </si>
  <si>
    <r>
      <t>Pārējie komandējumu un darba braucienu izdevumi
Ceļa izdevumi: 
Vienam braucienam un bagāžai 560,00</t>
    </r>
    <r>
      <rPr>
        <i/>
        <sz val="10"/>
        <color theme="1"/>
        <rFont val="Times New Roman"/>
        <family val="1"/>
        <charset val="186"/>
      </rPr>
      <t xml:space="preserve"> euro</t>
    </r>
    <r>
      <rPr>
        <sz val="10"/>
        <color theme="1"/>
        <rFont val="Times New Roman"/>
        <family val="1"/>
        <charset val="186"/>
      </rPr>
      <t xml:space="preserve">; reizi kalendāra gadā ceļa izdevumi dodoties  uz Latviju un atgriežoties no Latvijas, ievērojot, ka dalības laiks tiek pagarināts, šim mērķim paredzami izdevumi, kas jau 2025.gadā plānoti, lai amatpersona atgrieztos Latvijā. 
Apdrošināšana par ceļojuma dienām 2,00 </t>
    </r>
    <r>
      <rPr>
        <i/>
        <sz val="10"/>
        <color theme="1"/>
        <rFont val="Times New Roman"/>
        <family val="1"/>
        <charset val="186"/>
      </rPr>
      <t xml:space="preserve">euro </t>
    </r>
    <r>
      <rPr>
        <sz val="10"/>
        <color theme="1"/>
        <rFont val="Times New Roman"/>
        <family val="1"/>
        <charset val="186"/>
      </rPr>
      <t xml:space="preserve">par 1 dienu
560,00 </t>
    </r>
    <r>
      <rPr>
        <i/>
        <sz val="10"/>
        <color theme="1"/>
        <rFont val="Times New Roman"/>
        <family val="1"/>
        <charset val="186"/>
      </rPr>
      <t>euro</t>
    </r>
    <r>
      <rPr>
        <sz val="10"/>
        <color theme="1"/>
        <rFont val="Times New Roman"/>
        <family val="1"/>
        <charset val="186"/>
      </rPr>
      <t xml:space="preserve"> + 2,00 </t>
    </r>
    <r>
      <rPr>
        <i/>
        <sz val="10"/>
        <color theme="1"/>
        <rFont val="Times New Roman"/>
        <family val="1"/>
        <charset val="186"/>
      </rPr>
      <t>euro</t>
    </r>
    <r>
      <rPr>
        <sz val="10"/>
        <color theme="1"/>
        <rFont val="Times New Roman"/>
        <family val="1"/>
        <charset val="186"/>
      </rPr>
      <t xml:space="preserve"> = 562,00</t>
    </r>
    <r>
      <rPr>
        <i/>
        <sz val="10"/>
        <color theme="1"/>
        <rFont val="Times New Roman"/>
        <family val="1"/>
        <charset val="186"/>
      </rPr>
      <t xml:space="preserve"> euro</t>
    </r>
    <r>
      <rPr>
        <sz val="10"/>
        <color theme="1"/>
        <rFont val="Times New Roman"/>
        <family val="1"/>
        <charset val="186"/>
      </rPr>
      <t>.</t>
    </r>
  </si>
  <si>
    <r>
      <t xml:space="preserve">Ārvalstīs nodarbināto amatpersonu (darbinieku) kompensācijas
Dzīvokļa (dzīvojamās telpas) īres un komunālo pakalpojumu izdevumi: 
(15 793,88 </t>
    </r>
    <r>
      <rPr>
        <i/>
        <sz val="10"/>
        <color theme="1"/>
        <rFont val="Times New Roman"/>
        <family val="1"/>
        <charset val="186"/>
      </rPr>
      <t>euro</t>
    </r>
    <r>
      <rPr>
        <sz val="10"/>
        <color theme="1"/>
        <rFont val="Times New Roman"/>
        <family val="1"/>
        <charset val="186"/>
      </rPr>
      <t xml:space="preserve"> (gadā) : 12 mēn. × 10 mēn.) + (1 316,16 </t>
    </r>
    <r>
      <rPr>
        <i/>
        <sz val="10"/>
        <color theme="1"/>
        <rFont val="Times New Roman"/>
        <family val="1"/>
        <charset val="186"/>
      </rPr>
      <t>euro</t>
    </r>
    <r>
      <rPr>
        <sz val="10"/>
        <color theme="1"/>
        <rFont val="Times New Roman"/>
        <family val="1"/>
        <charset val="186"/>
      </rPr>
      <t xml:space="preserve"> : 28 d. × 10 d.) = 13 631,63 </t>
    </r>
    <r>
      <rPr>
        <i/>
        <sz val="10"/>
        <color theme="1"/>
        <rFont val="Times New Roman"/>
        <family val="1"/>
        <charset val="186"/>
      </rPr>
      <t>euro.</t>
    </r>
  </si>
  <si>
    <r>
      <rPr>
        <u/>
        <sz val="10"/>
        <color theme="1"/>
        <rFont val="Times New Roman"/>
        <family val="1"/>
        <charset val="186"/>
      </rPr>
      <t>Formas tērpi un speciālais apģērbs</t>
    </r>
    <r>
      <rPr>
        <sz val="10"/>
        <color theme="1"/>
        <rFont val="Times New Roman"/>
        <family val="1"/>
        <charset val="186"/>
      </rPr>
      <t xml:space="preserve">
Saskaņā Valsts policijas 2024.gada 12.jūnija iekšējiem noteikumiem Nr.8.“Noteikumi par Valsts policijas un Valsts policijas koledžas amatpersonu ar speciālajām dienesta pakāpēm formas tērpu, atšķirības zīmēm, speciālo apģērbu, individuālajiem aizsardzības līdzekļiem un inventāru, atpazīšanas zīmju aprakstu un darbinieku darba apģērbu”  Valsts policijas amatpersonas var lūgt atjaunot formas tērpu, ja tas ir nolietots un lūgt izsniegt jaunu. Atsevišām formas tērpa daļām - specapģērbam, ekipējumam lietošanas termiņš ir sasniedzīs lietošanas termiņa beigas.
</t>
    </r>
    <r>
      <rPr>
        <b/>
        <sz val="10"/>
        <color theme="1"/>
        <rFont val="Times New Roman"/>
        <family val="1"/>
        <charset val="186"/>
      </rPr>
      <t xml:space="preserve">Formas tērpa atjaunošanas izdevumi sastāda 967,00 </t>
    </r>
    <r>
      <rPr>
        <b/>
        <i/>
        <sz val="10"/>
        <color theme="1"/>
        <rFont val="Times New Roman"/>
        <family val="1"/>
        <charset val="186"/>
      </rPr>
      <t>euro</t>
    </r>
    <r>
      <rPr>
        <b/>
        <sz val="10"/>
        <color theme="1"/>
        <rFont val="Times New Roman"/>
        <family val="1"/>
        <charset val="186"/>
      </rPr>
      <t>, tai skaitā:</t>
    </r>
    <r>
      <rPr>
        <sz val="10"/>
        <color theme="1"/>
        <rFont val="Times New Roman"/>
        <family val="1"/>
        <charset val="186"/>
      </rPr>
      <t xml:space="preserve">
 Jaka - 121 </t>
    </r>
    <r>
      <rPr>
        <i/>
        <sz val="10"/>
        <color theme="1"/>
        <rFont val="Times New Roman"/>
        <family val="1"/>
        <charset val="186"/>
      </rPr>
      <t>euro</t>
    </r>
    <r>
      <rPr>
        <sz val="10"/>
        <color theme="1"/>
        <rFont val="Times New Roman"/>
        <family val="1"/>
        <charset val="186"/>
      </rPr>
      <t xml:space="preserve">;
Pulovers - 72,60 </t>
    </r>
    <r>
      <rPr>
        <i/>
        <sz val="10"/>
        <color theme="1"/>
        <rFont val="Times New Roman"/>
        <family val="1"/>
        <charset val="186"/>
      </rPr>
      <t>euro;</t>
    </r>
    <r>
      <rPr>
        <sz val="10"/>
        <color theme="1"/>
        <rFont val="Times New Roman"/>
        <family val="1"/>
        <charset val="186"/>
      </rPr>
      <t xml:space="preserve">
Sporta tērps - 129,47 </t>
    </r>
    <r>
      <rPr>
        <i/>
        <sz val="10"/>
        <color theme="1"/>
        <rFont val="Times New Roman"/>
        <family val="1"/>
        <charset val="186"/>
      </rPr>
      <t>euro</t>
    </r>
    <r>
      <rPr>
        <sz val="10"/>
        <color theme="1"/>
        <rFont val="Times New Roman"/>
        <family val="1"/>
        <charset val="186"/>
      </rPr>
      <t xml:space="preserve">;
Zeķes - 6,05 </t>
    </r>
    <r>
      <rPr>
        <i/>
        <sz val="10"/>
        <color theme="1"/>
        <rFont val="Times New Roman"/>
        <family val="1"/>
        <charset val="186"/>
      </rPr>
      <t>euro</t>
    </r>
    <r>
      <rPr>
        <sz val="10"/>
        <color theme="1"/>
        <rFont val="Times New Roman"/>
        <family val="1"/>
        <charset val="186"/>
      </rPr>
      <t xml:space="preserve"> × 3 pāri = 18,15 </t>
    </r>
    <r>
      <rPr>
        <i/>
        <sz val="10"/>
        <color theme="1"/>
        <rFont val="Times New Roman"/>
        <family val="1"/>
        <charset val="186"/>
      </rPr>
      <t>euro</t>
    </r>
    <r>
      <rPr>
        <sz val="10"/>
        <color theme="1"/>
        <rFont val="Times New Roman"/>
        <family val="1"/>
        <charset val="186"/>
      </rPr>
      <t xml:space="preserve">;
Zeķes - 15,73 </t>
    </r>
    <r>
      <rPr>
        <i/>
        <sz val="10"/>
        <color theme="1"/>
        <rFont val="Times New Roman"/>
        <family val="1"/>
        <charset val="186"/>
      </rPr>
      <t>euro</t>
    </r>
    <r>
      <rPr>
        <sz val="10"/>
        <color theme="1"/>
        <rFont val="Times New Roman"/>
        <family val="1"/>
        <charset val="186"/>
      </rPr>
      <t xml:space="preserve"> × 3 pāri = 47,19</t>
    </r>
    <r>
      <rPr>
        <i/>
        <sz val="10"/>
        <color theme="1"/>
        <rFont val="Times New Roman"/>
        <family val="1"/>
        <charset val="186"/>
      </rPr>
      <t xml:space="preserve"> euro</t>
    </r>
    <r>
      <rPr>
        <sz val="10"/>
        <color theme="1"/>
        <rFont val="Times New Roman"/>
        <family val="1"/>
        <charset val="186"/>
      </rPr>
      <t xml:space="preserve">; 
Šņorzābaki - 139,15 </t>
    </r>
    <r>
      <rPr>
        <i/>
        <sz val="10"/>
        <color theme="1"/>
        <rFont val="Times New Roman"/>
        <family val="1"/>
        <charset val="186"/>
      </rPr>
      <t>euro</t>
    </r>
    <r>
      <rPr>
        <sz val="10"/>
        <color theme="1"/>
        <rFont val="Times New Roman"/>
        <family val="1"/>
        <charset val="186"/>
      </rPr>
      <t>;
Sporta apavi - 96,80</t>
    </r>
    <r>
      <rPr>
        <i/>
        <sz val="10"/>
        <color theme="1"/>
        <rFont val="Times New Roman"/>
        <family val="1"/>
        <charset val="186"/>
      </rPr>
      <t xml:space="preserve"> euro</t>
    </r>
    <r>
      <rPr>
        <sz val="10"/>
        <color theme="1"/>
        <rFont val="Times New Roman"/>
        <family val="1"/>
        <charset val="186"/>
      </rPr>
      <t xml:space="preserve">;
Termoss - 36,30 </t>
    </r>
    <r>
      <rPr>
        <i/>
        <sz val="10"/>
        <color theme="1"/>
        <rFont val="Times New Roman"/>
        <family val="1"/>
        <charset val="186"/>
      </rPr>
      <t>euro</t>
    </r>
    <r>
      <rPr>
        <sz val="10"/>
        <color theme="1"/>
        <rFont val="Times New Roman"/>
        <family val="1"/>
        <charset val="186"/>
      </rPr>
      <t>;
Bikses - 78,65</t>
    </r>
    <r>
      <rPr>
        <i/>
        <sz val="10"/>
        <color theme="1"/>
        <rFont val="Times New Roman"/>
        <family val="1"/>
        <charset val="186"/>
      </rPr>
      <t xml:space="preserve"> euro </t>
    </r>
    <r>
      <rPr>
        <sz val="10"/>
        <color theme="1"/>
        <rFont val="Times New Roman"/>
        <family val="1"/>
        <charset val="186"/>
      </rPr>
      <t xml:space="preserve">×  2.gab. = 157,30 </t>
    </r>
    <r>
      <rPr>
        <i/>
        <sz val="10"/>
        <color theme="1"/>
        <rFont val="Times New Roman"/>
        <family val="1"/>
        <charset val="186"/>
      </rPr>
      <t>euro</t>
    </r>
    <r>
      <rPr>
        <sz val="10"/>
        <color theme="1"/>
        <rFont val="Times New Roman"/>
        <family val="1"/>
        <charset val="186"/>
      </rPr>
      <t xml:space="preserve">;
Krekls ar garām piedurknēm - 78,65 </t>
    </r>
    <r>
      <rPr>
        <i/>
        <sz val="10"/>
        <color theme="1"/>
        <rFont val="Times New Roman"/>
        <family val="1"/>
        <charset val="186"/>
      </rPr>
      <t>euro</t>
    </r>
    <r>
      <rPr>
        <sz val="10"/>
        <color theme="1"/>
        <rFont val="Times New Roman"/>
        <family val="1"/>
        <charset val="186"/>
      </rPr>
      <t xml:space="preserve">;
Krekls ar īsām piedurknēm - 70,18 </t>
    </r>
    <r>
      <rPr>
        <i/>
        <sz val="10"/>
        <color theme="1"/>
        <rFont val="Times New Roman"/>
        <family val="1"/>
        <charset val="186"/>
      </rPr>
      <t>euro</t>
    </r>
    <r>
      <rPr>
        <sz val="10"/>
        <color theme="1"/>
        <rFont val="Times New Roman"/>
        <family val="1"/>
        <charset val="186"/>
      </rPr>
      <t>.</t>
    </r>
  </si>
  <si>
    <r>
      <t xml:space="preserve">Citas normatīvajos aktos noteiktās piemaksas, kas nav iepriekš klasificētas
Ministru kabineta 2021. gada 07. decembra noteikumos Nr. 793 amatpersonai atbilstoši amata līmenim noteiktais piemaksas apmērs gadā 23 193 </t>
    </r>
    <r>
      <rPr>
        <i/>
        <sz val="10"/>
        <color theme="1"/>
        <rFont val="Times New Roman"/>
        <family val="1"/>
        <charset val="186"/>
      </rPr>
      <t>euro</t>
    </r>
    <r>
      <rPr>
        <sz val="10"/>
        <color theme="1"/>
        <rFont val="Times New Roman"/>
        <family val="1"/>
        <charset val="186"/>
      </rPr>
      <t xml:space="preserve"> (mēnesī 1 932,75 </t>
    </r>
    <r>
      <rPr>
        <i/>
        <sz val="10"/>
        <color theme="1"/>
        <rFont val="Times New Roman"/>
        <family val="1"/>
        <charset val="186"/>
      </rPr>
      <t>euro</t>
    </r>
    <r>
      <rPr>
        <sz val="10"/>
        <color theme="1"/>
        <rFont val="Times New Roman"/>
        <family val="1"/>
        <charset val="186"/>
      </rPr>
      <t xml:space="preserve">)
(Operacionālais amata līmenis). Koeficients - 1,4;
(1 932,75 </t>
    </r>
    <r>
      <rPr>
        <i/>
        <sz val="10"/>
        <color theme="1"/>
        <rFont val="Times New Roman"/>
        <family val="1"/>
        <charset val="186"/>
      </rPr>
      <t>euro</t>
    </r>
    <r>
      <rPr>
        <sz val="10"/>
        <color theme="1"/>
        <rFont val="Times New Roman"/>
        <family val="1"/>
        <charset val="186"/>
      </rPr>
      <t xml:space="preserve"> × 1,4 × 2 mēn.) + (1 932,75 </t>
    </r>
    <r>
      <rPr>
        <i/>
        <sz val="10"/>
        <color theme="1"/>
        <rFont val="Times New Roman"/>
        <family val="1"/>
        <charset val="186"/>
      </rPr>
      <t>euro</t>
    </r>
    <r>
      <rPr>
        <sz val="10"/>
        <color theme="1"/>
        <rFont val="Times New Roman"/>
        <family val="1"/>
        <charset val="186"/>
      </rPr>
      <t xml:space="preserve"> × 1,4 : 28 d. × 18 d) = 7 151,18 </t>
    </r>
    <r>
      <rPr>
        <i/>
        <sz val="10"/>
        <color theme="1"/>
        <rFont val="Times New Roman"/>
        <family val="1"/>
        <charset val="186"/>
      </rPr>
      <t>euro *</t>
    </r>
  </si>
  <si>
    <r>
      <t xml:space="preserve">Pārējie komandējumu un darba braucienu izdevumi
Ceļa izdevumi:
Vienam braucieniem un bagāžai 560 </t>
    </r>
    <r>
      <rPr>
        <i/>
        <sz val="10"/>
        <color theme="1"/>
        <rFont val="Times New Roman"/>
        <family val="1"/>
        <charset val="186"/>
      </rPr>
      <t>euro;</t>
    </r>
    <r>
      <rPr>
        <sz val="10"/>
        <color theme="1"/>
        <rFont val="Times New Roman"/>
        <family val="1"/>
        <charset val="186"/>
      </rPr>
      <t xml:space="preserve">
Apdrošināšana par ceļojuma dienām 2,00 </t>
    </r>
    <r>
      <rPr>
        <i/>
        <sz val="10"/>
        <color theme="1"/>
        <rFont val="Times New Roman"/>
        <family val="1"/>
        <charset val="186"/>
      </rPr>
      <t>euro</t>
    </r>
    <r>
      <rPr>
        <sz val="10"/>
        <color theme="1"/>
        <rFont val="Times New Roman"/>
        <family val="1"/>
        <charset val="186"/>
      </rPr>
      <t xml:space="preserve"> par 1 dienu
560 </t>
    </r>
    <r>
      <rPr>
        <i/>
        <sz val="10"/>
        <color theme="1"/>
        <rFont val="Times New Roman"/>
        <family val="1"/>
        <charset val="186"/>
      </rPr>
      <t>euro</t>
    </r>
    <r>
      <rPr>
        <sz val="10"/>
        <color theme="1"/>
        <rFont val="Times New Roman"/>
        <family val="1"/>
        <charset val="186"/>
      </rPr>
      <t xml:space="preserve"> + 2,00 </t>
    </r>
    <r>
      <rPr>
        <i/>
        <sz val="10"/>
        <color theme="1"/>
        <rFont val="Times New Roman"/>
        <family val="1"/>
        <charset val="186"/>
      </rPr>
      <t>euro</t>
    </r>
    <r>
      <rPr>
        <sz val="10"/>
        <color theme="1"/>
        <rFont val="Times New Roman"/>
        <family val="1"/>
        <charset val="186"/>
      </rPr>
      <t xml:space="preserve"> = 562,00 </t>
    </r>
    <r>
      <rPr>
        <i/>
        <sz val="10"/>
        <color theme="1"/>
        <rFont val="Times New Roman"/>
        <family val="1"/>
        <charset val="186"/>
      </rPr>
      <t>euro.</t>
    </r>
  </si>
  <si>
    <r>
      <t xml:space="preserve">Ārvalstīs nodarbināto amatpersonu (darbinieku) kompensācijas
Dzīvokļa (dzīvojamās telpas) īres un komunālo pakalpojumu izdevumi: 
(15 793,88 </t>
    </r>
    <r>
      <rPr>
        <i/>
        <sz val="10"/>
        <color theme="1"/>
        <rFont val="Times New Roman"/>
        <family val="1"/>
        <charset val="186"/>
      </rPr>
      <t>euro</t>
    </r>
    <r>
      <rPr>
        <sz val="10"/>
        <color theme="1"/>
        <rFont val="Times New Roman"/>
        <family val="1"/>
        <charset val="186"/>
      </rPr>
      <t xml:space="preserve"> (gadā) : 12 mēn. × 1 mēn.) + (1 316,16 </t>
    </r>
    <r>
      <rPr>
        <i/>
        <sz val="10"/>
        <color theme="1"/>
        <rFont val="Times New Roman"/>
        <family val="1"/>
        <charset val="186"/>
      </rPr>
      <t>euro</t>
    </r>
    <r>
      <rPr>
        <sz val="10"/>
        <color theme="1"/>
        <rFont val="Times New Roman"/>
        <family val="1"/>
        <charset val="186"/>
      </rPr>
      <t xml:space="preserve"> : 28 d. × 18 d.) = 2 162,26 </t>
    </r>
    <r>
      <rPr>
        <i/>
        <sz val="10"/>
        <color theme="1"/>
        <rFont val="Times New Roman"/>
        <family val="1"/>
        <charset val="186"/>
      </rPr>
      <t>euro.</t>
    </r>
  </si>
  <si>
    <r>
      <t>*Izdevumi atlīdzībai Valsts policijas amatpersonas ar speciālo dienesta pakāpi dalības nodrošināšanai Eiropas Savienības misijā Gruzijā (</t>
    </r>
    <r>
      <rPr>
        <i/>
        <sz val="9"/>
        <color theme="1"/>
        <rFont val="Times New Roman"/>
        <family val="1"/>
        <charset val="186"/>
      </rPr>
      <t>EUMM Georgia</t>
    </r>
    <r>
      <rPr>
        <sz val="9"/>
        <color theme="1"/>
        <rFont val="Times New Roman"/>
        <family val="1"/>
        <charset val="186"/>
      </rPr>
      <t xml:space="preserve">) tiek attiecināti atbilstoši faktiskajam atlīdzības izmaksas periodam, proti, atlīdzības izdevumi par kalendāra gada decembra mēnesi tiek iekļauti nākamā gada izdevumos. </t>
    </r>
  </si>
  <si>
    <r>
      <t xml:space="preserve">Citas normatīvajos aktos noteiktās piemaksas, kas nav iepriekš klasificētas 
Ministru kabineta 2021. gada 07. decembra noteikumos Nr. 793 amatpersonai atbilstoši amata līmenim noteiktais piemaksas apmērs gadā 23 193 </t>
    </r>
    <r>
      <rPr>
        <i/>
        <sz val="10"/>
        <color theme="1"/>
        <rFont val="Times New Roman"/>
        <family val="1"/>
        <charset val="186"/>
      </rPr>
      <t>euro</t>
    </r>
    <r>
      <rPr>
        <sz val="10"/>
        <color theme="1"/>
        <rFont val="Times New Roman"/>
        <family val="1"/>
        <charset val="186"/>
      </rPr>
      <t xml:space="preserve"> gadā (mēnesī 1 932,75 </t>
    </r>
    <r>
      <rPr>
        <i/>
        <sz val="10"/>
        <color theme="1"/>
        <rFont val="Times New Roman"/>
        <family val="1"/>
        <charset val="186"/>
      </rPr>
      <t>euro</t>
    </r>
    <r>
      <rPr>
        <sz val="10"/>
        <color theme="1"/>
        <rFont val="Times New Roman"/>
        <family val="1"/>
        <charset val="186"/>
      </rPr>
      <t xml:space="preserve">)
(Operacionālais amata līmenis). Koeficients - 1,4;
(1 932,75 </t>
    </r>
    <r>
      <rPr>
        <i/>
        <sz val="10"/>
        <color theme="1"/>
        <rFont val="Times New Roman"/>
        <family val="1"/>
        <charset val="186"/>
      </rPr>
      <t>euro</t>
    </r>
    <r>
      <rPr>
        <sz val="10"/>
        <color theme="1"/>
        <rFont val="Times New Roman"/>
        <family val="1"/>
        <charset val="186"/>
      </rPr>
      <t xml:space="preserve"> × 1,4 × 6 mēn.) + (1 932,75 </t>
    </r>
    <r>
      <rPr>
        <i/>
        <sz val="10"/>
        <color theme="1"/>
        <rFont val="Times New Roman"/>
        <family val="1"/>
        <charset val="186"/>
      </rPr>
      <t>euro</t>
    </r>
    <r>
      <rPr>
        <sz val="10"/>
        <color theme="1"/>
        <rFont val="Times New Roman"/>
        <family val="1"/>
        <charset val="186"/>
      </rPr>
      <t xml:space="preserve"> × 1,4 : 31 d. × 19 d.) = 17 893,52 </t>
    </r>
    <r>
      <rPr>
        <i/>
        <sz val="10"/>
        <color theme="1"/>
        <rFont val="Times New Roman"/>
        <family val="1"/>
        <charset val="186"/>
      </rPr>
      <t>euro</t>
    </r>
    <r>
      <rPr>
        <sz val="10"/>
        <color theme="1"/>
        <rFont val="Times New Roman"/>
        <family val="1"/>
        <charset val="186"/>
      </rPr>
      <t xml:space="preserve"> *</t>
    </r>
  </si>
  <si>
    <r>
      <t xml:space="preserve">Darba devēja valsts sociālās apdrošināšanas obligātās iemaksas
23,59% no EKK 1149 summas
(17 893,52 </t>
    </r>
    <r>
      <rPr>
        <i/>
        <sz val="10"/>
        <color theme="1"/>
        <rFont val="Times New Roman"/>
        <family val="1"/>
        <charset val="186"/>
      </rPr>
      <t xml:space="preserve">euro </t>
    </r>
    <r>
      <rPr>
        <sz val="10"/>
        <color theme="1"/>
        <rFont val="Times New Roman"/>
        <family val="1"/>
        <charset val="186"/>
      </rPr>
      <t xml:space="preserve">× 23,59 %) = 4 221,08 </t>
    </r>
    <r>
      <rPr>
        <i/>
        <sz val="10"/>
        <color theme="1"/>
        <rFont val="Times New Roman"/>
        <family val="1"/>
        <charset val="186"/>
      </rPr>
      <t>euro</t>
    </r>
  </si>
  <si>
    <r>
      <t xml:space="preserve">Ārvalstīs nodarbināto amatpersonu (darbinieku) kompensācijas
Dzīvokļa (dzīvojamās telpas) īres un citi pakalpojumi, kas saistīti ar dzīvojamās telpas lietošanu
gadā 15 793,88 </t>
    </r>
    <r>
      <rPr>
        <i/>
        <sz val="10"/>
        <color theme="1"/>
        <rFont val="Times New Roman"/>
        <family val="1"/>
        <charset val="186"/>
      </rPr>
      <t>euro</t>
    </r>
    <r>
      <rPr>
        <sz val="10"/>
        <color theme="1"/>
        <rFont val="Times New Roman"/>
        <family val="1"/>
        <charset val="186"/>
      </rPr>
      <t xml:space="preserve"> (mēnesī 1 316,16 </t>
    </r>
    <r>
      <rPr>
        <i/>
        <sz val="10"/>
        <color theme="1"/>
        <rFont val="Times New Roman"/>
        <family val="1"/>
        <charset val="186"/>
      </rPr>
      <t>euro</t>
    </r>
    <r>
      <rPr>
        <sz val="10"/>
        <color theme="1"/>
        <rFont val="Times New Roman"/>
        <family val="1"/>
        <charset val="186"/>
      </rPr>
      <t xml:space="preserve">)
(15 793,88 </t>
    </r>
    <r>
      <rPr>
        <i/>
        <sz val="10"/>
        <color theme="1"/>
        <rFont val="Times New Roman"/>
        <family val="1"/>
        <charset val="186"/>
      </rPr>
      <t>euro</t>
    </r>
    <r>
      <rPr>
        <sz val="10"/>
        <color theme="1"/>
        <rFont val="Times New Roman"/>
        <family val="1"/>
        <charset val="186"/>
      </rPr>
      <t xml:space="preserve">: 12 mēn. × 7 mēn.) + (1 316,16 </t>
    </r>
    <r>
      <rPr>
        <i/>
        <sz val="10"/>
        <color theme="1"/>
        <rFont val="Times New Roman"/>
        <family val="1"/>
        <charset val="186"/>
      </rPr>
      <t>euro</t>
    </r>
    <r>
      <rPr>
        <sz val="10"/>
        <color theme="1"/>
        <rFont val="Times New Roman"/>
        <family val="1"/>
        <charset val="186"/>
      </rPr>
      <t xml:space="preserve">: 31 d. × 19 d.) =10 019,78 </t>
    </r>
    <r>
      <rPr>
        <i/>
        <sz val="10"/>
        <color theme="1"/>
        <rFont val="Times New Roman"/>
        <family val="1"/>
        <charset val="186"/>
      </rPr>
      <t>euro</t>
    </r>
  </si>
  <si>
    <r>
      <rPr>
        <u/>
        <sz val="10"/>
        <color theme="1"/>
        <rFont val="Times New Roman"/>
        <family val="1"/>
        <charset val="186"/>
      </rPr>
      <t>Formas tērpi un speciālais apģērbs</t>
    </r>
    <r>
      <rPr>
        <sz val="10"/>
        <color theme="1"/>
        <rFont val="Times New Roman"/>
        <family val="1"/>
        <charset val="186"/>
      </rPr>
      <t xml:space="preserve">
Saskaņā Valsts policijas 2024.gada 12.jūnija iekšējiem noteikumiem Nr.8.“Noteikumi par Valsts policijas un Valsts policijas koledžas amatpersonu ar speciālajām dienesta pakāpēm formas tērpu, atšķirības zīmēm, speciālo apģērbu, individuālajiem aizsardzības līdzekļiem un inventāru, atpazīšanas zīmju aprakstu un darbinieku darba apģērbu”  Valsts policijas amatpersonas var lūgt atjaunot formas tērpu, ja tas ir nolietots un lūgt izsniegt jaunu. Atsevišām formas tērpa daļām - specapģērbam, ekipējumam lietošanas termiņš ir sasniedzīs lietošanas termiņa beigas.
</t>
    </r>
    <r>
      <rPr>
        <b/>
        <sz val="10"/>
        <color theme="1"/>
        <rFont val="Times New Roman"/>
        <family val="1"/>
        <charset val="186"/>
      </rPr>
      <t xml:space="preserve">Formas tērpa atjaunošanas izdevumi sastāda 967,00 </t>
    </r>
    <r>
      <rPr>
        <b/>
        <i/>
        <sz val="10"/>
        <color theme="1"/>
        <rFont val="Times New Roman"/>
        <family val="1"/>
        <charset val="186"/>
      </rPr>
      <t>euro</t>
    </r>
    <r>
      <rPr>
        <b/>
        <sz val="10"/>
        <color theme="1"/>
        <rFont val="Times New Roman"/>
        <family val="1"/>
        <charset val="186"/>
      </rPr>
      <t>, tai skaitā:</t>
    </r>
    <r>
      <rPr>
        <sz val="10"/>
        <color theme="1"/>
        <rFont val="Times New Roman"/>
        <family val="1"/>
        <charset val="186"/>
      </rPr>
      <t xml:space="preserve">
Jaka - 121 </t>
    </r>
    <r>
      <rPr>
        <i/>
        <sz val="10"/>
        <color theme="1"/>
        <rFont val="Times New Roman"/>
        <family val="1"/>
        <charset val="186"/>
      </rPr>
      <t>euro</t>
    </r>
    <r>
      <rPr>
        <sz val="10"/>
        <color theme="1"/>
        <rFont val="Times New Roman"/>
        <family val="1"/>
        <charset val="186"/>
      </rPr>
      <t xml:space="preserve">;
Pulovers - 72,60 </t>
    </r>
    <r>
      <rPr>
        <i/>
        <sz val="10"/>
        <color theme="1"/>
        <rFont val="Times New Roman"/>
        <family val="1"/>
        <charset val="186"/>
      </rPr>
      <t>euro;</t>
    </r>
    <r>
      <rPr>
        <sz val="10"/>
        <color theme="1"/>
        <rFont val="Times New Roman"/>
        <family val="1"/>
        <charset val="186"/>
      </rPr>
      <t xml:space="preserve">
Sporta tērps - 129,47 </t>
    </r>
    <r>
      <rPr>
        <i/>
        <sz val="10"/>
        <color theme="1"/>
        <rFont val="Times New Roman"/>
        <family val="1"/>
        <charset val="186"/>
      </rPr>
      <t>euro</t>
    </r>
    <r>
      <rPr>
        <sz val="10"/>
        <color theme="1"/>
        <rFont val="Times New Roman"/>
        <family val="1"/>
        <charset val="186"/>
      </rPr>
      <t xml:space="preserve">;
Zeķes - 6,05 </t>
    </r>
    <r>
      <rPr>
        <i/>
        <sz val="10"/>
        <color theme="1"/>
        <rFont val="Times New Roman"/>
        <family val="1"/>
        <charset val="186"/>
      </rPr>
      <t>euro</t>
    </r>
    <r>
      <rPr>
        <sz val="10"/>
        <color theme="1"/>
        <rFont val="Times New Roman"/>
        <family val="1"/>
        <charset val="186"/>
      </rPr>
      <t xml:space="preserve"> × 3 pāri = 18,15 </t>
    </r>
    <r>
      <rPr>
        <i/>
        <sz val="10"/>
        <color theme="1"/>
        <rFont val="Times New Roman"/>
        <family val="1"/>
        <charset val="186"/>
      </rPr>
      <t>euro</t>
    </r>
    <r>
      <rPr>
        <sz val="10"/>
        <color theme="1"/>
        <rFont val="Times New Roman"/>
        <family val="1"/>
        <charset val="186"/>
      </rPr>
      <t xml:space="preserve">;
Zeķes - 15,73 </t>
    </r>
    <r>
      <rPr>
        <i/>
        <sz val="10"/>
        <color theme="1"/>
        <rFont val="Times New Roman"/>
        <family val="1"/>
        <charset val="186"/>
      </rPr>
      <t>euro</t>
    </r>
    <r>
      <rPr>
        <sz val="10"/>
        <color theme="1"/>
        <rFont val="Times New Roman"/>
        <family val="1"/>
        <charset val="186"/>
      </rPr>
      <t xml:space="preserve"> × 3 pāri = 47,19</t>
    </r>
    <r>
      <rPr>
        <i/>
        <sz val="10"/>
        <color theme="1"/>
        <rFont val="Times New Roman"/>
        <family val="1"/>
        <charset val="186"/>
      </rPr>
      <t xml:space="preserve"> euro</t>
    </r>
    <r>
      <rPr>
        <sz val="10"/>
        <color theme="1"/>
        <rFont val="Times New Roman"/>
        <family val="1"/>
        <charset val="186"/>
      </rPr>
      <t xml:space="preserve">; 
Šņorzābaki - 139,15 </t>
    </r>
    <r>
      <rPr>
        <i/>
        <sz val="10"/>
        <color theme="1"/>
        <rFont val="Times New Roman"/>
        <family val="1"/>
        <charset val="186"/>
      </rPr>
      <t>euro</t>
    </r>
    <r>
      <rPr>
        <sz val="10"/>
        <color theme="1"/>
        <rFont val="Times New Roman"/>
        <family val="1"/>
        <charset val="186"/>
      </rPr>
      <t>;
Sporta apavi - 96,80</t>
    </r>
    <r>
      <rPr>
        <i/>
        <sz val="10"/>
        <color theme="1"/>
        <rFont val="Times New Roman"/>
        <family val="1"/>
        <charset val="186"/>
      </rPr>
      <t xml:space="preserve"> euro</t>
    </r>
    <r>
      <rPr>
        <sz val="10"/>
        <color theme="1"/>
        <rFont val="Times New Roman"/>
        <family val="1"/>
        <charset val="186"/>
      </rPr>
      <t xml:space="preserve">;
Termoss - 36,30 </t>
    </r>
    <r>
      <rPr>
        <i/>
        <sz val="10"/>
        <color theme="1"/>
        <rFont val="Times New Roman"/>
        <family val="1"/>
        <charset val="186"/>
      </rPr>
      <t>euro</t>
    </r>
    <r>
      <rPr>
        <sz val="10"/>
        <color theme="1"/>
        <rFont val="Times New Roman"/>
        <family val="1"/>
        <charset val="186"/>
      </rPr>
      <t>;
Bikses - 78,65</t>
    </r>
    <r>
      <rPr>
        <i/>
        <sz val="10"/>
        <color theme="1"/>
        <rFont val="Times New Roman"/>
        <family val="1"/>
        <charset val="186"/>
      </rPr>
      <t xml:space="preserve"> euro </t>
    </r>
    <r>
      <rPr>
        <sz val="10"/>
        <color theme="1"/>
        <rFont val="Times New Roman"/>
        <family val="1"/>
        <charset val="186"/>
      </rPr>
      <t xml:space="preserve">×  2.gab. = 157,30 </t>
    </r>
    <r>
      <rPr>
        <i/>
        <sz val="10"/>
        <color theme="1"/>
        <rFont val="Times New Roman"/>
        <family val="1"/>
        <charset val="186"/>
      </rPr>
      <t>euro</t>
    </r>
    <r>
      <rPr>
        <sz val="10"/>
        <color theme="1"/>
        <rFont val="Times New Roman"/>
        <family val="1"/>
        <charset val="186"/>
      </rPr>
      <t xml:space="preserve">;
Krekls ar garām piedurknēm - 78,65 </t>
    </r>
    <r>
      <rPr>
        <i/>
        <sz val="10"/>
        <color theme="1"/>
        <rFont val="Times New Roman"/>
        <family val="1"/>
        <charset val="186"/>
      </rPr>
      <t>euro</t>
    </r>
    <r>
      <rPr>
        <sz val="10"/>
        <color theme="1"/>
        <rFont val="Times New Roman"/>
        <family val="1"/>
        <charset val="186"/>
      </rPr>
      <t xml:space="preserve">;
Krekls ar īsām piedurknēm - 70,18 </t>
    </r>
    <r>
      <rPr>
        <i/>
        <sz val="10"/>
        <color theme="1"/>
        <rFont val="Times New Roman"/>
        <family val="1"/>
        <charset val="186"/>
      </rPr>
      <t>euro</t>
    </r>
    <r>
      <rPr>
        <sz val="10"/>
        <color theme="1"/>
        <rFont val="Times New Roman"/>
        <family val="1"/>
        <charset val="186"/>
      </rPr>
      <t>.</t>
    </r>
  </si>
  <si>
    <r>
      <t xml:space="preserve">Citas normatīvajos aktos noteiktās piemaksas, kas nav iepriekš klasificētas
Ministru kabineta 2021. gada 07. decembra noteikumos Nr. 793 amatpersonai atbilstoši amata līmenim noteiktais piemaksas apmērs gadā 23 193 </t>
    </r>
    <r>
      <rPr>
        <i/>
        <sz val="10"/>
        <color theme="1"/>
        <rFont val="Times New Roman"/>
        <family val="1"/>
        <charset val="186"/>
      </rPr>
      <t>euro</t>
    </r>
    <r>
      <rPr>
        <sz val="10"/>
        <color theme="1"/>
        <rFont val="Times New Roman"/>
        <family val="1"/>
        <charset val="186"/>
      </rPr>
      <t xml:space="preserve"> (mēnesī 1 932,75 </t>
    </r>
    <r>
      <rPr>
        <i/>
        <sz val="10"/>
        <color theme="1"/>
        <rFont val="Times New Roman"/>
        <family val="1"/>
        <charset val="186"/>
      </rPr>
      <t>euro</t>
    </r>
    <r>
      <rPr>
        <sz val="10"/>
        <color theme="1"/>
        <rFont val="Times New Roman"/>
        <family val="1"/>
        <charset val="186"/>
      </rPr>
      <t xml:space="preserve">)
(Operacionālais amata līmenis). Koeficients - 1,4;
(1 932,75 </t>
    </r>
    <r>
      <rPr>
        <i/>
        <sz val="10"/>
        <color theme="1"/>
        <rFont val="Times New Roman"/>
        <family val="1"/>
        <charset val="186"/>
      </rPr>
      <t>euro</t>
    </r>
    <r>
      <rPr>
        <sz val="10"/>
        <color theme="1"/>
        <rFont val="Times New Roman"/>
        <family val="1"/>
        <charset val="186"/>
      </rPr>
      <t xml:space="preserve"> × 1,4 × 5 mēn.) + (1 932,75 </t>
    </r>
    <r>
      <rPr>
        <i/>
        <sz val="10"/>
        <color theme="1"/>
        <rFont val="Times New Roman"/>
        <family val="1"/>
        <charset val="186"/>
      </rPr>
      <t>euro</t>
    </r>
    <r>
      <rPr>
        <sz val="10"/>
        <color theme="1"/>
        <rFont val="Times New Roman"/>
        <family val="1"/>
        <charset val="186"/>
      </rPr>
      <t xml:space="preserve"> × 1,4 : 31 d. × 12 d.) = 14 576,68 </t>
    </r>
    <r>
      <rPr>
        <i/>
        <sz val="10"/>
        <color theme="1"/>
        <rFont val="Times New Roman"/>
        <family val="1"/>
        <charset val="186"/>
      </rPr>
      <t>euro</t>
    </r>
    <r>
      <rPr>
        <sz val="10"/>
        <color theme="1"/>
        <rFont val="Times New Roman"/>
        <family val="1"/>
        <charset val="186"/>
      </rPr>
      <t xml:space="preserve"> *</t>
    </r>
  </si>
  <si>
    <r>
      <t xml:space="preserve">Darba devēja valsts sociālās apdrošināšanas obligātās iemaksas
23,59% no EKK 1149 summas
(14 576,68 </t>
    </r>
    <r>
      <rPr>
        <i/>
        <sz val="10"/>
        <color theme="1"/>
        <rFont val="Times New Roman"/>
        <family val="1"/>
        <charset val="186"/>
      </rPr>
      <t xml:space="preserve">euro </t>
    </r>
    <r>
      <rPr>
        <sz val="10"/>
        <color theme="1"/>
        <rFont val="Times New Roman"/>
        <family val="1"/>
        <charset val="186"/>
      </rPr>
      <t xml:space="preserve">× 23,59 %) = 3 438,71 </t>
    </r>
    <r>
      <rPr>
        <i/>
        <sz val="10"/>
        <color theme="1"/>
        <rFont val="Times New Roman"/>
        <family val="1"/>
        <charset val="186"/>
      </rPr>
      <t>euro</t>
    </r>
  </si>
  <si>
    <r>
      <t xml:space="preserve">Ārvalstīs nodarbināto amatpersonu (darbinieku) kompensācijas
Dzīvokļa (dzīvojamās telpas) īres un komunālo pakalpojumu izdevumi: 
(15 793,88 </t>
    </r>
    <r>
      <rPr>
        <i/>
        <sz val="10"/>
        <color theme="1"/>
        <rFont val="Times New Roman"/>
        <family val="1"/>
        <charset val="186"/>
      </rPr>
      <t>euro</t>
    </r>
    <r>
      <rPr>
        <sz val="10"/>
        <color theme="1"/>
        <rFont val="Times New Roman"/>
        <family val="1"/>
        <charset val="186"/>
      </rPr>
      <t xml:space="preserve"> (gadā) : 12 mēn. × 4 mēn.) + (1 316,16 </t>
    </r>
    <r>
      <rPr>
        <i/>
        <sz val="10"/>
        <color theme="1"/>
        <rFont val="Times New Roman"/>
        <family val="1"/>
        <charset val="186"/>
      </rPr>
      <t>euro</t>
    </r>
    <r>
      <rPr>
        <sz val="10"/>
        <color theme="1"/>
        <rFont val="Times New Roman"/>
        <family val="1"/>
        <charset val="186"/>
      </rPr>
      <t xml:space="preserve"> : 31 d. × 12 d.) = 5 774,11 </t>
    </r>
    <r>
      <rPr>
        <i/>
        <sz val="10"/>
        <color theme="1"/>
        <rFont val="Times New Roman"/>
        <family val="1"/>
        <charset val="186"/>
      </rPr>
      <t>euro.</t>
    </r>
  </si>
  <si>
    <r>
      <t xml:space="preserve">Citas normatīvajos aktos noteiktās piemaksas, kas nav iepriekš klasificētas 
Ministru kabineta 2021. gada 07. decembra noteikumos Nr. 793 amatpersonai atbilstoši amata līmenim noteiktais piemaksas apmērs gadā 23 193 </t>
    </r>
    <r>
      <rPr>
        <i/>
        <sz val="10"/>
        <color theme="1"/>
        <rFont val="Times New Roman"/>
        <family val="1"/>
        <charset val="186"/>
      </rPr>
      <t>euro</t>
    </r>
    <r>
      <rPr>
        <sz val="10"/>
        <color theme="1"/>
        <rFont val="Times New Roman"/>
        <family val="1"/>
        <charset val="186"/>
      </rPr>
      <t xml:space="preserve"> gadā (mēnesī 1 932,75 </t>
    </r>
    <r>
      <rPr>
        <i/>
        <sz val="10"/>
        <color theme="1"/>
        <rFont val="Times New Roman"/>
        <family val="1"/>
        <charset val="186"/>
      </rPr>
      <t>euro</t>
    </r>
    <r>
      <rPr>
        <sz val="10"/>
        <color theme="1"/>
        <rFont val="Times New Roman"/>
        <family val="1"/>
        <charset val="186"/>
      </rPr>
      <t xml:space="preserve">)
(Operacionālais amata līmenis). Koeficients - 1,4;
(1 932,75 </t>
    </r>
    <r>
      <rPr>
        <i/>
        <sz val="10"/>
        <color theme="1"/>
        <rFont val="Times New Roman"/>
        <family val="1"/>
        <charset val="186"/>
      </rPr>
      <t>euro</t>
    </r>
    <r>
      <rPr>
        <sz val="10"/>
        <color theme="1"/>
        <rFont val="Times New Roman"/>
        <family val="1"/>
        <charset val="186"/>
      </rPr>
      <t xml:space="preserve"> × 1,4 × 6 mēn.) + (1 932,75 </t>
    </r>
    <r>
      <rPr>
        <i/>
        <sz val="10"/>
        <color theme="1"/>
        <rFont val="Times New Roman"/>
        <family val="1"/>
        <charset val="186"/>
      </rPr>
      <t>euro</t>
    </r>
    <r>
      <rPr>
        <sz val="10"/>
        <color theme="1"/>
        <rFont val="Times New Roman"/>
        <family val="1"/>
        <charset val="186"/>
      </rPr>
      <t xml:space="preserve"> × 1,4 : 31 d. × 19 d.) = 17 893,52 </t>
    </r>
    <r>
      <rPr>
        <i/>
        <sz val="10"/>
        <color theme="1"/>
        <rFont val="Times New Roman"/>
        <family val="1"/>
        <charset val="186"/>
      </rPr>
      <t>euro *</t>
    </r>
    <r>
      <rPr>
        <i/>
        <strike/>
        <sz val="10"/>
        <color theme="1"/>
        <rFont val="Times New Roman"/>
        <family val="1"/>
        <charset val="186"/>
      </rPr>
      <t xml:space="preserve">
</t>
    </r>
    <r>
      <rPr>
        <strike/>
        <sz val="10"/>
        <color theme="1"/>
        <rFont val="Times New Roman"/>
        <family val="1"/>
        <charset val="186"/>
      </rPr>
      <t xml:space="preserve">
</t>
    </r>
    <r>
      <rPr>
        <sz val="10"/>
        <color theme="1"/>
        <rFont val="Times New Roman"/>
        <family val="1"/>
        <charset val="186"/>
      </rPr>
      <t xml:space="preserve">Piemaksa par kontingenta vadītāja pienākumu pildīšanu**  - 100 </t>
    </r>
    <r>
      <rPr>
        <i/>
        <sz val="10"/>
        <color theme="1"/>
        <rFont val="Times New Roman"/>
        <family val="1"/>
        <charset val="186"/>
      </rPr>
      <t>euro</t>
    </r>
    <r>
      <rPr>
        <sz val="10"/>
        <color theme="1"/>
        <rFont val="Times New Roman"/>
        <family val="1"/>
        <charset val="186"/>
      </rPr>
      <t xml:space="preserve"> mēnesī</t>
    </r>
    <r>
      <rPr>
        <i/>
        <sz val="10"/>
        <color theme="1"/>
        <rFont val="Times New Roman"/>
        <family val="1"/>
        <charset val="186"/>
      </rPr>
      <t xml:space="preserve">
</t>
    </r>
    <r>
      <rPr>
        <sz val="10"/>
        <color theme="1"/>
        <rFont val="Times New Roman"/>
        <family val="1"/>
        <charset val="186"/>
      </rPr>
      <t>(100</t>
    </r>
    <r>
      <rPr>
        <i/>
        <sz val="10"/>
        <color theme="1"/>
        <rFont val="Times New Roman"/>
        <family val="1"/>
        <charset val="186"/>
      </rPr>
      <t xml:space="preserve"> euro × </t>
    </r>
    <r>
      <rPr>
        <sz val="10"/>
        <color theme="1"/>
        <rFont val="Times New Roman"/>
        <family val="1"/>
        <charset val="186"/>
      </rPr>
      <t xml:space="preserve">6.mēn.) + (100 </t>
    </r>
    <r>
      <rPr>
        <i/>
        <sz val="10"/>
        <color theme="1"/>
        <rFont val="Times New Roman"/>
        <family val="1"/>
        <charset val="186"/>
      </rPr>
      <t xml:space="preserve">euro </t>
    </r>
    <r>
      <rPr>
        <sz val="10"/>
        <color theme="1"/>
        <rFont val="Times New Roman"/>
        <family val="1"/>
        <charset val="186"/>
      </rPr>
      <t xml:space="preserve">: 31 d. × 19 d.) = 661,30 </t>
    </r>
    <r>
      <rPr>
        <i/>
        <sz val="10"/>
        <color theme="1"/>
        <rFont val="Times New Roman"/>
        <family val="1"/>
        <charset val="186"/>
      </rPr>
      <t>euro</t>
    </r>
    <r>
      <rPr>
        <sz val="10"/>
        <color theme="1"/>
        <rFont val="Times New Roman"/>
        <family val="1"/>
        <charset val="186"/>
      </rPr>
      <t>.</t>
    </r>
  </si>
  <si>
    <r>
      <t xml:space="preserve">Darba devēja valsts sociālās apdrošināšanas obligātās iemaksas
23,59% no EKK 1149 summas
(18 554,82 </t>
    </r>
    <r>
      <rPr>
        <i/>
        <sz val="10"/>
        <color theme="1"/>
        <rFont val="Times New Roman"/>
        <family val="1"/>
        <charset val="186"/>
      </rPr>
      <t xml:space="preserve">euro </t>
    </r>
    <r>
      <rPr>
        <sz val="10"/>
        <color theme="1"/>
        <rFont val="Times New Roman"/>
        <family val="1"/>
        <charset val="186"/>
      </rPr>
      <t>× 23,59 %) =</t>
    </r>
    <r>
      <rPr>
        <strike/>
        <sz val="10"/>
        <color theme="1"/>
        <rFont val="Times New Roman"/>
        <family val="1"/>
        <charset val="186"/>
      </rPr>
      <t xml:space="preserve"> </t>
    </r>
    <r>
      <rPr>
        <sz val="10"/>
        <color theme="1"/>
        <rFont val="Times New Roman"/>
        <family val="1"/>
        <charset val="186"/>
      </rPr>
      <t xml:space="preserve">4 377,08 </t>
    </r>
    <r>
      <rPr>
        <i/>
        <sz val="10"/>
        <color theme="1"/>
        <rFont val="Times New Roman"/>
        <family val="1"/>
        <charset val="186"/>
      </rPr>
      <t>euro</t>
    </r>
  </si>
  <si>
    <r>
      <t>Pārējie komandējumu un darba braucienu izdevumi
Ceļa izdevumi: 
Vienam braucienam un bagāžai 560,00</t>
    </r>
    <r>
      <rPr>
        <i/>
        <sz val="10"/>
        <color theme="1"/>
        <rFont val="Times New Roman"/>
        <family val="1"/>
        <charset val="186"/>
      </rPr>
      <t xml:space="preserve"> euro</t>
    </r>
    <r>
      <rPr>
        <sz val="10"/>
        <color theme="1"/>
        <rFont val="Times New Roman"/>
        <family val="1"/>
        <charset val="186"/>
      </rPr>
      <t xml:space="preserve">; reizi kalendāra gadā ceļa izdevumi dodoties  uz Latviju un atgriežoties no Latvijas, ievērojot, ka dalības laiks tiek pagarināts, šim mērķim paredzami izdevumi, kas jau 2025.gadā plānoti, lai amatpersona atgrieztos Latvijā. 
Apdrošināšana par ceļojuma dienām 2,00 </t>
    </r>
    <r>
      <rPr>
        <i/>
        <sz val="10"/>
        <color theme="1"/>
        <rFont val="Times New Roman"/>
        <family val="1"/>
        <charset val="186"/>
      </rPr>
      <t>euro</t>
    </r>
    <r>
      <rPr>
        <sz val="10"/>
        <color theme="1"/>
        <rFont val="Times New Roman"/>
        <family val="1"/>
        <charset val="186"/>
      </rPr>
      <t xml:space="preserve"> par 1 dienu
560,00 </t>
    </r>
    <r>
      <rPr>
        <i/>
        <sz val="10"/>
        <color theme="1"/>
        <rFont val="Times New Roman"/>
        <family val="1"/>
        <charset val="186"/>
      </rPr>
      <t>euro</t>
    </r>
    <r>
      <rPr>
        <sz val="10"/>
        <color theme="1"/>
        <rFont val="Times New Roman"/>
        <family val="1"/>
        <charset val="186"/>
      </rPr>
      <t xml:space="preserve"> + 2,00</t>
    </r>
    <r>
      <rPr>
        <i/>
        <sz val="10"/>
        <color theme="1"/>
        <rFont val="Times New Roman"/>
        <family val="1"/>
        <charset val="186"/>
      </rPr>
      <t xml:space="preserve"> euro</t>
    </r>
    <r>
      <rPr>
        <sz val="10"/>
        <color theme="1"/>
        <rFont val="Times New Roman"/>
        <family val="1"/>
        <charset val="186"/>
      </rPr>
      <t xml:space="preserve"> = 562,00 </t>
    </r>
    <r>
      <rPr>
        <i/>
        <sz val="10"/>
        <color theme="1"/>
        <rFont val="Times New Roman"/>
        <family val="1"/>
        <charset val="186"/>
      </rPr>
      <t>euro.</t>
    </r>
  </si>
  <si>
    <r>
      <rPr>
        <u/>
        <sz val="10"/>
        <color theme="1"/>
        <rFont val="Times New Roman"/>
        <family val="1"/>
        <charset val="186"/>
      </rPr>
      <t>Formas tērpi un speciālais apģērbs</t>
    </r>
    <r>
      <rPr>
        <sz val="10"/>
        <color theme="1"/>
        <rFont val="Times New Roman"/>
        <family val="1"/>
        <charset val="186"/>
      </rPr>
      <t xml:space="preserve">
Saskaņā Valsts policijas 2024.gada 12.jūnija iekšējiem noteikumiem Nr.8.“Noteikumi par Valsts policijas un Valsts policijas koledžas amatpersonu ar speciālajām dienesta pakāpēm formas tērpu, atšķirības zīmēm, speciālo apģērbu, individuālajiem aizsardzības līdzekļiem un inventāru, atpazīšanas zīmju aprakstu un darbinieku darba apģērbu”  Valsts policijas amatpersonas var lūgt atjaunot formas tērpu, ja tas ir nolietots un lūgt izsniegt jaunu. Atsevišām formas tērpa daļām - specapģērbam, ekipējumam lietošanas termiņš ir sasniedzīs lietošanas termiņa beigas.
</t>
    </r>
    <r>
      <rPr>
        <b/>
        <sz val="10"/>
        <color theme="1"/>
        <rFont val="Times New Roman"/>
        <family val="1"/>
        <charset val="186"/>
      </rPr>
      <t xml:space="preserve">Formas tērpa atjaunošanas izdevumi sastāda 973,00 </t>
    </r>
    <r>
      <rPr>
        <b/>
        <i/>
        <sz val="10"/>
        <color theme="1"/>
        <rFont val="Times New Roman"/>
        <family val="1"/>
        <charset val="186"/>
      </rPr>
      <t>euro</t>
    </r>
    <r>
      <rPr>
        <b/>
        <sz val="10"/>
        <color theme="1"/>
        <rFont val="Times New Roman"/>
        <family val="1"/>
        <charset val="186"/>
      </rPr>
      <t>, tai skaitā:</t>
    </r>
    <r>
      <rPr>
        <sz val="10"/>
        <color theme="1"/>
        <rFont val="Times New Roman"/>
        <family val="1"/>
        <charset val="186"/>
      </rPr>
      <t xml:space="preserve">
Jaka - 127,05 </t>
    </r>
    <r>
      <rPr>
        <i/>
        <sz val="10"/>
        <color theme="1"/>
        <rFont val="Times New Roman"/>
        <family val="1"/>
        <charset val="186"/>
      </rPr>
      <t>euro</t>
    </r>
    <r>
      <rPr>
        <sz val="10"/>
        <color theme="1"/>
        <rFont val="Times New Roman"/>
        <family val="1"/>
        <charset val="186"/>
      </rPr>
      <t xml:space="preserve">;
Pulovers - 72,60 </t>
    </r>
    <r>
      <rPr>
        <i/>
        <sz val="10"/>
        <color theme="1"/>
        <rFont val="Times New Roman"/>
        <family val="1"/>
        <charset val="186"/>
      </rPr>
      <t>euro;</t>
    </r>
    <r>
      <rPr>
        <sz val="10"/>
        <color theme="1"/>
        <rFont val="Times New Roman"/>
        <family val="1"/>
        <charset val="186"/>
      </rPr>
      <t xml:space="preserve">
Sporta tērps - 129,47 </t>
    </r>
    <r>
      <rPr>
        <i/>
        <sz val="10"/>
        <color theme="1"/>
        <rFont val="Times New Roman"/>
        <family val="1"/>
        <charset val="186"/>
      </rPr>
      <t>euro</t>
    </r>
    <r>
      <rPr>
        <sz val="10"/>
        <color theme="1"/>
        <rFont val="Times New Roman"/>
        <family val="1"/>
        <charset val="186"/>
      </rPr>
      <t xml:space="preserve">;
Zeķes - 6,05 </t>
    </r>
    <r>
      <rPr>
        <i/>
        <sz val="10"/>
        <color theme="1"/>
        <rFont val="Times New Roman"/>
        <family val="1"/>
        <charset val="186"/>
      </rPr>
      <t>euro</t>
    </r>
    <r>
      <rPr>
        <sz val="10"/>
        <color theme="1"/>
        <rFont val="Times New Roman"/>
        <family val="1"/>
        <charset val="186"/>
      </rPr>
      <t xml:space="preserve"> × 3 pāri = 18,15 </t>
    </r>
    <r>
      <rPr>
        <i/>
        <sz val="10"/>
        <color theme="1"/>
        <rFont val="Times New Roman"/>
        <family val="1"/>
        <charset val="186"/>
      </rPr>
      <t>euro</t>
    </r>
    <r>
      <rPr>
        <sz val="10"/>
        <color theme="1"/>
        <rFont val="Times New Roman"/>
        <family val="1"/>
        <charset val="186"/>
      </rPr>
      <t xml:space="preserve">;
Zeķes - 15,73 </t>
    </r>
    <r>
      <rPr>
        <i/>
        <sz val="10"/>
        <color theme="1"/>
        <rFont val="Times New Roman"/>
        <family val="1"/>
        <charset val="186"/>
      </rPr>
      <t>euro</t>
    </r>
    <r>
      <rPr>
        <sz val="10"/>
        <color theme="1"/>
        <rFont val="Times New Roman"/>
        <family val="1"/>
        <charset val="186"/>
      </rPr>
      <t xml:space="preserve"> × 3 pāri = 47,19</t>
    </r>
    <r>
      <rPr>
        <i/>
        <sz val="10"/>
        <color theme="1"/>
        <rFont val="Times New Roman"/>
        <family val="1"/>
        <charset val="186"/>
      </rPr>
      <t xml:space="preserve"> euro</t>
    </r>
    <r>
      <rPr>
        <sz val="10"/>
        <color theme="1"/>
        <rFont val="Times New Roman"/>
        <family val="1"/>
        <charset val="186"/>
      </rPr>
      <t xml:space="preserve">; 
Šņorzābaki - 139,15 </t>
    </r>
    <r>
      <rPr>
        <i/>
        <sz val="10"/>
        <color theme="1"/>
        <rFont val="Times New Roman"/>
        <family val="1"/>
        <charset val="186"/>
      </rPr>
      <t>euro</t>
    </r>
    <r>
      <rPr>
        <sz val="10"/>
        <color theme="1"/>
        <rFont val="Times New Roman"/>
        <family val="1"/>
        <charset val="186"/>
      </rPr>
      <t>;
Sporta apavi - 96,80</t>
    </r>
    <r>
      <rPr>
        <i/>
        <sz val="10"/>
        <color theme="1"/>
        <rFont val="Times New Roman"/>
        <family val="1"/>
        <charset val="186"/>
      </rPr>
      <t xml:space="preserve"> euro</t>
    </r>
    <r>
      <rPr>
        <sz val="10"/>
        <color theme="1"/>
        <rFont val="Times New Roman"/>
        <family val="1"/>
        <charset val="186"/>
      </rPr>
      <t xml:space="preserve">;
Termoss - 36,30 </t>
    </r>
    <r>
      <rPr>
        <i/>
        <sz val="10"/>
        <color theme="1"/>
        <rFont val="Times New Roman"/>
        <family val="1"/>
        <charset val="186"/>
      </rPr>
      <t>euro</t>
    </r>
    <r>
      <rPr>
        <sz val="10"/>
        <color theme="1"/>
        <rFont val="Times New Roman"/>
        <family val="1"/>
        <charset val="186"/>
      </rPr>
      <t>;
Bikses - 78,65</t>
    </r>
    <r>
      <rPr>
        <i/>
        <sz val="10"/>
        <color theme="1"/>
        <rFont val="Times New Roman"/>
        <family val="1"/>
        <charset val="186"/>
      </rPr>
      <t xml:space="preserve"> euro </t>
    </r>
    <r>
      <rPr>
        <sz val="10"/>
        <color theme="1"/>
        <rFont val="Times New Roman"/>
        <family val="1"/>
        <charset val="186"/>
      </rPr>
      <t xml:space="preserve">×  2.gab. = 157,30 </t>
    </r>
    <r>
      <rPr>
        <i/>
        <sz val="10"/>
        <color theme="1"/>
        <rFont val="Times New Roman"/>
        <family val="1"/>
        <charset val="186"/>
      </rPr>
      <t>euro</t>
    </r>
    <r>
      <rPr>
        <sz val="10"/>
        <color theme="1"/>
        <rFont val="Times New Roman"/>
        <family val="1"/>
        <charset val="186"/>
      </rPr>
      <t xml:space="preserve">;
Krekls ar garām piedurknēm - 78,65 </t>
    </r>
    <r>
      <rPr>
        <i/>
        <sz val="10"/>
        <color theme="1"/>
        <rFont val="Times New Roman"/>
        <family val="1"/>
        <charset val="186"/>
      </rPr>
      <t>euro</t>
    </r>
    <r>
      <rPr>
        <sz val="10"/>
        <color theme="1"/>
        <rFont val="Times New Roman"/>
        <family val="1"/>
        <charset val="186"/>
      </rPr>
      <t xml:space="preserve">;
Krekls ar īsām piedurknēm - 70,18 </t>
    </r>
    <r>
      <rPr>
        <i/>
        <sz val="10"/>
        <color theme="1"/>
        <rFont val="Times New Roman"/>
        <family val="1"/>
        <charset val="186"/>
      </rPr>
      <t>euro</t>
    </r>
    <r>
      <rPr>
        <sz val="10"/>
        <color theme="1"/>
        <rFont val="Times New Roman"/>
        <family val="1"/>
        <charset val="186"/>
      </rPr>
      <t>.</t>
    </r>
  </si>
  <si>
    <r>
      <t xml:space="preserve">Citas normatīvajos aktos noteiktās piemaksas, kas nav iepriekš klasificētas 
Ministru kabineta 2021.gada 07.decembra noteikumos Nr.793 amatpersonai atbilstoši amata līmenim noteiktais piemaksas apmērs 19 778 </t>
    </r>
    <r>
      <rPr>
        <i/>
        <sz val="10"/>
        <color theme="1"/>
        <rFont val="Times New Roman"/>
        <family val="1"/>
        <charset val="186"/>
      </rPr>
      <t>euro</t>
    </r>
    <r>
      <rPr>
        <sz val="10"/>
        <color theme="1"/>
        <rFont val="Times New Roman"/>
        <family val="1"/>
        <charset val="186"/>
      </rPr>
      <t xml:space="preserve"> gadā (mēnesī 1 648,17 </t>
    </r>
    <r>
      <rPr>
        <i/>
        <sz val="10"/>
        <color theme="1"/>
        <rFont val="Times New Roman"/>
        <family val="1"/>
        <charset val="186"/>
      </rPr>
      <t>euro</t>
    </r>
    <r>
      <rPr>
        <sz val="10"/>
        <color theme="1"/>
        <rFont val="Times New Roman"/>
        <family val="1"/>
        <charset val="186"/>
      </rPr>
      <t xml:space="preserve">). 
(Taktiskais amata līmenis). Koeficients - 1,4;
(1 648,17 </t>
    </r>
    <r>
      <rPr>
        <i/>
        <sz val="10"/>
        <color theme="1"/>
        <rFont val="Times New Roman"/>
        <family val="1"/>
        <charset val="186"/>
      </rPr>
      <t>euro</t>
    </r>
    <r>
      <rPr>
        <sz val="10"/>
        <color theme="1"/>
        <rFont val="Times New Roman"/>
        <family val="1"/>
        <charset val="186"/>
      </rPr>
      <t xml:space="preserve"> × 1,4 × 9 mēn.) + (1 648,17 </t>
    </r>
    <r>
      <rPr>
        <i/>
        <sz val="10"/>
        <color theme="1"/>
        <rFont val="Times New Roman"/>
        <family val="1"/>
        <charset val="186"/>
      </rPr>
      <t>euro</t>
    </r>
    <r>
      <rPr>
        <sz val="10"/>
        <color theme="1"/>
        <rFont val="Times New Roman"/>
        <family val="1"/>
        <charset val="186"/>
      </rPr>
      <t xml:space="preserve"> × 1,4 : 28 d. × 22 d.) = 22 579,93 </t>
    </r>
    <r>
      <rPr>
        <i/>
        <sz val="10"/>
        <color theme="1"/>
        <rFont val="Times New Roman"/>
        <family val="1"/>
        <charset val="186"/>
      </rPr>
      <t>euro</t>
    </r>
    <r>
      <rPr>
        <sz val="10"/>
        <color theme="1"/>
        <rFont val="Times New Roman"/>
        <family val="1"/>
        <charset val="186"/>
      </rPr>
      <t xml:space="preserve"> *</t>
    </r>
  </si>
  <si>
    <r>
      <t xml:space="preserve">Pārējie komandējumu un darba braucienu izdevumi
Ceļa izdevumi: 
Vienam braucienam un bagāžai 560,00 </t>
    </r>
    <r>
      <rPr>
        <i/>
        <sz val="10"/>
        <color theme="1"/>
        <rFont val="Times New Roman"/>
        <family val="1"/>
        <charset val="186"/>
      </rPr>
      <t>euro</t>
    </r>
    <r>
      <rPr>
        <sz val="10"/>
        <color theme="1"/>
        <rFont val="Times New Roman"/>
        <family val="1"/>
        <charset val="186"/>
      </rPr>
      <t xml:space="preserve">; reizi kalendāra gadā ceļa izdevumi dodoties  uz Latviju un atgriežoties no Latvijas, ievērojot, ka dalības laiks tiek pagarināts, šim mērķim paredzami izdevumi, kas jau 2025.gadā plānoti, lai amatpersona atgrieztos Latvijā. 
Apdrošināšana par ceļojuma dienām 2,00 </t>
    </r>
    <r>
      <rPr>
        <i/>
        <sz val="10"/>
        <color theme="1"/>
        <rFont val="Times New Roman"/>
        <family val="1"/>
        <charset val="186"/>
      </rPr>
      <t>euro</t>
    </r>
    <r>
      <rPr>
        <sz val="10"/>
        <color theme="1"/>
        <rFont val="Times New Roman"/>
        <family val="1"/>
        <charset val="186"/>
      </rPr>
      <t xml:space="preserve"> par 1 dienu
560,00 </t>
    </r>
    <r>
      <rPr>
        <i/>
        <sz val="10"/>
        <color theme="1"/>
        <rFont val="Times New Roman"/>
        <family val="1"/>
        <charset val="186"/>
      </rPr>
      <t xml:space="preserve">euro </t>
    </r>
    <r>
      <rPr>
        <sz val="10"/>
        <color theme="1"/>
        <rFont val="Times New Roman"/>
        <family val="1"/>
        <charset val="186"/>
      </rPr>
      <t xml:space="preserve">+ 2,00 </t>
    </r>
    <r>
      <rPr>
        <i/>
        <sz val="10"/>
        <color theme="1"/>
        <rFont val="Times New Roman"/>
        <family val="1"/>
        <charset val="186"/>
      </rPr>
      <t>euro</t>
    </r>
    <r>
      <rPr>
        <sz val="10"/>
        <color theme="1"/>
        <rFont val="Times New Roman"/>
        <family val="1"/>
        <charset val="186"/>
      </rPr>
      <t xml:space="preserve"> = 562,00</t>
    </r>
    <r>
      <rPr>
        <i/>
        <sz val="10"/>
        <color theme="1"/>
        <rFont val="Times New Roman"/>
        <family val="1"/>
        <charset val="186"/>
      </rPr>
      <t xml:space="preserve"> euro</t>
    </r>
    <r>
      <rPr>
        <sz val="10"/>
        <color theme="1"/>
        <rFont val="Times New Roman"/>
        <family val="1"/>
        <charset val="186"/>
      </rPr>
      <t>.</t>
    </r>
  </si>
  <si>
    <r>
      <t xml:space="preserve">Ārvalstīs nodarbināto amatpersonu (darbinieku) kompensācijas
Saskaņā ar Ministru kabineta 2021.gada 07.decembra noteikumiem Nr.793 atbilstoši amata līmenim (taktiskais amata līmenis) izdevumu kompensācijas apmērs amatpersonām par dzīvokļa (dzīvojamās telpas) īri un citiem pakalpojumiem, kas saistīti ar dzīvojamās telpas lietošanu 
11 895,21 </t>
    </r>
    <r>
      <rPr>
        <i/>
        <sz val="10"/>
        <color theme="1"/>
        <rFont val="Times New Roman"/>
        <family val="1"/>
        <charset val="186"/>
      </rPr>
      <t>euro</t>
    </r>
    <r>
      <rPr>
        <sz val="10"/>
        <color theme="1"/>
        <rFont val="Times New Roman"/>
        <family val="1"/>
        <charset val="186"/>
      </rPr>
      <t xml:space="preserve"> gadā (mēnesī 991,27 </t>
    </r>
    <r>
      <rPr>
        <i/>
        <sz val="10"/>
        <color theme="1"/>
        <rFont val="Times New Roman"/>
        <family val="1"/>
        <charset val="186"/>
      </rPr>
      <t>euro</t>
    </r>
    <r>
      <rPr>
        <sz val="10"/>
        <color theme="1"/>
        <rFont val="Times New Roman"/>
        <family val="1"/>
        <charset val="186"/>
      </rPr>
      <t xml:space="preserve">).
(11 895,21 </t>
    </r>
    <r>
      <rPr>
        <i/>
        <sz val="10"/>
        <color theme="1"/>
        <rFont val="Times New Roman"/>
        <family val="1"/>
        <charset val="186"/>
      </rPr>
      <t>euro</t>
    </r>
    <r>
      <rPr>
        <sz val="10"/>
        <color theme="1"/>
        <rFont val="Times New Roman"/>
        <family val="1"/>
        <charset val="186"/>
      </rPr>
      <t xml:space="preserve">: 12 mēn. × 10 mēn.) + (991,27 </t>
    </r>
    <r>
      <rPr>
        <i/>
        <sz val="10"/>
        <color theme="1"/>
        <rFont val="Times New Roman"/>
        <family val="1"/>
        <charset val="186"/>
      </rPr>
      <t>euro</t>
    </r>
    <r>
      <rPr>
        <sz val="10"/>
        <color theme="1"/>
        <rFont val="Times New Roman"/>
        <family val="1"/>
        <charset val="186"/>
      </rPr>
      <t xml:space="preserve"> : 28 d. × 22 d.) = 10 691,53 </t>
    </r>
    <r>
      <rPr>
        <i/>
        <sz val="10"/>
        <color theme="1"/>
        <rFont val="Times New Roman"/>
        <family val="1"/>
        <charset val="186"/>
      </rPr>
      <t>euro</t>
    </r>
  </si>
  <si>
    <r>
      <t xml:space="preserve">Inventārs
Personīgās pirmās palīdzības komplekts, kurā ietilpst pamatmedikamenti, pārsēji, ķirurģiskās līmlentes ruļļi utt. - 60,00 </t>
    </r>
    <r>
      <rPr>
        <i/>
        <sz val="10"/>
        <color theme="1"/>
        <rFont val="Times New Roman"/>
        <family val="1"/>
        <charset val="186"/>
      </rPr>
      <t xml:space="preserve">euro;
</t>
    </r>
    <r>
      <rPr>
        <sz val="10"/>
        <color theme="1"/>
        <rFont val="Times New Roman"/>
        <family val="1"/>
        <charset val="186"/>
      </rPr>
      <t xml:space="preserve">patruļas soma - 50,00 </t>
    </r>
    <r>
      <rPr>
        <i/>
        <sz val="10"/>
        <color theme="1"/>
        <rFont val="Times New Roman"/>
        <family val="1"/>
        <charset val="186"/>
      </rPr>
      <t>euro.</t>
    </r>
  </si>
  <si>
    <r>
      <t xml:space="preserve">Pārējie specifiskas lietošanas materiāli un inventārs
kombinētais kabatas nazis - 76,00 </t>
    </r>
    <r>
      <rPr>
        <i/>
        <sz val="10"/>
        <color theme="1"/>
        <rFont val="Times New Roman"/>
        <family val="1"/>
        <charset val="186"/>
      </rPr>
      <t>euro.</t>
    </r>
  </si>
  <si>
    <r>
      <t xml:space="preserve">Pārējie komandējumu un darba braucienu izdevumi
Ceļa izdevumi:
Vienam braucieniem un bagāžai 560,00 </t>
    </r>
    <r>
      <rPr>
        <i/>
        <sz val="10"/>
        <color theme="1"/>
        <rFont val="Times New Roman"/>
        <family val="1"/>
        <charset val="186"/>
      </rPr>
      <t>euro;</t>
    </r>
    <r>
      <rPr>
        <sz val="10"/>
        <color theme="1"/>
        <rFont val="Times New Roman"/>
        <family val="1"/>
        <charset val="186"/>
      </rPr>
      <t xml:space="preserve">
Apdrošināšana par ceļojuma dienām 2,00 </t>
    </r>
    <r>
      <rPr>
        <i/>
        <sz val="10"/>
        <color theme="1"/>
        <rFont val="Times New Roman"/>
        <family val="1"/>
        <charset val="186"/>
      </rPr>
      <t>euro</t>
    </r>
    <r>
      <rPr>
        <sz val="10"/>
        <color theme="1"/>
        <rFont val="Times New Roman"/>
        <family val="1"/>
        <charset val="186"/>
      </rPr>
      <t xml:space="preserve"> par 1 dienu
(560,00 </t>
    </r>
    <r>
      <rPr>
        <i/>
        <sz val="10"/>
        <color theme="1"/>
        <rFont val="Times New Roman"/>
        <family val="1"/>
        <charset val="186"/>
      </rPr>
      <t>euro</t>
    </r>
    <r>
      <rPr>
        <sz val="10"/>
        <color theme="1"/>
        <rFont val="Times New Roman"/>
        <family val="1"/>
        <charset val="186"/>
      </rPr>
      <t xml:space="preserve"> + 2,00 </t>
    </r>
    <r>
      <rPr>
        <i/>
        <sz val="10"/>
        <color theme="1"/>
        <rFont val="Times New Roman"/>
        <family val="1"/>
        <charset val="186"/>
      </rPr>
      <t>euro</t>
    </r>
    <r>
      <rPr>
        <sz val="10"/>
        <color theme="1"/>
        <rFont val="Times New Roman"/>
        <family val="1"/>
        <charset val="186"/>
      </rPr>
      <t xml:space="preserve">) = 562,00 </t>
    </r>
    <r>
      <rPr>
        <i/>
        <sz val="10"/>
        <color theme="1"/>
        <rFont val="Times New Roman"/>
        <family val="1"/>
        <charset val="186"/>
      </rPr>
      <t>euro.</t>
    </r>
  </si>
  <si>
    <r>
      <t xml:space="preserve">Ārvalstīs nodarbināto amatpersonu (darbinieku) kompensācijas
Saskaņā ar Ministru kabineta 2021.gada 07.decembra noteikumiem Nr.793 atbilstoši amata līmenim (taktiskais amata līmenis) izdevumu kompensācijas apmērs amatpersonām par dzīvokļa (dzīvojamās telpas) īri un citiem pakalpojumiem, kas saistīti ar dzīvojamās telpas lietošanu 11`895,21 </t>
    </r>
    <r>
      <rPr>
        <i/>
        <sz val="10"/>
        <color theme="1"/>
        <rFont val="Times New Roman"/>
        <family val="1"/>
        <charset val="186"/>
      </rPr>
      <t>euro</t>
    </r>
    <r>
      <rPr>
        <sz val="10"/>
        <color theme="1"/>
        <rFont val="Times New Roman"/>
        <family val="1"/>
        <charset val="186"/>
      </rPr>
      <t xml:space="preserve"> gadā (mēnesī 991,27 </t>
    </r>
    <r>
      <rPr>
        <i/>
        <sz val="10"/>
        <color theme="1"/>
        <rFont val="Times New Roman"/>
        <family val="1"/>
        <charset val="186"/>
      </rPr>
      <t>euro</t>
    </r>
    <r>
      <rPr>
        <sz val="10"/>
        <color theme="1"/>
        <rFont val="Times New Roman"/>
        <family val="1"/>
        <charset val="186"/>
      </rPr>
      <t xml:space="preserve">).
(11 895,21 </t>
    </r>
    <r>
      <rPr>
        <i/>
        <sz val="10"/>
        <color theme="1"/>
        <rFont val="Times New Roman"/>
        <family val="1"/>
        <charset val="186"/>
      </rPr>
      <t>euro</t>
    </r>
    <r>
      <rPr>
        <sz val="10"/>
        <color theme="1"/>
        <rFont val="Times New Roman"/>
        <family val="1"/>
        <charset val="186"/>
      </rPr>
      <t xml:space="preserve"> : 12 mēn. × 1 mēn.) + (991,27 </t>
    </r>
    <r>
      <rPr>
        <i/>
        <sz val="10"/>
        <color theme="1"/>
        <rFont val="Times New Roman"/>
        <family val="1"/>
        <charset val="186"/>
      </rPr>
      <t xml:space="preserve">euro </t>
    </r>
    <r>
      <rPr>
        <sz val="10"/>
        <color theme="1"/>
        <rFont val="Times New Roman"/>
        <family val="1"/>
        <charset val="186"/>
      </rPr>
      <t xml:space="preserve">: 28 d. × 6 d.)  = 1 203,69 </t>
    </r>
    <r>
      <rPr>
        <i/>
        <sz val="10"/>
        <color theme="1"/>
        <rFont val="Times New Roman"/>
        <family val="1"/>
        <charset val="186"/>
      </rPr>
      <t>euro.</t>
    </r>
  </si>
  <si>
    <r>
      <t xml:space="preserve">Citas normatīvajos aktos noteiktās piemaksas, kas nav iepriekš klasificētas 
Ministru kabineta 2021.gada 7.decembra noteikumos Nr.793 amatpersonai atbilstoši amata līmenim noteiktais piemaksas apmērs gadā 19 778 </t>
    </r>
    <r>
      <rPr>
        <i/>
        <sz val="10"/>
        <color theme="1"/>
        <rFont val="Times New Roman"/>
        <family val="1"/>
        <charset val="186"/>
      </rPr>
      <t>euro</t>
    </r>
    <r>
      <rPr>
        <sz val="10"/>
        <color theme="1"/>
        <rFont val="Times New Roman"/>
        <family val="1"/>
        <charset val="186"/>
      </rPr>
      <t xml:space="preserve"> (mēnesī 1 648,17 </t>
    </r>
    <r>
      <rPr>
        <i/>
        <sz val="10"/>
        <color theme="1"/>
        <rFont val="Times New Roman"/>
        <family val="1"/>
        <charset val="186"/>
      </rPr>
      <t>euro</t>
    </r>
    <r>
      <rPr>
        <sz val="10"/>
        <color theme="1"/>
        <rFont val="Times New Roman"/>
        <family val="1"/>
        <charset val="186"/>
      </rPr>
      <t xml:space="preserve">). 
(Taktiskais amata līmenis). Koeficients - 1,4;
(1 648,17 </t>
    </r>
    <r>
      <rPr>
        <i/>
        <sz val="10"/>
        <color theme="1"/>
        <rFont val="Times New Roman"/>
        <family val="1"/>
        <charset val="186"/>
      </rPr>
      <t>euro</t>
    </r>
    <r>
      <rPr>
        <sz val="10"/>
        <color theme="1"/>
        <rFont val="Times New Roman"/>
        <family val="1"/>
        <charset val="186"/>
      </rPr>
      <t xml:space="preserve"> × 1,4 × 9 mēn.) + (1 648,17 </t>
    </r>
    <r>
      <rPr>
        <i/>
        <sz val="10"/>
        <color theme="1"/>
        <rFont val="Times New Roman"/>
        <family val="1"/>
        <charset val="186"/>
      </rPr>
      <t>euro</t>
    </r>
    <r>
      <rPr>
        <sz val="10"/>
        <color theme="1"/>
        <rFont val="Times New Roman"/>
        <family val="1"/>
        <charset val="186"/>
      </rPr>
      <t xml:space="preserve"> × 1,4 : 28 d. × 1 d.) = 20 849,36 </t>
    </r>
    <r>
      <rPr>
        <i/>
        <sz val="10"/>
        <color theme="1"/>
        <rFont val="Times New Roman"/>
        <family val="1"/>
        <charset val="186"/>
      </rPr>
      <t>euro</t>
    </r>
    <r>
      <rPr>
        <sz val="10"/>
        <color theme="1"/>
        <rFont val="Times New Roman"/>
        <family val="1"/>
        <charset val="186"/>
      </rPr>
      <t xml:space="preserve"> *</t>
    </r>
  </si>
  <si>
    <r>
      <t xml:space="preserve">Ārvalstīs nodarbināto amatpersonu (darbinieku) kompensācijas
Dzīvokļa (dzīvojamās telpas) īres un citi pakalpojumi, kas saistīti ar dzīvojamās telpas lietošanu
gadā 11 895,21 </t>
    </r>
    <r>
      <rPr>
        <i/>
        <sz val="10"/>
        <color theme="1"/>
        <rFont val="Times New Roman"/>
        <family val="1"/>
        <charset val="186"/>
      </rPr>
      <t>euro</t>
    </r>
    <r>
      <rPr>
        <sz val="10"/>
        <color theme="1"/>
        <rFont val="Times New Roman"/>
        <family val="1"/>
        <charset val="186"/>
      </rPr>
      <t xml:space="preserve"> (mēnesī 991,27 </t>
    </r>
    <r>
      <rPr>
        <i/>
        <sz val="10"/>
        <color theme="1"/>
        <rFont val="Times New Roman"/>
        <family val="1"/>
        <charset val="186"/>
      </rPr>
      <t>euro</t>
    </r>
    <r>
      <rPr>
        <sz val="10"/>
        <color theme="1"/>
        <rFont val="Times New Roman"/>
        <family val="1"/>
        <charset val="186"/>
      </rPr>
      <t xml:space="preserve">)
(11 895,21 </t>
    </r>
    <r>
      <rPr>
        <i/>
        <sz val="10"/>
        <color theme="1"/>
        <rFont val="Times New Roman"/>
        <family val="1"/>
        <charset val="186"/>
      </rPr>
      <t>euro</t>
    </r>
    <r>
      <rPr>
        <sz val="10"/>
        <color theme="1"/>
        <rFont val="Times New Roman"/>
        <family val="1"/>
        <charset val="186"/>
      </rPr>
      <t xml:space="preserve">: 12 mēn. × 10 mēn.) + (991,27 </t>
    </r>
    <r>
      <rPr>
        <i/>
        <sz val="10"/>
        <color theme="1"/>
        <rFont val="Times New Roman"/>
        <family val="1"/>
        <charset val="186"/>
      </rPr>
      <t>euro</t>
    </r>
    <r>
      <rPr>
        <sz val="10"/>
        <color theme="1"/>
        <rFont val="Times New Roman"/>
        <family val="1"/>
        <charset val="186"/>
      </rPr>
      <t xml:space="preserve">: 28 d. × 1 d.) = 9 948,08 </t>
    </r>
    <r>
      <rPr>
        <i/>
        <sz val="10"/>
        <color theme="1"/>
        <rFont val="Times New Roman"/>
        <family val="1"/>
        <charset val="186"/>
      </rPr>
      <t>euro</t>
    </r>
  </si>
  <si>
    <r>
      <t xml:space="preserve">Ārvalstīs nodarbināto amatpersonu (darbinieku) kompensācijas
Dzīvokļa (dzīvojamās telpas) īres un citi pakalpojumi, kas saistīti ar dzīvojamās telpas lietošanu
gadā 11 895,21 </t>
    </r>
    <r>
      <rPr>
        <i/>
        <sz val="10"/>
        <color theme="1"/>
        <rFont val="Times New Roman"/>
        <family val="1"/>
        <charset val="186"/>
      </rPr>
      <t>euro</t>
    </r>
    <r>
      <rPr>
        <sz val="10"/>
        <color theme="1"/>
        <rFont val="Times New Roman"/>
        <family val="1"/>
        <charset val="186"/>
      </rPr>
      <t xml:space="preserve"> (mēnesī 991,27 </t>
    </r>
    <r>
      <rPr>
        <i/>
        <sz val="10"/>
        <color theme="1"/>
        <rFont val="Times New Roman"/>
        <family val="1"/>
        <charset val="186"/>
      </rPr>
      <t>euro</t>
    </r>
    <r>
      <rPr>
        <sz val="10"/>
        <color theme="1"/>
        <rFont val="Times New Roman"/>
        <family val="1"/>
        <charset val="186"/>
      </rPr>
      <t xml:space="preserve">)
(11 895,21 </t>
    </r>
    <r>
      <rPr>
        <i/>
        <sz val="10"/>
        <color theme="1"/>
        <rFont val="Times New Roman"/>
        <family val="1"/>
        <charset val="186"/>
      </rPr>
      <t>euro</t>
    </r>
    <r>
      <rPr>
        <sz val="10"/>
        <color theme="1"/>
        <rFont val="Times New Roman"/>
        <family val="1"/>
        <charset val="186"/>
      </rPr>
      <t xml:space="preserve"> : 12 mēn. × 1 mēn.) + (991,27 </t>
    </r>
    <r>
      <rPr>
        <i/>
        <sz val="10"/>
        <color theme="1"/>
        <rFont val="Times New Roman"/>
        <family val="1"/>
        <charset val="186"/>
      </rPr>
      <t xml:space="preserve">euro </t>
    </r>
    <r>
      <rPr>
        <sz val="10"/>
        <color theme="1"/>
        <rFont val="Times New Roman"/>
        <family val="1"/>
        <charset val="186"/>
      </rPr>
      <t xml:space="preserve">: 28 d. × 27 d.)  = 1 947,14 </t>
    </r>
    <r>
      <rPr>
        <i/>
        <sz val="10"/>
        <color theme="1"/>
        <rFont val="Times New Roman"/>
        <family val="1"/>
        <charset val="186"/>
      </rPr>
      <t>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</si>
</sst>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29" x14ac:knownFonts="1">
    <font>
      <sz val="11"/>
      <color theme="1"/>
      <name val="Calibri"/>
      <family val="2"/>
      <charset val="186"/>
      <scheme val="minor"/>
    </font>
    <font>
      <b/>
      <sz val="10"/>
      <name val="Times New Roman"/>
      <family val="1"/>
      <charset val="186"/>
    </font>
    <font>
      <sz val="10"/>
      <color theme="1"/>
      <name val="Times New Roman"/>
      <family val="1"/>
      <charset val="186"/>
    </font>
    <font>
      <sz val="10"/>
      <name val="Times New Roman"/>
      <family val="1"/>
      <charset val="186"/>
    </font>
    <font>
      <i/>
      <sz val="10"/>
      <name val="Times New Roman"/>
      <family val="1"/>
      <charset val="186"/>
    </font>
    <font>
      <b/>
      <sz val="11"/>
      <color theme="1"/>
      <name val="Times New Roman"/>
      <family val="1"/>
      <charset val="186"/>
    </font>
    <font>
      <sz val="11"/>
      <color theme="1"/>
      <name val="Times New Roman"/>
      <family val="1"/>
      <charset val="186"/>
    </font>
    <font>
      <i/>
      <sz val="10"/>
      <color theme="1"/>
      <name val="Times New Roman"/>
      <family val="1"/>
      <charset val="186"/>
    </font>
    <font>
      <b/>
      <sz val="18"/>
      <color theme="1"/>
      <name val="Times New Roman"/>
      <family val="1"/>
      <charset val="186"/>
    </font>
    <font>
      <b/>
      <sz val="10"/>
      <color theme="1"/>
      <name val="Times New Roman"/>
      <family val="1"/>
      <charset val="186"/>
    </font>
    <font>
      <b/>
      <sz val="10"/>
      <color rgb="FF0070C0"/>
      <name val="Times New Roman"/>
      <family val="1"/>
      <charset val="186"/>
    </font>
    <font>
      <sz val="11"/>
      <name val="Times New Roman"/>
      <family val="1"/>
      <charset val="186"/>
    </font>
    <font>
      <sz val="9"/>
      <color theme="1"/>
      <name val="Times New Roman"/>
      <family val="1"/>
      <charset val="186"/>
    </font>
    <font>
      <sz val="9"/>
      <name val="Times New Roman"/>
      <family val="1"/>
      <charset val="186"/>
    </font>
    <font>
      <sz val="9"/>
      <color rgb="FF414142"/>
      <name val="Times New Roman"/>
      <family val="1"/>
      <charset val="186"/>
    </font>
    <font>
      <b/>
      <sz val="9"/>
      <color theme="1"/>
      <name val="Times New Roman"/>
      <family val="1"/>
      <charset val="186"/>
    </font>
    <font>
      <b/>
      <sz val="9"/>
      <color rgb="FF414142"/>
      <name val="Times New Roman"/>
      <family val="1"/>
      <charset val="186"/>
    </font>
    <font>
      <b/>
      <sz val="10"/>
      <color theme="4" tint="-0.249977111117893"/>
      <name val="Times New Roman"/>
      <family val="1"/>
      <charset val="186"/>
    </font>
    <font>
      <sz val="8"/>
      <color theme="1"/>
      <name val="Times New Roman"/>
      <family val="1"/>
      <charset val="186"/>
    </font>
    <font>
      <sz val="8"/>
      <color rgb="FF414142"/>
      <name val="Arial"/>
      <family val="2"/>
      <charset val="186"/>
    </font>
    <font>
      <sz val="10"/>
      <color rgb="FFFF0000"/>
      <name val="Times New Roman"/>
      <family val="1"/>
      <charset val="186"/>
    </font>
    <font>
      <b/>
      <sz val="10"/>
      <color rgb="FF00B0F0"/>
      <name val="Times New Roman"/>
      <family val="1"/>
      <charset val="186"/>
    </font>
    <font>
      <i/>
      <strike/>
      <sz val="10"/>
      <color theme="1"/>
      <name val="Times New Roman"/>
      <family val="1"/>
      <charset val="186"/>
    </font>
    <font>
      <strike/>
      <sz val="10"/>
      <color theme="1"/>
      <name val="Times New Roman"/>
      <family val="1"/>
      <charset val="186"/>
    </font>
    <font>
      <sz val="8"/>
      <color theme="1"/>
      <name val="Arial"/>
      <family val="2"/>
      <charset val="186"/>
    </font>
    <font>
      <u/>
      <sz val="10"/>
      <color theme="1"/>
      <name val="Times New Roman"/>
      <family val="1"/>
      <charset val="186"/>
    </font>
    <font>
      <b/>
      <i/>
      <sz val="10"/>
      <color theme="1"/>
      <name val="Times New Roman"/>
      <family val="1"/>
      <charset val="186"/>
    </font>
    <font>
      <i/>
      <sz val="9"/>
      <color theme="1"/>
      <name val="Times New Roman"/>
      <family val="1"/>
      <charset val="186"/>
    </font>
    <font>
      <sz val="10"/>
      <color theme="1"/>
      <name val="Arial"/>
      <family val="2"/>
      <charset val="186"/>
    </font>
  </fonts>
  <fills count="4">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s>
  <borders count="2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top style="hair">
        <color indexed="64"/>
      </top>
      <bottom style="thin">
        <color indexed="64"/>
      </bottom>
      <diagonal/>
    </border>
    <border>
      <left style="thin">
        <color rgb="FF414142"/>
      </left>
      <right style="thin">
        <color rgb="FF414142"/>
      </right>
      <top style="thin">
        <color rgb="FF414142"/>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bottom/>
      <diagonal/>
    </border>
    <border>
      <left style="thin">
        <color indexed="64"/>
      </left>
      <right/>
      <top/>
      <bottom/>
      <diagonal/>
    </border>
    <border>
      <left/>
      <right/>
      <top/>
      <bottom style="hair">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hair">
        <color indexed="64"/>
      </top>
      <bottom style="hair">
        <color indexed="64"/>
      </bottom>
      <diagonal/>
    </border>
    <border>
      <left style="thin">
        <color rgb="FF414142"/>
      </left>
      <right style="thin">
        <color rgb="FF414142"/>
      </right>
      <top style="thin">
        <color rgb="FF414142"/>
      </top>
      <bottom style="thin">
        <color rgb="FF414142"/>
      </bottom>
      <diagonal/>
    </border>
    <border>
      <left/>
      <right/>
      <top style="thin">
        <color indexed="64"/>
      </top>
      <bottom/>
      <diagonal/>
    </border>
  </borders>
  <cellStyleXfs count="1">
    <xf numFmtId="0" fontId="0" fillId="0" borderId="0"/>
  </cellStyleXfs>
  <cellXfs count="155">
    <xf numFmtId="0" fontId="0" fillId="0" borderId="0" xfId="0"/>
    <xf numFmtId="0" fontId="2" fillId="0" borderId="0" xfId="0" applyFont="1" applyFill="1"/>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2" fillId="0" borderId="0" xfId="0" applyFont="1" applyFill="1" applyAlignment="1">
      <alignment horizontal="right" vertical="center"/>
    </xf>
    <xf numFmtId="0" fontId="2" fillId="0" borderId="0" xfId="0" applyFont="1" applyFill="1" applyAlignment="1">
      <alignment wrapText="1"/>
    </xf>
    <xf numFmtId="0" fontId="6" fillId="0" borderId="0" xfId="0" applyFont="1" applyFill="1"/>
    <xf numFmtId="0" fontId="3" fillId="0" borderId="0" xfId="0" applyFont="1" applyFill="1" applyAlignment="1">
      <alignment horizontal="right" vertical="center"/>
    </xf>
    <xf numFmtId="4" fontId="2" fillId="0" borderId="0" xfId="0" applyNumberFormat="1" applyFont="1" applyFill="1" applyAlignment="1">
      <alignment vertical="center"/>
    </xf>
    <xf numFmtId="4" fontId="2" fillId="0" borderId="0" xfId="0" applyNumberFormat="1" applyFont="1" applyFill="1"/>
    <xf numFmtId="0" fontId="3" fillId="0" borderId="9" xfId="0" applyFont="1" applyFill="1" applyBorder="1" applyAlignment="1">
      <alignment vertical="center" wrapText="1"/>
    </xf>
    <xf numFmtId="0" fontId="2" fillId="0" borderId="12" xfId="0" applyFont="1" applyFill="1" applyBorder="1" applyAlignment="1">
      <alignment vertical="center" wrapText="1"/>
    </xf>
    <xf numFmtId="0" fontId="2" fillId="0" borderId="0" xfId="0" applyFont="1" applyFill="1"/>
    <xf numFmtId="0" fontId="2" fillId="0" borderId="0" xfId="0" applyFont="1" applyFill="1" applyAlignment="1">
      <alignment horizontal="center" vertical="center" wrapText="1"/>
    </xf>
    <xf numFmtId="0" fontId="2" fillId="0" borderId="0" xfId="0" applyFont="1" applyFill="1" applyAlignment="1">
      <alignment horizontal="right" vertical="center"/>
    </xf>
    <xf numFmtId="0" fontId="2" fillId="0" borderId="0" xfId="0" applyFont="1" applyFill="1" applyAlignment="1">
      <alignment wrapText="1"/>
    </xf>
    <xf numFmtId="0" fontId="4" fillId="0" borderId="0" xfId="0" applyFont="1" applyFill="1" applyAlignment="1">
      <alignment horizontal="right"/>
    </xf>
    <xf numFmtId="0" fontId="6" fillId="0" borderId="0" xfId="0" applyFont="1" applyFill="1"/>
    <xf numFmtId="0" fontId="3" fillId="0" borderId="7" xfId="0" applyFont="1" applyFill="1" applyBorder="1" applyAlignment="1">
      <alignment vertical="center" wrapText="1"/>
    </xf>
    <xf numFmtId="0" fontId="3" fillId="0" borderId="7" xfId="0" applyFont="1" applyFill="1" applyBorder="1" applyAlignment="1">
      <alignment horizontal="right" vertical="center" wrapText="1"/>
    </xf>
    <xf numFmtId="0" fontId="3" fillId="0" borderId="0" xfId="0" applyFont="1" applyFill="1" applyBorder="1" applyAlignment="1">
      <alignment horizontal="right" vertical="center"/>
    </xf>
    <xf numFmtId="0" fontId="3" fillId="0" borderId="0" xfId="0" applyFont="1" applyFill="1" applyBorder="1" applyAlignment="1">
      <alignment horizontal="left" vertical="center" wrapText="1"/>
    </xf>
    <xf numFmtId="0" fontId="3" fillId="0" borderId="7" xfId="0" applyFont="1" applyFill="1" applyBorder="1" applyAlignment="1">
      <alignment horizontal="left" vertical="center" wrapText="1"/>
    </xf>
    <xf numFmtId="0" fontId="3" fillId="0" borderId="9" xfId="0" applyFont="1" applyFill="1" applyBorder="1" applyAlignment="1">
      <alignment horizontal="right" vertical="center" wrapText="1"/>
    </xf>
    <xf numFmtId="0" fontId="3" fillId="0" borderId="9" xfId="0" applyFont="1" applyFill="1" applyBorder="1" applyAlignment="1">
      <alignment horizontal="left" vertical="center" wrapText="1"/>
    </xf>
    <xf numFmtId="0" fontId="3" fillId="0" borderId="8" xfId="0" applyFont="1" applyFill="1" applyBorder="1" applyAlignment="1">
      <alignment vertical="center" wrapText="1"/>
    </xf>
    <xf numFmtId="0" fontId="3" fillId="0" borderId="15" xfId="0" applyFont="1" applyFill="1" applyBorder="1" applyAlignment="1">
      <alignment vertical="center" wrapText="1"/>
    </xf>
    <xf numFmtId="0" fontId="3" fillId="0" borderId="14" xfId="0" applyFont="1" applyFill="1" applyBorder="1" applyAlignment="1">
      <alignment horizontal="left" vertical="center" wrapText="1"/>
    </xf>
    <xf numFmtId="0" fontId="2" fillId="0" borderId="0" xfId="0" applyFont="1"/>
    <xf numFmtId="0" fontId="3" fillId="0" borderId="10" xfId="0" applyFont="1" applyFill="1" applyBorder="1" applyAlignment="1">
      <alignment horizontal="center" vertical="center" wrapText="1"/>
    </xf>
    <xf numFmtId="0" fontId="3" fillId="0" borderId="11" xfId="0" applyFont="1" applyFill="1" applyBorder="1" applyAlignment="1">
      <alignment horizontal="left" vertical="center" wrapText="1"/>
    </xf>
    <xf numFmtId="0" fontId="3" fillId="0" borderId="14" xfId="0" applyFont="1" applyFill="1" applyBorder="1" applyAlignment="1">
      <alignment horizontal="center" vertical="center" wrapText="1"/>
    </xf>
    <xf numFmtId="0" fontId="3" fillId="0" borderId="10" xfId="0" applyFont="1" applyFill="1" applyBorder="1" applyAlignment="1">
      <alignment horizontal="left" vertical="center" wrapText="1"/>
    </xf>
    <xf numFmtId="0" fontId="3" fillId="0" borderId="7" xfId="0" applyFont="1" applyFill="1" applyBorder="1" applyAlignment="1">
      <alignment horizontal="center" vertical="center" wrapText="1"/>
    </xf>
    <xf numFmtId="3" fontId="2" fillId="0" borderId="7"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0" fontId="5" fillId="0" borderId="5" xfId="0" applyFont="1" applyFill="1" applyBorder="1" applyAlignment="1">
      <alignment horizontal="left" vertical="center" wrapText="1"/>
    </xf>
    <xf numFmtId="0" fontId="5" fillId="0" borderId="6" xfId="0" applyFont="1" applyFill="1" applyBorder="1" applyAlignment="1">
      <alignment horizontal="left" vertical="center" wrapText="1"/>
    </xf>
    <xf numFmtId="3" fontId="5" fillId="0" borderId="5" xfId="0" applyNumberFormat="1" applyFont="1" applyFill="1" applyBorder="1" applyAlignment="1">
      <alignment horizontal="right" vertical="center" wrapText="1"/>
    </xf>
    <xf numFmtId="0" fontId="2" fillId="0" borderId="7" xfId="0" applyFont="1" applyFill="1" applyBorder="1" applyAlignment="1">
      <alignment vertical="center" wrapText="1"/>
    </xf>
    <xf numFmtId="0" fontId="2" fillId="0" borderId="8" xfId="0" applyFont="1" applyFill="1" applyBorder="1" applyAlignment="1">
      <alignment vertical="center" wrapText="1"/>
    </xf>
    <xf numFmtId="0" fontId="2" fillId="0" borderId="9" xfId="0" applyFont="1" applyFill="1" applyBorder="1" applyAlignment="1">
      <alignment vertical="center" wrapText="1"/>
    </xf>
    <xf numFmtId="3" fontId="2" fillId="0" borderId="9" xfId="0" applyNumberFormat="1" applyFont="1" applyFill="1" applyBorder="1" applyAlignment="1">
      <alignment horizontal="right" vertical="center"/>
    </xf>
    <xf numFmtId="0" fontId="9" fillId="0" borderId="3" xfId="0" applyFont="1" applyFill="1" applyBorder="1" applyAlignment="1">
      <alignment horizontal="right" vertical="center"/>
    </xf>
    <xf numFmtId="3" fontId="9" fillId="0" borderId="4" xfId="0" applyNumberFormat="1" applyFont="1" applyFill="1" applyBorder="1" applyAlignment="1">
      <alignment horizontal="right" vertical="center"/>
    </xf>
    <xf numFmtId="3" fontId="2" fillId="0" borderId="10" xfId="0" applyNumberFormat="1" applyFont="1" applyFill="1" applyBorder="1" applyAlignment="1">
      <alignment horizontal="right" vertical="center" wrapText="1"/>
    </xf>
    <xf numFmtId="3" fontId="2" fillId="0" borderId="14" xfId="0" applyNumberFormat="1" applyFont="1" applyFill="1" applyBorder="1" applyAlignment="1">
      <alignment horizontal="right" vertical="center"/>
    </xf>
    <xf numFmtId="3" fontId="2" fillId="0" borderId="10" xfId="0" applyNumberFormat="1" applyFont="1" applyFill="1" applyBorder="1" applyAlignment="1">
      <alignment horizontal="right" vertical="center"/>
    </xf>
    <xf numFmtId="0" fontId="7" fillId="0" borderId="0" xfId="0" applyFont="1" applyFill="1" applyAlignment="1">
      <alignment horizontal="right"/>
    </xf>
    <xf numFmtId="0" fontId="2" fillId="0" borderId="17" xfId="0" applyFont="1" applyFill="1" applyBorder="1" applyAlignment="1">
      <alignment vertical="center" wrapText="1"/>
    </xf>
    <xf numFmtId="3" fontId="2" fillId="0" borderId="16" xfId="0" applyNumberFormat="1" applyFont="1" applyFill="1" applyBorder="1" applyAlignment="1">
      <alignment horizontal="right" vertical="center"/>
    </xf>
    <xf numFmtId="0" fontId="1" fillId="0" borderId="3" xfId="0" applyFont="1" applyFill="1" applyBorder="1" applyAlignment="1">
      <alignment horizontal="left" vertical="center" wrapText="1"/>
    </xf>
    <xf numFmtId="0" fontId="1" fillId="0" borderId="1" xfId="0" applyFont="1" applyFill="1" applyBorder="1" applyAlignment="1">
      <alignment horizontal="left" vertical="center" wrapText="1"/>
    </xf>
    <xf numFmtId="3" fontId="9" fillId="0" borderId="3" xfId="0" applyNumberFormat="1" applyFont="1" applyFill="1" applyBorder="1" applyAlignment="1">
      <alignment horizontal="right" vertical="center" wrapText="1"/>
    </xf>
    <xf numFmtId="0" fontId="2" fillId="2" borderId="17" xfId="0" applyFont="1" applyFill="1" applyBorder="1" applyAlignment="1">
      <alignment vertical="center" wrapText="1"/>
    </xf>
    <xf numFmtId="0" fontId="9" fillId="0" borderId="3" xfId="0" applyFont="1" applyFill="1" applyBorder="1" applyAlignment="1">
      <alignment horizontal="left" vertical="center" wrapText="1"/>
    </xf>
    <xf numFmtId="0" fontId="3" fillId="0" borderId="19" xfId="0" applyFont="1" applyFill="1" applyBorder="1" applyAlignment="1">
      <alignment horizontal="right" vertical="center"/>
    </xf>
    <xf numFmtId="0" fontId="3" fillId="0" borderId="19" xfId="0" applyFont="1" applyFill="1" applyBorder="1" applyAlignment="1">
      <alignment horizontal="left" vertical="center" wrapText="1"/>
    </xf>
    <xf numFmtId="3" fontId="2" fillId="0" borderId="19" xfId="0" applyNumberFormat="1" applyFont="1" applyFill="1" applyBorder="1" applyAlignment="1">
      <alignment horizontal="right" vertical="center" wrapText="1"/>
    </xf>
    <xf numFmtId="2" fontId="2" fillId="0" borderId="0" xfId="0" applyNumberFormat="1" applyFont="1" applyFill="1"/>
    <xf numFmtId="3" fontId="2" fillId="0" borderId="0" xfId="0" applyNumberFormat="1" applyFont="1" applyFill="1" applyBorder="1" applyAlignment="1">
      <alignment horizontal="right" vertical="center" wrapText="1"/>
    </xf>
    <xf numFmtId="3" fontId="0" fillId="0" borderId="0" xfId="0" applyNumberFormat="1"/>
    <xf numFmtId="0" fontId="8" fillId="0" borderId="0" xfId="0" applyFont="1" applyAlignment="1">
      <alignment horizontal="center" vertical="center"/>
    </xf>
    <xf numFmtId="0" fontId="2" fillId="0" borderId="0" xfId="0" applyFont="1" applyFill="1" applyAlignment="1">
      <alignment horizontal="center" vertical="center"/>
    </xf>
    <xf numFmtId="0" fontId="6" fillId="0" borderId="0" xfId="0" applyFont="1" applyFill="1" applyAlignment="1">
      <alignment horizontal="right" vertical="center"/>
    </xf>
    <xf numFmtId="0" fontId="11" fillId="0" borderId="0" xfId="0" applyFont="1" applyFill="1" applyAlignment="1">
      <alignment horizontal="right" vertical="center"/>
    </xf>
    <xf numFmtId="0" fontId="6" fillId="0" borderId="0" xfId="0" applyFont="1" applyFill="1" applyAlignment="1">
      <alignment wrapText="1"/>
    </xf>
    <xf numFmtId="0" fontId="6" fillId="0" borderId="0" xfId="0" applyFont="1" applyFill="1" applyAlignment="1">
      <alignment horizontal="left" wrapText="1"/>
    </xf>
    <xf numFmtId="0" fontId="12" fillId="0" borderId="0" xfId="0" applyFont="1" applyFill="1" applyAlignment="1">
      <alignment horizontal="right" vertical="center"/>
    </xf>
    <xf numFmtId="0" fontId="12" fillId="0" borderId="0" xfId="0" applyFont="1" applyFill="1" applyAlignment="1">
      <alignment wrapText="1"/>
    </xf>
    <xf numFmtId="0" fontId="13" fillId="0" borderId="0" xfId="0" applyFont="1" applyFill="1" applyAlignment="1">
      <alignment horizontal="right" vertical="center"/>
    </xf>
    <xf numFmtId="0" fontId="12" fillId="0" borderId="0" xfId="0" applyFont="1" applyFill="1"/>
    <xf numFmtId="4" fontId="14" fillId="0" borderId="13" xfId="0" applyNumberFormat="1" applyFont="1" applyFill="1" applyBorder="1" applyAlignment="1">
      <alignment horizontal="center" vertical="center" wrapText="1"/>
    </xf>
    <xf numFmtId="0" fontId="12" fillId="0" borderId="0" xfId="0" applyFont="1" applyFill="1" applyBorder="1" applyAlignment="1">
      <alignment horizontal="right" vertical="center"/>
    </xf>
    <xf numFmtId="0" fontId="12" fillId="0" borderId="0" xfId="0" applyFont="1" applyFill="1" applyBorder="1" applyAlignment="1">
      <alignment wrapText="1"/>
    </xf>
    <xf numFmtId="0" fontId="12" fillId="0" borderId="0" xfId="0" applyFont="1" applyFill="1" applyBorder="1"/>
    <xf numFmtId="3" fontId="12" fillId="0" borderId="0" xfId="0" applyNumberFormat="1" applyFont="1" applyFill="1" applyBorder="1" applyAlignment="1">
      <alignment horizontal="left"/>
    </xf>
    <xf numFmtId="4" fontId="12" fillId="0" borderId="0" xfId="0" applyNumberFormat="1" applyFont="1" applyFill="1" applyBorder="1" applyAlignment="1">
      <alignment horizontal="left"/>
    </xf>
    <xf numFmtId="0" fontId="12" fillId="0" borderId="0" xfId="0" applyFont="1" applyFill="1" applyBorder="1" applyAlignment="1">
      <alignment horizontal="left" wrapText="1"/>
    </xf>
    <xf numFmtId="4" fontId="12" fillId="0" borderId="0" xfId="0" applyNumberFormat="1" applyFont="1" applyFill="1" applyBorder="1" applyAlignment="1">
      <alignment horizontal="left" wrapText="1"/>
    </xf>
    <xf numFmtId="0" fontId="15" fillId="0" borderId="0" xfId="0" applyFont="1" applyFill="1" applyBorder="1" applyAlignment="1">
      <alignment horizontal="right" vertical="center"/>
    </xf>
    <xf numFmtId="0" fontId="16" fillId="0" borderId="0" xfId="0" applyFont="1" applyFill="1" applyBorder="1" applyAlignment="1">
      <alignment vertical="center" wrapText="1"/>
    </xf>
    <xf numFmtId="0" fontId="15" fillId="0" borderId="0" xfId="0" applyFont="1" applyFill="1" applyBorder="1"/>
    <xf numFmtId="0" fontId="6" fillId="0" borderId="0" xfId="0" applyFont="1" applyFill="1" applyAlignment="1">
      <alignment horizontal="center" vertical="center"/>
    </xf>
    <xf numFmtId="2" fontId="2" fillId="0" borderId="0" xfId="0" applyNumberFormat="1" applyFont="1" applyFill="1" applyAlignment="1">
      <alignment horizontal="center" vertical="center"/>
    </xf>
    <xf numFmtId="1" fontId="2" fillId="0" borderId="0" xfId="0" applyNumberFormat="1" applyFont="1" applyFill="1" applyAlignment="1">
      <alignment horizontal="center" vertical="center"/>
    </xf>
    <xf numFmtId="3" fontId="2" fillId="0" borderId="0" xfId="0" applyNumberFormat="1" applyFont="1" applyFill="1" applyAlignment="1">
      <alignment horizontal="center" vertical="center"/>
    </xf>
    <xf numFmtId="0" fontId="2" fillId="0" borderId="8" xfId="0" applyFont="1" applyFill="1" applyBorder="1" applyAlignment="1">
      <alignment horizontal="justify" vertical="center" wrapText="1"/>
    </xf>
    <xf numFmtId="0" fontId="2" fillId="0" borderId="0" xfId="0" applyFont="1" applyFill="1" applyAlignment="1">
      <alignment horizontal="left" wrapText="1"/>
    </xf>
    <xf numFmtId="4" fontId="2" fillId="0" borderId="0" xfId="0" applyNumberFormat="1" applyFont="1" applyFill="1" applyAlignment="1">
      <alignment horizontal="left" wrapText="1"/>
    </xf>
    <xf numFmtId="0" fontId="18" fillId="0" borderId="0" xfId="0" applyFont="1" applyFill="1" applyAlignment="1">
      <alignment horizontal="right" vertical="center"/>
    </xf>
    <xf numFmtId="4" fontId="19" fillId="0" borderId="0" xfId="0" applyNumberFormat="1" applyFont="1"/>
    <xf numFmtId="4" fontId="12" fillId="2" borderId="0" xfId="0" applyNumberFormat="1" applyFont="1" applyFill="1" applyBorder="1" applyAlignment="1">
      <alignment horizontal="left" wrapText="1"/>
    </xf>
    <xf numFmtId="0" fontId="3" fillId="0" borderId="0" xfId="0" applyFont="1" applyFill="1" applyAlignment="1">
      <alignment horizontal="center" vertical="center" wrapText="1"/>
    </xf>
    <xf numFmtId="0" fontId="2" fillId="0" borderId="0" xfId="0" applyFont="1" applyFill="1" applyBorder="1" applyAlignment="1">
      <alignment horizontal="right" vertical="center"/>
    </xf>
    <xf numFmtId="0" fontId="2" fillId="0" borderId="0" xfId="0" applyFont="1" applyFill="1" applyBorder="1" applyAlignment="1">
      <alignment wrapText="1"/>
    </xf>
    <xf numFmtId="0" fontId="2" fillId="0" borderId="0" xfId="0" applyFont="1" applyFill="1" applyBorder="1"/>
    <xf numFmtId="0" fontId="2" fillId="0" borderId="0" xfId="0" applyFont="1" applyFill="1" applyBorder="1" applyAlignment="1">
      <alignment horizontal="center" vertical="center"/>
    </xf>
    <xf numFmtId="3" fontId="6" fillId="0" borderId="0" xfId="0" applyNumberFormat="1" applyFont="1" applyFill="1" applyBorder="1" applyAlignment="1">
      <alignment horizontal="left"/>
    </xf>
    <xf numFmtId="4" fontId="6" fillId="0" borderId="0" xfId="0" applyNumberFormat="1" applyFont="1" applyFill="1" applyBorder="1" applyAlignment="1">
      <alignment horizontal="left"/>
    </xf>
    <xf numFmtId="0" fontId="2" fillId="0" borderId="0" xfId="0" applyFont="1" applyFill="1" applyBorder="1" applyAlignment="1">
      <alignment horizontal="left" wrapText="1"/>
    </xf>
    <xf numFmtId="4" fontId="2" fillId="0" borderId="0" xfId="0" applyNumberFormat="1" applyFont="1" applyFill="1" applyBorder="1" applyAlignment="1">
      <alignment horizontal="left" wrapText="1"/>
    </xf>
    <xf numFmtId="0" fontId="18" fillId="0" borderId="0" xfId="0" applyFont="1" applyFill="1" applyBorder="1" applyAlignment="1">
      <alignment horizontal="right" vertical="center"/>
    </xf>
    <xf numFmtId="0" fontId="3" fillId="0" borderId="0" xfId="0" applyFont="1" applyFill="1" applyAlignment="1">
      <alignment horizontal="center" vertical="center" wrapText="1"/>
    </xf>
    <xf numFmtId="164" fontId="6" fillId="0" borderId="0" xfId="0" applyNumberFormat="1" applyFont="1" applyFill="1"/>
    <xf numFmtId="4" fontId="2" fillId="0" borderId="0" xfId="0" applyNumberFormat="1" applyFont="1" applyFill="1" applyAlignment="1">
      <alignment horizontal="center" vertical="center"/>
    </xf>
    <xf numFmtId="4" fontId="6" fillId="0" borderId="0" xfId="0" applyNumberFormat="1" applyFont="1" applyFill="1"/>
    <xf numFmtId="3" fontId="5" fillId="0" borderId="3" xfId="0" applyNumberFormat="1" applyFont="1" applyFill="1" applyBorder="1" applyAlignment="1">
      <alignment horizontal="right" vertical="center" wrapText="1"/>
    </xf>
    <xf numFmtId="0" fontId="0" fillId="0" borderId="0" xfId="0" applyFill="1"/>
    <xf numFmtId="0" fontId="2" fillId="0" borderId="10" xfId="0" applyFont="1" applyFill="1" applyBorder="1" applyAlignment="1">
      <alignment horizontal="justify" vertical="center" wrapText="1"/>
    </xf>
    <xf numFmtId="0" fontId="9" fillId="0" borderId="1" xfId="0" applyFont="1" applyFill="1" applyBorder="1" applyAlignment="1">
      <alignment horizontal="left" vertical="center" wrapText="1"/>
    </xf>
    <xf numFmtId="0" fontId="5" fillId="3" borderId="3" xfId="0" applyFont="1" applyFill="1" applyBorder="1" applyAlignment="1">
      <alignment horizontal="right" vertical="center"/>
    </xf>
    <xf numFmtId="0" fontId="2" fillId="0" borderId="16" xfId="0" applyFont="1" applyFill="1" applyBorder="1" applyAlignment="1">
      <alignment vertical="center" wrapText="1"/>
    </xf>
    <xf numFmtId="0" fontId="2" fillId="0" borderId="10" xfId="0" applyFont="1" applyFill="1" applyBorder="1" applyAlignment="1">
      <alignment horizontal="right" vertical="center" wrapText="1"/>
    </xf>
    <xf numFmtId="0" fontId="2" fillId="0" borderId="10" xfId="0" applyFont="1" applyFill="1" applyBorder="1" applyAlignment="1">
      <alignment horizontal="left" vertical="center" wrapText="1"/>
    </xf>
    <xf numFmtId="0" fontId="2" fillId="0" borderId="7" xfId="0" applyFont="1" applyFill="1" applyBorder="1" applyAlignment="1">
      <alignment horizontal="right" vertical="center" wrapText="1"/>
    </xf>
    <xf numFmtId="0" fontId="2" fillId="0" borderId="7" xfId="0" applyFont="1" applyFill="1" applyBorder="1" applyAlignment="1">
      <alignment horizontal="left" vertical="center" wrapText="1"/>
    </xf>
    <xf numFmtId="4" fontId="24" fillId="0" borderId="0" xfId="0" applyNumberFormat="1" applyFont="1"/>
    <xf numFmtId="0" fontId="2" fillId="2" borderId="18" xfId="0" applyFont="1" applyFill="1" applyBorder="1" applyAlignment="1">
      <alignment horizontal="left" vertical="center" wrapText="1"/>
    </xf>
    <xf numFmtId="0" fontId="2" fillId="0" borderId="9" xfId="0" applyFont="1" applyFill="1" applyBorder="1" applyAlignment="1">
      <alignment horizontal="right" vertical="center" wrapText="1"/>
    </xf>
    <xf numFmtId="0" fontId="2" fillId="0" borderId="3" xfId="0" applyFont="1" applyFill="1" applyBorder="1" applyAlignment="1">
      <alignment horizontal="justify" vertical="center" wrapText="1"/>
    </xf>
    <xf numFmtId="0" fontId="2" fillId="0" borderId="19" xfId="0" applyFont="1" applyFill="1" applyBorder="1" applyAlignment="1">
      <alignment horizontal="right" vertical="center" wrapText="1"/>
    </xf>
    <xf numFmtId="0" fontId="2" fillId="2" borderId="20" xfId="0" applyFont="1" applyFill="1" applyBorder="1" applyAlignment="1">
      <alignment horizontal="left" vertical="center" wrapText="1"/>
    </xf>
    <xf numFmtId="3" fontId="2" fillId="0" borderId="19" xfId="0" applyNumberFormat="1" applyFont="1" applyFill="1" applyBorder="1" applyAlignment="1">
      <alignment horizontal="right" vertical="center"/>
    </xf>
    <xf numFmtId="0" fontId="2" fillId="0" borderId="0" xfId="0" applyFont="1" applyFill="1" applyBorder="1" applyAlignment="1">
      <alignment horizontal="left" vertical="center" wrapText="1"/>
    </xf>
    <xf numFmtId="0" fontId="5" fillId="0" borderId="3" xfId="0" applyFont="1" applyFill="1" applyBorder="1" applyAlignment="1">
      <alignment horizontal="right" vertical="center"/>
    </xf>
    <xf numFmtId="0" fontId="2" fillId="0" borderId="9" xfId="0" applyFont="1" applyFill="1" applyBorder="1" applyAlignment="1">
      <alignment horizontal="left" vertical="center" wrapText="1"/>
    </xf>
    <xf numFmtId="0" fontId="15" fillId="0" borderId="0" xfId="0" applyFont="1" applyFill="1" applyBorder="1" applyAlignment="1">
      <alignment vertical="center" wrapText="1"/>
    </xf>
    <xf numFmtId="4" fontId="12" fillId="0" borderId="13" xfId="0" applyNumberFormat="1" applyFont="1" applyFill="1" applyBorder="1" applyAlignment="1">
      <alignment horizontal="center" vertical="center" wrapText="1"/>
    </xf>
    <xf numFmtId="0" fontId="2" fillId="0" borderId="7" xfId="0" applyFont="1" applyFill="1" applyBorder="1" applyAlignment="1">
      <alignment horizontal="justify" vertical="center" wrapText="1"/>
    </xf>
    <xf numFmtId="0" fontId="2" fillId="0" borderId="7" xfId="0" applyFont="1" applyFill="1" applyBorder="1" applyAlignment="1">
      <alignment horizontal="right" vertical="center"/>
    </xf>
    <xf numFmtId="0" fontId="2" fillId="0" borderId="20" xfId="0" applyFont="1" applyFill="1" applyBorder="1" applyAlignment="1">
      <alignment horizontal="left" vertical="center" wrapText="1"/>
    </xf>
    <xf numFmtId="3" fontId="2" fillId="2" borderId="10" xfId="0" applyNumberFormat="1" applyFont="1" applyFill="1" applyBorder="1" applyAlignment="1">
      <alignment horizontal="right" vertical="center"/>
    </xf>
    <xf numFmtId="3" fontId="2" fillId="2" borderId="19" xfId="0" applyNumberFormat="1" applyFont="1" applyFill="1" applyBorder="1" applyAlignment="1">
      <alignment horizontal="right" vertical="center"/>
    </xf>
    <xf numFmtId="4" fontId="15" fillId="0" borderId="0" xfId="0" applyNumberFormat="1" applyFont="1" applyFill="1" applyBorder="1" applyAlignment="1">
      <alignment horizontal="center" vertical="center" wrapText="1"/>
    </xf>
    <xf numFmtId="0" fontId="2" fillId="0" borderId="21" xfId="0" applyFont="1" applyFill="1" applyBorder="1" applyAlignment="1">
      <alignment horizontal="justify" vertical="center" wrapText="1"/>
    </xf>
    <xf numFmtId="0" fontId="2" fillId="0" borderId="9" xfId="0" applyFont="1" applyFill="1" applyBorder="1" applyAlignment="1">
      <alignment horizontal="justify" vertical="center" wrapText="1"/>
    </xf>
    <xf numFmtId="0" fontId="28" fillId="0" borderId="22" xfId="0" applyFont="1" applyFill="1" applyBorder="1" applyAlignment="1">
      <alignment vertical="center" wrapText="1"/>
    </xf>
    <xf numFmtId="3" fontId="0" fillId="0" borderId="0" xfId="0" applyNumberFormat="1" applyFont="1" applyFill="1" applyAlignment="1">
      <alignment horizontal="left"/>
    </xf>
    <xf numFmtId="4" fontId="0" fillId="0" borderId="0" xfId="0" applyNumberFormat="1" applyFont="1" applyFill="1" applyAlignment="1">
      <alignment horizontal="left"/>
    </xf>
    <xf numFmtId="0" fontId="28" fillId="0" borderId="13" xfId="0" applyFont="1" applyFill="1" applyBorder="1" applyAlignment="1">
      <alignment vertical="center" wrapText="1"/>
    </xf>
    <xf numFmtId="4" fontId="28" fillId="0" borderId="13" xfId="0" applyNumberFormat="1" applyFont="1" applyFill="1" applyBorder="1" applyAlignment="1">
      <alignment horizontal="center" vertical="center" wrapText="1"/>
    </xf>
    <xf numFmtId="0" fontId="2" fillId="0" borderId="14" xfId="0" applyFont="1" applyFill="1" applyBorder="1" applyAlignment="1">
      <alignment horizontal="right" vertical="center"/>
    </xf>
    <xf numFmtId="0" fontId="2" fillId="0" borderId="0" xfId="0" applyFont="1" applyFill="1" applyBorder="1" applyAlignment="1">
      <alignment vertical="center" wrapText="1"/>
    </xf>
    <xf numFmtId="4" fontId="2" fillId="0" borderId="0" xfId="0" applyNumberFormat="1" applyFont="1" applyFill="1" applyBorder="1" applyAlignment="1">
      <alignment horizontal="center" vertical="center" wrapText="1"/>
    </xf>
    <xf numFmtId="0" fontId="12" fillId="0" borderId="23"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2" xfId="0" applyFont="1" applyFill="1" applyBorder="1" applyAlignment="1">
      <alignment horizontal="left" vertical="center" wrapText="1"/>
    </xf>
    <xf numFmtId="0" fontId="1" fillId="0" borderId="0" xfId="0" applyFont="1" applyFill="1" applyAlignment="1">
      <alignment horizontal="center" vertical="center"/>
    </xf>
    <xf numFmtId="0" fontId="3" fillId="0" borderId="0" xfId="0" applyFont="1" applyFill="1" applyAlignment="1">
      <alignment horizontal="center" vertical="center" wrapText="1"/>
    </xf>
    <xf numFmtId="0" fontId="5" fillId="3" borderId="1" xfId="0" applyFont="1" applyFill="1" applyBorder="1" applyAlignment="1">
      <alignment horizontal="left" vertical="center" wrapText="1"/>
    </xf>
    <xf numFmtId="0" fontId="5" fillId="3" borderId="2" xfId="0" applyFont="1" applyFill="1" applyBorder="1" applyAlignment="1">
      <alignment horizontal="left" vertical="center" wrapText="1"/>
    </xf>
    <xf numFmtId="0" fontId="8" fillId="0" borderId="0" xfId="0" applyFont="1" applyAlignment="1">
      <alignment horizontal="center" vertical="center"/>
    </xf>
    <xf numFmtId="0" fontId="9" fillId="0" borderId="1" xfId="0" applyFont="1" applyFill="1" applyBorder="1" applyAlignment="1">
      <alignment horizontal="left" vertical="center" wrapText="1"/>
    </xf>
    <xf numFmtId="0" fontId="9" fillId="0" borderId="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40"/>
  <sheetViews>
    <sheetView zoomScaleNormal="100" workbookViewId="0">
      <pane ySplit="2" topLeftCell="A23" activePane="bottomLeft" state="frozen"/>
      <selection pane="bottomLeft" activeCell="B32" sqref="B32"/>
    </sheetView>
  </sheetViews>
  <sheetFormatPr defaultColWidth="9.33203125" defaultRowHeight="13.2" x14ac:dyDescent="0.25"/>
  <cols>
    <col min="1" max="1" width="9" style="4" customWidth="1"/>
    <col min="2" max="2" width="77.44140625" style="5" customWidth="1"/>
    <col min="3" max="3" width="14.6640625" style="7" customWidth="1"/>
    <col min="4" max="4" width="4.33203125" style="1" customWidth="1"/>
    <col min="5" max="5" width="11.5546875" style="1" customWidth="1"/>
    <col min="6" max="7" width="9.33203125" style="1" customWidth="1"/>
    <col min="8" max="16384" width="9.33203125" style="1"/>
  </cols>
  <sheetData>
    <row r="1" spans="1:7" ht="17.25" customHeight="1" x14ac:dyDescent="0.25">
      <c r="A1" s="148" t="s">
        <v>0</v>
      </c>
      <c r="B1" s="148"/>
      <c r="C1" s="148"/>
    </row>
    <row r="2" spans="1:7" ht="31.5" customHeight="1" x14ac:dyDescent="0.25">
      <c r="A2" s="149" t="s">
        <v>50</v>
      </c>
      <c r="B2" s="149"/>
      <c r="C2" s="149"/>
    </row>
    <row r="3" spans="1:7" x14ac:dyDescent="0.25">
      <c r="A3" s="2"/>
      <c r="B3" s="2"/>
      <c r="C3" s="3"/>
    </row>
    <row r="4" spans="1:7" x14ac:dyDescent="0.25">
      <c r="A4" s="14"/>
      <c r="B4" s="15"/>
      <c r="C4" s="48" t="s">
        <v>1</v>
      </c>
      <c r="D4" s="12"/>
      <c r="E4" s="12"/>
      <c r="F4" s="12"/>
    </row>
    <row r="5" spans="1:7" s="6" customFormat="1" ht="15" customHeight="1" x14ac:dyDescent="0.25">
      <c r="A5" s="150" t="s">
        <v>31</v>
      </c>
      <c r="B5" s="151"/>
      <c r="C5" s="111" t="s">
        <v>24</v>
      </c>
      <c r="D5" s="17"/>
      <c r="E5" s="17"/>
      <c r="F5" s="17"/>
    </row>
    <row r="6" spans="1:7" s="6" customFormat="1" ht="15" customHeight="1" x14ac:dyDescent="0.25">
      <c r="A6" s="146" t="s">
        <v>2</v>
      </c>
      <c r="B6" s="147"/>
      <c r="C6" s="35">
        <f>C7+C11</f>
        <v>46454</v>
      </c>
      <c r="D6" s="17"/>
      <c r="E6" s="17"/>
      <c r="F6" s="17"/>
      <c r="G6" s="106"/>
    </row>
    <row r="7" spans="1:7" s="6" customFormat="1" ht="13.5" customHeight="1" x14ac:dyDescent="0.25">
      <c r="A7" s="36" t="s">
        <v>3</v>
      </c>
      <c r="B7" s="37" t="s">
        <v>4</v>
      </c>
      <c r="C7" s="38">
        <f>SUM(C8:C10)</f>
        <v>31293</v>
      </c>
      <c r="D7" s="17"/>
      <c r="E7" s="106"/>
      <c r="F7" s="17"/>
    </row>
    <row r="8" spans="1:7" ht="69" customHeight="1" x14ac:dyDescent="0.25">
      <c r="A8" s="39">
        <v>1149</v>
      </c>
      <c r="B8" s="40" t="s">
        <v>58</v>
      </c>
      <c r="C8" s="34">
        <f>ROUNDUP((((B31*1.4))/28*10)+(B31*1.4*9),0)</f>
        <v>25320</v>
      </c>
      <c r="D8" s="12"/>
      <c r="E8" s="12"/>
      <c r="F8" s="8"/>
      <c r="G8" s="105"/>
    </row>
    <row r="9" spans="1:7" ht="48.75" customHeight="1" x14ac:dyDescent="0.25">
      <c r="A9" s="41">
        <v>1210</v>
      </c>
      <c r="B9" s="11" t="s">
        <v>40</v>
      </c>
      <c r="C9" s="42">
        <f>ROUND(C8*0.2359,0)</f>
        <v>5973</v>
      </c>
      <c r="D9" s="12"/>
      <c r="E9" s="12"/>
      <c r="F9" s="12"/>
    </row>
    <row r="10" spans="1:7" s="12" customFormat="1" ht="45.75" hidden="1" customHeight="1" x14ac:dyDescent="0.25">
      <c r="A10" s="112">
        <v>1226</v>
      </c>
      <c r="B10" s="54" t="s">
        <v>23</v>
      </c>
      <c r="C10" s="50"/>
    </row>
    <row r="11" spans="1:7" x14ac:dyDescent="0.25">
      <c r="A11" s="55" t="s">
        <v>5</v>
      </c>
      <c r="B11" s="110" t="s">
        <v>6</v>
      </c>
      <c r="C11" s="53">
        <f>SUM(C12:C16)</f>
        <v>15161</v>
      </c>
      <c r="D11" s="12"/>
      <c r="E11" s="12"/>
      <c r="F11" s="12"/>
      <c r="G11" s="9"/>
    </row>
    <row r="12" spans="1:7" ht="101.7" customHeight="1" x14ac:dyDescent="0.25">
      <c r="A12" s="113">
        <v>2122</v>
      </c>
      <c r="B12" s="114" t="s">
        <v>59</v>
      </c>
      <c r="C12" s="47">
        <f>ROUNDUP(560+2,0)</f>
        <v>562</v>
      </c>
      <c r="D12" s="12"/>
      <c r="E12" s="12"/>
      <c r="F12" s="17"/>
    </row>
    <row r="13" spans="1:7" ht="43.5" customHeight="1" x14ac:dyDescent="0.25">
      <c r="A13" s="115">
        <v>2238</v>
      </c>
      <c r="B13" s="116" t="s">
        <v>60</v>
      </c>
      <c r="C13" s="34">
        <f>ROUNDUP((B35/12*10)+((B36/28)*10),0)</f>
        <v>13632</v>
      </c>
      <c r="D13" s="12"/>
      <c r="E13" s="59"/>
      <c r="F13" s="117"/>
      <c r="G13" s="9"/>
    </row>
    <row r="14" spans="1:7" s="12" customFormat="1" ht="83.7" hidden="1" customHeight="1" x14ac:dyDescent="0.25">
      <c r="A14" s="113">
        <v>2312</v>
      </c>
      <c r="B14" s="118"/>
      <c r="C14" s="47"/>
      <c r="F14" s="8"/>
      <c r="G14" s="9"/>
    </row>
    <row r="15" spans="1:7" s="12" customFormat="1" ht="255.75" customHeight="1" x14ac:dyDescent="0.25">
      <c r="A15" s="119">
        <v>2364</v>
      </c>
      <c r="B15" s="120" t="s">
        <v>61</v>
      </c>
      <c r="C15" s="42">
        <f>ROUNDUP(121+72.6+129.47+18.15+47.19+139.15+96.8+36.3+157.3+78.65+70.18,0)</f>
        <v>967</v>
      </c>
      <c r="F15" s="8"/>
      <c r="G15" s="9"/>
    </row>
    <row r="16" spans="1:7" s="12" customFormat="1" ht="41.1" hidden="1" customHeight="1" x14ac:dyDescent="0.25">
      <c r="A16" s="121">
        <v>2389</v>
      </c>
      <c r="B16" s="122"/>
      <c r="C16" s="123"/>
      <c r="F16" s="8"/>
      <c r="G16" s="9"/>
    </row>
    <row r="17" spans="1:8" ht="11.25" customHeight="1" x14ac:dyDescent="0.25">
      <c r="A17" s="94"/>
      <c r="B17" s="124"/>
      <c r="C17" s="60"/>
      <c r="D17" s="12"/>
      <c r="E17" s="12"/>
      <c r="F17" s="9"/>
      <c r="G17" s="9"/>
    </row>
    <row r="18" spans="1:8" s="12" customFormat="1" x14ac:dyDescent="0.25">
      <c r="A18" s="14"/>
      <c r="B18" s="15"/>
      <c r="C18" s="48" t="s">
        <v>1</v>
      </c>
    </row>
    <row r="19" spans="1:8" s="17" customFormat="1" ht="15" customHeight="1" x14ac:dyDescent="0.25">
      <c r="A19" s="150" t="s">
        <v>32</v>
      </c>
      <c r="B19" s="151"/>
      <c r="C19" s="125" t="s">
        <v>33</v>
      </c>
    </row>
    <row r="20" spans="1:8" s="17" customFormat="1" ht="15" customHeight="1" x14ac:dyDescent="0.25">
      <c r="A20" s="146" t="s">
        <v>2</v>
      </c>
      <c r="B20" s="147"/>
      <c r="C20" s="35">
        <f>C21+C24</f>
        <v>11564.16</v>
      </c>
      <c r="H20" s="106"/>
    </row>
    <row r="21" spans="1:8" s="17" customFormat="1" ht="13.8" x14ac:dyDescent="0.25">
      <c r="A21" s="36" t="s">
        <v>3</v>
      </c>
      <c r="B21" s="37" t="s">
        <v>4</v>
      </c>
      <c r="C21" s="38">
        <f>SUM(C22:C23)</f>
        <v>8839.16</v>
      </c>
      <c r="E21" s="106"/>
    </row>
    <row r="22" spans="1:8" s="12" customFormat="1" ht="72" customHeight="1" x14ac:dyDescent="0.25">
      <c r="A22" s="39">
        <v>1149</v>
      </c>
      <c r="B22" s="40" t="s">
        <v>62</v>
      </c>
      <c r="C22" s="34">
        <f>ROUNDUP((((B31*1.4))/28*18)+(B31*1.4*2),0)</f>
        <v>7152</v>
      </c>
      <c r="F22" s="8"/>
      <c r="G22" s="9"/>
      <c r="H22" s="9"/>
    </row>
    <row r="23" spans="1:8" s="12" customFormat="1" ht="59.25" customHeight="1" x14ac:dyDescent="0.25">
      <c r="A23" s="41">
        <v>1210</v>
      </c>
      <c r="B23" s="11" t="s">
        <v>29</v>
      </c>
      <c r="C23" s="42">
        <f>ROUNDUP(C22*0.2359,2)</f>
        <v>1687.16</v>
      </c>
    </row>
    <row r="24" spans="1:8" s="12" customFormat="1" x14ac:dyDescent="0.25">
      <c r="A24" s="55" t="s">
        <v>5</v>
      </c>
      <c r="B24" s="110" t="s">
        <v>6</v>
      </c>
      <c r="C24" s="53">
        <f>SUM(C25:C26)</f>
        <v>2725</v>
      </c>
      <c r="H24" s="9"/>
    </row>
    <row r="25" spans="1:8" s="12" customFormat="1" ht="66" x14ac:dyDescent="0.25">
      <c r="A25" s="113">
        <v>2122</v>
      </c>
      <c r="B25" s="114" t="s">
        <v>63</v>
      </c>
      <c r="C25" s="47">
        <f>ROUNDUP(560*1+2*1,0)</f>
        <v>562</v>
      </c>
      <c r="F25" s="17"/>
    </row>
    <row r="26" spans="1:8" s="12" customFormat="1" ht="55.5" customHeight="1" x14ac:dyDescent="0.25">
      <c r="A26" s="119">
        <v>2238</v>
      </c>
      <c r="B26" s="126" t="s">
        <v>64</v>
      </c>
      <c r="C26" s="42">
        <f>ROUNDUP((B35/12*1)+((B36/28)*18),0)</f>
        <v>2163</v>
      </c>
      <c r="F26" s="8"/>
      <c r="G26" s="9"/>
    </row>
    <row r="27" spans="1:8" ht="44.4" customHeight="1" x14ac:dyDescent="0.25">
      <c r="A27" s="145" t="s">
        <v>65</v>
      </c>
      <c r="B27" s="145"/>
      <c r="C27" s="145"/>
      <c r="D27" s="12"/>
      <c r="E27" s="12"/>
      <c r="F27" s="12"/>
    </row>
    <row r="28" spans="1:8" s="71" customFormat="1" ht="12" hidden="1" x14ac:dyDescent="0.25">
      <c r="A28" s="68"/>
      <c r="B28" s="69"/>
      <c r="C28" s="68"/>
    </row>
    <row r="29" spans="1:8" s="71" customFormat="1" ht="12" hidden="1" x14ac:dyDescent="0.25">
      <c r="A29" s="80"/>
      <c r="B29" s="127" t="s">
        <v>7</v>
      </c>
      <c r="C29" s="68"/>
    </row>
    <row r="30" spans="1:8" s="71" customFormat="1" ht="12" hidden="1" x14ac:dyDescent="0.25">
      <c r="A30" s="73" t="s">
        <v>8</v>
      </c>
      <c r="B30" s="76">
        <v>23193</v>
      </c>
      <c r="C30" s="68"/>
    </row>
    <row r="31" spans="1:8" s="71" customFormat="1" ht="12" hidden="1" x14ac:dyDescent="0.25">
      <c r="A31" s="73" t="s">
        <v>9</v>
      </c>
      <c r="B31" s="77">
        <v>1932.75</v>
      </c>
      <c r="C31" s="68"/>
    </row>
    <row r="32" spans="1:8" s="71" customFormat="1" ht="10.95" customHeight="1" x14ac:dyDescent="0.25">
      <c r="A32" s="68"/>
      <c r="B32" s="69"/>
      <c r="C32" s="68"/>
    </row>
    <row r="33" spans="1:3" s="71" customFormat="1" ht="42.6" hidden="1" customHeight="1" x14ac:dyDescent="0.25">
      <c r="A33" s="68"/>
      <c r="B33" s="69"/>
      <c r="C33" s="68"/>
    </row>
    <row r="34" spans="1:3" s="71" customFormat="1" ht="12" hidden="1" x14ac:dyDescent="0.25">
      <c r="A34" s="80"/>
      <c r="B34" s="127" t="s">
        <v>7</v>
      </c>
      <c r="C34" s="128"/>
    </row>
    <row r="35" spans="1:3" s="71" customFormat="1" ht="1.2" hidden="1" customHeight="1" x14ac:dyDescent="0.25">
      <c r="A35" s="73" t="s">
        <v>8</v>
      </c>
      <c r="B35" s="92">
        <v>15793.88</v>
      </c>
      <c r="C35" s="68"/>
    </row>
    <row r="36" spans="1:3" s="71" customFormat="1" ht="42" hidden="1" customHeight="1" x14ac:dyDescent="0.25">
      <c r="A36" s="73" t="s">
        <v>9</v>
      </c>
      <c r="B36" s="78">
        <f>ROUND(B35/12,2)</f>
        <v>1316.16</v>
      </c>
      <c r="C36" s="68"/>
    </row>
    <row r="37" spans="1:3" s="17" customFormat="1" ht="21.6" customHeight="1" x14ac:dyDescent="0.25">
      <c r="A37" s="64"/>
      <c r="B37" s="67"/>
      <c r="C37" s="64"/>
    </row>
    <row r="38" spans="1:3" s="17" customFormat="1" ht="21.75" customHeight="1" x14ac:dyDescent="0.25">
      <c r="A38" s="64"/>
      <c r="B38" s="66"/>
      <c r="C38" s="64"/>
    </row>
    <row r="39" spans="1:3" ht="21.75" customHeight="1" x14ac:dyDescent="0.25"/>
    <row r="40" spans="1:3" ht="21.75" customHeight="1" x14ac:dyDescent="0.25"/>
  </sheetData>
  <mergeCells count="7">
    <mergeCell ref="A27:C27"/>
    <mergeCell ref="A20:B20"/>
    <mergeCell ref="A1:C1"/>
    <mergeCell ref="A2:C2"/>
    <mergeCell ref="A5:B5"/>
    <mergeCell ref="A6:B6"/>
    <mergeCell ref="A19:B19"/>
  </mergeCells>
  <pageMargins left="0.25" right="0.25" top="0.75" bottom="0.75" header="0.3" footer="0.3"/>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40"/>
  <sheetViews>
    <sheetView zoomScaleNormal="100" workbookViewId="0">
      <pane ySplit="4" topLeftCell="A5" activePane="bottomLeft" state="frozen"/>
      <selection pane="bottomLeft" activeCell="E11" sqref="E11"/>
    </sheetView>
  </sheetViews>
  <sheetFormatPr defaultColWidth="9.33203125" defaultRowHeight="13.2" x14ac:dyDescent="0.25"/>
  <cols>
    <col min="1" max="1" width="10.44140625" style="14" customWidth="1"/>
    <col min="2" max="2" width="76.6640625" style="15" customWidth="1"/>
    <col min="3" max="3" width="19.5546875" style="7" customWidth="1"/>
    <col min="4" max="4" width="4.33203125" style="12" customWidth="1"/>
    <col min="5" max="5" width="11.5546875" style="12" customWidth="1"/>
    <col min="6" max="7" width="9.33203125" style="12" customWidth="1"/>
    <col min="8" max="16384" width="9.33203125" style="12"/>
  </cols>
  <sheetData>
    <row r="1" spans="1:10" ht="17.25" customHeight="1" x14ac:dyDescent="0.25">
      <c r="A1" s="148" t="s">
        <v>0</v>
      </c>
      <c r="B1" s="148"/>
      <c r="C1" s="148"/>
    </row>
    <row r="2" spans="1:10" ht="31.5" customHeight="1" x14ac:dyDescent="0.25">
      <c r="A2" s="149" t="s">
        <v>35</v>
      </c>
      <c r="B2" s="149"/>
      <c r="C2" s="149"/>
    </row>
    <row r="3" spans="1:10" x14ac:dyDescent="0.25">
      <c r="A3" s="13"/>
      <c r="B3" s="13"/>
      <c r="C3" s="103"/>
    </row>
    <row r="4" spans="1:10" x14ac:dyDescent="0.25">
      <c r="C4" s="16" t="s">
        <v>1</v>
      </c>
    </row>
    <row r="5" spans="1:10" s="17" customFormat="1" ht="15" customHeight="1" x14ac:dyDescent="0.25">
      <c r="A5" s="150" t="s">
        <v>36</v>
      </c>
      <c r="B5" s="151"/>
      <c r="C5" s="111" t="s">
        <v>24</v>
      </c>
    </row>
    <row r="6" spans="1:10" s="17" customFormat="1" ht="15" customHeight="1" x14ac:dyDescent="0.25">
      <c r="A6" s="146" t="s">
        <v>2</v>
      </c>
      <c r="B6" s="147"/>
      <c r="C6" s="35">
        <f>C7+C11</f>
        <v>33664</v>
      </c>
    </row>
    <row r="7" spans="1:10" s="17" customFormat="1" ht="13.5" customHeight="1" x14ac:dyDescent="0.25">
      <c r="A7" s="36" t="s">
        <v>3</v>
      </c>
      <c r="B7" s="37" t="s">
        <v>4</v>
      </c>
      <c r="C7" s="38">
        <f>SUM(C8:C10)</f>
        <v>22115</v>
      </c>
      <c r="G7" s="106"/>
    </row>
    <row r="8" spans="1:10" ht="69" customHeight="1" x14ac:dyDescent="0.25">
      <c r="A8" s="39">
        <v>1149</v>
      </c>
      <c r="B8" s="40" t="s">
        <v>66</v>
      </c>
      <c r="C8" s="34">
        <f>ROUNDUP((((B31*1.4))/31*19)+(B31*1.4*6),0)</f>
        <v>17894</v>
      </c>
      <c r="F8" s="8"/>
      <c r="G8" s="105"/>
    </row>
    <row r="9" spans="1:10" ht="48.75" customHeight="1" x14ac:dyDescent="0.25">
      <c r="A9" s="41">
        <v>1210</v>
      </c>
      <c r="B9" s="11" t="s">
        <v>67</v>
      </c>
      <c r="C9" s="42">
        <f>ROUND(C8*0.2359,0)</f>
        <v>4221</v>
      </c>
      <c r="J9" s="59"/>
    </row>
    <row r="10" spans="1:10" ht="225" hidden="1" customHeight="1" x14ac:dyDescent="0.25">
      <c r="A10" s="112">
        <v>1226</v>
      </c>
      <c r="B10" s="54" t="s">
        <v>23</v>
      </c>
      <c r="C10" s="50"/>
    </row>
    <row r="11" spans="1:10" ht="13.8" x14ac:dyDescent="0.25">
      <c r="A11" s="55" t="s">
        <v>5</v>
      </c>
      <c r="B11" s="110" t="s">
        <v>6</v>
      </c>
      <c r="C11" s="107">
        <f>SUM(C12:C16)</f>
        <v>11549</v>
      </c>
    </row>
    <row r="12" spans="1:10" ht="101.7" customHeight="1" x14ac:dyDescent="0.25">
      <c r="A12" s="113">
        <v>2122</v>
      </c>
      <c r="B12" s="114" t="s">
        <v>59</v>
      </c>
      <c r="C12" s="47">
        <f>ROUNDUP((560+2),0)</f>
        <v>562</v>
      </c>
      <c r="F12" s="17"/>
    </row>
    <row r="13" spans="1:10" ht="69" customHeight="1" x14ac:dyDescent="0.25">
      <c r="A13" s="115">
        <v>2238</v>
      </c>
      <c r="B13" s="129" t="s">
        <v>68</v>
      </c>
      <c r="C13" s="34">
        <f>ROUNDUP((B35/12*7)+((B36/31)*19),0)</f>
        <v>10020</v>
      </c>
      <c r="E13" s="59"/>
      <c r="F13" s="91"/>
      <c r="G13" s="9"/>
    </row>
    <row r="14" spans="1:10" ht="27" hidden="1" customHeight="1" x14ac:dyDescent="0.25">
      <c r="A14" s="113">
        <v>2312</v>
      </c>
      <c r="B14" s="87"/>
      <c r="C14" s="34"/>
      <c r="F14" s="8"/>
      <c r="G14" s="9"/>
    </row>
    <row r="15" spans="1:10" ht="250.5" customHeight="1" x14ac:dyDescent="0.25">
      <c r="A15" s="115">
        <v>2364</v>
      </c>
      <c r="B15" s="120" t="s">
        <v>69</v>
      </c>
      <c r="C15" s="130">
        <f>ROUNDUP(121+72.6+129.47+18.15+47.19+139.15+96.8+36.3+157.3+78.65+70.18,0)</f>
        <v>967</v>
      </c>
      <c r="F15" s="8"/>
      <c r="G15" s="9"/>
    </row>
    <row r="16" spans="1:10" ht="102" hidden="1" customHeight="1" x14ac:dyDescent="0.25">
      <c r="A16" s="121">
        <v>2389</v>
      </c>
      <c r="B16" s="131"/>
      <c r="C16" s="123"/>
      <c r="F16" s="8"/>
      <c r="G16" s="9"/>
    </row>
    <row r="17" spans="1:7" ht="11.25" customHeight="1" x14ac:dyDescent="0.25">
      <c r="A17" s="94"/>
      <c r="B17" s="124"/>
      <c r="C17" s="60"/>
      <c r="F17" s="9"/>
      <c r="G17" s="9"/>
    </row>
    <row r="18" spans="1:7" x14ac:dyDescent="0.25">
      <c r="C18" s="48" t="s">
        <v>1</v>
      </c>
    </row>
    <row r="19" spans="1:7" s="17" customFormat="1" ht="15" customHeight="1" x14ac:dyDescent="0.25">
      <c r="A19" s="150" t="s">
        <v>37</v>
      </c>
      <c r="B19" s="151"/>
      <c r="C19" s="111" t="s">
        <v>33</v>
      </c>
    </row>
    <row r="20" spans="1:7" s="17" customFormat="1" ht="15" customHeight="1" x14ac:dyDescent="0.25">
      <c r="A20" s="146" t="s">
        <v>2</v>
      </c>
      <c r="B20" s="147"/>
      <c r="C20" s="35">
        <f>C21+C24</f>
        <v>24353</v>
      </c>
    </row>
    <row r="21" spans="1:7" s="17" customFormat="1" ht="13.8" x14ac:dyDescent="0.25">
      <c r="A21" s="36" t="s">
        <v>3</v>
      </c>
      <c r="B21" s="37" t="s">
        <v>4</v>
      </c>
      <c r="C21" s="38">
        <f>SUM(C22:C23)</f>
        <v>18016</v>
      </c>
    </row>
    <row r="22" spans="1:7" ht="72" customHeight="1" x14ac:dyDescent="0.25">
      <c r="A22" s="39">
        <v>1149</v>
      </c>
      <c r="B22" s="40" t="s">
        <v>70</v>
      </c>
      <c r="C22" s="34">
        <f>ROUNDUP((((B31*1.4))/31*12)+(B31*1.4*5),0)</f>
        <v>14577</v>
      </c>
      <c r="F22" s="8"/>
      <c r="G22" s="9"/>
    </row>
    <row r="23" spans="1:7" ht="41.25" customHeight="1" x14ac:dyDescent="0.25">
      <c r="A23" s="41">
        <v>1210</v>
      </c>
      <c r="B23" s="11" t="s">
        <v>71</v>
      </c>
      <c r="C23" s="42">
        <f>ROUNDUP(C22*0.2359,0)</f>
        <v>3439</v>
      </c>
    </row>
    <row r="24" spans="1:7" ht="13.8" x14ac:dyDescent="0.25">
      <c r="A24" s="55" t="s">
        <v>5</v>
      </c>
      <c r="B24" s="110" t="s">
        <v>6</v>
      </c>
      <c r="C24" s="107">
        <f>SUM(C25:C26)</f>
        <v>6337</v>
      </c>
    </row>
    <row r="25" spans="1:7" ht="66" x14ac:dyDescent="0.25">
      <c r="A25" s="113">
        <v>2122</v>
      </c>
      <c r="B25" s="114" t="s">
        <v>63</v>
      </c>
      <c r="C25" s="47">
        <f>ROUNDUP(560*1+2*1,0)</f>
        <v>562</v>
      </c>
      <c r="F25" s="17"/>
    </row>
    <row r="26" spans="1:7" ht="55.5" customHeight="1" x14ac:dyDescent="0.25">
      <c r="A26" s="119">
        <v>2238</v>
      </c>
      <c r="B26" s="126" t="s">
        <v>72</v>
      </c>
      <c r="C26" s="42">
        <f>ROUNDUP((B35/12*4)+((B36/31)*12),0)</f>
        <v>5775</v>
      </c>
      <c r="F26" s="8"/>
      <c r="G26" s="9"/>
    </row>
    <row r="27" spans="1:7" ht="31.8" customHeight="1" x14ac:dyDescent="0.25">
      <c r="A27" s="145" t="s">
        <v>65</v>
      </c>
      <c r="B27" s="145"/>
      <c r="C27" s="145"/>
    </row>
    <row r="28" spans="1:7" s="71" customFormat="1" ht="12" hidden="1" x14ac:dyDescent="0.25">
      <c r="A28" s="68"/>
      <c r="B28" s="69"/>
      <c r="C28" s="70"/>
    </row>
    <row r="29" spans="1:7" s="71" customFormat="1" ht="12" hidden="1" x14ac:dyDescent="0.25">
      <c r="A29" s="80"/>
      <c r="B29" s="81" t="s">
        <v>34</v>
      </c>
      <c r="C29" s="70"/>
    </row>
    <row r="30" spans="1:7" s="71" customFormat="1" ht="12" hidden="1" x14ac:dyDescent="0.25">
      <c r="A30" s="73" t="s">
        <v>8</v>
      </c>
      <c r="B30" s="76">
        <v>23193</v>
      </c>
      <c r="C30" s="70"/>
    </row>
    <row r="31" spans="1:7" s="71" customFormat="1" ht="225" hidden="1" customHeight="1" x14ac:dyDescent="0.25">
      <c r="A31" s="73" t="s">
        <v>9</v>
      </c>
      <c r="B31" s="77">
        <v>1932.75</v>
      </c>
      <c r="C31" s="70"/>
    </row>
    <row r="32" spans="1:7" s="71" customFormat="1" ht="3.6" customHeight="1" x14ac:dyDescent="0.25">
      <c r="A32" s="68"/>
      <c r="B32" s="69"/>
      <c r="C32" s="70"/>
    </row>
    <row r="33" spans="1:3" s="71" customFormat="1" ht="3" customHeight="1" x14ac:dyDescent="0.25">
      <c r="A33" s="68"/>
      <c r="B33" s="69"/>
      <c r="C33" s="70"/>
    </row>
    <row r="34" spans="1:3" s="71" customFormat="1" ht="225" hidden="1" customHeight="1" x14ac:dyDescent="0.25">
      <c r="A34" s="80"/>
      <c r="B34" s="81" t="s">
        <v>34</v>
      </c>
      <c r="C34" s="72"/>
    </row>
    <row r="35" spans="1:3" s="71" customFormat="1" ht="225" hidden="1" customHeight="1" x14ac:dyDescent="0.25">
      <c r="A35" s="73" t="s">
        <v>8</v>
      </c>
      <c r="B35" s="92">
        <v>15793.88</v>
      </c>
      <c r="C35" s="70"/>
    </row>
    <row r="36" spans="1:3" s="71" customFormat="1" ht="225" hidden="1" customHeight="1" x14ac:dyDescent="0.25">
      <c r="A36" s="73" t="s">
        <v>9</v>
      </c>
      <c r="B36" s="78">
        <f>ROUND(B35/12,2)</f>
        <v>1316.16</v>
      </c>
      <c r="C36" s="70"/>
    </row>
    <row r="37" spans="1:3" s="17" customFormat="1" ht="17.399999999999999" customHeight="1" x14ac:dyDescent="0.25">
      <c r="A37" s="64"/>
      <c r="B37" s="67"/>
      <c r="C37" s="65"/>
    </row>
    <row r="38" spans="1:3" s="17" customFormat="1" ht="21.75" customHeight="1" x14ac:dyDescent="0.25">
      <c r="A38" s="64"/>
      <c r="B38" s="66"/>
      <c r="C38" s="65"/>
    </row>
    <row r="39" spans="1:3" ht="21.75" customHeight="1" x14ac:dyDescent="0.25"/>
    <row r="40" spans="1:3" ht="21.75" customHeight="1" x14ac:dyDescent="0.25"/>
  </sheetData>
  <mergeCells count="7">
    <mergeCell ref="A27:C27"/>
    <mergeCell ref="A20:B20"/>
    <mergeCell ref="A1:C1"/>
    <mergeCell ref="A2:C2"/>
    <mergeCell ref="A5:B5"/>
    <mergeCell ref="A6:B6"/>
    <mergeCell ref="A19:B19"/>
  </mergeCells>
  <pageMargins left="0.23622047244094491" right="0.23622047244094491" top="0.74803149606299213" bottom="0.74803149606299213" header="0.31496062992125984" footer="0.31496062992125984"/>
  <pageSetup paperSize="9" scale="95" fitToHeight="0" orientation="portrait" r:id="rId1"/>
  <rowBreaks count="1" manualBreakCount="1">
    <brk id="1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48"/>
  <sheetViews>
    <sheetView zoomScaleNormal="100" workbookViewId="0">
      <pane ySplit="2" topLeftCell="A23" activePane="bottomLeft" state="frozen"/>
      <selection pane="bottomLeft" activeCell="L47" sqref="L47"/>
    </sheetView>
  </sheetViews>
  <sheetFormatPr defaultColWidth="9.33203125" defaultRowHeight="13.2" x14ac:dyDescent="0.25"/>
  <cols>
    <col min="1" max="1" width="7.6640625" style="14" customWidth="1"/>
    <col min="2" max="2" width="74.5546875" style="15" customWidth="1"/>
    <col min="3" max="3" width="14.6640625" style="14" customWidth="1"/>
    <col min="4" max="4" width="2.5546875" style="12" customWidth="1"/>
    <col min="5" max="5" width="9.33203125" style="12"/>
    <col min="6" max="7" width="9.33203125" style="12" customWidth="1"/>
    <col min="8" max="16384" width="9.33203125" style="12"/>
  </cols>
  <sheetData>
    <row r="1" spans="1:11" ht="16.5" customHeight="1" x14ac:dyDescent="0.25">
      <c r="A1" s="148" t="s">
        <v>0</v>
      </c>
      <c r="B1" s="148"/>
      <c r="C1" s="148"/>
    </row>
    <row r="2" spans="1:11" ht="31.5" customHeight="1" x14ac:dyDescent="0.25">
      <c r="A2" s="149" t="s">
        <v>51</v>
      </c>
      <c r="B2" s="149"/>
      <c r="C2" s="149"/>
    </row>
    <row r="3" spans="1:11" x14ac:dyDescent="0.25">
      <c r="A3" s="13"/>
      <c r="B3" s="13"/>
      <c r="C3" s="13"/>
    </row>
    <row r="4" spans="1:11" x14ac:dyDescent="0.25">
      <c r="C4" s="48" t="s">
        <v>1</v>
      </c>
    </row>
    <row r="5" spans="1:11" s="17" customFormat="1" ht="15" customHeight="1" x14ac:dyDescent="0.25">
      <c r="A5" s="150" t="s">
        <v>38</v>
      </c>
      <c r="B5" s="151"/>
      <c r="C5" s="111" t="s">
        <v>24</v>
      </c>
    </row>
    <row r="6" spans="1:11" s="17" customFormat="1" ht="15" customHeight="1" x14ac:dyDescent="0.25">
      <c r="A6" s="146" t="s">
        <v>2</v>
      </c>
      <c r="B6" s="147"/>
      <c r="C6" s="35">
        <f>C7+C11</f>
        <v>34487</v>
      </c>
    </row>
    <row r="7" spans="1:11" s="17" customFormat="1" ht="13.8" x14ac:dyDescent="0.25">
      <c r="A7" s="36" t="s">
        <v>3</v>
      </c>
      <c r="B7" s="37" t="s">
        <v>4</v>
      </c>
      <c r="C7" s="38">
        <f>SUM(C8:C10)</f>
        <v>22932</v>
      </c>
      <c r="G7" s="104"/>
      <c r="H7" s="104"/>
      <c r="J7" s="106"/>
    </row>
    <row r="8" spans="1:11" ht="111" customHeight="1" x14ac:dyDescent="0.25">
      <c r="A8" s="39">
        <v>1149</v>
      </c>
      <c r="B8" s="40" t="s">
        <v>73</v>
      </c>
      <c r="C8" s="34">
        <f>ROUNDUP((((B32*1.4))/31*19)+(B32*1.4*6)+((100*6)+(100/31*19)),0)</f>
        <v>18555</v>
      </c>
      <c r="F8" s="8"/>
      <c r="G8" s="9"/>
      <c r="H8" s="9"/>
      <c r="J8" s="9"/>
      <c r="K8" s="9"/>
    </row>
    <row r="9" spans="1:11" ht="39.6" x14ac:dyDescent="0.25">
      <c r="A9" s="41">
        <v>1210</v>
      </c>
      <c r="B9" s="11" t="s">
        <v>74</v>
      </c>
      <c r="C9" s="42">
        <f>ROUND(C8*0.2359,0)</f>
        <v>4377</v>
      </c>
    </row>
    <row r="10" spans="1:11" ht="45.75" hidden="1" customHeight="1" x14ac:dyDescent="0.25">
      <c r="A10" s="112">
        <v>1226</v>
      </c>
      <c r="B10" s="49" t="s">
        <v>23</v>
      </c>
      <c r="C10" s="50"/>
    </row>
    <row r="11" spans="1:11" x14ac:dyDescent="0.25">
      <c r="A11" s="55" t="s">
        <v>5</v>
      </c>
      <c r="B11" s="110" t="s">
        <v>6</v>
      </c>
      <c r="C11" s="53">
        <f>SUM(C12:C16)</f>
        <v>11555</v>
      </c>
    </row>
    <row r="12" spans="1:11" ht="93.45" customHeight="1" x14ac:dyDescent="0.25">
      <c r="A12" s="113">
        <v>2122</v>
      </c>
      <c r="B12" s="114" t="s">
        <v>75</v>
      </c>
      <c r="C12" s="47">
        <f>ROUNDUP(560+2,0)</f>
        <v>562</v>
      </c>
      <c r="F12" s="17"/>
    </row>
    <row r="13" spans="1:11" ht="67.5" customHeight="1" x14ac:dyDescent="0.25">
      <c r="A13" s="115">
        <v>2238</v>
      </c>
      <c r="B13" s="129" t="s">
        <v>68</v>
      </c>
      <c r="C13" s="34">
        <f>ROUNDUP((B40/12*7)+((B41/31)*19),0)</f>
        <v>10020</v>
      </c>
      <c r="F13" s="8"/>
      <c r="G13" s="9"/>
    </row>
    <row r="14" spans="1:11" hidden="1" x14ac:dyDescent="0.25">
      <c r="A14" s="113">
        <v>2312</v>
      </c>
      <c r="B14" s="118"/>
      <c r="C14" s="132"/>
      <c r="F14" s="8"/>
      <c r="G14" s="9"/>
    </row>
    <row r="15" spans="1:11" ht="258.75" customHeight="1" x14ac:dyDescent="0.25">
      <c r="A15" s="119">
        <v>2364</v>
      </c>
      <c r="B15" s="120" t="s">
        <v>76</v>
      </c>
      <c r="C15" s="42">
        <f>ROUNDUP(127.05+72.6+129.47+18.15+47.19+139.15+96.8+36.3+157.3+78.65+70.18,0)</f>
        <v>973</v>
      </c>
      <c r="F15" s="8"/>
      <c r="G15" s="9"/>
    </row>
    <row r="16" spans="1:11" hidden="1" x14ac:dyDescent="0.25">
      <c r="A16" s="121">
        <v>2389</v>
      </c>
      <c r="B16" s="122"/>
      <c r="C16" s="133"/>
      <c r="F16" s="8"/>
      <c r="G16" s="9"/>
    </row>
    <row r="17" spans="1:13" ht="11.25" customHeight="1" x14ac:dyDescent="0.25">
      <c r="A17" s="94"/>
      <c r="B17" s="124"/>
      <c r="C17" s="60"/>
      <c r="F17" s="9"/>
      <c r="G17" s="9"/>
    </row>
    <row r="18" spans="1:13" x14ac:dyDescent="0.25">
      <c r="C18" s="48" t="s">
        <v>1</v>
      </c>
    </row>
    <row r="19" spans="1:13" s="17" customFormat="1" ht="15" customHeight="1" x14ac:dyDescent="0.25">
      <c r="A19" s="150" t="s">
        <v>37</v>
      </c>
      <c r="B19" s="151"/>
      <c r="C19" s="111" t="s">
        <v>33</v>
      </c>
    </row>
    <row r="20" spans="1:13" s="17" customFormat="1" ht="15" customHeight="1" x14ac:dyDescent="0.25">
      <c r="A20" s="146" t="s">
        <v>2</v>
      </c>
      <c r="B20" s="147"/>
      <c r="C20" s="35">
        <f>C21+C24</f>
        <v>25019</v>
      </c>
    </row>
    <row r="21" spans="1:13" s="17" customFormat="1" ht="13.8" x14ac:dyDescent="0.25">
      <c r="A21" s="36" t="s">
        <v>3</v>
      </c>
      <c r="B21" s="37" t="s">
        <v>4</v>
      </c>
      <c r="C21" s="38">
        <f>SUM(C22:C23)</f>
        <v>18682</v>
      </c>
    </row>
    <row r="22" spans="1:13" ht="109.2" customHeight="1" x14ac:dyDescent="0.25">
      <c r="A22" s="39">
        <v>1149</v>
      </c>
      <c r="B22" s="40" t="s">
        <v>54</v>
      </c>
      <c r="C22" s="34">
        <f>ROUNDUP((((B32*1.4))/31*12)+(B32*1.4*5)+((100*5)+(100/31*12)),0)</f>
        <v>15116</v>
      </c>
      <c r="F22" s="8"/>
      <c r="G22" s="9"/>
      <c r="H22" s="9"/>
      <c r="K22" s="9"/>
      <c r="M22" s="9"/>
    </row>
    <row r="23" spans="1:13" ht="43.5" customHeight="1" x14ac:dyDescent="0.25">
      <c r="A23" s="41">
        <v>1210</v>
      </c>
      <c r="B23" s="11" t="s">
        <v>48</v>
      </c>
      <c r="C23" s="42">
        <f>ROUNDUP(C22*0.2359,0)</f>
        <v>3566</v>
      </c>
    </row>
    <row r="24" spans="1:13" x14ac:dyDescent="0.25">
      <c r="A24" s="55" t="s">
        <v>5</v>
      </c>
      <c r="B24" s="110" t="s">
        <v>6</v>
      </c>
      <c r="C24" s="53">
        <f>SUM(C25:C26)</f>
        <v>6337</v>
      </c>
    </row>
    <row r="25" spans="1:13" ht="68.25" customHeight="1" x14ac:dyDescent="0.25">
      <c r="A25" s="113">
        <v>2122</v>
      </c>
      <c r="B25" s="114" t="s">
        <v>63</v>
      </c>
      <c r="C25" s="47">
        <f>ROUNDUP(560*1+2*1,0)</f>
        <v>562</v>
      </c>
      <c r="F25" s="17"/>
    </row>
    <row r="26" spans="1:13" ht="57" customHeight="1" x14ac:dyDescent="0.25">
      <c r="A26" s="119">
        <v>2238</v>
      </c>
      <c r="B26" s="126" t="s">
        <v>72</v>
      </c>
      <c r="C26" s="42">
        <f>ROUNDUP((B40/12*4)+((B41/31)*12),0)</f>
        <v>5775</v>
      </c>
      <c r="F26" s="8"/>
      <c r="G26" s="9"/>
    </row>
    <row r="27" spans="1:13" ht="40.200000000000003" customHeight="1" x14ac:dyDescent="0.25">
      <c r="A27" s="145" t="s">
        <v>65</v>
      </c>
      <c r="B27" s="145"/>
      <c r="C27" s="145"/>
      <c r="F27" s="8"/>
      <c r="G27" s="9"/>
    </row>
    <row r="28" spans="1:13" ht="75.599999999999994" customHeight="1" x14ac:dyDescent="0.25">
      <c r="A28" s="145" t="s">
        <v>55</v>
      </c>
      <c r="B28" s="145"/>
      <c r="C28" s="145"/>
    </row>
    <row r="29" spans="1:13" s="75" customFormat="1" ht="12" hidden="1" x14ac:dyDescent="0.25">
      <c r="A29" s="73"/>
      <c r="B29" s="74"/>
      <c r="C29" s="73"/>
    </row>
    <row r="30" spans="1:13" s="82" customFormat="1" ht="11.4" hidden="1" x14ac:dyDescent="0.2">
      <c r="A30" s="80"/>
      <c r="B30" s="127" t="s">
        <v>34</v>
      </c>
      <c r="C30" s="80"/>
    </row>
    <row r="31" spans="1:13" s="75" customFormat="1" ht="12" hidden="1" x14ac:dyDescent="0.25">
      <c r="A31" s="73" t="s">
        <v>8</v>
      </c>
      <c r="B31" s="76">
        <v>23193</v>
      </c>
      <c r="C31" s="73"/>
    </row>
    <row r="32" spans="1:13" s="75" customFormat="1" ht="12" hidden="1" x14ac:dyDescent="0.25">
      <c r="A32" s="73" t="s">
        <v>9</v>
      </c>
      <c r="B32" s="77">
        <f>ROUND(B31/12,2)</f>
        <v>1932.75</v>
      </c>
      <c r="C32" s="73">
        <f>ROUND(B32*1.4,2)</f>
        <v>2705.85</v>
      </c>
    </row>
    <row r="33" spans="1:3" s="75" customFormat="1" ht="12" hidden="1" x14ac:dyDescent="0.25">
      <c r="A33" s="73"/>
      <c r="B33" s="74"/>
      <c r="C33" s="73"/>
    </row>
    <row r="34" spans="1:3" s="75" customFormat="1" ht="12" hidden="1" x14ac:dyDescent="0.25">
      <c r="A34" s="73"/>
      <c r="B34" s="78"/>
      <c r="C34" s="73"/>
    </row>
    <row r="35" spans="1:3" s="75" customFormat="1" ht="12" hidden="1" x14ac:dyDescent="0.25">
      <c r="A35" s="73"/>
      <c r="B35" s="79"/>
      <c r="C35" s="73"/>
    </row>
    <row r="36" spans="1:3" s="75" customFormat="1" ht="12" hidden="1" x14ac:dyDescent="0.25">
      <c r="A36" s="73"/>
      <c r="B36" s="79"/>
      <c r="C36" s="73"/>
    </row>
    <row r="37" spans="1:3" s="75" customFormat="1" ht="12" hidden="1" x14ac:dyDescent="0.25">
      <c r="A37" s="73"/>
      <c r="B37" s="74"/>
      <c r="C37" s="73"/>
    </row>
    <row r="38" spans="1:3" s="75" customFormat="1" ht="12" hidden="1" x14ac:dyDescent="0.25">
      <c r="A38" s="73"/>
      <c r="B38" s="74"/>
      <c r="C38" s="73"/>
    </row>
    <row r="39" spans="1:3" s="82" customFormat="1" ht="11.4" hidden="1" x14ac:dyDescent="0.2">
      <c r="A39" s="80"/>
      <c r="B39" s="127" t="s">
        <v>34</v>
      </c>
      <c r="C39" s="134">
        <v>11895.21</v>
      </c>
    </row>
    <row r="40" spans="1:3" s="75" customFormat="1" ht="12" hidden="1" x14ac:dyDescent="0.25">
      <c r="A40" s="73" t="s">
        <v>8</v>
      </c>
      <c r="B40" s="79">
        <v>15793.88</v>
      </c>
      <c r="C40" s="73"/>
    </row>
    <row r="41" spans="1:3" s="75" customFormat="1" ht="12" hidden="1" x14ac:dyDescent="0.25">
      <c r="A41" s="73" t="s">
        <v>9</v>
      </c>
      <c r="B41" s="78">
        <f>ROUND(B40/12,2)</f>
        <v>1316.16</v>
      </c>
      <c r="C41" s="73"/>
    </row>
    <row r="42" spans="1:3" s="75" customFormat="1" ht="10.95" hidden="1" customHeight="1" x14ac:dyDescent="0.25">
      <c r="A42" s="73"/>
      <c r="B42" s="78"/>
      <c r="C42" s="73"/>
    </row>
    <row r="43" spans="1:3" s="75" customFormat="1" ht="12" x14ac:dyDescent="0.25">
      <c r="A43" s="73"/>
      <c r="B43" s="74"/>
      <c r="C43" s="73"/>
    </row>
    <row r="44" spans="1:3" s="75" customFormat="1" ht="12" x14ac:dyDescent="0.25">
      <c r="A44" s="73"/>
      <c r="B44" s="74"/>
      <c r="C44" s="73"/>
    </row>
    <row r="45" spans="1:3" s="75" customFormat="1" ht="12" x14ac:dyDescent="0.25">
      <c r="A45" s="73"/>
      <c r="B45" s="74"/>
      <c r="C45" s="73"/>
    </row>
    <row r="46" spans="1:3" s="75" customFormat="1" ht="12" x14ac:dyDescent="0.25">
      <c r="A46" s="73"/>
      <c r="B46" s="74"/>
      <c r="C46" s="73"/>
    </row>
    <row r="47" spans="1:3" s="75" customFormat="1" ht="12" x14ac:dyDescent="0.25">
      <c r="A47" s="73"/>
      <c r="B47" s="74"/>
      <c r="C47" s="73"/>
    </row>
    <row r="48" spans="1:3" s="75" customFormat="1" ht="12" x14ac:dyDescent="0.25">
      <c r="A48" s="73"/>
      <c r="B48" s="74"/>
      <c r="C48" s="73"/>
    </row>
  </sheetData>
  <mergeCells count="8">
    <mergeCell ref="A28:C28"/>
    <mergeCell ref="A20:B20"/>
    <mergeCell ref="A1:C1"/>
    <mergeCell ref="A2:C2"/>
    <mergeCell ref="A5:B5"/>
    <mergeCell ref="A6:B6"/>
    <mergeCell ref="A19:B19"/>
    <mergeCell ref="A27:C27"/>
  </mergeCells>
  <pageMargins left="0.23622047244094491" right="0.23622047244094491" top="0.74803149606299213" bottom="0.74803149606299213" header="0.31496062992125984" footer="0.31496062992125984"/>
  <pageSetup paperSize="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44"/>
  <sheetViews>
    <sheetView zoomScaleNormal="100" workbookViewId="0">
      <pane ySplit="3" topLeftCell="A23" activePane="bottomLeft" state="frozen"/>
      <selection pane="bottomLeft" activeCell="B44" sqref="B44"/>
    </sheetView>
  </sheetViews>
  <sheetFormatPr defaultColWidth="9.33203125" defaultRowHeight="13.2" x14ac:dyDescent="0.25"/>
  <cols>
    <col min="1" max="1" width="6.33203125" style="14" customWidth="1"/>
    <col min="2" max="2" width="72.33203125" style="15" customWidth="1"/>
    <col min="3" max="3" width="14.5546875" style="7" customWidth="1"/>
    <col min="4" max="4" width="9.33203125" style="12" customWidth="1"/>
    <col min="5" max="5" width="11.44140625" style="63" customWidth="1"/>
    <col min="6" max="10" width="9.33203125" style="63"/>
    <col min="11" max="16384" width="9.33203125" style="12"/>
  </cols>
  <sheetData>
    <row r="1" spans="1:10" ht="19.5" customHeight="1" x14ac:dyDescent="0.25">
      <c r="A1" s="148" t="s">
        <v>0</v>
      </c>
      <c r="B1" s="148"/>
      <c r="C1" s="148"/>
    </row>
    <row r="2" spans="1:10" ht="31.5" customHeight="1" x14ac:dyDescent="0.25">
      <c r="A2" s="149" t="s">
        <v>52</v>
      </c>
      <c r="B2" s="149"/>
      <c r="C2" s="149"/>
    </row>
    <row r="3" spans="1:10" x14ac:dyDescent="0.25">
      <c r="A3" s="13"/>
      <c r="B3" s="13"/>
      <c r="C3" s="13"/>
    </row>
    <row r="4" spans="1:10" x14ac:dyDescent="0.25">
      <c r="C4" s="48" t="s">
        <v>1</v>
      </c>
    </row>
    <row r="5" spans="1:10" s="17" customFormat="1" ht="15" customHeight="1" x14ac:dyDescent="0.25">
      <c r="A5" s="150" t="s">
        <v>39</v>
      </c>
      <c r="B5" s="151"/>
      <c r="C5" s="111" t="s">
        <v>24</v>
      </c>
      <c r="E5" s="83"/>
      <c r="F5" s="83"/>
      <c r="G5" s="83"/>
      <c r="H5" s="83"/>
      <c r="I5" s="83"/>
      <c r="J5" s="83"/>
    </row>
    <row r="6" spans="1:10" s="17" customFormat="1" ht="13.8" x14ac:dyDescent="0.25">
      <c r="A6" s="146" t="s">
        <v>2</v>
      </c>
      <c r="B6" s="147"/>
      <c r="C6" s="35">
        <f>C7+C11</f>
        <v>40128</v>
      </c>
      <c r="E6" s="83"/>
      <c r="F6" s="83"/>
      <c r="G6" s="83"/>
      <c r="H6" s="83"/>
      <c r="I6" s="83"/>
      <c r="J6" s="83"/>
    </row>
    <row r="7" spans="1:10" s="17" customFormat="1" ht="13.8" x14ac:dyDescent="0.25">
      <c r="A7" s="36" t="s">
        <v>3</v>
      </c>
      <c r="B7" s="37" t="s">
        <v>4</v>
      </c>
      <c r="C7" s="38">
        <f>SUM(C8:C10)</f>
        <v>27907</v>
      </c>
      <c r="E7" s="83"/>
      <c r="F7" s="83"/>
      <c r="G7" s="83"/>
      <c r="H7" s="83"/>
      <c r="I7" s="83"/>
      <c r="J7" s="83"/>
    </row>
    <row r="8" spans="1:10" ht="66.75" customHeight="1" x14ac:dyDescent="0.25">
      <c r="A8" s="39">
        <v>1149</v>
      </c>
      <c r="B8" s="87" t="s">
        <v>77</v>
      </c>
      <c r="C8" s="34">
        <f>ROUNDUP((((B31*1.4))/28*22)+(B31*1.4*9),0)</f>
        <v>22580</v>
      </c>
      <c r="E8" s="84"/>
      <c r="F8" s="85"/>
      <c r="G8" s="84"/>
    </row>
    <row r="9" spans="1:10" ht="32.25" customHeight="1" x14ac:dyDescent="0.25">
      <c r="A9" s="41">
        <v>1210</v>
      </c>
      <c r="B9" s="11" t="s">
        <v>41</v>
      </c>
      <c r="C9" s="42">
        <f>ROUND(C8*0.2359,0)</f>
        <v>5327</v>
      </c>
    </row>
    <row r="10" spans="1:10" ht="45.75" hidden="1" customHeight="1" x14ac:dyDescent="0.25">
      <c r="A10" s="112">
        <v>1226</v>
      </c>
      <c r="B10" s="54" t="s">
        <v>23</v>
      </c>
      <c r="C10" s="50"/>
    </row>
    <row r="11" spans="1:10" ht="18" customHeight="1" x14ac:dyDescent="0.25">
      <c r="A11" s="55" t="s">
        <v>5</v>
      </c>
      <c r="B11" s="110" t="s">
        <v>6</v>
      </c>
      <c r="C11" s="53">
        <f>SUM(C12:C16)</f>
        <v>12221</v>
      </c>
      <c r="E11" s="86"/>
    </row>
    <row r="12" spans="1:10" ht="97.95" customHeight="1" x14ac:dyDescent="0.25">
      <c r="A12" s="113">
        <v>2122</v>
      </c>
      <c r="B12" s="114" t="s">
        <v>78</v>
      </c>
      <c r="C12" s="47">
        <f>ROUNDUP(560+2,0)</f>
        <v>562</v>
      </c>
    </row>
    <row r="13" spans="1:10" ht="92.25" customHeight="1" x14ac:dyDescent="0.25">
      <c r="A13" s="115">
        <v>2238</v>
      </c>
      <c r="B13" s="129" t="s">
        <v>79</v>
      </c>
      <c r="C13" s="34">
        <f>ROUNDUP((B39/12*10)+((B40/28)*22),0)</f>
        <v>10692</v>
      </c>
    </row>
    <row r="14" spans="1:10" ht="57.75" hidden="1" customHeight="1" x14ac:dyDescent="0.25">
      <c r="A14" s="113">
        <v>2312</v>
      </c>
      <c r="B14" s="135" t="s">
        <v>80</v>
      </c>
      <c r="C14" s="34"/>
    </row>
    <row r="15" spans="1:10" ht="266.39999999999998" customHeight="1" x14ac:dyDescent="0.25">
      <c r="A15" s="115">
        <v>2364</v>
      </c>
      <c r="B15" s="120" t="s">
        <v>69</v>
      </c>
      <c r="C15" s="34">
        <f>ROUNDUP(121+72.6+129.47+18.15+47.19+139.15+96.8+36.3+157.3+78.65+70.18,0)</f>
        <v>967</v>
      </c>
    </row>
    <row r="16" spans="1:10" ht="28.5" hidden="1" customHeight="1" x14ac:dyDescent="0.25">
      <c r="A16" s="121">
        <v>2389</v>
      </c>
      <c r="B16" s="131" t="s">
        <v>81</v>
      </c>
      <c r="C16" s="123"/>
    </row>
    <row r="17" spans="1:10" ht="11.25" customHeight="1" x14ac:dyDescent="0.25">
      <c r="A17" s="94"/>
      <c r="B17" s="124"/>
      <c r="C17" s="60"/>
    </row>
    <row r="18" spans="1:10" x14ac:dyDescent="0.25">
      <c r="C18" s="48" t="s">
        <v>1</v>
      </c>
    </row>
    <row r="19" spans="1:10" s="17" customFormat="1" ht="15" customHeight="1" x14ac:dyDescent="0.25">
      <c r="A19" s="150" t="s">
        <v>43</v>
      </c>
      <c r="B19" s="151"/>
      <c r="C19" s="111" t="s">
        <v>33</v>
      </c>
      <c r="E19" s="83"/>
      <c r="F19" s="83"/>
      <c r="G19" s="83"/>
      <c r="H19" s="83"/>
      <c r="I19" s="83"/>
      <c r="J19" s="83"/>
    </row>
    <row r="20" spans="1:10" s="17" customFormat="1" ht="15" customHeight="1" x14ac:dyDescent="0.25">
      <c r="A20" s="146" t="s">
        <v>2</v>
      </c>
      <c r="B20" s="147"/>
      <c r="C20" s="35">
        <f>C21+C24</f>
        <v>8081</v>
      </c>
      <c r="E20" s="83"/>
      <c r="F20" s="83"/>
      <c r="G20" s="83"/>
      <c r="H20" s="83"/>
      <c r="I20" s="83"/>
      <c r="J20" s="83"/>
    </row>
    <row r="21" spans="1:10" s="17" customFormat="1" ht="13.8" x14ac:dyDescent="0.25">
      <c r="A21" s="36" t="s">
        <v>3</v>
      </c>
      <c r="B21" s="37" t="s">
        <v>4</v>
      </c>
      <c r="C21" s="38">
        <f>SUM(C22:C23)</f>
        <v>6315</v>
      </c>
      <c r="E21" s="83"/>
      <c r="F21" s="83"/>
      <c r="G21" s="83"/>
      <c r="H21" s="83"/>
      <c r="I21" s="83"/>
      <c r="J21" s="83"/>
    </row>
    <row r="22" spans="1:10" ht="66" x14ac:dyDescent="0.25">
      <c r="A22" s="39">
        <v>1149</v>
      </c>
      <c r="B22" s="87" t="s">
        <v>56</v>
      </c>
      <c r="C22" s="34">
        <f>ROUNDUP((((B31*1.4))/28*6)+(B31*1.4*2),0)</f>
        <v>5110</v>
      </c>
    </row>
    <row r="23" spans="1:10" ht="26.4" x14ac:dyDescent="0.25">
      <c r="A23" s="41">
        <v>1210</v>
      </c>
      <c r="B23" s="11" t="s">
        <v>25</v>
      </c>
      <c r="C23" s="42">
        <f>ROUNDUP(C22*0.2359,0)-1</f>
        <v>1205</v>
      </c>
    </row>
    <row r="24" spans="1:10" ht="18" customHeight="1" x14ac:dyDescent="0.25">
      <c r="A24" s="55" t="s">
        <v>5</v>
      </c>
      <c r="B24" s="110" t="s">
        <v>6</v>
      </c>
      <c r="C24" s="53">
        <f>SUM(C25:C26)</f>
        <v>1766</v>
      </c>
    </row>
    <row r="25" spans="1:10" ht="66" x14ac:dyDescent="0.25">
      <c r="A25" s="113">
        <v>2122</v>
      </c>
      <c r="B25" s="114" t="s">
        <v>82</v>
      </c>
      <c r="C25" s="47">
        <f>ROUNDUP(560*1+2*1,0)</f>
        <v>562</v>
      </c>
    </row>
    <row r="26" spans="1:10" ht="92.4" x14ac:dyDescent="0.25">
      <c r="A26" s="119">
        <v>2238</v>
      </c>
      <c r="B26" s="136" t="s">
        <v>83</v>
      </c>
      <c r="C26" s="42">
        <f>ROUNDUP((B39/12*1)+((B40/28)*6),0)</f>
        <v>1204</v>
      </c>
    </row>
    <row r="27" spans="1:10" ht="45" customHeight="1" x14ac:dyDescent="0.25">
      <c r="A27" s="145" t="s">
        <v>65</v>
      </c>
      <c r="B27" s="145"/>
      <c r="C27" s="145"/>
    </row>
    <row r="28" spans="1:10" x14ac:dyDescent="0.25">
      <c r="C28" s="14"/>
    </row>
    <row r="29" spans="1:10" hidden="1" x14ac:dyDescent="0.25">
      <c r="B29" s="137" t="s">
        <v>7</v>
      </c>
      <c r="C29" s="14"/>
    </row>
    <row r="30" spans="1:10" ht="14.4" hidden="1" x14ac:dyDescent="0.3">
      <c r="A30" s="14" t="s">
        <v>8</v>
      </c>
      <c r="B30" s="138">
        <v>19778</v>
      </c>
      <c r="C30" s="14"/>
    </row>
    <row r="31" spans="1:10" ht="14.4" hidden="1" x14ac:dyDescent="0.3">
      <c r="A31" s="14" t="s">
        <v>9</v>
      </c>
      <c r="B31" s="139">
        <v>1648.17</v>
      </c>
      <c r="C31" s="14">
        <f>ROUND(B31*1.4,2)</f>
        <v>2307.44</v>
      </c>
    </row>
    <row r="32" spans="1:10" hidden="1" x14ac:dyDescent="0.25">
      <c r="C32" s="14"/>
    </row>
    <row r="33" spans="1:3" hidden="1" x14ac:dyDescent="0.25">
      <c r="A33" s="14" t="s">
        <v>26</v>
      </c>
      <c r="B33" s="88">
        <v>1422.87</v>
      </c>
      <c r="C33" s="14">
        <f>ROUND(B33*1.4,2)</f>
        <v>1992.02</v>
      </c>
    </row>
    <row r="34" spans="1:3" hidden="1" x14ac:dyDescent="0.25">
      <c r="B34" s="89">
        <f>B31-B33</f>
        <v>225.30000000000018</v>
      </c>
      <c r="C34" s="14">
        <f>B34*1.4</f>
        <v>315.42000000000024</v>
      </c>
    </row>
    <row r="35" spans="1:3" hidden="1" x14ac:dyDescent="0.25">
      <c r="A35" s="90" t="s">
        <v>27</v>
      </c>
      <c r="B35" s="89">
        <f>C31-C33</f>
        <v>315.42000000000007</v>
      </c>
      <c r="C35" s="14"/>
    </row>
    <row r="36" spans="1:3" hidden="1" x14ac:dyDescent="0.25">
      <c r="A36" s="90" t="s">
        <v>28</v>
      </c>
      <c r="C36" s="14">
        <f>ROUNDUP(B35/31*7,2)</f>
        <v>71.23</v>
      </c>
    </row>
    <row r="37" spans="1:3" hidden="1" x14ac:dyDescent="0.25">
      <c r="C37" s="14"/>
    </row>
    <row r="38" spans="1:3" hidden="1" x14ac:dyDescent="0.25">
      <c r="B38" s="140" t="s">
        <v>7</v>
      </c>
      <c r="C38" s="141">
        <v>11895.21</v>
      </c>
    </row>
    <row r="39" spans="1:3" hidden="1" x14ac:dyDescent="0.25">
      <c r="A39" s="14" t="s">
        <v>8</v>
      </c>
      <c r="B39" s="89">
        <f>C38</f>
        <v>11895.21</v>
      </c>
      <c r="C39" s="14"/>
    </row>
    <row r="40" spans="1:3" hidden="1" x14ac:dyDescent="0.25">
      <c r="A40" s="14" t="s">
        <v>9</v>
      </c>
      <c r="B40" s="88">
        <f>ROUND(B39/12,2)</f>
        <v>991.27</v>
      </c>
      <c r="C40" s="14"/>
    </row>
    <row r="41" spans="1:3" ht="10.95" customHeight="1" x14ac:dyDescent="0.25">
      <c r="B41" s="88"/>
      <c r="C41" s="14"/>
    </row>
    <row r="42" spans="1:3" ht="21.75" customHeight="1" x14ac:dyDescent="0.25">
      <c r="C42" s="14"/>
    </row>
    <row r="43" spans="1:3" ht="21.75" customHeight="1" x14ac:dyDescent="0.25"/>
    <row r="44" spans="1:3" ht="21.75" customHeight="1" x14ac:dyDescent="0.25"/>
  </sheetData>
  <mergeCells count="7">
    <mergeCell ref="A27:C27"/>
    <mergeCell ref="A20:B20"/>
    <mergeCell ref="A1:C1"/>
    <mergeCell ref="A2:C2"/>
    <mergeCell ref="A5:B5"/>
    <mergeCell ref="A6:B6"/>
    <mergeCell ref="A19:B19"/>
  </mergeCells>
  <pageMargins left="0.23622047244094491" right="0.23622047244094491" top="0.74803149606299213" bottom="0.74803149606299213" header="0.31496062992125984" footer="0.31496062992125984"/>
  <pageSetup paperSize="9" scale="76"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43"/>
  <sheetViews>
    <sheetView zoomScaleNormal="100" workbookViewId="0">
      <pane ySplit="3" topLeftCell="A4" activePane="bottomLeft" state="frozen"/>
      <selection pane="bottomLeft" activeCell="D11" sqref="D11:E11"/>
    </sheetView>
  </sheetViews>
  <sheetFormatPr defaultColWidth="9.109375" defaultRowHeight="13.2" x14ac:dyDescent="0.25"/>
  <cols>
    <col min="1" max="1" width="9.109375" style="14" customWidth="1"/>
    <col min="2" max="2" width="72.109375" style="15" customWidth="1"/>
    <col min="3" max="3" width="14.5546875" style="7" customWidth="1"/>
    <col min="4" max="4" width="9.33203125" style="12" customWidth="1"/>
    <col min="5" max="5" width="11.44140625" style="63" customWidth="1"/>
    <col min="6" max="10" width="9.109375" style="63"/>
    <col min="11" max="16384" width="9.109375" style="12"/>
  </cols>
  <sheetData>
    <row r="1" spans="1:10" ht="19.5" customHeight="1" x14ac:dyDescent="0.25">
      <c r="A1" s="148" t="s">
        <v>0</v>
      </c>
      <c r="B1" s="148"/>
      <c r="C1" s="148"/>
    </row>
    <row r="2" spans="1:10" ht="31.5" customHeight="1" x14ac:dyDescent="0.25">
      <c r="A2" s="149" t="s">
        <v>53</v>
      </c>
      <c r="B2" s="149"/>
      <c r="C2" s="149"/>
    </row>
    <row r="3" spans="1:10" x14ac:dyDescent="0.25">
      <c r="A3" s="13"/>
      <c r="B3" s="13"/>
      <c r="C3" s="93"/>
    </row>
    <row r="4" spans="1:10" x14ac:dyDescent="0.25">
      <c r="C4" s="48" t="s">
        <v>1</v>
      </c>
    </row>
    <row r="5" spans="1:10" s="17" customFormat="1" ht="15" customHeight="1" x14ac:dyDescent="0.25">
      <c r="A5" s="150" t="s">
        <v>42</v>
      </c>
      <c r="B5" s="151"/>
      <c r="C5" s="111" t="s">
        <v>24</v>
      </c>
      <c r="E5" s="83"/>
      <c r="F5" s="83"/>
      <c r="G5" s="83"/>
      <c r="H5" s="83"/>
      <c r="I5" s="83"/>
      <c r="J5" s="83"/>
    </row>
    <row r="6" spans="1:10" s="17" customFormat="1" ht="13.8" x14ac:dyDescent="0.25">
      <c r="A6" s="146" t="s">
        <v>2</v>
      </c>
      <c r="B6" s="147"/>
      <c r="C6" s="35">
        <f>C7+C10</f>
        <v>37253</v>
      </c>
      <c r="E6" s="83"/>
      <c r="F6" s="83"/>
      <c r="G6" s="83"/>
      <c r="H6" s="83"/>
      <c r="I6" s="83"/>
      <c r="J6" s="83"/>
    </row>
    <row r="7" spans="1:10" s="17" customFormat="1" ht="13.8" x14ac:dyDescent="0.25">
      <c r="A7" s="36" t="s">
        <v>3</v>
      </c>
      <c r="B7" s="37" t="s">
        <v>4</v>
      </c>
      <c r="C7" s="38">
        <f>SUM(C8:C9)</f>
        <v>25769</v>
      </c>
      <c r="E7" s="83"/>
      <c r="F7" s="83"/>
      <c r="G7" s="83"/>
      <c r="H7" s="83"/>
      <c r="I7" s="83"/>
      <c r="J7" s="83"/>
    </row>
    <row r="8" spans="1:10" ht="66.75" customHeight="1" x14ac:dyDescent="0.25">
      <c r="A8" s="39">
        <v>1149</v>
      </c>
      <c r="B8" s="87" t="s">
        <v>84</v>
      </c>
      <c r="C8" s="34">
        <f>ROUNDUP((((B30*1.4))/28*1)+(B30*1.4*9),0)</f>
        <v>20850</v>
      </c>
      <c r="E8" s="84"/>
      <c r="F8" s="84"/>
      <c r="G8" s="84"/>
    </row>
    <row r="9" spans="1:10" ht="40.5" customHeight="1" x14ac:dyDescent="0.25">
      <c r="A9" s="41">
        <v>1210</v>
      </c>
      <c r="B9" s="11" t="s">
        <v>44</v>
      </c>
      <c r="C9" s="42">
        <f>ROUND(C8*0.2359,0)</f>
        <v>4919</v>
      </c>
    </row>
    <row r="10" spans="1:10" ht="18" customHeight="1" x14ac:dyDescent="0.25">
      <c r="A10" s="55" t="s">
        <v>5</v>
      </c>
      <c r="B10" s="110" t="s">
        <v>6</v>
      </c>
      <c r="C10" s="53">
        <f>SUM(C11:C15)</f>
        <v>11484</v>
      </c>
      <c r="E10" s="86"/>
    </row>
    <row r="11" spans="1:10" ht="96.75" customHeight="1" x14ac:dyDescent="0.25">
      <c r="A11" s="113">
        <v>2122</v>
      </c>
      <c r="B11" s="109" t="s">
        <v>49</v>
      </c>
      <c r="C11" s="47">
        <f>ROUNDUP(560+2,0)</f>
        <v>562</v>
      </c>
    </row>
    <row r="12" spans="1:10" ht="84.6" customHeight="1" x14ac:dyDescent="0.25">
      <c r="A12" s="115">
        <v>2238</v>
      </c>
      <c r="B12" s="129" t="s">
        <v>85</v>
      </c>
      <c r="C12" s="34">
        <f>ROUNDUP((B38/12*10)+((B39/28)*1),0)</f>
        <v>9949</v>
      </c>
      <c r="F12" s="84"/>
      <c r="G12" s="84"/>
    </row>
    <row r="13" spans="1:10" ht="33.75" hidden="1" customHeight="1" x14ac:dyDescent="0.25">
      <c r="A13" s="113">
        <v>2313</v>
      </c>
      <c r="B13" s="135"/>
      <c r="C13" s="34"/>
    </row>
    <row r="14" spans="1:10" ht="267.60000000000002" customHeight="1" x14ac:dyDescent="0.25">
      <c r="A14" s="115">
        <v>2364</v>
      </c>
      <c r="B14" s="120" t="s">
        <v>76</v>
      </c>
      <c r="C14" s="142">
        <f>ROUNDUP(127.05+72.6+129.47+18.15+47.19+139.15+96.8+36.3+157.3+78.65+70.18,0)</f>
        <v>973</v>
      </c>
      <c r="D14" s="63"/>
    </row>
    <row r="15" spans="1:10" ht="9" hidden="1" customHeight="1" x14ac:dyDescent="0.25">
      <c r="A15" s="121">
        <v>2389</v>
      </c>
      <c r="B15" s="131"/>
      <c r="C15" s="123"/>
    </row>
    <row r="16" spans="1:10" ht="11.25" customHeight="1" x14ac:dyDescent="0.25">
      <c r="A16" s="94"/>
      <c r="B16" s="124"/>
      <c r="C16" s="60"/>
    </row>
    <row r="17" spans="1:10" x14ac:dyDescent="0.25">
      <c r="C17" s="48" t="s">
        <v>1</v>
      </c>
    </row>
    <row r="18" spans="1:10" s="17" customFormat="1" ht="15" customHeight="1" x14ac:dyDescent="0.25">
      <c r="A18" s="150" t="s">
        <v>45</v>
      </c>
      <c r="B18" s="151"/>
      <c r="C18" s="111" t="s">
        <v>33</v>
      </c>
      <c r="E18" s="83"/>
      <c r="F18" s="83"/>
      <c r="G18" s="83"/>
      <c r="H18" s="83"/>
      <c r="I18" s="83"/>
      <c r="J18" s="83"/>
    </row>
    <row r="19" spans="1:10" s="17" customFormat="1" ht="15" customHeight="1" x14ac:dyDescent="0.25">
      <c r="A19" s="146" t="s">
        <v>2</v>
      </c>
      <c r="B19" s="147"/>
      <c r="C19" s="35">
        <f>C20+C23</f>
        <v>10964</v>
      </c>
      <c r="E19" s="83"/>
      <c r="F19" s="83"/>
      <c r="G19" s="83"/>
      <c r="H19" s="83"/>
      <c r="I19" s="83"/>
      <c r="J19" s="83"/>
    </row>
    <row r="20" spans="1:10" s="17" customFormat="1" ht="13.8" x14ac:dyDescent="0.25">
      <c r="A20" s="36" t="s">
        <v>3</v>
      </c>
      <c r="B20" s="37" t="s">
        <v>4</v>
      </c>
      <c r="C20" s="38">
        <f>SUM(C21:C22)</f>
        <v>8454</v>
      </c>
      <c r="E20" s="83"/>
      <c r="F20" s="83"/>
      <c r="G20" s="83"/>
      <c r="H20" s="83"/>
      <c r="I20" s="83"/>
      <c r="J20" s="83"/>
    </row>
    <row r="21" spans="1:10" ht="66" x14ac:dyDescent="0.25">
      <c r="A21" s="39">
        <v>1149</v>
      </c>
      <c r="B21" s="87" t="s">
        <v>57</v>
      </c>
      <c r="C21" s="34">
        <f>ROUNDUP((((B30*1.4))/28*27)+(B30*1.4*2),0)</f>
        <v>6840</v>
      </c>
    </row>
    <row r="22" spans="1:10" ht="42.6" customHeight="1" x14ac:dyDescent="0.25">
      <c r="A22" s="41">
        <v>1210</v>
      </c>
      <c r="B22" s="11" t="s">
        <v>30</v>
      </c>
      <c r="C22" s="42">
        <f>ROUNDUP(C21*0.2359,0)</f>
        <v>1614</v>
      </c>
    </row>
    <row r="23" spans="1:10" ht="18" customHeight="1" x14ac:dyDescent="0.25">
      <c r="A23" s="55" t="s">
        <v>5</v>
      </c>
      <c r="B23" s="110" t="s">
        <v>6</v>
      </c>
      <c r="C23" s="53">
        <f>SUM(C24:C25)</f>
        <v>2510</v>
      </c>
    </row>
    <row r="24" spans="1:10" ht="66" customHeight="1" x14ac:dyDescent="0.25">
      <c r="A24" s="113">
        <v>2122</v>
      </c>
      <c r="B24" s="114" t="s">
        <v>82</v>
      </c>
      <c r="C24" s="47">
        <f>ROUNDUP(560*1+2*1,0)</f>
        <v>562</v>
      </c>
    </row>
    <row r="25" spans="1:10" ht="65.400000000000006" customHeight="1" x14ac:dyDescent="0.25">
      <c r="A25" s="119">
        <v>2238</v>
      </c>
      <c r="B25" s="136" t="s">
        <v>86</v>
      </c>
      <c r="C25" s="42">
        <f>ROUNDUP((B38/12*1)+((B39/28)*27),0)</f>
        <v>1948</v>
      </c>
    </row>
    <row r="26" spans="1:10" ht="36" customHeight="1" x14ac:dyDescent="0.25">
      <c r="A26" s="145" t="s">
        <v>65</v>
      </c>
      <c r="B26" s="145"/>
      <c r="C26" s="145"/>
    </row>
    <row r="27" spans="1:10" s="96" customFormat="1" hidden="1" x14ac:dyDescent="0.25">
      <c r="A27" s="94"/>
      <c r="B27" s="95"/>
      <c r="C27" s="94"/>
      <c r="E27" s="97"/>
      <c r="F27" s="97"/>
      <c r="G27" s="97"/>
      <c r="H27" s="97"/>
      <c r="I27" s="97"/>
      <c r="J27" s="97"/>
    </row>
    <row r="28" spans="1:10" s="96" customFormat="1" hidden="1" x14ac:dyDescent="0.25">
      <c r="A28" s="94"/>
      <c r="B28" s="143" t="s">
        <v>7</v>
      </c>
      <c r="C28" s="94"/>
      <c r="E28" s="97"/>
      <c r="F28" s="97"/>
      <c r="G28" s="97"/>
      <c r="H28" s="97"/>
      <c r="I28" s="97"/>
      <c r="J28" s="97"/>
    </row>
    <row r="29" spans="1:10" s="96" customFormat="1" ht="13.8" hidden="1" x14ac:dyDescent="0.25">
      <c r="A29" s="94" t="s">
        <v>8</v>
      </c>
      <c r="B29" s="98">
        <v>19778</v>
      </c>
      <c r="C29" s="94"/>
      <c r="E29" s="97"/>
      <c r="F29" s="97"/>
      <c r="G29" s="97"/>
      <c r="H29" s="97"/>
      <c r="I29" s="97"/>
      <c r="J29" s="97"/>
    </row>
    <row r="30" spans="1:10" s="96" customFormat="1" ht="13.8" hidden="1" x14ac:dyDescent="0.25">
      <c r="A30" s="94" t="s">
        <v>9</v>
      </c>
      <c r="B30" s="99">
        <v>1648.17</v>
      </c>
      <c r="C30" s="94">
        <f>ROUND(B30*1.4,2)</f>
        <v>2307.44</v>
      </c>
      <c r="E30" s="97"/>
      <c r="F30" s="97"/>
      <c r="G30" s="97"/>
      <c r="H30" s="97"/>
      <c r="I30" s="97"/>
      <c r="J30" s="97"/>
    </row>
    <row r="31" spans="1:10" s="96" customFormat="1" hidden="1" x14ac:dyDescent="0.25">
      <c r="A31" s="94"/>
      <c r="B31" s="95"/>
      <c r="C31" s="94"/>
      <c r="E31" s="97"/>
      <c r="F31" s="97"/>
      <c r="G31" s="97"/>
      <c r="H31" s="97"/>
      <c r="I31" s="97"/>
      <c r="J31" s="97"/>
    </row>
    <row r="32" spans="1:10" s="96" customFormat="1" hidden="1" x14ac:dyDescent="0.25">
      <c r="A32" s="94" t="s">
        <v>26</v>
      </c>
      <c r="B32" s="100">
        <v>1422.87</v>
      </c>
      <c r="C32" s="94">
        <f>ROUND(B32*1.4,2)</f>
        <v>1992.02</v>
      </c>
      <c r="E32" s="97"/>
      <c r="F32" s="97"/>
      <c r="G32" s="97"/>
      <c r="H32" s="97"/>
      <c r="I32" s="97"/>
      <c r="J32" s="97"/>
    </row>
    <row r="33" spans="1:10" s="96" customFormat="1" hidden="1" x14ac:dyDescent="0.25">
      <c r="A33" s="94"/>
      <c r="B33" s="101">
        <f>B30-B32</f>
        <v>225.30000000000018</v>
      </c>
      <c r="C33" s="94">
        <f>B33*1.4</f>
        <v>315.42000000000024</v>
      </c>
      <c r="E33" s="97"/>
      <c r="F33" s="97"/>
      <c r="G33" s="97"/>
      <c r="H33" s="97"/>
      <c r="I33" s="97"/>
      <c r="J33" s="97"/>
    </row>
    <row r="34" spans="1:10" s="96" customFormat="1" hidden="1" x14ac:dyDescent="0.25">
      <c r="A34" s="102" t="s">
        <v>27</v>
      </c>
      <c r="B34" s="101">
        <f>C30-C32</f>
        <v>315.42000000000007</v>
      </c>
      <c r="C34" s="94"/>
      <c r="E34" s="97"/>
      <c r="F34" s="97"/>
      <c r="G34" s="97"/>
      <c r="H34" s="97"/>
      <c r="I34" s="97"/>
      <c r="J34" s="97"/>
    </row>
    <row r="35" spans="1:10" s="96" customFormat="1" hidden="1" x14ac:dyDescent="0.25">
      <c r="A35" s="102" t="s">
        <v>28</v>
      </c>
      <c r="B35" s="95"/>
      <c r="C35" s="94">
        <f>ROUNDUP(B34/31*7,2)</f>
        <v>71.23</v>
      </c>
      <c r="E35" s="97"/>
      <c r="F35" s="97"/>
      <c r="G35" s="97"/>
      <c r="H35" s="97"/>
      <c r="I35" s="97"/>
      <c r="J35" s="97"/>
    </row>
    <row r="36" spans="1:10" s="96" customFormat="1" hidden="1" x14ac:dyDescent="0.25">
      <c r="A36" s="94"/>
      <c r="B36" s="95"/>
      <c r="C36" s="94"/>
      <c r="E36" s="97"/>
      <c r="F36" s="97"/>
      <c r="G36" s="97"/>
      <c r="H36" s="97"/>
      <c r="I36" s="97"/>
      <c r="J36" s="97"/>
    </row>
    <row r="37" spans="1:10" s="96" customFormat="1" hidden="1" x14ac:dyDescent="0.25">
      <c r="A37" s="94"/>
      <c r="B37" s="143" t="s">
        <v>7</v>
      </c>
      <c r="C37" s="144">
        <v>11895.21</v>
      </c>
      <c r="E37" s="97"/>
      <c r="F37" s="97"/>
      <c r="G37" s="97"/>
      <c r="H37" s="97"/>
      <c r="I37" s="97"/>
      <c r="J37" s="97"/>
    </row>
    <row r="38" spans="1:10" s="96" customFormat="1" hidden="1" x14ac:dyDescent="0.25">
      <c r="A38" s="94" t="s">
        <v>8</v>
      </c>
      <c r="B38" s="101">
        <f>C37</f>
        <v>11895.21</v>
      </c>
      <c r="C38" s="94"/>
      <c r="E38" s="97"/>
      <c r="F38" s="97"/>
      <c r="G38" s="97"/>
      <c r="H38" s="97"/>
      <c r="I38" s="97"/>
      <c r="J38" s="97"/>
    </row>
    <row r="39" spans="1:10" s="96" customFormat="1" hidden="1" x14ac:dyDescent="0.25">
      <c r="A39" s="94" t="s">
        <v>9</v>
      </c>
      <c r="B39" s="100">
        <f>ROUND(B38/12,2)</f>
        <v>991.27</v>
      </c>
      <c r="C39" s="94"/>
      <c r="E39" s="97"/>
      <c r="F39" s="97"/>
      <c r="G39" s="97"/>
      <c r="H39" s="97"/>
      <c r="I39" s="97"/>
      <c r="J39" s="97"/>
    </row>
    <row r="40" spans="1:10" s="96" customFormat="1" ht="10.95" hidden="1" customHeight="1" x14ac:dyDescent="0.25">
      <c r="A40" s="94"/>
      <c r="B40" s="100"/>
      <c r="C40" s="94"/>
      <c r="E40" s="97"/>
      <c r="F40" s="97"/>
      <c r="G40" s="97"/>
      <c r="H40" s="97"/>
      <c r="I40" s="97"/>
      <c r="J40" s="97"/>
    </row>
    <row r="41" spans="1:10" ht="21.75" customHeight="1" x14ac:dyDescent="0.25">
      <c r="C41" s="14"/>
    </row>
    <row r="42" spans="1:10" ht="21.75" customHeight="1" x14ac:dyDescent="0.25"/>
    <row r="43" spans="1:10" ht="21.75" customHeight="1" x14ac:dyDescent="0.25"/>
  </sheetData>
  <mergeCells count="7">
    <mergeCell ref="A26:C26"/>
    <mergeCell ref="A19:B19"/>
    <mergeCell ref="A1:C1"/>
    <mergeCell ref="A2:C2"/>
    <mergeCell ref="A5:B5"/>
    <mergeCell ref="A6:B6"/>
    <mergeCell ref="A18:B18"/>
  </mergeCells>
  <pageMargins left="0.23622047244094491" right="0.23622047244094491" top="0.74803149606299213" bottom="0.74803149606299213" header="0.31496062992125984" footer="0.31496062992125984"/>
  <pageSetup paperSize="9" scale="76"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33"/>
  <sheetViews>
    <sheetView tabSelected="1" zoomScale="90" zoomScaleNormal="90" workbookViewId="0">
      <selection activeCell="F24" sqref="F24"/>
    </sheetView>
  </sheetViews>
  <sheetFormatPr defaultRowHeight="14.4" x14ac:dyDescent="0.3"/>
  <cols>
    <col min="1" max="1" width="10.33203125" customWidth="1"/>
    <col min="2" max="2" width="71.33203125" customWidth="1"/>
    <col min="3" max="3" width="13.6640625" customWidth="1"/>
  </cols>
  <sheetData>
    <row r="1" spans="1:6" ht="22.8" x14ac:dyDescent="0.3">
      <c r="A1" s="152" t="s">
        <v>10</v>
      </c>
      <c r="B1" s="152"/>
      <c r="C1" s="152"/>
    </row>
    <row r="2" spans="1:6" ht="22.8" x14ac:dyDescent="0.3">
      <c r="A2" s="62"/>
      <c r="B2" s="62"/>
      <c r="C2" s="62"/>
    </row>
    <row r="3" spans="1:6" x14ac:dyDescent="0.3">
      <c r="A3" s="28"/>
      <c r="B3" s="28"/>
      <c r="C3" s="48" t="s">
        <v>1</v>
      </c>
    </row>
    <row r="4" spans="1:6" x14ac:dyDescent="0.3">
      <c r="A4" s="153" t="s">
        <v>46</v>
      </c>
      <c r="B4" s="154"/>
      <c r="C4" s="43" t="s">
        <v>24</v>
      </c>
    </row>
    <row r="5" spans="1:6" x14ac:dyDescent="0.3">
      <c r="A5" s="153" t="s">
        <v>2</v>
      </c>
      <c r="B5" s="154"/>
      <c r="C5" s="44">
        <f>C6+C11</f>
        <v>191986</v>
      </c>
      <c r="D5" s="61"/>
      <c r="E5" s="61"/>
      <c r="F5" s="61"/>
    </row>
    <row r="6" spans="1:6" x14ac:dyDescent="0.3">
      <c r="A6" s="51" t="s">
        <v>3</v>
      </c>
      <c r="B6" s="52" t="s">
        <v>4</v>
      </c>
      <c r="C6" s="53">
        <f>C7+C9</f>
        <v>130016</v>
      </c>
      <c r="E6" s="61"/>
      <c r="F6" s="61"/>
    </row>
    <row r="7" spans="1:6" x14ac:dyDescent="0.3">
      <c r="A7" s="29">
        <v>1100</v>
      </c>
      <c r="B7" s="30" t="s">
        <v>15</v>
      </c>
      <c r="C7" s="45">
        <f>C8</f>
        <v>105199</v>
      </c>
      <c r="D7" s="108"/>
      <c r="E7" s="61"/>
      <c r="F7" s="61"/>
    </row>
    <row r="8" spans="1:6" x14ac:dyDescent="0.3">
      <c r="A8" s="18">
        <v>1149</v>
      </c>
      <c r="B8" s="25" t="s">
        <v>11</v>
      </c>
      <c r="C8" s="34">
        <f>K.Eiduka!C8+D.Kosarevs!C8+J.Zaļais!C8+M.Stange!C8+D.Uļģis!C8</f>
        <v>105199</v>
      </c>
      <c r="D8" s="108"/>
      <c r="E8" s="61"/>
      <c r="F8" s="61"/>
    </row>
    <row r="9" spans="1:6" ht="13.5" customHeight="1" x14ac:dyDescent="0.3">
      <c r="A9" s="31">
        <v>1200</v>
      </c>
      <c r="B9" s="26" t="s">
        <v>16</v>
      </c>
      <c r="C9" s="46">
        <f>C10</f>
        <v>24817</v>
      </c>
      <c r="D9" s="108"/>
      <c r="E9" s="61"/>
      <c r="F9" s="61"/>
    </row>
    <row r="10" spans="1:6" x14ac:dyDescent="0.3">
      <c r="A10" s="18">
        <v>1210</v>
      </c>
      <c r="B10" s="40" t="s">
        <v>12</v>
      </c>
      <c r="C10" s="34">
        <f>K.Eiduka!C9+D.Kosarevs!C9+J.Zaļais!C9+M.Stange!C9+D.Uļģis!C9</f>
        <v>24817</v>
      </c>
      <c r="D10" s="108"/>
      <c r="E10" s="61"/>
      <c r="F10" s="61"/>
    </row>
    <row r="11" spans="1:6" x14ac:dyDescent="0.3">
      <c r="A11" s="51" t="s">
        <v>5</v>
      </c>
      <c r="B11" s="52" t="s">
        <v>6</v>
      </c>
      <c r="C11" s="53">
        <f>C12+C14+C16</f>
        <v>61970</v>
      </c>
      <c r="D11" s="108"/>
      <c r="E11" s="61"/>
      <c r="F11" s="61"/>
    </row>
    <row r="12" spans="1:6" x14ac:dyDescent="0.3">
      <c r="A12" s="29">
        <v>2100</v>
      </c>
      <c r="B12" s="30" t="s">
        <v>17</v>
      </c>
      <c r="C12" s="45">
        <f>C13</f>
        <v>2810</v>
      </c>
      <c r="D12" s="108"/>
      <c r="E12" s="61"/>
      <c r="F12" s="61"/>
    </row>
    <row r="13" spans="1:6" x14ac:dyDescent="0.3">
      <c r="A13" s="19">
        <v>2122</v>
      </c>
      <c r="B13" s="22" t="s">
        <v>13</v>
      </c>
      <c r="C13" s="34">
        <f>K.Eiduka!C12+D.Kosarevs!C12+J.Zaļais!C12+M.Stange!C12+D.Uļģis!C11</f>
        <v>2810</v>
      </c>
      <c r="D13" s="108"/>
      <c r="E13" s="61"/>
      <c r="F13" s="61"/>
    </row>
    <row r="14" spans="1:6" x14ac:dyDescent="0.3">
      <c r="A14" s="33">
        <v>2200</v>
      </c>
      <c r="B14" s="22" t="s">
        <v>18</v>
      </c>
      <c r="C14" s="34">
        <f>C15</f>
        <v>54313</v>
      </c>
      <c r="D14" s="108"/>
      <c r="E14" s="61"/>
      <c r="F14" s="61"/>
    </row>
    <row r="15" spans="1:6" x14ac:dyDescent="0.3">
      <c r="A15" s="19">
        <v>2238</v>
      </c>
      <c r="B15" s="22" t="s">
        <v>14</v>
      </c>
      <c r="C15" s="34">
        <f>K.Eiduka!C13+D.Kosarevs!C13+J.Zaļais!C13+M.Stange!C13+D.Uļģis!C12</f>
        <v>54313</v>
      </c>
      <c r="D15" s="108"/>
      <c r="E15" s="61"/>
      <c r="F15" s="61"/>
    </row>
    <row r="16" spans="1:6" ht="21.75" customHeight="1" x14ac:dyDescent="0.3">
      <c r="A16" s="29">
        <v>2300</v>
      </c>
      <c r="B16" s="32" t="s">
        <v>19</v>
      </c>
      <c r="C16" s="47">
        <f>SUM(C17:C19)</f>
        <v>4847</v>
      </c>
      <c r="D16" s="108"/>
      <c r="E16" s="61"/>
      <c r="F16" s="61"/>
    </row>
    <row r="17" spans="1:6" hidden="1" x14ac:dyDescent="0.3">
      <c r="A17" s="19">
        <v>2312</v>
      </c>
      <c r="B17" s="22" t="s">
        <v>20</v>
      </c>
      <c r="C17" s="34"/>
      <c r="D17" s="108"/>
      <c r="E17" s="61"/>
      <c r="F17" s="61"/>
    </row>
    <row r="18" spans="1:6" x14ac:dyDescent="0.3">
      <c r="A18" s="23">
        <v>2364</v>
      </c>
      <c r="B18" s="24" t="s">
        <v>21</v>
      </c>
      <c r="C18" s="42">
        <f>K.Eiduka!C15+D.Kosarevs!C15+J.Zaļais!C15+M.Stange!C15+D.Uļģis!C14</f>
        <v>4847</v>
      </c>
      <c r="D18" s="108"/>
      <c r="E18" s="61"/>
      <c r="F18" s="61"/>
    </row>
    <row r="19" spans="1:6" hidden="1" x14ac:dyDescent="0.3">
      <c r="A19" s="56">
        <v>2389</v>
      </c>
      <c r="B19" s="57" t="s">
        <v>22</v>
      </c>
      <c r="C19" s="58"/>
      <c r="E19" s="61"/>
      <c r="F19" s="61"/>
    </row>
    <row r="20" spans="1:6" ht="15.75" customHeight="1" x14ac:dyDescent="0.3">
      <c r="A20" s="20"/>
      <c r="B20" s="21"/>
      <c r="C20" s="60"/>
      <c r="E20" s="61"/>
      <c r="F20" s="61"/>
    </row>
    <row r="21" spans="1:6" x14ac:dyDescent="0.3">
      <c r="A21" s="14"/>
      <c r="B21" s="15"/>
      <c r="C21" s="48" t="s">
        <v>1</v>
      </c>
      <c r="E21" s="61"/>
      <c r="F21" s="61"/>
    </row>
    <row r="22" spans="1:6" x14ac:dyDescent="0.3">
      <c r="A22" s="153" t="s">
        <v>47</v>
      </c>
      <c r="B22" s="154"/>
      <c r="C22" s="43" t="s">
        <v>33</v>
      </c>
      <c r="E22" s="61"/>
      <c r="F22" s="61"/>
    </row>
    <row r="23" spans="1:6" x14ac:dyDescent="0.3">
      <c r="A23" s="153" t="s">
        <v>2</v>
      </c>
      <c r="B23" s="154"/>
      <c r="C23" s="44">
        <f>C24+C29</f>
        <v>79981.16</v>
      </c>
      <c r="D23" s="61"/>
      <c r="E23" s="61"/>
      <c r="F23" s="61"/>
    </row>
    <row r="24" spans="1:6" x14ac:dyDescent="0.3">
      <c r="A24" s="51" t="s">
        <v>3</v>
      </c>
      <c r="B24" s="52" t="s">
        <v>4</v>
      </c>
      <c r="C24" s="53">
        <f>C25+C27</f>
        <v>60306.16</v>
      </c>
      <c r="E24" s="61"/>
      <c r="F24" s="61"/>
    </row>
    <row r="25" spans="1:6" x14ac:dyDescent="0.3">
      <c r="A25" s="29">
        <v>1100</v>
      </c>
      <c r="B25" s="30" t="s">
        <v>15</v>
      </c>
      <c r="C25" s="45">
        <f>C26</f>
        <v>48795</v>
      </c>
      <c r="E25" s="61"/>
      <c r="F25" s="61"/>
    </row>
    <row r="26" spans="1:6" x14ac:dyDescent="0.3">
      <c r="A26" s="18">
        <v>1149</v>
      </c>
      <c r="B26" s="25" t="s">
        <v>11</v>
      </c>
      <c r="C26" s="34">
        <f>K.Eiduka!C22+D.Kosarevs!C22+J.Zaļais!C22+M.Stange!C22+D.Uļģis!C21</f>
        <v>48795</v>
      </c>
      <c r="E26" s="61"/>
      <c r="F26" s="61"/>
    </row>
    <row r="27" spans="1:6" x14ac:dyDescent="0.3">
      <c r="A27" s="31">
        <v>1200</v>
      </c>
      <c r="B27" s="26" t="s">
        <v>16</v>
      </c>
      <c r="C27" s="46">
        <f>C28</f>
        <v>11511.16</v>
      </c>
      <c r="E27" s="61"/>
      <c r="F27" s="61"/>
    </row>
    <row r="28" spans="1:6" x14ac:dyDescent="0.3">
      <c r="A28" s="10">
        <v>1210</v>
      </c>
      <c r="B28" s="11" t="s">
        <v>12</v>
      </c>
      <c r="C28" s="42">
        <f>K.Eiduka!C23+D.Kosarevs!C23+J.Zaļais!C23+M.Stange!C23+D.Uļģis!C22</f>
        <v>11511.16</v>
      </c>
      <c r="E28" s="61"/>
      <c r="F28" s="61"/>
    </row>
    <row r="29" spans="1:6" x14ac:dyDescent="0.3">
      <c r="A29" s="51" t="s">
        <v>5</v>
      </c>
      <c r="B29" s="52" t="s">
        <v>6</v>
      </c>
      <c r="C29" s="53">
        <f>C30+C32</f>
        <v>19675</v>
      </c>
      <c r="E29" s="61"/>
      <c r="F29" s="61"/>
    </row>
    <row r="30" spans="1:6" x14ac:dyDescent="0.3">
      <c r="A30" s="29">
        <v>2100</v>
      </c>
      <c r="B30" s="30" t="s">
        <v>17</v>
      </c>
      <c r="C30" s="45">
        <f>C31</f>
        <v>2810</v>
      </c>
      <c r="E30" s="61"/>
      <c r="F30" s="61"/>
    </row>
    <row r="31" spans="1:6" x14ac:dyDescent="0.3">
      <c r="A31" s="19">
        <v>2122</v>
      </c>
      <c r="B31" s="22" t="s">
        <v>13</v>
      </c>
      <c r="C31" s="34">
        <f>K.Eiduka!C25+D.Kosarevs!C25+J.Zaļais!C25+M.Stange!C25+D.Uļģis!C24</f>
        <v>2810</v>
      </c>
      <c r="E31" s="61"/>
      <c r="F31" s="61"/>
    </row>
    <row r="32" spans="1:6" x14ac:dyDescent="0.3">
      <c r="A32" s="31">
        <v>2200</v>
      </c>
      <c r="B32" s="27" t="s">
        <v>18</v>
      </c>
      <c r="C32" s="46">
        <f>C33</f>
        <v>16865</v>
      </c>
      <c r="E32" s="61"/>
      <c r="F32" s="61"/>
    </row>
    <row r="33" spans="1:6" x14ac:dyDescent="0.3">
      <c r="A33" s="23">
        <v>2238</v>
      </c>
      <c r="B33" s="24" t="s">
        <v>14</v>
      </c>
      <c r="C33" s="42">
        <f>K.Eiduka!C26+D.Kosarevs!C26+J.Zaļais!C26+M.Stange!C26+D.Uļģis!C25</f>
        <v>16865</v>
      </c>
      <c r="E33" s="61"/>
      <c r="F33" s="61"/>
    </row>
  </sheetData>
  <mergeCells count="5">
    <mergeCell ref="A1:C1"/>
    <mergeCell ref="A4:B4"/>
    <mergeCell ref="A5:B5"/>
    <mergeCell ref="A22:B22"/>
    <mergeCell ref="A23:B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K.Eiduka</vt:lpstr>
      <vt:lpstr>D.Kosarevs</vt:lpstr>
      <vt:lpstr>J.Zaļais</vt:lpstr>
      <vt:lpstr>M.Stange</vt:lpstr>
      <vt:lpstr>D.Uļģis</vt:lpstr>
      <vt:lpstr>Kopsavilkums</vt:lpstr>
      <vt:lpstr>J.Zaļais!Print_Area</vt:lpstr>
      <vt:lpstr>K.Eiduka!Print_Area</vt:lpstr>
    </vt:vector>
  </TitlesOfParts>
  <Company>Valsts policija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Rūta Dukaļska</dc:creator>
  <cp:lastModifiedBy>Igors Silantjevs</cp:lastModifiedBy>
  <cp:lastPrinted>2023-12-27T09:00:53Z</cp:lastPrinted>
  <dcterms:created xsi:type="dcterms:W3CDTF">2020-12-22T13:12:18Z</dcterms:created>
  <dcterms:modified xsi:type="dcterms:W3CDTF">2024-10-09T13:56:33Z</dcterms:modified>
</cp:coreProperties>
</file>